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codeName="ThisWorkbook" defaultThemeVersion="124226"/>
  <bookViews>
    <workbookView xWindow="-15" yWindow="225" windowWidth="9615" windowHeight="8505" tabRatio="879" firstSheet="5" activeTab="6"/>
  </bookViews>
  <sheets>
    <sheet name="START" sheetId="352" r:id="rId1"/>
    <sheet name="Instructions" sheetId="354" r:id="rId2"/>
    <sheet name="Template names" sheetId="100" state="veryHidden" r:id="rId3"/>
    <sheet name="Lookup and lists" sheetId="344" state="veryHidden" r:id="rId4"/>
    <sheet name="Org structure" sheetId="347" r:id="rId5"/>
    <sheet name="Contacts" sheetId="355" r:id="rId6"/>
    <sheet name="A1-Sum" sheetId="86" r:id="rId7"/>
    <sheet name="A2-FinPerf SC" sheetId="133" r:id="rId8"/>
    <sheet name="A2A" sheetId="351" r:id="rId9"/>
    <sheet name="A3-FinPerf V" sheetId="233" r:id="rId10"/>
    <sheet name="A3A" sheetId="342" r:id="rId11"/>
    <sheet name="A4-FinPerf RE" sheetId="127" r:id="rId12"/>
    <sheet name="A5-Capex" sheetId="126" r:id="rId13"/>
    <sheet name="A5A" sheetId="343" r:id="rId14"/>
    <sheet name="A6-FinPos" sheetId="129" r:id="rId15"/>
    <sheet name="A7-CFlow" sheetId="131" r:id="rId16"/>
    <sheet name="A8-ResRecon" sheetId="237" r:id="rId17"/>
    <sheet name="A9-Asset" sheetId="248" r:id="rId18"/>
    <sheet name="A10-SerDel" sheetId="253" r:id="rId19"/>
    <sheet name="SA1" sheetId="255" r:id="rId20"/>
    <sheet name="SA2" sheetId="246" r:id="rId21"/>
    <sheet name="SA3" sheetId="128" r:id="rId22"/>
    <sheet name="SA4" sheetId="141" r:id="rId23"/>
    <sheet name="SA5" sheetId="315" r:id="rId24"/>
    <sheet name="SA6" sheetId="314" r:id="rId25"/>
    <sheet name="SA7" sheetId="147" r:id="rId26"/>
    <sheet name="SA8" sheetId="88" r:id="rId27"/>
    <sheet name="SA9" sheetId="235" r:id="rId28"/>
    <sheet name="SA10" sheetId="123" r:id="rId29"/>
    <sheet name="SA11" sheetId="336" r:id="rId30"/>
    <sheet name="SA12 &amp;13" sheetId="335" r:id="rId31"/>
    <sheet name="SA14" sheetId="337" r:id="rId32"/>
    <sheet name="SA15" sheetId="142" r:id="rId33"/>
    <sheet name="SA16" sheetId="143" r:id="rId34"/>
    <sheet name="SA17" sheetId="144" r:id="rId35"/>
    <sheet name="SA18" sheetId="136" r:id="rId36"/>
    <sheet name="SA19" sheetId="249" r:id="rId37"/>
    <sheet name="SA20" sheetId="316" r:id="rId38"/>
    <sheet name="SA21" sheetId="305" r:id="rId39"/>
    <sheet name="SA22" sheetId="146" r:id="rId40"/>
    <sheet name="SA23" sheetId="145" r:id="rId41"/>
    <sheet name="SA24" sheetId="148" r:id="rId42"/>
    <sheet name="SA25" sheetId="137" r:id="rId43"/>
    <sheet name="SA26" sheetId="299" r:id="rId44"/>
    <sheet name="SA27" sheetId="298" r:id="rId45"/>
    <sheet name="SA28" sheetId="140" r:id="rId46"/>
    <sheet name="SA29" sheetId="300" r:id="rId47"/>
    <sheet name="SA30" sheetId="95" r:id="rId48"/>
    <sheet name="SA31" sheetId="301" r:id="rId49"/>
    <sheet name="SA32" sheetId="250" r:id="rId50"/>
    <sheet name="SA33" sheetId="139" r:id="rId51"/>
    <sheet name="SA34a" sheetId="134" r:id="rId52"/>
    <sheet name="SA34b" sheetId="350" r:id="rId53"/>
    <sheet name="SA34c" sheetId="349" r:id="rId54"/>
    <sheet name="SA35" sheetId="294" r:id="rId55"/>
    <sheet name="SA36" sheetId="256" r:id="rId56"/>
    <sheet name="SA37" sheetId="296" r:id="rId57"/>
    <sheet name="NERF" sheetId="338" state="hidden" r:id="rId58"/>
    <sheet name="MSCOA" sheetId="339" state="hidden" r:id="rId59"/>
    <sheet name="Compliance assessment" sheetId="348" state="hidden" r:id="rId60"/>
    <sheet name="TB" sheetId="356" state="hidden" r:id="rId61"/>
  </sheets>
  <externalReferences>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ADJ1">'Template names'!#REF!</definedName>
    <definedName name="_ADJ10">'Template names'!#REF!</definedName>
    <definedName name="_ADJ11">'Template names'!#REF!</definedName>
    <definedName name="_ADJ12">'Template names'!#REF!</definedName>
    <definedName name="_ADJ13">'Template names'!#REF!</definedName>
    <definedName name="_ADJ14">'Template names'!#REF!</definedName>
    <definedName name="_ADJ16">'Template names'!#REF!</definedName>
    <definedName name="_ADJ17">'Template names'!#REF!</definedName>
    <definedName name="_ADJ18">'Template names'!#REF!</definedName>
    <definedName name="_ADJ19">'Template names'!#REF!</definedName>
    <definedName name="_ADJ2">'Template names'!#REF!</definedName>
    <definedName name="_ADJ3">'Template names'!#REF!</definedName>
    <definedName name="_ADJ4">'Template names'!#REF!</definedName>
    <definedName name="_ADJ5">'Template names'!#REF!</definedName>
    <definedName name="_ADJ6">'Template names'!#REF!</definedName>
    <definedName name="_ADJ7">'Template names'!#REF!</definedName>
    <definedName name="_ADJ8">'Template names'!#REF!</definedName>
    <definedName name="_ADJ9">'Template names'!#REF!</definedName>
    <definedName name="_ccf04">#REF!</definedName>
    <definedName name="_ccf05">#REF!</definedName>
    <definedName name="_ccf06">#REF!</definedName>
    <definedName name="_ccf07">#REF!</definedName>
    <definedName name="_ccf08">#REF!</definedName>
    <definedName name="_ccf09">#REF!</definedName>
    <definedName name="_ccf10">#REF!</definedName>
    <definedName name="_ccf11">#REF!</definedName>
    <definedName name="_ccf12">#REF!</definedName>
    <definedName name="_ccf13">#REF!</definedName>
    <definedName name="_cpi1">'[1]Balance Sheet'!$D$50</definedName>
    <definedName name="_cpi2">'[1]Balance Sheet'!$E$50</definedName>
    <definedName name="_cpi3">'[1]Balance Sheet'!$F$50</definedName>
    <definedName name="_DEP1">'Template names'!$B$71</definedName>
    <definedName name="_DEP10">'Template names'!$B$80</definedName>
    <definedName name="_DEP11">'Template names'!$B$81</definedName>
    <definedName name="_DEP12">'Template names'!$B$82</definedName>
    <definedName name="_DEP13">'Template names'!$B$83</definedName>
    <definedName name="_DEP14">'Template names'!$B$84</definedName>
    <definedName name="_DEP2">'Template names'!$B$72</definedName>
    <definedName name="_DEP3">'Template names'!$B$73</definedName>
    <definedName name="_DEP4">'Template names'!$B$74</definedName>
    <definedName name="_DEP5">'Template names'!$B$75</definedName>
    <definedName name="_DEP6">'Template names'!$B$76</definedName>
    <definedName name="_DEP7">'Template names'!$B$77</definedName>
    <definedName name="_DEP8">'Template names'!$B$78</definedName>
    <definedName name="_DEP9">'Template names'!$B$79</definedName>
    <definedName name="_ecf04">#REF!</definedName>
    <definedName name="_ecf05">#REF!</definedName>
    <definedName name="_ecf06">#REF!</definedName>
    <definedName name="_ecf07">#REF!</definedName>
    <definedName name="_ecf08">#REF!</definedName>
    <definedName name="_ecf09">#REF!</definedName>
    <definedName name="_ecf10">#REF!</definedName>
    <definedName name="_ecf11">#REF!</definedName>
    <definedName name="_ecf12">#REF!</definedName>
    <definedName name="_ecf13">#REF!</definedName>
    <definedName name="_emp04">#REF!</definedName>
    <definedName name="_emp05">#REF!</definedName>
    <definedName name="_emp06">#REF!</definedName>
    <definedName name="_emp07">#REF!</definedName>
    <definedName name="_emp08">#REF!</definedName>
    <definedName name="_emp09">#REF!</definedName>
    <definedName name="_emp10">#REF!</definedName>
    <definedName name="_emp11">#REF!</definedName>
    <definedName name="_emp12">#REF!</definedName>
    <definedName name="_emp13">#REF!</definedName>
    <definedName name="_emp14">#REF!</definedName>
    <definedName name="_emp15">#REF!</definedName>
    <definedName name="_emp16">#REF!</definedName>
    <definedName name="_emp17">#REF!</definedName>
    <definedName name="_emp18">#REF!</definedName>
    <definedName name="_emp19">#REF!</definedName>
    <definedName name="_emp20">#REF!</definedName>
    <definedName name="_emp21">#REF!</definedName>
    <definedName name="_Ent1">'Template names'!$B$96</definedName>
    <definedName name="_Ent2">'Template names'!$B$97</definedName>
    <definedName name="_Ent3">'Template names'!$B$98</definedName>
    <definedName name="_xlnm._FilterDatabase" localSheetId="55" hidden="1">'SA36'!$A$5:$AE$237</definedName>
    <definedName name="_xlnm._FilterDatabase" localSheetId="60" hidden="1" xml:space="preserve">                   TB!$A$1:$AZ$564</definedName>
    <definedName name="_inf1">#REF!</definedName>
    <definedName name="_inf2">#REF!</definedName>
    <definedName name="_inf3">#REF!</definedName>
    <definedName name="_int04">#REF!</definedName>
    <definedName name="_int05">#REF!</definedName>
    <definedName name="_int06">#REF!</definedName>
    <definedName name="_int07">#REF!</definedName>
    <definedName name="_int08">#REF!</definedName>
    <definedName name="_int09">#REF!</definedName>
    <definedName name="_int10">#REF!</definedName>
    <definedName name="_int11">#REF!</definedName>
    <definedName name="_int12">#REF!</definedName>
    <definedName name="_int13">#REF!</definedName>
    <definedName name="_int14">#REF!</definedName>
    <definedName name="_int15">#REF!</definedName>
    <definedName name="_int16">#REF!</definedName>
    <definedName name="_int17">#REF!</definedName>
    <definedName name="_int18">#REF!</definedName>
    <definedName name="_int19">#REF!</definedName>
    <definedName name="_int20">#REF!</definedName>
    <definedName name="_inv04">#REF!</definedName>
    <definedName name="_inv05">#REF!</definedName>
    <definedName name="_inv06">#REF!</definedName>
    <definedName name="_inv07">#REF!</definedName>
    <definedName name="_inv08">#REF!</definedName>
    <definedName name="_inv09">#REF!</definedName>
    <definedName name="_inv10">#REF!</definedName>
    <definedName name="_inv11">#REF!</definedName>
    <definedName name="_inv12">#REF!</definedName>
    <definedName name="_inv13">#REF!</definedName>
    <definedName name="_MEB1">'Template names'!#REF!</definedName>
    <definedName name="_MEB10">'Template names'!#REF!</definedName>
    <definedName name="_MEB11">'Template names'!#REF!</definedName>
    <definedName name="_MEB12">'Template names'!#REF!</definedName>
    <definedName name="_MEB2">'Template names'!#REF!</definedName>
    <definedName name="_MEB3">'Template names'!#REF!</definedName>
    <definedName name="_MEB4">'Template names'!#REF!</definedName>
    <definedName name="_MEB5">'Template names'!#REF!</definedName>
    <definedName name="_MEB6">'Template names'!#REF!</definedName>
    <definedName name="_MEB7">'Template names'!#REF!</definedName>
    <definedName name="_MEB8">'Template names'!#REF!</definedName>
    <definedName name="_MEB9">'Template names'!#REF!</definedName>
    <definedName name="_MER1">'Template names'!#REF!</definedName>
    <definedName name="_MER10">'Template names'!#REF!</definedName>
    <definedName name="_MER11">'Template names'!#REF!</definedName>
    <definedName name="_MER2">'Template names'!#REF!</definedName>
    <definedName name="_MER3">'Template names'!#REF!</definedName>
    <definedName name="_MER4">'Template names'!#REF!</definedName>
    <definedName name="_MER5">'Template names'!#REF!</definedName>
    <definedName name="_MER6">'Template names'!#REF!</definedName>
    <definedName name="_MER7">'Template names'!#REF!</definedName>
    <definedName name="_MER8">'Template names'!#REF!</definedName>
    <definedName name="_MER9">'Template names'!#REF!</definedName>
    <definedName name="_rat03">#REF!</definedName>
    <definedName name="_rat04">#REF!</definedName>
    <definedName name="_rat05">#REF!</definedName>
    <definedName name="_rat06">#REF!</definedName>
    <definedName name="_rat07">#REF!</definedName>
    <definedName name="_rat08">#REF!</definedName>
    <definedName name="_rat09">#REF!</definedName>
    <definedName name="_rat10">#REF!</definedName>
    <definedName name="_rat11">#REF!</definedName>
    <definedName name="_rat12">#REF!</definedName>
    <definedName name="_rat13">#REF!</definedName>
    <definedName name="_rgr05">#REF!</definedName>
    <definedName name="_rgr06">#REF!</definedName>
    <definedName name="_rgr07">#REF!</definedName>
    <definedName name="_rgr08">#REF!</definedName>
    <definedName name="_rgr09">#REF!</definedName>
    <definedName name="_rgr10">#REF!</definedName>
    <definedName name="_rgr11">#REF!</definedName>
    <definedName name="_rgr12">#REF!</definedName>
    <definedName name="_rgr13">#REF!</definedName>
    <definedName name="_rgr14">#REF!</definedName>
    <definedName name="_rgr15">#REF!</definedName>
    <definedName name="_rgr16">#REF!</definedName>
    <definedName name="_rgr17">#REF!</definedName>
    <definedName name="_rgr18">#REF!</definedName>
    <definedName name="_rgr19">#REF!</definedName>
    <definedName name="_rgr20">#REF!</definedName>
    <definedName name="_rmc05">#REF!</definedName>
    <definedName name="_rmc06">#REF!</definedName>
    <definedName name="_rmc07">#REF!</definedName>
    <definedName name="_rmc08">#REF!</definedName>
    <definedName name="_rmc09">#REF!</definedName>
    <definedName name="_rmc10">#REF!</definedName>
    <definedName name="_rmc11">#REF!</definedName>
    <definedName name="_rmc12">#REF!</definedName>
    <definedName name="_rmc13">#REF!</definedName>
    <definedName name="_rmc14">#REF!</definedName>
    <definedName name="_rmc15">#REF!</definedName>
    <definedName name="_rmc16">#REF!</definedName>
    <definedName name="_rmc17">#REF!</definedName>
    <definedName name="_rmc18">#REF!</definedName>
    <definedName name="_rmc19">#REF!</definedName>
    <definedName name="_rmc20">#REF!</definedName>
    <definedName name="_rmc21">#REF!</definedName>
    <definedName name="_sdc05">#REF!</definedName>
    <definedName name="_sdc06">#REF!</definedName>
    <definedName name="_sdc07">#REF!</definedName>
    <definedName name="_sdc08">#REF!</definedName>
    <definedName name="_sdc09">#REF!</definedName>
    <definedName name="_sdc10">#REF!</definedName>
    <definedName name="_sdc11">#REF!</definedName>
    <definedName name="_sdc12">#REF!</definedName>
    <definedName name="_sdc13">#REF!</definedName>
    <definedName name="_sdc14">#REF!</definedName>
    <definedName name="_sdc15">#REF!</definedName>
    <definedName name="_sdc16">#REF!</definedName>
    <definedName name="_sdc17">#REF!</definedName>
    <definedName name="_sdc18">#REF!</definedName>
    <definedName name="_sdc19">#REF!</definedName>
    <definedName name="_sdc20">#REF!</definedName>
    <definedName name="_wc05">#REF!</definedName>
    <definedName name="_wc06">#REF!</definedName>
    <definedName name="_wc07">#REF!</definedName>
    <definedName name="_wc08">#REF!</definedName>
    <definedName name="_wc09">#REF!</definedName>
    <definedName name="_wc10">#REF!</definedName>
    <definedName name="_wc11">#REF!</definedName>
    <definedName name="_wc12">#REF!</definedName>
    <definedName name="_wc13">#REF!</definedName>
    <definedName name="_wc14">#REF!</definedName>
    <definedName name="_wc15">#REF!</definedName>
    <definedName name="_wc16">#REF!</definedName>
    <definedName name="_wc17">#REF!</definedName>
    <definedName name="_wc18">#REF!</definedName>
    <definedName name="_wc19">#REF!</definedName>
    <definedName name="_wc20">#REF!</definedName>
    <definedName name="ADJ10plus">'Template names'!#REF!</definedName>
    <definedName name="ADJ18A">'Template names'!#REF!</definedName>
    <definedName name="ADJ18B">'Template names'!#REF!</definedName>
    <definedName name="ADJ19B">'Template names'!#REF!</definedName>
    <definedName name="ADJ8A">'Template names'!#REF!</definedName>
    <definedName name="ADJ8B">'Template names'!#REF!</definedName>
    <definedName name="ADJP1">'Template names'!#REF!</definedName>
    <definedName name="adjsum">'Template names'!#REF!</definedName>
    <definedName name="ADJTB1">'Template names'!#REF!</definedName>
    <definedName name="ADJXX">'Template names'!#REF!</definedName>
    <definedName name="Approve1">'Template names'!$B$100</definedName>
    <definedName name="Approve10">'Template names'!$B$109</definedName>
    <definedName name="Approve2">'Template names'!$B$102</definedName>
    <definedName name="Approve3">'Template names'!$B$101</definedName>
    <definedName name="Approve4">'Template names'!$B$103</definedName>
    <definedName name="Approve5">'Template names'!$B$104</definedName>
    <definedName name="Approve6">'Template names'!$B$105</definedName>
    <definedName name="Approve7">'Template names'!$B$106</definedName>
    <definedName name="Approve8">'Template names'!$B$107</definedName>
    <definedName name="Approve9">'Template names'!$B$108</definedName>
    <definedName name="avelife07">#REF!</definedName>
    <definedName name="avelife08">#REF!</definedName>
    <definedName name="avelife09">#REF!</definedName>
    <definedName name="avelife10">#REF!</definedName>
    <definedName name="avelife11">#REF!</definedName>
    <definedName name="avelife12">#REF!</definedName>
    <definedName name="avelife13">#REF!</definedName>
    <definedName name="balloon">#REF!</definedName>
    <definedName name="basedesc">'Template names'!$D$39:$D$39</definedName>
    <definedName name="baseindex">'Template names'!$B$88:$B$89</definedName>
    <definedName name="Bus">#REF!</definedName>
    <definedName name="capexfactor">#REF!</definedName>
    <definedName name="capexlimit06">#REF!</definedName>
    <definedName name="capexlimit07">#REF!</definedName>
    <definedName name="capexlimit08">#REF!</definedName>
    <definedName name="capexlimit09">#REF!</definedName>
    <definedName name="capexrate04">#REF!</definedName>
    <definedName name="capexrate05">#REF!</definedName>
    <definedName name="capexrate06">#REF!</definedName>
    <definedName name="capexrate07">#REF!</definedName>
    <definedName name="capexrate08">#REF!</definedName>
    <definedName name="capexrate09">#REF!</definedName>
    <definedName name="capexrate10">#REF!</definedName>
    <definedName name="capexrate11">#REF!</definedName>
    <definedName name="capexrate12">#REF!</definedName>
    <definedName name="capexrate13">#REF!</definedName>
    <definedName name="capexrate14">#REF!</definedName>
    <definedName name="capexrate15">#REF!</definedName>
    <definedName name="capexrate16">#REF!</definedName>
    <definedName name="capexrate17">#REF!</definedName>
    <definedName name="capexrate18">#REF!</definedName>
    <definedName name="capexrate19">#REF!</definedName>
    <definedName name="capexrate20">#REF!</definedName>
    <definedName name="capexrate21">#REF!</definedName>
    <definedName name="Capytd">#REF!</definedName>
    <definedName name="Cash1">'Template names'!$B$68</definedName>
    <definedName name="Cash2">'Template names'!$B$69</definedName>
    <definedName name="cfactor08">#REF!</definedName>
    <definedName name="cfactor09">#REF!</definedName>
    <definedName name="cfactor10">#REF!</definedName>
    <definedName name="cfactor11">#REF!</definedName>
    <definedName name="cfactor12">#REF!</definedName>
    <definedName name="cfactor13">#REF!</definedName>
    <definedName name="ChartA1">'Template names'!$B$151</definedName>
    <definedName name="ChartA10">'Template names'!$B$160</definedName>
    <definedName name="ChartA11">'Template names'!$B$161</definedName>
    <definedName name="ChartA12">'Template names'!$B$162</definedName>
    <definedName name="ChartA13">'Template names'!$B$163</definedName>
    <definedName name="ChartA2">'Template names'!$B$152</definedName>
    <definedName name="ChartA3">'Template names'!$B$153</definedName>
    <definedName name="ChartA4">'Template names'!$B$154</definedName>
    <definedName name="ChartA5">'Template names'!$B$155</definedName>
    <definedName name="ChartA6">'Template names'!$B$156</definedName>
    <definedName name="ChartA7">'Template names'!$B$157</definedName>
    <definedName name="ChartA8">'Template names'!$B$158</definedName>
    <definedName name="ChartA9">'Template names'!$B$159</definedName>
    <definedName name="choosebase">'Template names'!$B$89:$B$90</definedName>
    <definedName name="Consolques">'Template names'!$A$95</definedName>
    <definedName name="cpix04">#REF!</definedName>
    <definedName name="cpix05">#REF!</definedName>
    <definedName name="cpix06">#REF!</definedName>
    <definedName name="cpix07">#REF!</definedName>
    <definedName name="cpix08">#REF!</definedName>
    <definedName name="cpix09">#REF!</definedName>
    <definedName name="cpix10">#REF!</definedName>
    <definedName name="cpix11">#REF!</definedName>
    <definedName name="cpix12">#REF!</definedName>
    <definedName name="cpix13">#REF!</definedName>
    <definedName name="cpix14">#REF!</definedName>
    <definedName name="cpix15">#REF!</definedName>
    <definedName name="cpix16">#REF!</definedName>
    <definedName name="cpix17">#REF!</definedName>
    <definedName name="cpix18">#REF!</definedName>
    <definedName name="cpix19">#REF!</definedName>
    <definedName name="cpix20">#REF!</definedName>
    <definedName name="cpix21">#REF!</definedName>
    <definedName name="credit06">#REF!</definedName>
    <definedName name="date">[2]Data!$B$2</definedName>
    <definedName name="debt03">#REF!</definedName>
    <definedName name="debt04">#REF!</definedName>
    <definedName name="debt05">#REF!</definedName>
    <definedName name="debt06">#REF!</definedName>
    <definedName name="debt07">#REF!</definedName>
    <definedName name="debt08">#REF!</definedName>
    <definedName name="debt09">#REF!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7">#REF!</definedName>
    <definedName name="debt18">#REF!</definedName>
    <definedName name="debt19">#REF!</definedName>
    <definedName name="debt20">#REF!</definedName>
    <definedName name="debt21">#REF!</definedName>
    <definedName name="debtrev04">#REF!</definedName>
    <definedName name="debtrev05">#REF!</definedName>
    <definedName name="debtrev06">#REF!</definedName>
    <definedName name="debtrev07">#REF!</definedName>
    <definedName name="debtrev08">#REF!</definedName>
    <definedName name="debtrev09">#REF!</definedName>
    <definedName name="debtrev10">#REF!</definedName>
    <definedName name="debtrev11">#REF!</definedName>
    <definedName name="debtrev12">#REF!</definedName>
    <definedName name="debtrev13">#REF!</definedName>
    <definedName name="debtrev14">#REF!</definedName>
    <definedName name="debtrev15">#REF!</definedName>
    <definedName name="debtrev16">#REF!</definedName>
    <definedName name="debtrev17">#REF!</definedName>
    <definedName name="debtrev18">#REF!</definedName>
    <definedName name="debtrev19">#REF!</definedName>
    <definedName name="debtrev20">#REF!</definedName>
    <definedName name="debtrev21">#REF!</definedName>
    <definedName name="desc">'Template names'!$B$30</definedName>
    <definedName name="dfratio03">#REF!</definedName>
    <definedName name="dfratio04">#REF!</definedName>
    <definedName name="dfratio05">#REF!</definedName>
    <definedName name="dfratio06">#REF!</definedName>
    <definedName name="dfratioadj04">#REF!</definedName>
    <definedName name="dfration02">#REF!</definedName>
    <definedName name="ecchoice">#REF!</definedName>
    <definedName name="elec05">#REF!</definedName>
    <definedName name="elec06">#REF!</definedName>
    <definedName name="elec07">#REF!</definedName>
    <definedName name="elec08">#REF!</definedName>
    <definedName name="elec09">#REF!</definedName>
    <definedName name="elec10">#REF!</definedName>
    <definedName name="elec11">#REF!</definedName>
    <definedName name="elec12">#REF!</definedName>
    <definedName name="elec13">#REF!</definedName>
    <definedName name="elecbulk06">#REF!</definedName>
    <definedName name="elecextra">#REF!</definedName>
    <definedName name="elecrev06">#REF!</definedName>
    <definedName name="elecrev07">#REF!</definedName>
    <definedName name="elecrev08">#REF!</definedName>
    <definedName name="elecrev09">#REF!</definedName>
    <definedName name="elecrev10">#REF!</definedName>
    <definedName name="elecrev11">#REF!</definedName>
    <definedName name="elecrev12">#REF!</definedName>
    <definedName name="elecrev13">#REF!</definedName>
    <definedName name="elecrev14">#REF!</definedName>
    <definedName name="elecrev15">#REF!</definedName>
    <definedName name="elecrev16">#REF!</definedName>
    <definedName name="elecrev17">#REF!</definedName>
    <definedName name="elecrev18">#REF!</definedName>
    <definedName name="elecrev19">#REF!</definedName>
    <definedName name="elecrev20">#REF!</definedName>
    <definedName name="elecrev21">#REF!</definedName>
    <definedName name="EOYcapex">#REF!</definedName>
    <definedName name="eskom07">#REF!</definedName>
    <definedName name="FinYear">Instructions!$X$36</definedName>
    <definedName name="finyears">#REF!</definedName>
    <definedName name="GrantNatCapex">'Lookup and lists'!$AB$2:$AB$6</definedName>
    <definedName name="GrantNatOpex">'Lookup and lists'!$Z$2:$Z$8</definedName>
    <definedName name="GrantProvOpex">'Lookup and lists'!$AA$2:$AA$6</definedName>
    <definedName name="Head1">'Template names'!$B$2</definedName>
    <definedName name="Head10">'Template names'!$B$16</definedName>
    <definedName name="Head11">'Template names'!$B$17</definedName>
    <definedName name="Head12">'Template names'!$B$18</definedName>
    <definedName name="Head13">'Template names'!$B$19</definedName>
    <definedName name="Head14">'Template names'!$B$20</definedName>
    <definedName name="Head15">'Template names'!$B$21</definedName>
    <definedName name="Head16">'Template names'!$B$22</definedName>
    <definedName name="Head17">'Template names'!$B$23</definedName>
    <definedName name="Head18">'Template names'!$B$24</definedName>
    <definedName name="Head19">'Template names'!$B$25</definedName>
    <definedName name="head1A">'Template names'!$B$3</definedName>
    <definedName name="head1b">'Template names'!$B$4</definedName>
    <definedName name="Head2">'Template names'!$B$5</definedName>
    <definedName name="Head20">'Template names'!$B$26</definedName>
    <definedName name="Head21">'Template names'!$B$27</definedName>
    <definedName name="Head22">'Template names'!$B$28</definedName>
    <definedName name="Head23">'Template names'!$B$29</definedName>
    <definedName name="Head24">'Template names'!$B$30</definedName>
    <definedName name="Head25">'Template names'!$B$31</definedName>
    <definedName name="head27">'Template names'!$B$33</definedName>
    <definedName name="head27a">'Template names'!$B$34</definedName>
    <definedName name="Head29">'Template names'!$B$36</definedName>
    <definedName name="Head2A">'Template names'!$B$6</definedName>
    <definedName name="Head3">'Template names'!$B$7</definedName>
    <definedName name="Head30">'Template names'!$B$37</definedName>
    <definedName name="Head31">'Template names'!$B$38</definedName>
    <definedName name="Head32">'Template names'!$B$39</definedName>
    <definedName name="Head33">'Template names'!$B$40</definedName>
    <definedName name="Head34">'Template names'!$B$41</definedName>
    <definedName name="Head35">'Template names'!$B$42</definedName>
    <definedName name="Head36">'Template names'!$B$43</definedName>
    <definedName name="Head37">'Template names'!$B$44</definedName>
    <definedName name="Head38">'Template names'!$B$45</definedName>
    <definedName name="Head39">'Template names'!$B$46</definedName>
    <definedName name="Head4">'Template names'!$B$8</definedName>
    <definedName name="Head40">'Template names'!$B$47</definedName>
    <definedName name="Head41">'Template names'!$B$48</definedName>
    <definedName name="Head42">'Template names'!$B$49</definedName>
    <definedName name="Head43">'Template names'!$B$50</definedName>
    <definedName name="Head44">'Template names'!$B$51</definedName>
    <definedName name="Head45">'Template names'!$B$52</definedName>
    <definedName name="head46">'Template names'!$B$53</definedName>
    <definedName name="Head47">'Template names'!$B$54</definedName>
    <definedName name="Head48">'Template names'!$B$55</definedName>
    <definedName name="Head49">'Template names'!$B$56</definedName>
    <definedName name="Head5">'Template names'!$B$9</definedName>
    <definedName name="Head50">'Template names'!$B$57</definedName>
    <definedName name="Head51">'Template names'!$B$58</definedName>
    <definedName name="Head52">'Template names'!$B$59</definedName>
    <definedName name="Head53">'Template names'!$B$60</definedName>
    <definedName name="Head54">'Template names'!$B$61</definedName>
    <definedName name="Head55">'Template names'!$B$62</definedName>
    <definedName name="Head56">'Template names'!$B$63</definedName>
    <definedName name="Head5A">'Template names'!$B$10</definedName>
    <definedName name="Head5b">'Template names'!$B$11</definedName>
    <definedName name="Head6">'Template names'!$B$12</definedName>
    <definedName name="Head7">'Template names'!$B$13</definedName>
    <definedName name="Head8">'Template names'!$B$14</definedName>
    <definedName name="Head9">'Template names'!$B$15</definedName>
    <definedName name="Headings">'Lookup and lists'!$A$1:$O$24</definedName>
    <definedName name="hhgr05">#REF!</definedName>
    <definedName name="hhgr06">#REF!</definedName>
    <definedName name="hhgr07">#REF!</definedName>
    <definedName name="hhgr08">#REF!</definedName>
    <definedName name="hhgr09">#REF!</definedName>
    <definedName name="hhgr10">#REF!</definedName>
    <definedName name="hhgr11">#REF!</definedName>
    <definedName name="hhgr12">#REF!</definedName>
    <definedName name="hhgr13">#REF!</definedName>
    <definedName name="hhgr14">#REF!</definedName>
    <definedName name="hhgr15">#REF!</definedName>
    <definedName name="hhgr16">#REF!</definedName>
    <definedName name="hhgr17">#REF!</definedName>
    <definedName name="hhgr18">#REF!</definedName>
    <definedName name="hhgr19">#REF!</definedName>
    <definedName name="hhgr20">#REF!</definedName>
    <definedName name="hhgr21">#REF!</definedName>
    <definedName name="incentive">#REF!</definedName>
    <definedName name="infra">#REF!</definedName>
    <definedName name="Infrarenewal">#REF!</definedName>
    <definedName name="infrastratnum">#REF!</definedName>
    <definedName name="Instructions">#REF!</definedName>
    <definedName name="inventory">#REF!</definedName>
    <definedName name="List1">'Lookup and lists'!$Q$2:$Q$4</definedName>
    <definedName name="List2">'Lookup and lists'!$R$2:$R$8</definedName>
    <definedName name="List3">'Lookup and lists'!$S$2:$S$7</definedName>
    <definedName name="List4">'Lookup and lists'!$T$2:$T$4</definedName>
    <definedName name="List5">'Lookup and lists'!$U$2:$U$4</definedName>
    <definedName name="List6">'Lookup and lists'!$V$2:$V$3</definedName>
    <definedName name="List7">'Lookup and lists'!$W$2:$W$3</definedName>
    <definedName name="List8">'Lookup and lists'!$X$2:$X$3</definedName>
    <definedName name="longterm">#REF!</definedName>
    <definedName name="MEAB1">'Template names'!#REF!</definedName>
    <definedName name="MEAB10">'Template names'!#REF!</definedName>
    <definedName name="MEAB11">'Template names'!#REF!</definedName>
    <definedName name="MEAB2">'Template names'!#REF!</definedName>
    <definedName name="MEAB3">'Template names'!#REF!</definedName>
    <definedName name="MEAB4">'Template names'!#REF!</definedName>
    <definedName name="MEAB5">'Template names'!#REF!</definedName>
    <definedName name="MEAB6">'Template names'!#REF!</definedName>
    <definedName name="MEAB7">'Template names'!#REF!</definedName>
    <definedName name="MEAB8">'Template names'!#REF!</definedName>
    <definedName name="MEAB9">'Template names'!#REF!</definedName>
    <definedName name="MEABsum">'Template names'!#REF!</definedName>
    <definedName name="MEB1A">'Template names'!#REF!</definedName>
    <definedName name="MEBsum">'Template names'!#REF!</definedName>
    <definedName name="MERsum">'Template names'!#REF!</definedName>
    <definedName name="month">[2]Data!$B$1</definedName>
    <definedName name="MTREF">Instructions!$X$34</definedName>
    <definedName name="muni">'Template names'!$B$93</definedName>
    <definedName name="MuniEntities">'Template names'!$B$94</definedName>
    <definedName name="MuniType">'Template names'!$D$94</definedName>
    <definedName name="NatOpexGrantNames">'[3]Lookup and lists'!$R$2:$R$8</definedName>
    <definedName name="nersa07">#REF!</definedName>
    <definedName name="nersa08">#REF!</definedName>
    <definedName name="nethhgr05">#REF!</definedName>
    <definedName name="nethhgr06">#REF!</definedName>
    <definedName name="nethhgr07">#REF!</definedName>
    <definedName name="nethhgr08">#REF!</definedName>
    <definedName name="nethhgr09">#REF!</definedName>
    <definedName name="nethhgr10">#REF!</definedName>
    <definedName name="nethhgr11">#REF!</definedName>
    <definedName name="nethhgr12">#REF!</definedName>
    <definedName name="nethhgr13">#REF!</definedName>
    <definedName name="nethhgr14">#REF!</definedName>
    <definedName name="nethhgr15">#REF!</definedName>
    <definedName name="nethhgr16">#REF!</definedName>
    <definedName name="nethhgr17">#REF!</definedName>
    <definedName name="nethhgr18">#REF!</definedName>
    <definedName name="nethhgr19">#REF!</definedName>
    <definedName name="nethhgr20">#REF!</definedName>
    <definedName name="nethhgr21">#REF!</definedName>
    <definedName name="ninety">#REF!</definedName>
    <definedName name="Note20">[4]Names!$B$89</definedName>
    <definedName name="Orgstructurevotes">'Org structure'!$B$2</definedName>
    <definedName name="poorgr06">#REF!</definedName>
    <definedName name="_xlnm.Print_Area" localSheetId="18">'A10-SerDel'!$A$1:$K$87</definedName>
    <definedName name="_xlnm.Print_Area" localSheetId="6">'A1-Sum'!$A$1:$K$66</definedName>
    <definedName name="_xlnm.Print_Area" localSheetId="7">'A2-FinPerf SC'!$A$1:$K$54</definedName>
    <definedName name="_xlnm.Print_Area" localSheetId="10">A3A!$A$1:$K$344</definedName>
    <definedName name="_xlnm.Print_Area" localSheetId="9">'A3-FinPerf V'!$A$1:$K$43</definedName>
    <definedName name="_xlnm.Print_Area" localSheetId="11">'A4-FinPerf RE'!$A$1:$X$56</definedName>
    <definedName name="_xlnm.Print_Area" localSheetId="13">A5A!$A$1:$L$171</definedName>
    <definedName name="_xlnm.Print_Area" localSheetId="12">'A5-Capex'!$A$1:$L$84</definedName>
    <definedName name="_xlnm.Print_Area" localSheetId="14">'A6-FinPos'!$A$1:$L$54</definedName>
    <definedName name="_xlnm.Print_Area" localSheetId="15">'A7-CFlow'!$A$1:$L$41</definedName>
    <definedName name="_xlnm.Print_Area" localSheetId="16">'A8-ResRecon'!$A$1:$L$25</definedName>
    <definedName name="_xlnm.Print_Area" localSheetId="17">'A9-Asset'!$A$1:$K$93</definedName>
    <definedName name="_xlnm.Print_Area" localSheetId="5">Contacts!$A$1:$D$72</definedName>
    <definedName name="_xlnm.Print_Area" localSheetId="1">Instructions!$A$1:$M$46</definedName>
    <definedName name="_xlnm.Print_Area" localSheetId="57">NERF!$A$1:$M$68</definedName>
    <definedName name="_xlnm.Print_Area" localSheetId="4" xml:space="preserve">                   'Org structure'!$A$1:$B$166</definedName>
    <definedName name="_xlnm.Print_Area" localSheetId="19">'SA1'!$A$1:$L$129</definedName>
    <definedName name="_xlnm.Print_Area" localSheetId="28">'SA10'!$A$1:$M$34</definedName>
    <definedName name="_xlnm.Print_Area" localSheetId="29">'SA11'!$A$1:$K$73</definedName>
    <definedName name="_xlnm.Print_Area" localSheetId="30">'SA12 &amp;13'!$A$1:$R$110</definedName>
    <definedName name="_xlnm.Print_Area" localSheetId="31">'SA14'!$A$1:$L$53</definedName>
    <definedName name="_xlnm.Print_Area" localSheetId="32">'SA15'!$A$1:$K$35</definedName>
    <definedName name="_xlnm.Print_Area" localSheetId="33">'SA16'!$A$1:$G$28</definedName>
    <definedName name="_xlnm.Print_Area" localSheetId="34">'SA17'!$A$1:$K$37</definedName>
    <definedName name="_xlnm.Print_Area" localSheetId="35">'SA18'!$A$1:$K$59</definedName>
    <definedName name="_xlnm.Print_Area" localSheetId="36">'SA19'!$A$1:$K$57</definedName>
    <definedName name="_xlnm.Print_Area" localSheetId="20">'SA2'!$A$1:$R$44</definedName>
    <definedName name="_xlnm.Print_Area" localSheetId="37">'SA20'!$A$1:$K$58</definedName>
    <definedName name="_xlnm.Print_Area" localSheetId="38">'SA21'!$A$1:$K$34</definedName>
    <definedName name="_xlnm.Print_Area" localSheetId="39">'SA22'!$A$1:$K$104</definedName>
    <definedName name="_xlnm.Print_Area" localSheetId="40">'SA23'!$A$1:$I$70</definedName>
    <definedName name="_xlnm.Print_Area" localSheetId="41">'SA24'!$A$1:$K$51</definedName>
    <definedName name="_xlnm.Print_Area" localSheetId="42">'SA25'!$A$1:$Q$48</definedName>
    <definedName name="_xlnm.Print_Area" localSheetId="43">'SA26'!$A$1:$Q$47</definedName>
    <definedName name="_xlnm.Print_Area" localSheetId="44">'SA27'!$A$1:$Q$55</definedName>
    <definedName name="_xlnm.Print_Area" localSheetId="45">'SA28'!$A$1:$Q$44</definedName>
    <definedName name="_xlnm.Print_Area" localSheetId="46">'SA29'!$A$1:$Q$28</definedName>
    <definedName name="_xlnm.Print_Area" localSheetId="21">'SA3'!$A$1:$L$78</definedName>
    <definedName name="_xlnm.Print_Area" localSheetId="47">'SA30'!$A$1:$P$57</definedName>
    <definedName name="_xlnm.Print_Area" localSheetId="48">'SA31'!$A$1:$K$42</definedName>
    <definedName name="_xlnm.Print_Area" localSheetId="49">'SA32'!$A$1:$F$27</definedName>
    <definedName name="_xlnm.Print_Area" localSheetId="50">'SA33'!$A$1:$O$47</definedName>
    <definedName name="_xlnm.Print_Area" localSheetId="51">SA34a!$A$1:$K$90</definedName>
    <definedName name="_xlnm.Print_Area" localSheetId="54">'SA35'!$A$1:$I$58</definedName>
    <definedName name="_xlnm.Print_Area" localSheetId="55">'SA36'!$A$1:$O$259</definedName>
    <definedName name="_xlnm.Print_Area" localSheetId="56">'SA37'!$A$1:$K$27</definedName>
    <definedName name="_xlnm.Print_Area" localSheetId="22">'SA4'!$A$1:$L$24</definedName>
    <definedName name="_xlnm.Print_Area" localSheetId="23">'SA5'!$A$1:$L$25</definedName>
    <definedName name="_xlnm.Print_Area" localSheetId="24">'SA6'!$A$1:$M$24</definedName>
    <definedName name="_xlnm.Print_Area" localSheetId="25">'SA7'!$A$1:$K$63</definedName>
    <definedName name="_xlnm.Print_Area" localSheetId="26">'SA8'!$A$1:$L$37</definedName>
    <definedName name="_xlnm.Print_Area" localSheetId="27">'SA9'!$A$1:$L$57</definedName>
    <definedName name="_xlnm.Print_Area" localSheetId="0">START!$A$1:$O$40</definedName>
    <definedName name="_xlnm.Print_Titles" localSheetId="10">A3A!$1:$3</definedName>
    <definedName name="_xlnm.Print_Titles" localSheetId="9">'A3-FinPerf V'!$1:$3</definedName>
    <definedName name="_xlnm.Print_Titles" localSheetId="12">'A5-Capex'!$1:$3</definedName>
    <definedName name="proptax07">#REF!</definedName>
    <definedName name="Rand000">#REF!</definedName>
    <definedName name="RandM">'Template names'!$B$70</definedName>
    <definedName name="REDHHGR06">#REF!</definedName>
    <definedName name="redhhgr07">#REF!</definedName>
    <definedName name="redrev06">#REF!</definedName>
    <definedName name="redrev07">#REF!</definedName>
    <definedName name="Reds">#REF!</definedName>
    <definedName name="renewyears">#REF!</definedName>
    <definedName name="Request0506">#REF!</definedName>
    <definedName name="resiprop">#REF!</definedName>
    <definedName name="result">'Template names'!$B$35</definedName>
    <definedName name="rmcRED06">#REF!</definedName>
    <definedName name="rmcred07">#REF!</definedName>
    <definedName name="roundfactor">#REF!</definedName>
    <definedName name="S71A">'Template names'!#REF!</definedName>
    <definedName name="S71B">'Template names'!#REF!</definedName>
    <definedName name="s71B8">'Template names'!#REF!</definedName>
    <definedName name="s71B9">'Template names'!#REF!</definedName>
    <definedName name="S71C">'Template names'!#REF!</definedName>
    <definedName name="S71D">'Template names'!#REF!</definedName>
    <definedName name="S71E">'Template names'!#REF!</definedName>
    <definedName name="S71F">'Template names'!#REF!</definedName>
    <definedName name="S71G">'Template names'!#REF!</definedName>
    <definedName name="S71H">'Template names'!#REF!</definedName>
    <definedName name="S71I">'Template names'!#REF!</definedName>
    <definedName name="S71J">'Template names'!#REF!</definedName>
    <definedName name="S71K">'Template names'!#REF!</definedName>
    <definedName name="S71L">'Template names'!#REF!</definedName>
    <definedName name="S71M">'Template names'!#REF!</definedName>
    <definedName name="S71N">'Template names'!#REF!</definedName>
    <definedName name="S71O">'Template names'!#REF!</definedName>
    <definedName name="S71P">'Template names'!#REF!</definedName>
    <definedName name="S71Q">'Template names'!#REF!</definedName>
    <definedName name="S71SDBIP">'Template names'!#REF!</definedName>
    <definedName name="s71sum">'Template names'!#REF!</definedName>
    <definedName name="Scale">'Compliance assessment'!$L$77</definedName>
    <definedName name="scenario">#REF!</definedName>
    <definedName name="SDBIP1">'Template names'!#REF!</definedName>
    <definedName name="SDBIP10">'Template names'!#REF!</definedName>
    <definedName name="SDBIP2">'Template names'!#REF!</definedName>
    <definedName name="SDBIP3">'Template names'!#REF!</definedName>
    <definedName name="SDBIP4">'Template names'!#REF!</definedName>
    <definedName name="SDBIP8">'Template names'!#REF!</definedName>
    <definedName name="sdcred06">#REF!</definedName>
    <definedName name="SFPerf1">'Template names'!$B$64</definedName>
    <definedName name="SFPerf2">'Template names'!$B$65</definedName>
    <definedName name="SFpos1">'Template names'!$B$66</definedName>
    <definedName name="SFpos2">'Template names'!$B$67</definedName>
    <definedName name="TabC3">'Template names'!#REF!</definedName>
    <definedName name="TabC4">'Template names'!#REF!</definedName>
    <definedName name="TabC5">'Template names'!#REF!</definedName>
    <definedName name="TabC6">'Template names'!#REF!</definedName>
    <definedName name="Tabc7">'Template names'!#REF!</definedName>
    <definedName name="Tabc8">'Template names'!#REF!</definedName>
    <definedName name="Tabc9">'Template names'!#REF!</definedName>
    <definedName name="Tablc8">'Template names'!#REF!</definedName>
    <definedName name="TableA1">'Template names'!$B$111</definedName>
    <definedName name="TableA10">'Template names'!$B$120</definedName>
    <definedName name="TableA11">'Template names'!$B$121</definedName>
    <definedName name="TableA12">'Template names'!$B$122</definedName>
    <definedName name="TableA13">'Template names'!$B$123</definedName>
    <definedName name="TableA14">'Template names'!$B$124</definedName>
    <definedName name="TableA15">'Template names'!$B$125</definedName>
    <definedName name="TableA16">'Template names'!$B$126</definedName>
    <definedName name="TableA17">'Template names'!$B$127</definedName>
    <definedName name="TableA18">'Template names'!$B$128</definedName>
    <definedName name="TableA19">'Template names'!$B$129</definedName>
    <definedName name="TableA2">'Template names'!$B$112</definedName>
    <definedName name="TableA20">'Template names'!$B$130</definedName>
    <definedName name="TableA21">'Template names'!$B$131</definedName>
    <definedName name="TableA22">'Template names'!$B$132</definedName>
    <definedName name="TableA23">'Template names'!$B$133</definedName>
    <definedName name="TableA24">'Template names'!$B$134</definedName>
    <definedName name="TableA25">'Template names'!$B$135</definedName>
    <definedName name="TableA26">'Template names'!$B$136</definedName>
    <definedName name="TableA27">'Template names'!$B$137</definedName>
    <definedName name="TableA28">'Template names'!$B$138</definedName>
    <definedName name="TableA29">'Template names'!$B$139</definedName>
    <definedName name="TableA3">'Template names'!$B$113</definedName>
    <definedName name="TableA30">'Template names'!$B$140</definedName>
    <definedName name="TableA31">'Template names'!$B$141</definedName>
    <definedName name="TableA32">'Template names'!$B$142</definedName>
    <definedName name="TableA33">'Template names'!$B$143</definedName>
    <definedName name="TableA34a">'Template names'!$B$144</definedName>
    <definedName name="TableA34b">'Template names'!$B$145</definedName>
    <definedName name="TableA34c">'Template names'!$B$146</definedName>
    <definedName name="TableA35">'Template names'!$B$147</definedName>
    <definedName name="TableA36">'Template names'!$B$148</definedName>
    <definedName name="TableA37">'Template names'!$B$149</definedName>
    <definedName name="TableA4">'Template names'!$B$114</definedName>
    <definedName name="TableA5">'Template names'!$B$115</definedName>
    <definedName name="TableA6">'Template names'!$B$116</definedName>
    <definedName name="TableA7">'Template names'!$B$117</definedName>
    <definedName name="TableA8">'Template names'!$B$118</definedName>
    <definedName name="TableA9">'Template names'!$B$119</definedName>
    <definedName name="TableD7">'Template names'!#REF!</definedName>
    <definedName name="TableD8">'Template names'!#REF!</definedName>
    <definedName name="TableE4">'Template names'!#REF!</definedName>
    <definedName name="TableE7">'Template names'!#REF!</definedName>
    <definedName name="TableE9">'Template names'!#REF!</definedName>
    <definedName name="TableF6">'Template names'!#REF!</definedName>
    <definedName name="tariffdisc05">#REF!</definedName>
    <definedName name="tariffdisc06">#REF!</definedName>
    <definedName name="tariffdisc07">#REF!</definedName>
    <definedName name="tariffdisc08">#REF!</definedName>
    <definedName name="tariffdisc09">#REF!</definedName>
    <definedName name="tariffdisc10">#REF!</definedName>
    <definedName name="tariffdisc11">#REF!</definedName>
    <definedName name="tariffdisc12">#REF!</definedName>
    <definedName name="tariffdisc13">#REF!</definedName>
    <definedName name="tariffdisc14">#REF!</definedName>
    <definedName name="tariffdisc15">#REF!</definedName>
    <definedName name="tariffdisc16">#REF!</definedName>
    <definedName name="tariffdisc17">#REF!</definedName>
    <definedName name="tariffdisc18">#REF!</definedName>
    <definedName name="tariffdisc19">#REF!</definedName>
    <definedName name="tariffdisc20">#REF!</definedName>
    <definedName name="title1">#REF!</definedName>
    <definedName name="Vdesc">'Template names'!$B$32</definedName>
    <definedName name="Vote">'Org structure'!$A$2:$A$16</definedName>
    <definedName name="Vote1">'Org structure'!$B$3:$B$12</definedName>
    <definedName name="Vote10">'Org structure'!$B$102:$B$111</definedName>
    <definedName name="Vote11">'Org structure'!$B$113:$B$122</definedName>
    <definedName name="Vote12">'Org structure'!$B$124:$B$133</definedName>
    <definedName name="Vote13">'Org structure'!$B$135:$B$144</definedName>
    <definedName name="Vote14">'Org structure'!$B$146:$B$155</definedName>
    <definedName name="Vote15">'Org structure'!$B$157:$B$166</definedName>
    <definedName name="Vote2">'Org structure'!$B$14:$B$23</definedName>
    <definedName name="Vote3">'Org structure'!$B$25:$B$34</definedName>
    <definedName name="Vote4">'Org structure'!$B$36:$B$45</definedName>
    <definedName name="Vote5">'Org structure'!$B$47:$B$56</definedName>
    <definedName name="Vote6">'Org structure'!$B$58:$B$67</definedName>
    <definedName name="Vote7">'Org structure'!$B$69:$B$78</definedName>
    <definedName name="Vote8">'Org structure'!$B$80:$B$89</definedName>
    <definedName name="Vote9">'Org structure'!$B$91:$B$100</definedName>
    <definedName name="yrend">[2]Data!$B$3</definedName>
  </definedNames>
  <calcPr calcId="145621"/>
  <fileRecoveryPr autoRecover="0"/>
</workbook>
</file>

<file path=xl/calcChain.xml><?xml version="1.0" encoding="utf-8"?>
<calcChain xmlns="http://schemas.openxmlformats.org/spreadsheetml/2006/main">
  <c r="F10" i="145" l="1"/>
  <c r="E10" i="145"/>
  <c r="D10" i="145"/>
  <c r="F5" i="145"/>
  <c r="E5" i="145"/>
  <c r="D5" i="145"/>
  <c r="M22" i="300"/>
  <c r="L22" i="300"/>
  <c r="K22" i="300"/>
  <c r="J22" i="300"/>
  <c r="I22" i="300"/>
  <c r="H22" i="300"/>
  <c r="G22" i="300"/>
  <c r="F22" i="300"/>
  <c r="E22" i="300"/>
  <c r="D22" i="300"/>
  <c r="M21" i="300"/>
  <c r="L21" i="300"/>
  <c r="K21" i="300"/>
  <c r="J21" i="300"/>
  <c r="I21" i="300"/>
  <c r="H21" i="300"/>
  <c r="G21" i="300"/>
  <c r="F21" i="300"/>
  <c r="E21" i="300"/>
  <c r="D21" i="300"/>
  <c r="M17" i="300"/>
  <c r="L17" i="300"/>
  <c r="K17" i="300"/>
  <c r="J17" i="300"/>
  <c r="I17" i="300"/>
  <c r="H17" i="300"/>
  <c r="G17" i="300"/>
  <c r="F17" i="300"/>
  <c r="E17" i="300"/>
  <c r="D17" i="300"/>
  <c r="M10" i="300"/>
  <c r="L10" i="300"/>
  <c r="K10" i="300"/>
  <c r="J10" i="300"/>
  <c r="I10" i="300"/>
  <c r="H10" i="300"/>
  <c r="G10" i="300"/>
  <c r="F10" i="300"/>
  <c r="E10" i="300"/>
  <c r="D10" i="300"/>
  <c r="M6" i="300"/>
  <c r="L6" i="300"/>
  <c r="K6" i="300"/>
  <c r="J6" i="300"/>
  <c r="I6" i="300"/>
  <c r="H6" i="300"/>
  <c r="G6" i="300"/>
  <c r="F6" i="300"/>
  <c r="E6" i="300"/>
  <c r="D6" i="300"/>
  <c r="C22" i="300"/>
  <c r="C21" i="300"/>
  <c r="C17" i="300"/>
  <c r="C10" i="300"/>
  <c r="C6" i="300"/>
  <c r="M32" i="140"/>
  <c r="L32" i="140"/>
  <c r="K32" i="140"/>
  <c r="J32" i="140"/>
  <c r="I32" i="140"/>
  <c r="H32" i="140"/>
  <c r="G32" i="140"/>
  <c r="F32" i="140"/>
  <c r="E32" i="140"/>
  <c r="D32" i="140"/>
  <c r="M31" i="140"/>
  <c r="L31" i="140"/>
  <c r="K31" i="140"/>
  <c r="J31" i="140"/>
  <c r="I31" i="140"/>
  <c r="H31" i="140"/>
  <c r="G31" i="140"/>
  <c r="F31" i="140"/>
  <c r="E31" i="140"/>
  <c r="D31" i="140"/>
  <c r="M29" i="140"/>
  <c r="L29" i="140"/>
  <c r="K29" i="140"/>
  <c r="J29" i="140"/>
  <c r="I29" i="140"/>
  <c r="H29" i="140"/>
  <c r="G29" i="140"/>
  <c r="F29" i="140"/>
  <c r="E29" i="140"/>
  <c r="D29" i="140"/>
  <c r="M26" i="140"/>
  <c r="L26" i="140"/>
  <c r="K26" i="140"/>
  <c r="J26" i="140"/>
  <c r="I26" i="140"/>
  <c r="H26" i="140"/>
  <c r="G26" i="140"/>
  <c r="F26" i="140"/>
  <c r="E26" i="140"/>
  <c r="D26" i="140"/>
  <c r="M23" i="140"/>
  <c r="L23" i="140"/>
  <c r="K23" i="140"/>
  <c r="J23" i="140"/>
  <c r="I23" i="140"/>
  <c r="H23" i="140"/>
  <c r="G23" i="140"/>
  <c r="F23" i="140"/>
  <c r="E23" i="140"/>
  <c r="D23" i="140"/>
  <c r="C32" i="140"/>
  <c r="C31" i="140"/>
  <c r="C29" i="140"/>
  <c r="C26" i="140"/>
  <c r="C23" i="140"/>
  <c r="M40" i="298"/>
  <c r="L40" i="298"/>
  <c r="K40" i="298"/>
  <c r="J40" i="298"/>
  <c r="I40" i="298"/>
  <c r="H40" i="298"/>
  <c r="G40" i="298"/>
  <c r="F40" i="298"/>
  <c r="E40" i="298"/>
  <c r="D40" i="298"/>
  <c r="M33" i="298"/>
  <c r="L33" i="298"/>
  <c r="K33" i="298"/>
  <c r="J33" i="298"/>
  <c r="I33" i="298"/>
  <c r="H33" i="298"/>
  <c r="G33" i="298"/>
  <c r="F33" i="298"/>
  <c r="E33" i="298"/>
  <c r="D33" i="298"/>
  <c r="K31" i="298"/>
  <c r="K30" i="298"/>
  <c r="I31" i="298"/>
  <c r="I30" i="298"/>
  <c r="G31" i="298"/>
  <c r="G30" i="298"/>
  <c r="E31" i="298"/>
  <c r="E30" i="298"/>
  <c r="C40" i="298"/>
  <c r="C33" i="298"/>
  <c r="C31" i="298"/>
  <c r="C30" i="298"/>
  <c r="M23" i="298"/>
  <c r="L23" i="298"/>
  <c r="K23" i="298"/>
  <c r="J23" i="298"/>
  <c r="I23" i="298"/>
  <c r="H23" i="298"/>
  <c r="G23" i="298"/>
  <c r="F23" i="298"/>
  <c r="E23" i="298"/>
  <c r="D23" i="298"/>
  <c r="M22" i="298"/>
  <c r="L22" i="298"/>
  <c r="K22" i="298"/>
  <c r="J22" i="298"/>
  <c r="I22" i="298"/>
  <c r="H22" i="298"/>
  <c r="G22" i="298"/>
  <c r="F22" i="298"/>
  <c r="E22" i="298"/>
  <c r="D22" i="298"/>
  <c r="M21" i="298"/>
  <c r="L21" i="298"/>
  <c r="K21" i="298"/>
  <c r="J21" i="298"/>
  <c r="I21" i="298"/>
  <c r="H21" i="298"/>
  <c r="G21" i="298"/>
  <c r="F21" i="298"/>
  <c r="E21" i="298"/>
  <c r="D21" i="298"/>
  <c r="M20" i="298"/>
  <c r="L20" i="298"/>
  <c r="K20" i="298"/>
  <c r="J20" i="298"/>
  <c r="I20" i="298"/>
  <c r="H20" i="298"/>
  <c r="G20" i="298"/>
  <c r="F20" i="298"/>
  <c r="E20" i="298"/>
  <c r="D20" i="298"/>
  <c r="C20" i="298"/>
  <c r="C23" i="298"/>
  <c r="C22" i="298"/>
  <c r="C21" i="298"/>
  <c r="M17" i="298"/>
  <c r="L17" i="298"/>
  <c r="K17" i="298"/>
  <c r="J17" i="298"/>
  <c r="I17" i="298"/>
  <c r="H17" i="298"/>
  <c r="G17" i="298"/>
  <c r="F17" i="298"/>
  <c r="E17" i="298"/>
  <c r="D17" i="298"/>
  <c r="C17" i="298"/>
  <c r="M12" i="298"/>
  <c r="L12" i="298"/>
  <c r="K12" i="298"/>
  <c r="J12" i="298"/>
  <c r="I12" i="298"/>
  <c r="H12" i="298"/>
  <c r="G12" i="298"/>
  <c r="F12" i="298"/>
  <c r="E12" i="298"/>
  <c r="D12" i="298"/>
  <c r="M11" i="298"/>
  <c r="L11" i="298"/>
  <c r="K11" i="298"/>
  <c r="J11" i="298"/>
  <c r="I11" i="298"/>
  <c r="H11" i="298"/>
  <c r="G11" i="298"/>
  <c r="F11" i="298"/>
  <c r="E11" i="298"/>
  <c r="D11" i="298"/>
  <c r="M10" i="298"/>
  <c r="L10" i="298"/>
  <c r="K10" i="298"/>
  <c r="J10" i="298"/>
  <c r="I10" i="298"/>
  <c r="H10" i="298"/>
  <c r="G10" i="298"/>
  <c r="F10" i="298"/>
  <c r="E10" i="298"/>
  <c r="D10" i="298"/>
  <c r="C12" i="298"/>
  <c r="C11" i="298"/>
  <c r="C10" i="298"/>
  <c r="M8" i="298"/>
  <c r="L8" i="298"/>
  <c r="K8" i="298"/>
  <c r="J8" i="298"/>
  <c r="I8" i="298"/>
  <c r="H8" i="298"/>
  <c r="G8" i="298"/>
  <c r="F8" i="298"/>
  <c r="E8" i="298"/>
  <c r="D8" i="298"/>
  <c r="M7" i="298"/>
  <c r="L7" i="298"/>
  <c r="K7" i="298"/>
  <c r="J7" i="298"/>
  <c r="I7" i="298"/>
  <c r="H7" i="298"/>
  <c r="G7" i="298"/>
  <c r="F7" i="298"/>
  <c r="E7" i="298"/>
  <c r="D7" i="298"/>
  <c r="M6" i="298"/>
  <c r="L6" i="298"/>
  <c r="K6" i="298"/>
  <c r="J6" i="298"/>
  <c r="I6" i="298"/>
  <c r="H6" i="298"/>
  <c r="G6" i="298"/>
  <c r="F6" i="298"/>
  <c r="E6" i="298"/>
  <c r="D6" i="298"/>
  <c r="C8" i="298"/>
  <c r="C7" i="298"/>
  <c r="C6" i="298"/>
  <c r="M32" i="299"/>
  <c r="L32" i="299"/>
  <c r="K32" i="299"/>
  <c r="J32" i="299"/>
  <c r="I32" i="299"/>
  <c r="H32" i="299"/>
  <c r="G32" i="299"/>
  <c r="F32" i="299"/>
  <c r="E32" i="299"/>
  <c r="D32" i="299"/>
  <c r="M31" i="299"/>
  <c r="L31" i="299"/>
  <c r="K31" i="299"/>
  <c r="J31" i="299"/>
  <c r="I31" i="299"/>
  <c r="H31" i="299"/>
  <c r="G31" i="299"/>
  <c r="F31" i="299"/>
  <c r="E31" i="299"/>
  <c r="D31" i="299"/>
  <c r="M30" i="299"/>
  <c r="L30" i="299"/>
  <c r="K30" i="299"/>
  <c r="J30" i="299"/>
  <c r="I30" i="299"/>
  <c r="H30" i="299"/>
  <c r="G30" i="299"/>
  <c r="F30" i="299"/>
  <c r="E30" i="299"/>
  <c r="D30" i="299"/>
  <c r="M29" i="299"/>
  <c r="L29" i="299"/>
  <c r="K29" i="299"/>
  <c r="J29" i="299"/>
  <c r="I29" i="299"/>
  <c r="H29" i="299"/>
  <c r="G29" i="299"/>
  <c r="F29" i="299"/>
  <c r="E29" i="299"/>
  <c r="D29" i="299"/>
  <c r="M28" i="299"/>
  <c r="L28" i="299"/>
  <c r="K28" i="299"/>
  <c r="J28" i="299"/>
  <c r="I28" i="299"/>
  <c r="H28" i="299"/>
  <c r="G28" i="299"/>
  <c r="F28" i="299"/>
  <c r="E28" i="299"/>
  <c r="D28" i="299"/>
  <c r="M27" i="299"/>
  <c r="L27" i="299"/>
  <c r="K27" i="299"/>
  <c r="J27" i="299"/>
  <c r="I27" i="299"/>
  <c r="H27" i="299"/>
  <c r="G27" i="299"/>
  <c r="F27" i="299"/>
  <c r="E27" i="299"/>
  <c r="D27" i="299"/>
  <c r="M26" i="299"/>
  <c r="L26" i="299"/>
  <c r="K26" i="299"/>
  <c r="J26" i="299"/>
  <c r="I26" i="299"/>
  <c r="H26" i="299"/>
  <c r="G26" i="299"/>
  <c r="F26" i="299"/>
  <c r="E26" i="299"/>
  <c r="D26" i="299"/>
  <c r="M25" i="299"/>
  <c r="L25" i="299"/>
  <c r="K25" i="299"/>
  <c r="J25" i="299"/>
  <c r="I25" i="299"/>
  <c r="H25" i="299"/>
  <c r="G25" i="299"/>
  <c r="F25" i="299"/>
  <c r="E25" i="299"/>
  <c r="D25" i="299"/>
  <c r="M24" i="299"/>
  <c r="L24" i="299"/>
  <c r="K24" i="299"/>
  <c r="J24" i="299"/>
  <c r="I24" i="299"/>
  <c r="H24" i="299"/>
  <c r="G24" i="299"/>
  <c r="F24" i="299"/>
  <c r="E24" i="299"/>
  <c r="D24" i="299"/>
  <c r="M23" i="299"/>
  <c r="L23" i="299"/>
  <c r="K23" i="299"/>
  <c r="J23" i="299"/>
  <c r="I23" i="299"/>
  <c r="H23" i="299"/>
  <c r="G23" i="299"/>
  <c r="F23" i="299"/>
  <c r="E23" i="299"/>
  <c r="D23" i="299"/>
  <c r="C32" i="299"/>
  <c r="C31" i="299"/>
  <c r="C30" i="299"/>
  <c r="C29" i="299"/>
  <c r="C28" i="299"/>
  <c r="C27" i="299"/>
  <c r="C26" i="299"/>
  <c r="C25" i="299"/>
  <c r="C24" i="299"/>
  <c r="C23" i="299"/>
  <c r="M14" i="299"/>
  <c r="L14" i="299"/>
  <c r="K14" i="299"/>
  <c r="J14" i="299"/>
  <c r="I14" i="299"/>
  <c r="H14" i="299"/>
  <c r="G14" i="299"/>
  <c r="F14" i="299"/>
  <c r="E14" i="299"/>
  <c r="D14" i="299"/>
  <c r="M13" i="299"/>
  <c r="L13" i="299"/>
  <c r="K13" i="299"/>
  <c r="J13" i="299"/>
  <c r="I13" i="299"/>
  <c r="H13" i="299"/>
  <c r="G13" i="299"/>
  <c r="F13" i="299"/>
  <c r="E13" i="299"/>
  <c r="D13" i="299"/>
  <c r="M12" i="299"/>
  <c r="L12" i="299"/>
  <c r="K12" i="299"/>
  <c r="J12" i="299"/>
  <c r="I12" i="299"/>
  <c r="H12" i="299"/>
  <c r="G12" i="299"/>
  <c r="F12" i="299"/>
  <c r="E12" i="299"/>
  <c r="D12" i="299"/>
  <c r="M11" i="299"/>
  <c r="L11" i="299"/>
  <c r="K11" i="299"/>
  <c r="J11" i="299"/>
  <c r="I11" i="299"/>
  <c r="H11" i="299"/>
  <c r="G11" i="299"/>
  <c r="F11" i="299"/>
  <c r="E11" i="299"/>
  <c r="D11" i="299"/>
  <c r="M10" i="299"/>
  <c r="L10" i="299"/>
  <c r="K10" i="299"/>
  <c r="J10" i="299"/>
  <c r="I10" i="299"/>
  <c r="H10" i="299"/>
  <c r="G10" i="299"/>
  <c r="F10" i="299"/>
  <c r="E10" i="299"/>
  <c r="D10" i="299"/>
  <c r="M9" i="299"/>
  <c r="L9" i="299"/>
  <c r="K9" i="299"/>
  <c r="J9" i="299"/>
  <c r="I9" i="299"/>
  <c r="H9" i="299"/>
  <c r="G9" i="299"/>
  <c r="F9" i="299"/>
  <c r="E9" i="299"/>
  <c r="D9" i="299"/>
  <c r="M8" i="299"/>
  <c r="L8" i="299"/>
  <c r="K8" i="299"/>
  <c r="J8" i="299"/>
  <c r="I8" i="299"/>
  <c r="H8" i="299"/>
  <c r="G8" i="299"/>
  <c r="F8" i="299"/>
  <c r="E8" i="299"/>
  <c r="D8" i="299"/>
  <c r="M7" i="299"/>
  <c r="L7" i="299"/>
  <c r="K7" i="299"/>
  <c r="J7" i="299"/>
  <c r="I7" i="299"/>
  <c r="H7" i="299"/>
  <c r="G7" i="299"/>
  <c r="F7" i="299"/>
  <c r="E7" i="299"/>
  <c r="D7" i="299"/>
  <c r="M6" i="299"/>
  <c r="L6" i="299"/>
  <c r="K6" i="299"/>
  <c r="J6" i="299"/>
  <c r="I6" i="299"/>
  <c r="H6" i="299"/>
  <c r="G6" i="299"/>
  <c r="F6" i="299"/>
  <c r="E6" i="299"/>
  <c r="D6" i="299"/>
  <c r="M5" i="299"/>
  <c r="L5" i="299"/>
  <c r="K5" i="299"/>
  <c r="J5" i="299"/>
  <c r="I5" i="299"/>
  <c r="H5" i="299"/>
  <c r="G5" i="299"/>
  <c r="F5" i="299"/>
  <c r="E5" i="299"/>
  <c r="D5" i="299"/>
  <c r="C14" i="299"/>
  <c r="C13" i="299"/>
  <c r="C12" i="299"/>
  <c r="C11" i="299"/>
  <c r="C10" i="299"/>
  <c r="C9" i="299"/>
  <c r="C8" i="299"/>
  <c r="C7" i="299"/>
  <c r="C6" i="299"/>
  <c r="C5" i="299"/>
  <c r="M39" i="137"/>
  <c r="L39" i="137"/>
  <c r="K39" i="137"/>
  <c r="J39" i="137"/>
  <c r="I39" i="137"/>
  <c r="H39" i="137"/>
  <c r="G39" i="137"/>
  <c r="F39" i="137"/>
  <c r="E39" i="137"/>
  <c r="D39" i="137"/>
  <c r="C39" i="137"/>
  <c r="M35" i="137"/>
  <c r="L35" i="137"/>
  <c r="K35" i="137"/>
  <c r="J35" i="137"/>
  <c r="I35" i="137"/>
  <c r="H35" i="137"/>
  <c r="G35" i="137"/>
  <c r="F35" i="137"/>
  <c r="E35" i="137"/>
  <c r="D35" i="137"/>
  <c r="M34" i="137"/>
  <c r="L34" i="137"/>
  <c r="K34" i="137"/>
  <c r="J34" i="137"/>
  <c r="I34" i="137"/>
  <c r="H34" i="137"/>
  <c r="G34" i="137"/>
  <c r="F34" i="137"/>
  <c r="E34" i="137"/>
  <c r="D34" i="137"/>
  <c r="M33" i="137"/>
  <c r="L33" i="137"/>
  <c r="K33" i="137"/>
  <c r="J33" i="137"/>
  <c r="I33" i="137"/>
  <c r="H33" i="137"/>
  <c r="G33" i="137"/>
  <c r="F33" i="137"/>
  <c r="E33" i="137"/>
  <c r="D33" i="137"/>
  <c r="M30" i="137"/>
  <c r="L30" i="137"/>
  <c r="K30" i="137"/>
  <c r="J30" i="137"/>
  <c r="I30" i="137"/>
  <c r="H30" i="137"/>
  <c r="G30" i="137"/>
  <c r="F30" i="137"/>
  <c r="E30" i="137"/>
  <c r="D30" i="137"/>
  <c r="M29" i="137"/>
  <c r="L29" i="137"/>
  <c r="K29" i="137"/>
  <c r="J29" i="137"/>
  <c r="I29" i="137"/>
  <c r="H29" i="137"/>
  <c r="G29" i="137"/>
  <c r="F29" i="137"/>
  <c r="E29" i="137"/>
  <c r="D29" i="137"/>
  <c r="M28" i="137"/>
  <c r="L28" i="137"/>
  <c r="K28" i="137"/>
  <c r="J28" i="137"/>
  <c r="I28" i="137"/>
  <c r="H28" i="137"/>
  <c r="G28" i="137"/>
  <c r="F28" i="137"/>
  <c r="E28" i="137"/>
  <c r="D28" i="137"/>
  <c r="M27" i="137"/>
  <c r="L27" i="137"/>
  <c r="K27" i="137"/>
  <c r="J27" i="137"/>
  <c r="I27" i="137"/>
  <c r="H27" i="137"/>
  <c r="G27" i="137"/>
  <c r="F27" i="137"/>
  <c r="E27" i="137"/>
  <c r="D27" i="137"/>
  <c r="M26" i="137"/>
  <c r="L26" i="137"/>
  <c r="K26" i="137"/>
  <c r="J26" i="137"/>
  <c r="I26" i="137"/>
  <c r="H26" i="137"/>
  <c r="G26" i="137"/>
  <c r="F26" i="137"/>
  <c r="E26" i="137"/>
  <c r="D26" i="137"/>
  <c r="C35" i="137"/>
  <c r="C34" i="137"/>
  <c r="C33" i="137"/>
  <c r="C30" i="137"/>
  <c r="C29" i="137"/>
  <c r="C28" i="137"/>
  <c r="C27" i="137"/>
  <c r="C26" i="137"/>
  <c r="M25" i="137"/>
  <c r="L25" i="137"/>
  <c r="K25" i="137"/>
  <c r="J25" i="137"/>
  <c r="I25" i="137"/>
  <c r="H25" i="137"/>
  <c r="G25" i="137"/>
  <c r="F25" i="137"/>
  <c r="E25" i="137"/>
  <c r="D25" i="137"/>
  <c r="C25" i="137"/>
  <c r="M21" i="137"/>
  <c r="L21" i="137"/>
  <c r="K21" i="137"/>
  <c r="J21" i="137"/>
  <c r="I21" i="137"/>
  <c r="H21" i="137"/>
  <c r="G21" i="137"/>
  <c r="F21" i="137"/>
  <c r="E21" i="137"/>
  <c r="D21" i="137"/>
  <c r="C21" i="137"/>
  <c r="M20" i="137"/>
  <c r="L20" i="137"/>
  <c r="K20" i="137"/>
  <c r="J20" i="137"/>
  <c r="I20" i="137"/>
  <c r="H20" i="137"/>
  <c r="G20" i="137"/>
  <c r="F20" i="137"/>
  <c r="E20" i="137"/>
  <c r="D20" i="137"/>
  <c r="C20" i="137"/>
  <c r="M19" i="137"/>
  <c r="L19" i="137"/>
  <c r="K19" i="137"/>
  <c r="J19" i="137"/>
  <c r="I19" i="137"/>
  <c r="H19" i="137"/>
  <c r="G19" i="137"/>
  <c r="F19" i="137"/>
  <c r="E19" i="137"/>
  <c r="D19" i="137"/>
  <c r="C19" i="137"/>
  <c r="M18" i="137"/>
  <c r="L18" i="137"/>
  <c r="K18" i="137"/>
  <c r="J18" i="137"/>
  <c r="I18" i="137"/>
  <c r="H18" i="137"/>
  <c r="G18" i="137"/>
  <c r="F18" i="137"/>
  <c r="E18" i="137"/>
  <c r="D18" i="137"/>
  <c r="C18" i="137"/>
  <c r="M17" i="137"/>
  <c r="L17" i="137"/>
  <c r="K17" i="137"/>
  <c r="J17" i="137"/>
  <c r="I17" i="137"/>
  <c r="H17" i="137"/>
  <c r="G17" i="137"/>
  <c r="F17" i="137"/>
  <c r="E17" i="137"/>
  <c r="D17" i="137"/>
  <c r="C17" i="137"/>
  <c r="M16" i="137"/>
  <c r="L16" i="137"/>
  <c r="K16" i="137"/>
  <c r="J16" i="137"/>
  <c r="I16" i="137"/>
  <c r="H16" i="137"/>
  <c r="G16" i="137"/>
  <c r="F16" i="137"/>
  <c r="E16" i="137"/>
  <c r="D16" i="137"/>
  <c r="C16" i="137"/>
  <c r="M12" i="137"/>
  <c r="L12" i="137"/>
  <c r="K12" i="137"/>
  <c r="J12" i="137"/>
  <c r="I12" i="137"/>
  <c r="H12" i="137"/>
  <c r="G12" i="137"/>
  <c r="F12" i="137"/>
  <c r="E12" i="137"/>
  <c r="D12" i="137"/>
  <c r="C12" i="137"/>
  <c r="M10" i="137"/>
  <c r="L10" i="137"/>
  <c r="K10" i="137"/>
  <c r="J10" i="137"/>
  <c r="I10" i="137"/>
  <c r="H10" i="137"/>
  <c r="G10" i="137"/>
  <c r="F10" i="137"/>
  <c r="E10" i="137"/>
  <c r="D10" i="137"/>
  <c r="C10" i="137"/>
  <c r="M9" i="137"/>
  <c r="L9" i="137"/>
  <c r="K9" i="137"/>
  <c r="J9" i="137"/>
  <c r="I9" i="137"/>
  <c r="H9" i="137"/>
  <c r="G9" i="137"/>
  <c r="F9" i="137"/>
  <c r="E9" i="137"/>
  <c r="D9" i="137"/>
  <c r="C9" i="137"/>
  <c r="M8" i="137"/>
  <c r="L8" i="137"/>
  <c r="K8" i="137"/>
  <c r="J8" i="137"/>
  <c r="I8" i="137"/>
  <c r="H8" i="137"/>
  <c r="G8" i="137"/>
  <c r="F8" i="137"/>
  <c r="E8" i="137"/>
  <c r="D8" i="137"/>
  <c r="C8" i="137"/>
  <c r="M7" i="137"/>
  <c r="L7" i="137"/>
  <c r="K7" i="137"/>
  <c r="J7" i="137"/>
  <c r="I7" i="137"/>
  <c r="H7" i="137"/>
  <c r="G7" i="137"/>
  <c r="F7" i="137"/>
  <c r="E7" i="137"/>
  <c r="D7" i="137"/>
  <c r="C7" i="137"/>
  <c r="C13" i="137"/>
  <c r="D13" i="137"/>
  <c r="E13" i="137"/>
  <c r="F13" i="137"/>
  <c r="G13" i="137"/>
  <c r="H13" i="137"/>
  <c r="I13" i="137"/>
  <c r="J13" i="137"/>
  <c r="K13" i="137"/>
  <c r="L13" i="137"/>
  <c r="M13" i="137"/>
  <c r="C14" i="137"/>
  <c r="D14" i="137"/>
  <c r="E14" i="137"/>
  <c r="F14" i="137"/>
  <c r="G14" i="137"/>
  <c r="H14" i="137"/>
  <c r="I14" i="137"/>
  <c r="J14" i="137"/>
  <c r="K14" i="137"/>
  <c r="L14" i="137"/>
  <c r="M14" i="137"/>
  <c r="M6" i="137"/>
  <c r="I8" i="142"/>
  <c r="J43" i="337"/>
  <c r="K43" i="337" s="1"/>
  <c r="L43" i="337" s="1"/>
  <c r="J42" i="337"/>
  <c r="K42" i="337" s="1"/>
  <c r="L42" i="337" s="1"/>
  <c r="J41" i="337"/>
  <c r="K41" i="337" s="1"/>
  <c r="L41" i="337" s="1"/>
  <c r="J40" i="337"/>
  <c r="K40" i="337" s="1"/>
  <c r="L40" i="337" s="1"/>
  <c r="J39" i="337"/>
  <c r="K39" i="337" s="1"/>
  <c r="L39" i="337" s="1"/>
  <c r="J37" i="337"/>
  <c r="K37" i="337" s="1"/>
  <c r="L37" i="337" s="1"/>
  <c r="J28" i="337"/>
  <c r="K28" i="337" s="1"/>
  <c r="L28" i="337" s="1"/>
  <c r="J27" i="337"/>
  <c r="K27" i="337" s="1"/>
  <c r="L27" i="337" s="1"/>
  <c r="J26" i="337"/>
  <c r="K26" i="337" s="1"/>
  <c r="L26" i="337" s="1"/>
  <c r="J25" i="337"/>
  <c r="K25" i="337" s="1"/>
  <c r="L25" i="337" s="1"/>
  <c r="J24" i="337"/>
  <c r="K24" i="337" s="1"/>
  <c r="L24" i="337" s="1"/>
  <c r="J23" i="337"/>
  <c r="K23" i="337" s="1"/>
  <c r="L23" i="337" s="1"/>
  <c r="J22" i="337"/>
  <c r="K22" i="337" s="1"/>
  <c r="L22" i="337" s="1"/>
  <c r="J13" i="337"/>
  <c r="K13" i="337" s="1"/>
  <c r="L13" i="337" s="1"/>
  <c r="J12" i="337"/>
  <c r="K12" i="337" s="1"/>
  <c r="L12" i="337" s="1"/>
  <c r="J11" i="337"/>
  <c r="K11" i="337" s="1"/>
  <c r="L11" i="337" s="1"/>
  <c r="J10" i="337"/>
  <c r="K10" i="337" s="1"/>
  <c r="L10" i="337" s="1"/>
  <c r="J9" i="337"/>
  <c r="K9" i="337" s="1"/>
  <c r="L9" i="337" s="1"/>
  <c r="J8" i="337"/>
  <c r="K8" i="337" s="1"/>
  <c r="L8" i="337" s="1"/>
  <c r="J7" i="337" l="1"/>
  <c r="K7" i="337" s="1"/>
  <c r="L7" i="337" s="1"/>
  <c r="V231" i="356"/>
  <c r="W231" i="356" s="1"/>
  <c r="V234" i="356"/>
  <c r="W234" i="356" s="1"/>
  <c r="V559" i="356"/>
  <c r="W559" i="356" s="1"/>
  <c r="V545" i="356"/>
  <c r="W545" i="356" s="1"/>
  <c r="V528" i="356"/>
  <c r="W528" i="356" s="1"/>
  <c r="V525" i="356"/>
  <c r="W525" i="356" s="1"/>
  <c r="V523" i="356"/>
  <c r="W523" i="356" s="1"/>
  <c r="V521" i="356" l="1"/>
  <c r="W521" i="356" s="1"/>
  <c r="Q32" i="299" s="1"/>
  <c r="V518" i="356"/>
  <c r="V499" i="356"/>
  <c r="W499" i="356" s="1"/>
  <c r="V480" i="356"/>
  <c r="W480" i="356" s="1"/>
  <c r="V477" i="356"/>
  <c r="W477" i="356" s="1"/>
  <c r="V473" i="356"/>
  <c r="W473" i="356" s="1"/>
  <c r="Q31" i="299" s="1"/>
  <c r="V471" i="356"/>
  <c r="W471" i="356" s="1"/>
  <c r="V462" i="356"/>
  <c r="W462" i="356" s="1"/>
  <c r="M50" i="338" s="1"/>
  <c r="V448" i="356"/>
  <c r="W448" i="356" s="1"/>
  <c r="V445" i="356"/>
  <c r="W445" i="356" s="1"/>
  <c r="V444" i="356"/>
  <c r="W444" i="356" s="1"/>
  <c r="V442" i="356"/>
  <c r="W442" i="356" s="1"/>
  <c r="V440" i="356"/>
  <c r="W440" i="356" s="1"/>
  <c r="V428" i="356"/>
  <c r="W428" i="356" s="1"/>
  <c r="V419" i="356"/>
  <c r="W419" i="356" s="1"/>
  <c r="V417" i="356"/>
  <c r="W417" i="356" s="1"/>
  <c r="V415" i="356"/>
  <c r="W415" i="356" s="1"/>
  <c r="V379" i="356"/>
  <c r="W379" i="356" s="1"/>
  <c r="V376" i="356"/>
  <c r="W376" i="356" s="1"/>
  <c r="V372" i="356"/>
  <c r="W372" i="356" s="1"/>
  <c r="V364" i="356"/>
  <c r="W364" i="356" s="1"/>
  <c r="Q29" i="299" s="1"/>
  <c r="V347" i="356"/>
  <c r="W347" i="356" s="1"/>
  <c r="V345" i="356"/>
  <c r="W345" i="356" s="1"/>
  <c r="V344" i="356"/>
  <c r="W344" i="356" s="1"/>
  <c r="V343" i="356"/>
  <c r="W343" i="356" s="1"/>
  <c r="V342" i="356"/>
  <c r="W342" i="356" s="1"/>
  <c r="V339" i="356"/>
  <c r="W339" i="356" s="1"/>
  <c r="V266" i="356"/>
  <c r="W266" i="356" s="1"/>
  <c r="V257" i="356"/>
  <c r="W257" i="356" s="1"/>
  <c r="V244" i="356"/>
  <c r="W244" i="356" s="1"/>
  <c r="V243" i="356"/>
  <c r="W243" i="356" s="1"/>
  <c r="V239" i="356"/>
  <c r="W239" i="356" s="1"/>
  <c r="V238" i="356"/>
  <c r="W238" i="356" s="1"/>
  <c r="V237" i="356"/>
  <c r="W237" i="356" s="1"/>
  <c r="V235" i="356"/>
  <c r="W235" i="356" s="1"/>
  <c r="V215" i="356"/>
  <c r="W215" i="356" s="1"/>
  <c r="V208" i="356"/>
  <c r="W208" i="356" s="1"/>
  <c r="L102" i="255" s="1"/>
  <c r="V202" i="356"/>
  <c r="W202" i="356" s="1"/>
  <c r="L94" i="255" s="1"/>
  <c r="V196" i="356"/>
  <c r="W196" i="356" s="1"/>
  <c r="V174" i="356"/>
  <c r="W174" i="356" s="1"/>
  <c r="V171" i="356"/>
  <c r="W171" i="356" s="1"/>
  <c r="V167" i="356"/>
  <c r="W167" i="356" s="1"/>
  <c r="V142" i="356"/>
  <c r="W142" i="356" s="1"/>
  <c r="V136" i="356"/>
  <c r="W136" i="356" s="1"/>
  <c r="V135" i="356"/>
  <c r="W135" i="356" s="1"/>
  <c r="V134" i="356"/>
  <c r="W134" i="356" s="1"/>
  <c r="V133" i="356"/>
  <c r="W133" i="356" s="1"/>
  <c r="V119" i="356"/>
  <c r="W119" i="356" s="1"/>
  <c r="L97" i="255" s="1"/>
  <c r="V114" i="356"/>
  <c r="W114" i="356" s="1"/>
  <c r="V109" i="356"/>
  <c r="W109" i="356" s="1"/>
  <c r="V107" i="356"/>
  <c r="W107" i="356" s="1"/>
  <c r="V105" i="356"/>
  <c r="W105" i="356" s="1"/>
  <c r="V83" i="356"/>
  <c r="W83" i="356" s="1"/>
  <c r="V82" i="356"/>
  <c r="W82" i="356" s="1"/>
  <c r="V81" i="356"/>
  <c r="W81" i="356" s="1"/>
  <c r="V70" i="356"/>
  <c r="W70" i="356" s="1"/>
  <c r="V65" i="356"/>
  <c r="W65" i="356" s="1"/>
  <c r="V64" i="356"/>
  <c r="W64" i="356" s="1"/>
  <c r="V63" i="356"/>
  <c r="V62" i="356"/>
  <c r="W62" i="356" s="1"/>
  <c r="V61" i="356"/>
  <c r="W61" i="356" s="1"/>
  <c r="V46" i="356"/>
  <c r="W46" i="356" s="1"/>
  <c r="L90" i="255" s="1"/>
  <c r="V40" i="356"/>
  <c r="W40" i="356" s="1"/>
  <c r="V39" i="356"/>
  <c r="W39" i="356" s="1"/>
  <c r="V25" i="356"/>
  <c r="W25" i="356" s="1"/>
  <c r="V17" i="356"/>
  <c r="W17" i="356" s="1"/>
  <c r="V2" i="356"/>
  <c r="F24" i="146"/>
  <c r="F23" i="146"/>
  <c r="F22" i="146"/>
  <c r="F21" i="146"/>
  <c r="F20" i="146"/>
  <c r="F19" i="146"/>
  <c r="F18" i="146"/>
  <c r="F10" i="146"/>
  <c r="F9" i="146"/>
  <c r="F8" i="146"/>
  <c r="F7" i="146"/>
  <c r="F6" i="146"/>
  <c r="E24" i="146"/>
  <c r="E23" i="146"/>
  <c r="E22" i="146"/>
  <c r="E21" i="146"/>
  <c r="E20" i="146"/>
  <c r="E19" i="146"/>
  <c r="E18" i="146"/>
  <c r="E10" i="146"/>
  <c r="E9" i="146"/>
  <c r="E8" i="146"/>
  <c r="E7" i="146"/>
  <c r="E6" i="146"/>
  <c r="E41" i="335"/>
  <c r="F41" i="335"/>
  <c r="G41" i="335"/>
  <c r="H41" i="335"/>
  <c r="H38" i="335"/>
  <c r="G38" i="335"/>
  <c r="F38" i="335"/>
  <c r="E38" i="335"/>
  <c r="C38" i="335"/>
  <c r="C41" i="335"/>
  <c r="C46" i="335"/>
  <c r="C45" i="335"/>
  <c r="G8" i="142"/>
  <c r="F8" i="142"/>
  <c r="E8" i="142"/>
  <c r="D8" i="142"/>
  <c r="F50" i="336"/>
  <c r="F55" i="336"/>
  <c r="F54" i="336"/>
  <c r="I55" i="336"/>
  <c r="I54" i="336"/>
  <c r="E25" i="336"/>
  <c r="D25" i="336"/>
  <c r="E18" i="336"/>
  <c r="G24" i="235"/>
  <c r="G23" i="235"/>
  <c r="G22" i="235"/>
  <c r="G21" i="235"/>
  <c r="G20" i="235"/>
  <c r="F24" i="235"/>
  <c r="F23" i="235"/>
  <c r="F22" i="235"/>
  <c r="F21" i="235"/>
  <c r="F20" i="235"/>
  <c r="E24" i="235"/>
  <c r="E23" i="235"/>
  <c r="E22" i="235"/>
  <c r="E21" i="235"/>
  <c r="E20" i="235"/>
  <c r="E74" i="253"/>
  <c r="E72" i="253"/>
  <c r="E71" i="253"/>
  <c r="D74" i="253"/>
  <c r="D72" i="253"/>
  <c r="D71" i="253"/>
  <c r="E66" i="253"/>
  <c r="E65" i="253"/>
  <c r="E64" i="253"/>
  <c r="E63" i="253"/>
  <c r="D66" i="253"/>
  <c r="D65" i="253"/>
  <c r="D64" i="253"/>
  <c r="D63" i="253"/>
  <c r="E58" i="253"/>
  <c r="E57" i="253"/>
  <c r="E56" i="253"/>
  <c r="E55" i="253"/>
  <c r="D58" i="253"/>
  <c r="D57" i="253"/>
  <c r="D56" i="253"/>
  <c r="D55" i="253"/>
  <c r="E52" i="253"/>
  <c r="E51" i="253"/>
  <c r="E50" i="253"/>
  <c r="E49" i="253"/>
  <c r="D52" i="253"/>
  <c r="D51" i="253"/>
  <c r="D50" i="253"/>
  <c r="D49" i="253"/>
  <c r="E38" i="253"/>
  <c r="E30" i="253"/>
  <c r="E29" i="253"/>
  <c r="D38" i="253"/>
  <c r="D30" i="253"/>
  <c r="D29" i="253"/>
  <c r="E19" i="253"/>
  <c r="E17" i="253"/>
  <c r="D23" i="253"/>
  <c r="D19" i="253"/>
  <c r="D17" i="253"/>
  <c r="H74" i="253"/>
  <c r="H72" i="253"/>
  <c r="H71" i="253"/>
  <c r="G74" i="253"/>
  <c r="G72" i="253"/>
  <c r="G71" i="253"/>
  <c r="F74" i="253"/>
  <c r="F72" i="253"/>
  <c r="F71" i="253"/>
  <c r="H66" i="253"/>
  <c r="H65" i="253"/>
  <c r="H64" i="253"/>
  <c r="H63" i="253"/>
  <c r="G66" i="253"/>
  <c r="G65" i="253"/>
  <c r="G64" i="253"/>
  <c r="G63" i="253"/>
  <c r="F66" i="253"/>
  <c r="F65" i="253"/>
  <c r="F64" i="253"/>
  <c r="F63" i="253"/>
  <c r="H58" i="253"/>
  <c r="H57" i="253"/>
  <c r="H56" i="253"/>
  <c r="H55" i="253"/>
  <c r="G58" i="253"/>
  <c r="G57" i="253"/>
  <c r="G56" i="253"/>
  <c r="G55" i="253"/>
  <c r="F58" i="253"/>
  <c r="F57" i="253"/>
  <c r="F56" i="253"/>
  <c r="F55" i="253"/>
  <c r="F52" i="253"/>
  <c r="F51" i="253"/>
  <c r="F50" i="253"/>
  <c r="H49" i="253"/>
  <c r="G49" i="253"/>
  <c r="F49" i="253"/>
  <c r="H38" i="253"/>
  <c r="G38" i="253"/>
  <c r="F38" i="253"/>
  <c r="H30" i="253"/>
  <c r="H29" i="253"/>
  <c r="G30" i="253"/>
  <c r="G29" i="253"/>
  <c r="F30" i="253"/>
  <c r="F29" i="253"/>
  <c r="H19" i="253"/>
  <c r="H17" i="253"/>
  <c r="G17" i="253"/>
  <c r="G19" i="253"/>
  <c r="F23" i="253"/>
  <c r="F19" i="253"/>
  <c r="F17" i="253"/>
  <c r="H7" i="253"/>
  <c r="H6" i="253"/>
  <c r="G7" i="253"/>
  <c r="G6" i="253"/>
  <c r="F7" i="253"/>
  <c r="F6" i="253"/>
  <c r="E7" i="253"/>
  <c r="E6" i="253"/>
  <c r="D7" i="253"/>
  <c r="D6" i="253"/>
  <c r="C29" i="335"/>
  <c r="H5" i="335"/>
  <c r="G5" i="335"/>
  <c r="F5" i="335"/>
  <c r="C5" i="335"/>
  <c r="J33" i="235"/>
  <c r="E43" i="337"/>
  <c r="E42" i="337"/>
  <c r="E41" i="337"/>
  <c r="E40" i="337"/>
  <c r="E39" i="337"/>
  <c r="E37" i="337"/>
  <c r="D43" i="337"/>
  <c r="D42" i="337"/>
  <c r="D41" i="337"/>
  <c r="D40" i="337"/>
  <c r="D39" i="337"/>
  <c r="D37" i="337"/>
  <c r="C43" i="337"/>
  <c r="C41" i="337"/>
  <c r="C42" i="337"/>
  <c r="C40" i="337"/>
  <c r="C39" i="337"/>
  <c r="C37" i="337"/>
  <c r="E28" i="337"/>
  <c r="E27" i="337"/>
  <c r="E26" i="337"/>
  <c r="E25" i="337"/>
  <c r="E24" i="337"/>
  <c r="E23" i="337"/>
  <c r="E22" i="337"/>
  <c r="D28" i="337"/>
  <c r="D27" i="337"/>
  <c r="D26" i="337"/>
  <c r="D25" i="337"/>
  <c r="D24" i="337"/>
  <c r="D23" i="337"/>
  <c r="D22" i="337"/>
  <c r="C28" i="337"/>
  <c r="C27" i="337"/>
  <c r="C26" i="337"/>
  <c r="C25" i="337"/>
  <c r="C24" i="337"/>
  <c r="C23" i="337"/>
  <c r="C22" i="337"/>
  <c r="E13" i="337"/>
  <c r="E12" i="337"/>
  <c r="E11" i="337"/>
  <c r="E10" i="337"/>
  <c r="E9" i="337"/>
  <c r="E8" i="337"/>
  <c r="E7" i="337"/>
  <c r="D13" i="337"/>
  <c r="D12" i="337"/>
  <c r="D11" i="337"/>
  <c r="D10" i="337"/>
  <c r="D9" i="337"/>
  <c r="D8" i="337"/>
  <c r="D7" i="337"/>
  <c r="C13" i="337"/>
  <c r="C12" i="337"/>
  <c r="C11" i="337"/>
  <c r="C10" i="337"/>
  <c r="C9" i="337"/>
  <c r="C8" i="337"/>
  <c r="C7" i="337"/>
  <c r="I44" i="235"/>
  <c r="H44" i="235"/>
  <c r="G44" i="235"/>
  <c r="F44" i="235"/>
  <c r="I29" i="235"/>
  <c r="I28" i="235"/>
  <c r="I27" i="235"/>
  <c r="H29" i="235"/>
  <c r="H28" i="235"/>
  <c r="H27" i="235"/>
  <c r="G29" i="235"/>
  <c r="G28" i="235"/>
  <c r="G27" i="235"/>
  <c r="F29" i="235"/>
  <c r="F28" i="235"/>
  <c r="F27" i="235"/>
  <c r="E29" i="235"/>
  <c r="E28" i="235"/>
  <c r="E27" i="235"/>
  <c r="I9" i="235"/>
  <c r="I8" i="235"/>
  <c r="I7" i="235"/>
  <c r="I6" i="235"/>
  <c r="I5" i="235"/>
  <c r="I14" i="235"/>
  <c r="I13" i="235"/>
  <c r="I20" i="235"/>
  <c r="I21" i="235"/>
  <c r="I22" i="235"/>
  <c r="I23" i="235"/>
  <c r="I24" i="235"/>
  <c r="H24" i="235"/>
  <c r="H23" i="235"/>
  <c r="H22" i="235"/>
  <c r="H21" i="235"/>
  <c r="H20" i="235"/>
  <c r="H14" i="235"/>
  <c r="H13" i="235"/>
  <c r="H9" i="235"/>
  <c r="H8" i="235"/>
  <c r="H7" i="235"/>
  <c r="H6" i="235"/>
  <c r="H5" i="235"/>
  <c r="I4" i="235"/>
  <c r="H4" i="235"/>
  <c r="G4" i="235"/>
  <c r="F4" i="235"/>
  <c r="E4" i="235"/>
  <c r="L19" i="128"/>
  <c r="K19" i="128"/>
  <c r="K13" i="128"/>
  <c r="L13" i="128" s="1"/>
  <c r="K31" i="237"/>
  <c r="L31" i="237" s="1"/>
  <c r="J29" i="237"/>
  <c r="K29" i="237" s="1"/>
  <c r="L29" i="237" s="1"/>
  <c r="J30" i="237"/>
  <c r="J35" i="128"/>
  <c r="J25" i="128"/>
  <c r="K25" i="128" s="1"/>
  <c r="J23" i="128"/>
  <c r="K23" i="128" s="1"/>
  <c r="L23" i="128" s="1"/>
  <c r="J19" i="128"/>
  <c r="H19" i="128"/>
  <c r="H12" i="128"/>
  <c r="J12" i="128" s="1"/>
  <c r="H8" i="128"/>
  <c r="H7" i="128" s="1"/>
  <c r="J7" i="128" s="1"/>
  <c r="G65" i="128"/>
  <c r="G36" i="128"/>
  <c r="G35" i="128"/>
  <c r="G31" i="128"/>
  <c r="G32" i="128" s="1"/>
  <c r="G19" i="128"/>
  <c r="G12" i="128"/>
  <c r="G8" i="128"/>
  <c r="J8" i="128" s="1"/>
  <c r="D32" i="146"/>
  <c r="D31" i="146"/>
  <c r="D25" i="146"/>
  <c r="D24" i="146"/>
  <c r="D23" i="146"/>
  <c r="D22" i="146"/>
  <c r="D21" i="146"/>
  <c r="D20" i="146"/>
  <c r="D19" i="146"/>
  <c r="D18" i="146"/>
  <c r="D13" i="146"/>
  <c r="D11" i="146"/>
  <c r="D10" i="146"/>
  <c r="D7" i="146"/>
  <c r="D6" i="146"/>
  <c r="F36" i="316"/>
  <c r="F31" i="316"/>
  <c r="F12" i="316"/>
  <c r="F7" i="316"/>
  <c r="D31" i="316"/>
  <c r="D12" i="316"/>
  <c r="D7" i="316"/>
  <c r="D6" i="316"/>
  <c r="H65" i="128"/>
  <c r="I65" i="128" s="1"/>
  <c r="D54" i="128"/>
  <c r="D25" i="128"/>
  <c r="D24" i="128"/>
  <c r="D23" i="128"/>
  <c r="G50" i="338"/>
  <c r="F89" i="255"/>
  <c r="F92" i="255"/>
  <c r="F108" i="255"/>
  <c r="F107" i="255"/>
  <c r="F76" i="255"/>
  <c r="F75" i="255"/>
  <c r="F63" i="255"/>
  <c r="F41" i="255"/>
  <c r="H18" i="338"/>
  <c r="F35" i="255"/>
  <c r="F17" i="255"/>
  <c r="F12" i="255"/>
  <c r="F67" i="128"/>
  <c r="F66" i="128"/>
  <c r="F65" i="128"/>
  <c r="F54" i="128"/>
  <c r="F41" i="128"/>
  <c r="F35" i="128"/>
  <c r="F31" i="128"/>
  <c r="F25" i="128"/>
  <c r="F24" i="128"/>
  <c r="F23" i="128"/>
  <c r="F13" i="128"/>
  <c r="F12" i="128"/>
  <c r="F8" i="128"/>
  <c r="F7" i="128"/>
  <c r="D67" i="128"/>
  <c r="D66" i="128"/>
  <c r="D65" i="128"/>
  <c r="D41" i="128"/>
  <c r="D37" i="128"/>
  <c r="D36" i="128"/>
  <c r="D35" i="128"/>
  <c r="D31" i="128"/>
  <c r="E24" i="128"/>
  <c r="E23" i="128" s="1"/>
  <c r="E26" i="128" s="1"/>
  <c r="D13" i="128"/>
  <c r="D12" i="128"/>
  <c r="D8" i="128"/>
  <c r="D7" i="128"/>
  <c r="X203" i="342"/>
  <c r="X202" i="342"/>
  <c r="X210" i="342"/>
  <c r="X209" i="342"/>
  <c r="X208" i="342"/>
  <c r="X207" i="342"/>
  <c r="X201" i="342"/>
  <c r="X200" i="342"/>
  <c r="X199" i="342"/>
  <c r="X198" i="342"/>
  <c r="X197" i="342"/>
  <c r="X196" i="342"/>
  <c r="X188" i="342"/>
  <c r="X187" i="342"/>
  <c r="X186" i="342"/>
  <c r="X185" i="342"/>
  <c r="X174" i="342"/>
  <c r="P23" i="298"/>
  <c r="AL188" i="356"/>
  <c r="E19" i="338"/>
  <c r="L35" i="255"/>
  <c r="K35" i="255"/>
  <c r="J35" i="255"/>
  <c r="I35" i="255"/>
  <c r="H35" i="255"/>
  <c r="G35" i="255"/>
  <c r="E35" i="255"/>
  <c r="D35" i="255"/>
  <c r="C35" i="255"/>
  <c r="L108" i="255"/>
  <c r="K108" i="255"/>
  <c r="J108" i="255"/>
  <c r="I108" i="255"/>
  <c r="H108" i="255"/>
  <c r="G108" i="255"/>
  <c r="E108" i="255"/>
  <c r="D108" i="255"/>
  <c r="C108" i="255"/>
  <c r="L107" i="255"/>
  <c r="K107" i="255"/>
  <c r="J107" i="255"/>
  <c r="I107" i="255"/>
  <c r="H107" i="255"/>
  <c r="G107" i="255"/>
  <c r="E107" i="255"/>
  <c r="D107" i="255"/>
  <c r="C107" i="255"/>
  <c r="J106" i="255"/>
  <c r="I106" i="255"/>
  <c r="H106" i="255"/>
  <c r="G106" i="255"/>
  <c r="E106" i="255"/>
  <c r="D106" i="255"/>
  <c r="C106" i="255"/>
  <c r="L105" i="255"/>
  <c r="K105" i="255"/>
  <c r="J105" i="255"/>
  <c r="I105" i="255"/>
  <c r="H105" i="255"/>
  <c r="G105" i="255"/>
  <c r="E105" i="255"/>
  <c r="D105" i="255"/>
  <c r="C105" i="255"/>
  <c r="L104" i="255"/>
  <c r="K104" i="255"/>
  <c r="J104" i="255"/>
  <c r="I104" i="255"/>
  <c r="H104" i="255"/>
  <c r="G104" i="255"/>
  <c r="E104" i="255"/>
  <c r="D104" i="255"/>
  <c r="C104" i="255"/>
  <c r="L103" i="255"/>
  <c r="K103" i="255"/>
  <c r="J103" i="255"/>
  <c r="I103" i="255"/>
  <c r="H103" i="255"/>
  <c r="G103" i="255"/>
  <c r="E103" i="255"/>
  <c r="D103" i="255"/>
  <c r="C103" i="255"/>
  <c r="K102" i="255"/>
  <c r="J102" i="255"/>
  <c r="I102" i="255"/>
  <c r="H102" i="255"/>
  <c r="G102" i="255"/>
  <c r="E102" i="255"/>
  <c r="D102" i="255"/>
  <c r="C102" i="255"/>
  <c r="L101" i="255"/>
  <c r="K101" i="255"/>
  <c r="J101" i="255"/>
  <c r="I101" i="255"/>
  <c r="H101" i="255"/>
  <c r="G101" i="255"/>
  <c r="E101" i="255"/>
  <c r="D101" i="255"/>
  <c r="C101" i="255"/>
  <c r="L100" i="255"/>
  <c r="K100" i="255"/>
  <c r="J100" i="255"/>
  <c r="I100" i="255"/>
  <c r="H100" i="255"/>
  <c r="G100" i="255"/>
  <c r="E100" i="255"/>
  <c r="D100" i="255"/>
  <c r="C100" i="255"/>
  <c r="L99" i="255"/>
  <c r="K99" i="255"/>
  <c r="J99" i="255"/>
  <c r="I99" i="255"/>
  <c r="H99" i="255"/>
  <c r="G99" i="255"/>
  <c r="E99" i="255"/>
  <c r="D99" i="255"/>
  <c r="C99" i="255"/>
  <c r="L98" i="255"/>
  <c r="K98" i="255"/>
  <c r="J98" i="255"/>
  <c r="I98" i="255"/>
  <c r="H98" i="255"/>
  <c r="G98" i="255"/>
  <c r="E98" i="255"/>
  <c r="D98" i="255"/>
  <c r="C98" i="255"/>
  <c r="K97" i="255"/>
  <c r="J97" i="255"/>
  <c r="I97" i="255"/>
  <c r="H97" i="255"/>
  <c r="G97" i="255"/>
  <c r="E97" i="255"/>
  <c r="D97" i="255"/>
  <c r="C97" i="255"/>
  <c r="L96" i="255"/>
  <c r="K96" i="255"/>
  <c r="J96" i="255"/>
  <c r="I96" i="255"/>
  <c r="H96" i="255"/>
  <c r="G96" i="255"/>
  <c r="E96" i="255"/>
  <c r="D96" i="255"/>
  <c r="C96" i="255"/>
  <c r="L95" i="255"/>
  <c r="K95" i="255"/>
  <c r="J95" i="255"/>
  <c r="I95" i="255"/>
  <c r="H95" i="255"/>
  <c r="G95" i="255"/>
  <c r="E95" i="255"/>
  <c r="D95" i="255"/>
  <c r="C95" i="255"/>
  <c r="K94" i="255"/>
  <c r="J94" i="255"/>
  <c r="I94" i="255"/>
  <c r="H94" i="255"/>
  <c r="G94" i="255"/>
  <c r="E94" i="255"/>
  <c r="D94" i="255"/>
  <c r="C94" i="255"/>
  <c r="L93" i="255"/>
  <c r="K93" i="255"/>
  <c r="J93" i="255"/>
  <c r="I93" i="255"/>
  <c r="H93" i="255"/>
  <c r="G93" i="255"/>
  <c r="E93" i="255"/>
  <c r="D93" i="255"/>
  <c r="C93" i="255"/>
  <c r="L92" i="255"/>
  <c r="K92" i="255"/>
  <c r="J92" i="255"/>
  <c r="I92" i="255"/>
  <c r="H92" i="255"/>
  <c r="G92" i="255"/>
  <c r="E92" i="255"/>
  <c r="D92" i="255"/>
  <c r="C92" i="255"/>
  <c r="L91" i="255"/>
  <c r="K91" i="255"/>
  <c r="J91" i="255"/>
  <c r="I91" i="255"/>
  <c r="H91" i="255"/>
  <c r="G91" i="255"/>
  <c r="E91" i="255"/>
  <c r="D91" i="255"/>
  <c r="C91" i="255"/>
  <c r="K90" i="255"/>
  <c r="J90" i="255"/>
  <c r="I90" i="255"/>
  <c r="H90" i="255"/>
  <c r="G90" i="255"/>
  <c r="E90" i="255"/>
  <c r="D90" i="255"/>
  <c r="C90" i="255"/>
  <c r="L89" i="255"/>
  <c r="K89" i="255"/>
  <c r="J89" i="255"/>
  <c r="I89" i="255"/>
  <c r="H89" i="255"/>
  <c r="G89" i="255"/>
  <c r="E89" i="255"/>
  <c r="D89" i="255"/>
  <c r="C89" i="255"/>
  <c r="L88" i="255"/>
  <c r="K88" i="255"/>
  <c r="J88" i="255"/>
  <c r="I88" i="255"/>
  <c r="H88" i="255"/>
  <c r="G88" i="255"/>
  <c r="E88" i="255"/>
  <c r="D88" i="255"/>
  <c r="C88" i="255"/>
  <c r="L87" i="255"/>
  <c r="K87" i="255"/>
  <c r="J87" i="255"/>
  <c r="I87" i="255"/>
  <c r="H87" i="255"/>
  <c r="G87" i="255"/>
  <c r="E87" i="255"/>
  <c r="D87" i="255"/>
  <c r="C87" i="255"/>
  <c r="L34" i="255"/>
  <c r="K34" i="255"/>
  <c r="J34" i="255"/>
  <c r="I34" i="255"/>
  <c r="H34" i="255"/>
  <c r="G34" i="255"/>
  <c r="F34" i="255"/>
  <c r="E34" i="255"/>
  <c r="D34" i="255"/>
  <c r="L33" i="255"/>
  <c r="M10" i="338" s="1"/>
  <c r="K33" i="255"/>
  <c r="L10" i="338" s="1"/>
  <c r="J33" i="255"/>
  <c r="K10" i="338" s="1"/>
  <c r="I33" i="255"/>
  <c r="H33" i="255"/>
  <c r="I10" i="338" s="1"/>
  <c r="G33" i="255"/>
  <c r="H10" i="338" s="1"/>
  <c r="F33" i="255"/>
  <c r="G10" i="338" s="1"/>
  <c r="E33" i="255"/>
  <c r="F10" i="338" s="1"/>
  <c r="D33" i="255"/>
  <c r="E10" i="338" s="1"/>
  <c r="C34" i="255"/>
  <c r="C33" i="255"/>
  <c r="F9" i="349"/>
  <c r="F8" i="349"/>
  <c r="F13" i="349"/>
  <c r="F12" i="349"/>
  <c r="F11" i="349"/>
  <c r="F17" i="349"/>
  <c r="F16" i="349"/>
  <c r="F15" i="349"/>
  <c r="F20" i="349"/>
  <c r="F19" i="349"/>
  <c r="F25" i="349"/>
  <c r="F24" i="349"/>
  <c r="F23" i="349"/>
  <c r="F22" i="349"/>
  <c r="F41" i="349"/>
  <c r="F40" i="349"/>
  <c r="F39" i="349"/>
  <c r="F38" i="349"/>
  <c r="F37" i="349"/>
  <c r="F36" i="349"/>
  <c r="F35" i="349"/>
  <c r="F34" i="349"/>
  <c r="F33" i="349"/>
  <c r="F32" i="349"/>
  <c r="F31" i="349"/>
  <c r="F30" i="349"/>
  <c r="F29" i="349"/>
  <c r="F28" i="349"/>
  <c r="F45" i="349"/>
  <c r="F44" i="349"/>
  <c r="F49" i="349"/>
  <c r="F48" i="349"/>
  <c r="F62" i="349"/>
  <c r="F61" i="349"/>
  <c r="F60" i="349"/>
  <c r="F59" i="349"/>
  <c r="F58" i="349"/>
  <c r="F57" i="349"/>
  <c r="F56" i="349"/>
  <c r="F55" i="349"/>
  <c r="F54" i="349"/>
  <c r="F53" i="349"/>
  <c r="F52" i="349"/>
  <c r="F63" i="349"/>
  <c r="R564" i="356"/>
  <c r="Q564" i="356"/>
  <c r="K5" i="144"/>
  <c r="J5" i="144"/>
  <c r="P28" i="95"/>
  <c r="L43" i="128"/>
  <c r="K8" i="349"/>
  <c r="J8" i="349"/>
  <c r="E10" i="253"/>
  <c r="K63" i="336"/>
  <c r="J26" i="146"/>
  <c r="K26" i="146" s="1"/>
  <c r="J25" i="146"/>
  <c r="K25" i="146" s="1"/>
  <c r="J23" i="146"/>
  <c r="K23" i="146" s="1"/>
  <c r="K22" i="146"/>
  <c r="K35" i="146" s="1"/>
  <c r="K21" i="146"/>
  <c r="K19" i="146"/>
  <c r="K32" i="146" s="1"/>
  <c r="K18" i="146"/>
  <c r="J15" i="249"/>
  <c r="E18" i="338"/>
  <c r="K15" i="249"/>
  <c r="I15" i="249"/>
  <c r="H15" i="249"/>
  <c r="G15" i="249"/>
  <c r="F15" i="249"/>
  <c r="E15" i="249"/>
  <c r="D15" i="249"/>
  <c r="C15" i="249"/>
  <c r="G31" i="146"/>
  <c r="F31" i="146"/>
  <c r="E31" i="146"/>
  <c r="C31" i="146"/>
  <c r="G37" i="146"/>
  <c r="F37" i="146"/>
  <c r="E37" i="146"/>
  <c r="J35" i="146"/>
  <c r="H35" i="146"/>
  <c r="G35" i="146"/>
  <c r="F35" i="146"/>
  <c r="E35" i="146"/>
  <c r="G33" i="146"/>
  <c r="F33" i="146"/>
  <c r="E33" i="146"/>
  <c r="G32" i="146"/>
  <c r="F32" i="146"/>
  <c r="E32" i="146"/>
  <c r="C37" i="146"/>
  <c r="C35" i="146"/>
  <c r="C33" i="146"/>
  <c r="C32" i="146"/>
  <c r="K13" i="146"/>
  <c r="J13" i="146"/>
  <c r="I13" i="146"/>
  <c r="H13" i="146"/>
  <c r="G13" i="146"/>
  <c r="F13" i="146"/>
  <c r="E13" i="146"/>
  <c r="C13" i="146"/>
  <c r="G12" i="146"/>
  <c r="F12" i="146"/>
  <c r="E12" i="146"/>
  <c r="C12" i="146"/>
  <c r="G11" i="146"/>
  <c r="F11" i="146"/>
  <c r="E11" i="146"/>
  <c r="C11" i="146"/>
  <c r="G10" i="146"/>
  <c r="C10" i="146"/>
  <c r="G9" i="146"/>
  <c r="C9" i="146"/>
  <c r="G8" i="146"/>
  <c r="C8" i="146"/>
  <c r="G7" i="146"/>
  <c r="C7" i="146"/>
  <c r="G6" i="146"/>
  <c r="C6" i="146"/>
  <c r="L52" i="95"/>
  <c r="K52" i="95" s="1"/>
  <c r="J52" i="95" s="1"/>
  <c r="I52" i="95" s="1"/>
  <c r="H52" i="95" s="1"/>
  <c r="G52" i="95" s="1"/>
  <c r="F52" i="95" s="1"/>
  <c r="E52" i="95" s="1"/>
  <c r="D52" i="95" s="1"/>
  <c r="C52" i="95" s="1"/>
  <c r="B52" i="95" s="1"/>
  <c r="M52" i="95" s="1"/>
  <c r="AL223" i="356"/>
  <c r="AL70" i="356"/>
  <c r="P30" i="95"/>
  <c r="O30" i="95"/>
  <c r="O28" i="95"/>
  <c r="P27" i="95"/>
  <c r="O27" i="95"/>
  <c r="P26" i="95"/>
  <c r="O26" i="95"/>
  <c r="N30" i="95"/>
  <c r="N27" i="95"/>
  <c r="N28" i="95"/>
  <c r="N26" i="95"/>
  <c r="G24" i="95"/>
  <c r="F24" i="95"/>
  <c r="E24" i="95"/>
  <c r="D24" i="95"/>
  <c r="C24" i="95"/>
  <c r="B24" i="95"/>
  <c r="A25" i="249"/>
  <c r="AL3" i="356"/>
  <c r="AL4" i="356"/>
  <c r="AL5" i="356"/>
  <c r="AL6" i="356"/>
  <c r="AL7" i="356"/>
  <c r="AL8" i="356"/>
  <c r="AL9" i="356"/>
  <c r="AL10" i="356"/>
  <c r="AL11" i="356"/>
  <c r="AL12" i="356"/>
  <c r="AL13" i="356"/>
  <c r="AL14" i="356"/>
  <c r="AL15" i="356"/>
  <c r="AL16" i="356"/>
  <c r="AL17" i="356"/>
  <c r="AL18" i="356"/>
  <c r="AL19" i="356"/>
  <c r="AL20" i="356"/>
  <c r="AL21" i="356"/>
  <c r="AL22" i="356"/>
  <c r="AL23" i="356"/>
  <c r="AL24" i="356"/>
  <c r="AL25" i="356"/>
  <c r="AL26" i="356"/>
  <c r="AL27" i="356"/>
  <c r="AL28" i="356"/>
  <c r="AL29" i="356"/>
  <c r="AL30" i="356"/>
  <c r="AL31" i="356"/>
  <c r="AL32" i="356"/>
  <c r="AL33" i="356"/>
  <c r="AL34" i="356"/>
  <c r="AL35" i="356"/>
  <c r="AL36" i="356"/>
  <c r="AL37" i="356"/>
  <c r="AL38" i="356"/>
  <c r="AL39" i="356"/>
  <c r="AL40" i="356"/>
  <c r="AL41" i="356"/>
  <c r="AL42" i="356"/>
  <c r="AL43" i="356"/>
  <c r="AL44" i="356"/>
  <c r="AL45" i="356"/>
  <c r="AL46" i="356"/>
  <c r="AL47" i="356"/>
  <c r="AL48" i="356"/>
  <c r="AL49" i="356"/>
  <c r="AL50" i="356"/>
  <c r="AL51" i="356"/>
  <c r="AL52" i="356"/>
  <c r="AL53" i="356"/>
  <c r="AL54" i="356"/>
  <c r="AL55" i="356"/>
  <c r="AL56" i="356"/>
  <c r="AL57" i="356"/>
  <c r="AL58" i="356"/>
  <c r="AL59" i="356"/>
  <c r="AL60" i="356"/>
  <c r="AL61" i="356"/>
  <c r="AL62" i="356"/>
  <c r="AL63" i="356"/>
  <c r="AL64" i="356"/>
  <c r="AL65" i="356"/>
  <c r="AL66" i="356"/>
  <c r="AL67" i="356"/>
  <c r="AL68" i="356"/>
  <c r="AL69" i="356"/>
  <c r="AL71" i="356"/>
  <c r="AL72" i="356"/>
  <c r="AL73" i="356"/>
  <c r="AL74" i="356"/>
  <c r="AL75" i="356"/>
  <c r="AL76" i="356"/>
  <c r="AL77" i="356"/>
  <c r="AL78" i="356"/>
  <c r="J6" i="146"/>
  <c r="K6" i="146"/>
  <c r="J9" i="146"/>
  <c r="K9" i="146"/>
  <c r="J10" i="146"/>
  <c r="K10" i="146"/>
  <c r="J12" i="146"/>
  <c r="K12" i="146"/>
  <c r="J7" i="146"/>
  <c r="K7" i="146"/>
  <c r="J8" i="146"/>
  <c r="K8" i="146"/>
  <c r="J11" i="146"/>
  <c r="K11" i="146"/>
  <c r="AL86" i="356"/>
  <c r="AL87" i="356"/>
  <c r="AL88" i="356"/>
  <c r="AL89" i="356"/>
  <c r="AL90" i="356"/>
  <c r="AL91" i="356"/>
  <c r="AL92" i="356"/>
  <c r="AL93" i="356"/>
  <c r="AL94" i="356"/>
  <c r="AL95" i="356"/>
  <c r="AL96" i="356"/>
  <c r="AL97" i="356"/>
  <c r="AL98" i="356"/>
  <c r="AL99" i="356"/>
  <c r="AL100" i="356"/>
  <c r="AL101" i="356"/>
  <c r="AL102" i="356"/>
  <c r="AL103" i="356"/>
  <c r="AL104" i="356"/>
  <c r="AL105" i="356"/>
  <c r="AL106" i="356"/>
  <c r="AL107" i="356"/>
  <c r="AL108" i="356"/>
  <c r="AL109" i="356"/>
  <c r="AL110" i="356"/>
  <c r="AL111" i="356"/>
  <c r="AL112" i="356"/>
  <c r="AL113" i="356"/>
  <c r="AL114" i="356"/>
  <c r="AL115" i="356"/>
  <c r="AL116" i="356"/>
  <c r="AL117" i="356"/>
  <c r="AL118" i="356"/>
  <c r="AL119" i="356"/>
  <c r="AL120" i="356"/>
  <c r="AL121" i="356"/>
  <c r="AL122" i="356"/>
  <c r="AL123" i="356"/>
  <c r="AL124" i="356"/>
  <c r="AL125" i="356"/>
  <c r="AL126" i="356"/>
  <c r="AL127" i="356"/>
  <c r="AL128" i="356"/>
  <c r="AL129" i="356"/>
  <c r="AL130" i="356"/>
  <c r="AL131" i="356"/>
  <c r="AL132" i="356"/>
  <c r="AL133" i="356"/>
  <c r="AL134" i="356"/>
  <c r="AL135" i="356"/>
  <c r="AL136" i="356"/>
  <c r="AL137" i="356"/>
  <c r="AL138" i="356"/>
  <c r="AL139" i="356"/>
  <c r="AL140" i="356"/>
  <c r="AL141" i="356"/>
  <c r="AL142" i="356"/>
  <c r="AL143" i="356"/>
  <c r="AL144" i="356"/>
  <c r="AL145" i="356"/>
  <c r="AL146" i="356"/>
  <c r="AL147" i="356"/>
  <c r="AL148" i="356"/>
  <c r="AL149" i="356"/>
  <c r="AL150" i="356"/>
  <c r="AL151" i="356"/>
  <c r="AL152" i="356"/>
  <c r="AL153" i="356"/>
  <c r="AL154" i="356"/>
  <c r="AL155" i="356"/>
  <c r="AL156" i="356"/>
  <c r="AL157" i="356"/>
  <c r="AL158" i="356"/>
  <c r="AL159" i="356"/>
  <c r="AL160" i="356"/>
  <c r="AL161" i="356"/>
  <c r="AL162" i="356"/>
  <c r="AL163" i="356"/>
  <c r="AL164" i="356"/>
  <c r="AL165" i="356"/>
  <c r="AL166" i="356"/>
  <c r="AL167" i="356"/>
  <c r="AL168" i="356"/>
  <c r="AL169" i="356"/>
  <c r="AL170" i="356"/>
  <c r="AL171" i="356"/>
  <c r="AL172" i="356"/>
  <c r="AL173" i="356"/>
  <c r="AL174" i="356"/>
  <c r="AL175" i="356"/>
  <c r="AL176" i="356"/>
  <c r="AL177" i="356"/>
  <c r="AL178" i="356"/>
  <c r="AL179" i="356"/>
  <c r="AL180" i="356"/>
  <c r="AL181" i="356"/>
  <c r="AL182" i="356"/>
  <c r="AL183" i="356"/>
  <c r="AL184" i="356"/>
  <c r="AL185" i="356"/>
  <c r="AL186" i="356"/>
  <c r="AL187" i="356"/>
  <c r="AL189" i="356"/>
  <c r="AL190" i="356"/>
  <c r="AL191" i="356"/>
  <c r="AL192" i="356"/>
  <c r="AL193" i="356"/>
  <c r="AL194" i="356"/>
  <c r="AL195" i="356"/>
  <c r="AL196" i="356"/>
  <c r="AL197" i="356"/>
  <c r="AL198" i="356"/>
  <c r="AL199" i="356"/>
  <c r="AL200" i="356"/>
  <c r="AL201" i="356"/>
  <c r="AL202" i="356"/>
  <c r="AL203" i="356"/>
  <c r="AL204" i="356"/>
  <c r="AL205" i="356"/>
  <c r="AL206" i="356"/>
  <c r="AL207" i="356"/>
  <c r="AL208" i="356"/>
  <c r="AL209" i="356"/>
  <c r="AL210" i="356"/>
  <c r="AL211" i="356"/>
  <c r="AL212" i="356"/>
  <c r="AL213" i="356"/>
  <c r="AL214" i="356"/>
  <c r="AL215" i="356"/>
  <c r="AL216" i="356"/>
  <c r="AL217" i="356"/>
  <c r="AL218" i="356"/>
  <c r="AL219" i="356"/>
  <c r="AL220" i="356"/>
  <c r="AL221" i="356"/>
  <c r="AL222" i="356"/>
  <c r="AL224" i="356"/>
  <c r="AL225" i="356"/>
  <c r="AL226" i="356"/>
  <c r="AL227" i="356"/>
  <c r="AL228" i="356"/>
  <c r="AL229" i="356"/>
  <c r="AL230" i="356"/>
  <c r="AL231" i="356"/>
  <c r="AL232" i="356"/>
  <c r="AL233" i="356"/>
  <c r="AL234" i="356"/>
  <c r="AL235" i="356"/>
  <c r="AL236" i="356"/>
  <c r="AL237" i="356"/>
  <c r="AL238" i="356"/>
  <c r="AL239" i="356"/>
  <c r="AL240" i="356"/>
  <c r="AL241" i="356"/>
  <c r="AL242" i="356"/>
  <c r="AL243" i="356"/>
  <c r="AL244" i="356"/>
  <c r="AL245" i="356"/>
  <c r="AL246" i="356"/>
  <c r="AL247" i="356"/>
  <c r="AL248" i="356"/>
  <c r="AL249" i="356"/>
  <c r="AL250" i="356"/>
  <c r="AL251" i="356"/>
  <c r="AL252" i="356"/>
  <c r="AL253" i="356"/>
  <c r="AL254" i="356"/>
  <c r="AL255" i="356"/>
  <c r="AL256" i="356"/>
  <c r="AA256" i="356" s="1"/>
  <c r="AL257" i="356"/>
  <c r="AL258" i="356"/>
  <c r="AA258" i="356" s="1"/>
  <c r="AL259" i="356"/>
  <c r="AL260" i="356"/>
  <c r="AA260" i="356" s="1"/>
  <c r="AL261" i="356"/>
  <c r="AL262" i="356"/>
  <c r="AA262" i="356" s="1"/>
  <c r="AL263" i="356"/>
  <c r="AL264" i="356"/>
  <c r="AA264" i="356" s="1"/>
  <c r="AL265" i="356"/>
  <c r="AL266" i="356"/>
  <c r="AA266" i="356" s="1"/>
  <c r="AL267" i="356"/>
  <c r="AL268" i="356"/>
  <c r="AA268" i="356" s="1"/>
  <c r="AL269" i="356"/>
  <c r="AL270" i="356"/>
  <c r="AA270" i="356" s="1"/>
  <c r="AL271" i="356"/>
  <c r="AL272" i="356"/>
  <c r="AA272" i="356" s="1"/>
  <c r="AL273" i="356"/>
  <c r="AL274" i="356"/>
  <c r="AA274" i="356" s="1"/>
  <c r="AL275" i="356"/>
  <c r="AL276" i="356"/>
  <c r="AA276" i="356" s="1"/>
  <c r="C20" i="95" s="1"/>
  <c r="AL277" i="356"/>
  <c r="AL278" i="356"/>
  <c r="AL279" i="356"/>
  <c r="AL280" i="356"/>
  <c r="AL281" i="356"/>
  <c r="AL282" i="356"/>
  <c r="AL283" i="356"/>
  <c r="AL284" i="356"/>
  <c r="AL285" i="356"/>
  <c r="AL286" i="356"/>
  <c r="AL287" i="356"/>
  <c r="AL288" i="356"/>
  <c r="AL289" i="356"/>
  <c r="AL290" i="356"/>
  <c r="AL291" i="356"/>
  <c r="AL292" i="356"/>
  <c r="AL293" i="356"/>
  <c r="AL294" i="356"/>
  <c r="AL295" i="356"/>
  <c r="AL296" i="356"/>
  <c r="AL297" i="356"/>
  <c r="AL298" i="356"/>
  <c r="AL299" i="356"/>
  <c r="AL300" i="356"/>
  <c r="AL301" i="356"/>
  <c r="AL302" i="356"/>
  <c r="AL303" i="356"/>
  <c r="AL304" i="356"/>
  <c r="AL305" i="356"/>
  <c r="AL306" i="356"/>
  <c r="AL307" i="356"/>
  <c r="AL308" i="356"/>
  <c r="AL309" i="356"/>
  <c r="AL310" i="356"/>
  <c r="AL311" i="356"/>
  <c r="AL312" i="356"/>
  <c r="AL313" i="356"/>
  <c r="AL314" i="356"/>
  <c r="AL315" i="356"/>
  <c r="AL316" i="356"/>
  <c r="AL317" i="356"/>
  <c r="AL318" i="356"/>
  <c r="AL319" i="356"/>
  <c r="AL320" i="356"/>
  <c r="AL321" i="356"/>
  <c r="AL322" i="356"/>
  <c r="AL323" i="356"/>
  <c r="AL324" i="356"/>
  <c r="AL325" i="356"/>
  <c r="AL326" i="356"/>
  <c r="AL327" i="356"/>
  <c r="AL328" i="356"/>
  <c r="AL329" i="356"/>
  <c r="AL330" i="356"/>
  <c r="AL331" i="356"/>
  <c r="AL332" i="356"/>
  <c r="AL333" i="356"/>
  <c r="AL334" i="356"/>
  <c r="AL335" i="356"/>
  <c r="AL336" i="356"/>
  <c r="AL337" i="356"/>
  <c r="AL338" i="356"/>
  <c r="AL339" i="356"/>
  <c r="AL340" i="356"/>
  <c r="AL341" i="356"/>
  <c r="AL342" i="356"/>
  <c r="AL343" i="356"/>
  <c r="AL344" i="356"/>
  <c r="AL345" i="356"/>
  <c r="AL346" i="356"/>
  <c r="AL347" i="356"/>
  <c r="AL348" i="356"/>
  <c r="AL349" i="356"/>
  <c r="AL350" i="356"/>
  <c r="AL351" i="356"/>
  <c r="AL352" i="356"/>
  <c r="AL353" i="356"/>
  <c r="AL354" i="356"/>
  <c r="AL355" i="356"/>
  <c r="AL356" i="356"/>
  <c r="AL357" i="356"/>
  <c r="AL358" i="356"/>
  <c r="AL359" i="356"/>
  <c r="AL360" i="356"/>
  <c r="AL361" i="356"/>
  <c r="AL362" i="356"/>
  <c r="AL363" i="356"/>
  <c r="AL364" i="356"/>
  <c r="AL365" i="356"/>
  <c r="AL366" i="356"/>
  <c r="AL367" i="356"/>
  <c r="AL368" i="356"/>
  <c r="AL369" i="356"/>
  <c r="AL370" i="356"/>
  <c r="AL371" i="356"/>
  <c r="AL372" i="356"/>
  <c r="AL373" i="356"/>
  <c r="AL374" i="356"/>
  <c r="AL375" i="356"/>
  <c r="AL376" i="356"/>
  <c r="AL377" i="356"/>
  <c r="AL378" i="356"/>
  <c r="AL379" i="356"/>
  <c r="AL380" i="356"/>
  <c r="AL381" i="356"/>
  <c r="AL382" i="356"/>
  <c r="AL383" i="356"/>
  <c r="AL384" i="356"/>
  <c r="AL385" i="356"/>
  <c r="AL386" i="356"/>
  <c r="AL387" i="356"/>
  <c r="AL388" i="356"/>
  <c r="AL389" i="356"/>
  <c r="AL390" i="356"/>
  <c r="AL391" i="356"/>
  <c r="AL392" i="356"/>
  <c r="AL393" i="356"/>
  <c r="AL394" i="356"/>
  <c r="AL395" i="356"/>
  <c r="AL396" i="356"/>
  <c r="AL397" i="356"/>
  <c r="AL398" i="356"/>
  <c r="AL399" i="356"/>
  <c r="AL400" i="356"/>
  <c r="AL401" i="356"/>
  <c r="AL402" i="356"/>
  <c r="AL403" i="356"/>
  <c r="AL404" i="356"/>
  <c r="AL405" i="356"/>
  <c r="AL406" i="356"/>
  <c r="AL407" i="356"/>
  <c r="AL408" i="356"/>
  <c r="AL409" i="356"/>
  <c r="AL410" i="356"/>
  <c r="AL411" i="356"/>
  <c r="AL412" i="356"/>
  <c r="AL413" i="356"/>
  <c r="AL414" i="356"/>
  <c r="AL415" i="356"/>
  <c r="AL416" i="356"/>
  <c r="AL417" i="356"/>
  <c r="AL418" i="356"/>
  <c r="AL419" i="356"/>
  <c r="AL420" i="356"/>
  <c r="AL421" i="356"/>
  <c r="AL422" i="356"/>
  <c r="AL423" i="356"/>
  <c r="AL424" i="356"/>
  <c r="AL425" i="356"/>
  <c r="AL426" i="356"/>
  <c r="AL427" i="356"/>
  <c r="AL428" i="356"/>
  <c r="AL429" i="356"/>
  <c r="AL430" i="356"/>
  <c r="AL431" i="356"/>
  <c r="AL432" i="356"/>
  <c r="AL433" i="356"/>
  <c r="AL434" i="356"/>
  <c r="AL435" i="356"/>
  <c r="AL436" i="356"/>
  <c r="AL437" i="356"/>
  <c r="AL438" i="356"/>
  <c r="AL439" i="356"/>
  <c r="AL440" i="356"/>
  <c r="AL441" i="356"/>
  <c r="AL442" i="356"/>
  <c r="AL443" i="356"/>
  <c r="AL444" i="356"/>
  <c r="AL445" i="356"/>
  <c r="AL446" i="356"/>
  <c r="AL447" i="356"/>
  <c r="AL448" i="356"/>
  <c r="AL449" i="356"/>
  <c r="AL450" i="356"/>
  <c r="AL451" i="356"/>
  <c r="AL452" i="356"/>
  <c r="AL453" i="356"/>
  <c r="AL454" i="356"/>
  <c r="AL455" i="356"/>
  <c r="AL456" i="356"/>
  <c r="AL457" i="356"/>
  <c r="AL458" i="356"/>
  <c r="AL459" i="356"/>
  <c r="AL460" i="356"/>
  <c r="AL461" i="356"/>
  <c r="AL462" i="356"/>
  <c r="AL463" i="356"/>
  <c r="AL464" i="356"/>
  <c r="AL465" i="356"/>
  <c r="AL466" i="356"/>
  <c r="AL467" i="356"/>
  <c r="AL468" i="356"/>
  <c r="AL469" i="356"/>
  <c r="AL470" i="356"/>
  <c r="AL471" i="356"/>
  <c r="AL472" i="356"/>
  <c r="AL473" i="356"/>
  <c r="AL474" i="356"/>
  <c r="AL475" i="356"/>
  <c r="AL476" i="356"/>
  <c r="AL477" i="356"/>
  <c r="AL478" i="356"/>
  <c r="AL479" i="356"/>
  <c r="AL480" i="356"/>
  <c r="AL481" i="356"/>
  <c r="AL482" i="356"/>
  <c r="AL483" i="356"/>
  <c r="AL484" i="356"/>
  <c r="AL485" i="356"/>
  <c r="AL486" i="356"/>
  <c r="AL487" i="356"/>
  <c r="AL488" i="356"/>
  <c r="AL489" i="356"/>
  <c r="AL490" i="356"/>
  <c r="AL491" i="356"/>
  <c r="AL492" i="356"/>
  <c r="AL493" i="356"/>
  <c r="AL494" i="356"/>
  <c r="AL495" i="356"/>
  <c r="AL496" i="356"/>
  <c r="AL497" i="356"/>
  <c r="AL498" i="356"/>
  <c r="O40" i="95"/>
  <c r="P40" i="95"/>
  <c r="AL500" i="356"/>
  <c r="AL501" i="356"/>
  <c r="AL502" i="356"/>
  <c r="AL503" i="356"/>
  <c r="AL504" i="356"/>
  <c r="AL505" i="356"/>
  <c r="AL506" i="356"/>
  <c r="AL507" i="356"/>
  <c r="AL508" i="356"/>
  <c r="AL509" i="356"/>
  <c r="AL510" i="356"/>
  <c r="AL511" i="356"/>
  <c r="AL512" i="356"/>
  <c r="AL513" i="356"/>
  <c r="AL514" i="356"/>
  <c r="AL515" i="356"/>
  <c r="AL516" i="356"/>
  <c r="AL517" i="356"/>
  <c r="AL518" i="356"/>
  <c r="AL519" i="356"/>
  <c r="AL520" i="356"/>
  <c r="AL521" i="356"/>
  <c r="AL522" i="356"/>
  <c r="AL523" i="356"/>
  <c r="AL524" i="356"/>
  <c r="AL525" i="356"/>
  <c r="AL526" i="356"/>
  <c r="AL527" i="356"/>
  <c r="AL528" i="356"/>
  <c r="AL529" i="356"/>
  <c r="AL530" i="356"/>
  <c r="AL531" i="356"/>
  <c r="AL532" i="356"/>
  <c r="AL533" i="356"/>
  <c r="AL534" i="356"/>
  <c r="AL535" i="356"/>
  <c r="AL536" i="356"/>
  <c r="AL537" i="356"/>
  <c r="AL538" i="356"/>
  <c r="AL539" i="356"/>
  <c r="AL540" i="356"/>
  <c r="AL541" i="356"/>
  <c r="AL542" i="356"/>
  <c r="AL543" i="356"/>
  <c r="AL544" i="356"/>
  <c r="AL545" i="356"/>
  <c r="AL546" i="356"/>
  <c r="AL547" i="356"/>
  <c r="AL548" i="356"/>
  <c r="AL549" i="356"/>
  <c r="AL550" i="356"/>
  <c r="AL551" i="356"/>
  <c r="AL552" i="356"/>
  <c r="AL553" i="356"/>
  <c r="AL554" i="356"/>
  <c r="AL555" i="356"/>
  <c r="AL556" i="356"/>
  <c r="AL557" i="356"/>
  <c r="AL558" i="356"/>
  <c r="AL559" i="356"/>
  <c r="AL560" i="356"/>
  <c r="AL561" i="356"/>
  <c r="AL562" i="356"/>
  <c r="AL563" i="356"/>
  <c r="K63" i="349"/>
  <c r="O41" i="95"/>
  <c r="P41" i="95"/>
  <c r="J61" i="349"/>
  <c r="K12" i="349"/>
  <c r="L44" i="338"/>
  <c r="L43" i="338" s="1"/>
  <c r="P21" i="137"/>
  <c r="A24" i="249"/>
  <c r="A23" i="249"/>
  <c r="A22" i="249"/>
  <c r="A21" i="249"/>
  <c r="A20" i="249"/>
  <c r="A19" i="249"/>
  <c r="A18" i="249"/>
  <c r="A17" i="249"/>
  <c r="K9" i="144"/>
  <c r="K17" i="144" s="1"/>
  <c r="J9" i="144"/>
  <c r="J17" i="144" s="1"/>
  <c r="I9" i="144"/>
  <c r="I5" i="144"/>
  <c r="H9" i="144"/>
  <c r="G9" i="144"/>
  <c r="F9" i="144"/>
  <c r="E9" i="144"/>
  <c r="D9" i="144"/>
  <c r="H5" i="144"/>
  <c r="G5" i="144"/>
  <c r="F5" i="144"/>
  <c r="E5" i="144"/>
  <c r="D5" i="144"/>
  <c r="C9" i="144"/>
  <c r="C5" i="144"/>
  <c r="A34" i="246"/>
  <c r="O2" i="246"/>
  <c r="N2" i="246"/>
  <c r="M2" i="246"/>
  <c r="L2" i="246"/>
  <c r="L34" i="246" s="1"/>
  <c r="K2" i="246"/>
  <c r="J2" i="246"/>
  <c r="I2" i="246"/>
  <c r="H2" i="246"/>
  <c r="G2" i="246"/>
  <c r="F2" i="246"/>
  <c r="E2" i="246"/>
  <c r="D2" i="246"/>
  <c r="C2" i="246"/>
  <c r="G9" i="349"/>
  <c r="D56" i="123"/>
  <c r="E79" i="134"/>
  <c r="K74" i="349"/>
  <c r="K73" i="349" s="1"/>
  <c r="J74" i="349"/>
  <c r="J73" i="349" s="1"/>
  <c r="I74" i="349"/>
  <c r="I73" i="349" s="1"/>
  <c r="H74" i="349"/>
  <c r="H73" i="349" s="1"/>
  <c r="G74" i="349"/>
  <c r="F74" i="349"/>
  <c r="F73" i="349" s="1"/>
  <c r="E74" i="349"/>
  <c r="D74" i="349"/>
  <c r="D73" i="349" s="1"/>
  <c r="C74" i="349"/>
  <c r="C73" i="349" s="1"/>
  <c r="J63" i="349"/>
  <c r="G63" i="349"/>
  <c r="E63" i="349"/>
  <c r="D63" i="349"/>
  <c r="C63" i="349"/>
  <c r="K62" i="349"/>
  <c r="J62" i="349"/>
  <c r="I62" i="349"/>
  <c r="H62" i="349"/>
  <c r="G62" i="349"/>
  <c r="E62" i="349"/>
  <c r="D62" i="349"/>
  <c r="C62" i="349"/>
  <c r="K61" i="349"/>
  <c r="I61" i="349"/>
  <c r="G61" i="349"/>
  <c r="E61" i="349"/>
  <c r="D61" i="349"/>
  <c r="C61" i="349"/>
  <c r="J60" i="349"/>
  <c r="G60" i="349"/>
  <c r="E60" i="349"/>
  <c r="D60" i="349"/>
  <c r="C60" i="349"/>
  <c r="K59" i="349"/>
  <c r="J59" i="349"/>
  <c r="I59" i="349"/>
  <c r="G59" i="349"/>
  <c r="E59" i="349"/>
  <c r="D59" i="349"/>
  <c r="C59" i="349"/>
  <c r="K58" i="349"/>
  <c r="J58" i="349"/>
  <c r="I58" i="349"/>
  <c r="H58" i="349"/>
  <c r="G58" i="349"/>
  <c r="E58" i="349"/>
  <c r="D58" i="349"/>
  <c r="C58" i="349"/>
  <c r="K57" i="349"/>
  <c r="J57" i="349"/>
  <c r="I57" i="349"/>
  <c r="H57" i="349"/>
  <c r="G57" i="349"/>
  <c r="E57" i="349"/>
  <c r="D57" i="349"/>
  <c r="C57" i="349"/>
  <c r="K56" i="349"/>
  <c r="J56" i="349"/>
  <c r="I56" i="349"/>
  <c r="G56" i="349"/>
  <c r="E56" i="349"/>
  <c r="D56" i="349"/>
  <c r="C56" i="349"/>
  <c r="K55" i="349"/>
  <c r="J55" i="349"/>
  <c r="I55" i="349"/>
  <c r="G55" i="349"/>
  <c r="E55" i="349"/>
  <c r="D55" i="349"/>
  <c r="C55" i="349"/>
  <c r="K54" i="349"/>
  <c r="J54" i="349"/>
  <c r="I54" i="349"/>
  <c r="G54" i="349"/>
  <c r="E54" i="349"/>
  <c r="D54" i="349"/>
  <c r="C54" i="349"/>
  <c r="K53" i="349"/>
  <c r="J53" i="349"/>
  <c r="I53" i="349"/>
  <c r="H53" i="349"/>
  <c r="G53" i="349"/>
  <c r="E53" i="349"/>
  <c r="D53" i="349"/>
  <c r="C53" i="349"/>
  <c r="K52" i="349"/>
  <c r="I52" i="349"/>
  <c r="G52" i="349"/>
  <c r="E52" i="349"/>
  <c r="D52" i="349"/>
  <c r="C52" i="349"/>
  <c r="K49" i="349"/>
  <c r="J49" i="349"/>
  <c r="I49" i="349"/>
  <c r="H49" i="349"/>
  <c r="G49" i="349"/>
  <c r="E49" i="349"/>
  <c r="D49" i="349"/>
  <c r="C49" i="349"/>
  <c r="K48" i="349"/>
  <c r="K47" i="349" s="1"/>
  <c r="K78" i="248" s="1"/>
  <c r="J48" i="349"/>
  <c r="J47" i="349" s="1"/>
  <c r="J78" i="248" s="1"/>
  <c r="I48" i="349"/>
  <c r="H48" i="349"/>
  <c r="G48" i="349"/>
  <c r="E48" i="349"/>
  <c r="D48" i="349"/>
  <c r="C48" i="349"/>
  <c r="K45" i="349"/>
  <c r="J45" i="349"/>
  <c r="I45" i="349"/>
  <c r="H45" i="349"/>
  <c r="G45" i="349"/>
  <c r="E45" i="349"/>
  <c r="D45" i="349"/>
  <c r="C45" i="349"/>
  <c r="K44" i="349"/>
  <c r="K43" i="349" s="1"/>
  <c r="K77" i="248" s="1"/>
  <c r="J44" i="349"/>
  <c r="J43" i="349" s="1"/>
  <c r="J77" i="248" s="1"/>
  <c r="I44" i="349"/>
  <c r="H44" i="349"/>
  <c r="G44" i="349"/>
  <c r="G43" i="349" s="1"/>
  <c r="G77" i="248" s="1"/>
  <c r="E44" i="349"/>
  <c r="D44" i="349"/>
  <c r="C44" i="349"/>
  <c r="C41" i="349"/>
  <c r="K41" i="349"/>
  <c r="J41" i="349"/>
  <c r="I41" i="349"/>
  <c r="H41" i="349"/>
  <c r="G41" i="349"/>
  <c r="E41" i="349"/>
  <c r="D41" i="349"/>
  <c r="K40" i="349"/>
  <c r="J40" i="349"/>
  <c r="I40" i="349"/>
  <c r="H40" i="349"/>
  <c r="G40" i="349"/>
  <c r="E40" i="349"/>
  <c r="D40" i="349"/>
  <c r="C40" i="349"/>
  <c r="K39" i="349"/>
  <c r="J39" i="349"/>
  <c r="I39" i="349"/>
  <c r="H39" i="349"/>
  <c r="G39" i="349"/>
  <c r="E39" i="349"/>
  <c r="D39" i="349"/>
  <c r="C39" i="349"/>
  <c r="K38" i="349"/>
  <c r="J38" i="349"/>
  <c r="I38" i="349"/>
  <c r="H38" i="349"/>
  <c r="G38" i="349"/>
  <c r="E38" i="349"/>
  <c r="D38" i="349"/>
  <c r="C38" i="349"/>
  <c r="K37" i="349"/>
  <c r="J37" i="349"/>
  <c r="I37" i="349"/>
  <c r="H37" i="349"/>
  <c r="G37" i="349"/>
  <c r="E37" i="349"/>
  <c r="D37" i="349"/>
  <c r="C37" i="349"/>
  <c r="K36" i="349"/>
  <c r="J36" i="349"/>
  <c r="I36" i="349"/>
  <c r="H36" i="349"/>
  <c r="G36" i="349"/>
  <c r="E36" i="349"/>
  <c r="D36" i="349"/>
  <c r="C36" i="349"/>
  <c r="K35" i="349"/>
  <c r="J35" i="349"/>
  <c r="I35" i="349"/>
  <c r="H35" i="349"/>
  <c r="G35" i="349"/>
  <c r="E35" i="349"/>
  <c r="D35" i="349"/>
  <c r="C35" i="349"/>
  <c r="K34" i="349"/>
  <c r="J34" i="349"/>
  <c r="I34" i="349"/>
  <c r="H34" i="349"/>
  <c r="G34" i="349"/>
  <c r="E34" i="349"/>
  <c r="D34" i="349"/>
  <c r="C34" i="349"/>
  <c r="K33" i="349"/>
  <c r="J33" i="349"/>
  <c r="I33" i="349"/>
  <c r="H33" i="349"/>
  <c r="G33" i="349"/>
  <c r="E33" i="349"/>
  <c r="D33" i="349"/>
  <c r="C33" i="349"/>
  <c r="K32" i="349"/>
  <c r="J32" i="349"/>
  <c r="I32" i="349"/>
  <c r="H32" i="349"/>
  <c r="G32" i="349"/>
  <c r="E32" i="349"/>
  <c r="D32" i="349"/>
  <c r="C32" i="349"/>
  <c r="K31" i="349"/>
  <c r="J31" i="349"/>
  <c r="I31" i="349"/>
  <c r="H31" i="349"/>
  <c r="G31" i="349"/>
  <c r="E31" i="349"/>
  <c r="D31" i="349"/>
  <c r="C31" i="349"/>
  <c r="K30" i="349"/>
  <c r="J30" i="349"/>
  <c r="I30" i="349"/>
  <c r="H30" i="349"/>
  <c r="G30" i="349"/>
  <c r="E30" i="349"/>
  <c r="D30" i="349"/>
  <c r="C30" i="349"/>
  <c r="K29" i="349"/>
  <c r="J29" i="349"/>
  <c r="I29" i="349"/>
  <c r="H29" i="349"/>
  <c r="G29" i="349"/>
  <c r="E29" i="349"/>
  <c r="D29" i="349"/>
  <c r="C29" i="349"/>
  <c r="K28" i="349"/>
  <c r="J28" i="349"/>
  <c r="I28" i="349"/>
  <c r="H28" i="349"/>
  <c r="G28" i="349"/>
  <c r="E28" i="349"/>
  <c r="D28" i="349"/>
  <c r="C28" i="349"/>
  <c r="K25" i="349"/>
  <c r="J25" i="349"/>
  <c r="I25" i="349"/>
  <c r="H25" i="349"/>
  <c r="G25" i="349"/>
  <c r="E25" i="349"/>
  <c r="D25" i="349"/>
  <c r="C25" i="349"/>
  <c r="K24" i="349"/>
  <c r="J24" i="349"/>
  <c r="I24" i="349"/>
  <c r="H24" i="349"/>
  <c r="G24" i="349"/>
  <c r="E24" i="349"/>
  <c r="D24" i="349"/>
  <c r="C24" i="349"/>
  <c r="K23" i="349"/>
  <c r="J23" i="349"/>
  <c r="I23" i="349"/>
  <c r="H23" i="349"/>
  <c r="G23" i="349"/>
  <c r="E23" i="349"/>
  <c r="D23" i="349"/>
  <c r="C23" i="349"/>
  <c r="K22" i="349"/>
  <c r="K21" i="349" s="1"/>
  <c r="K74" i="248" s="1"/>
  <c r="J22" i="349"/>
  <c r="I22" i="349"/>
  <c r="H22" i="349"/>
  <c r="H21" i="349" s="1"/>
  <c r="H74" i="248" s="1"/>
  <c r="G22" i="349"/>
  <c r="E22" i="349"/>
  <c r="D22" i="349"/>
  <c r="C22" i="349"/>
  <c r="K20" i="349"/>
  <c r="J20" i="349"/>
  <c r="I20" i="349"/>
  <c r="H20" i="349"/>
  <c r="G20" i="349"/>
  <c r="E20" i="349"/>
  <c r="D20" i="349"/>
  <c r="C20" i="349"/>
  <c r="K19" i="349"/>
  <c r="K18" i="349" s="1"/>
  <c r="K73" i="248" s="1"/>
  <c r="J19" i="349"/>
  <c r="J18" i="349" s="1"/>
  <c r="J73" i="248" s="1"/>
  <c r="I19" i="349"/>
  <c r="G19" i="349"/>
  <c r="E19" i="349"/>
  <c r="D19" i="349"/>
  <c r="C19" i="349"/>
  <c r="J17" i="349"/>
  <c r="G17" i="349"/>
  <c r="E17" i="349"/>
  <c r="D17" i="349"/>
  <c r="C17" i="349"/>
  <c r="K16" i="349"/>
  <c r="J16" i="349"/>
  <c r="I16" i="349"/>
  <c r="H16" i="349"/>
  <c r="G16" i="349"/>
  <c r="E16" i="349"/>
  <c r="D16" i="349"/>
  <c r="C16" i="349"/>
  <c r="K15" i="349"/>
  <c r="J15" i="349"/>
  <c r="J14" i="349" s="1"/>
  <c r="J72" i="248" s="1"/>
  <c r="I15" i="349"/>
  <c r="H15" i="349"/>
  <c r="G15" i="349"/>
  <c r="E15" i="349"/>
  <c r="D15" i="349"/>
  <c r="C15" i="349"/>
  <c r="K13" i="349"/>
  <c r="J13" i="349"/>
  <c r="I13" i="349"/>
  <c r="G13" i="349"/>
  <c r="E13" i="349"/>
  <c r="D13" i="349"/>
  <c r="C13" i="349"/>
  <c r="J12" i="349"/>
  <c r="G12" i="349"/>
  <c r="E12" i="349"/>
  <c r="D12" i="349"/>
  <c r="C12" i="349"/>
  <c r="K11" i="349"/>
  <c r="J11" i="349"/>
  <c r="J10" i="349" s="1"/>
  <c r="I11" i="349"/>
  <c r="H11" i="349"/>
  <c r="G11" i="349"/>
  <c r="E11" i="349"/>
  <c r="D11" i="349"/>
  <c r="C11" i="349"/>
  <c r="K9" i="349"/>
  <c r="J9" i="349"/>
  <c r="I9" i="349"/>
  <c r="H9" i="349"/>
  <c r="E9" i="349"/>
  <c r="D9" i="349"/>
  <c r="C9" i="349"/>
  <c r="I8" i="349"/>
  <c r="G8" i="349"/>
  <c r="E8" i="349"/>
  <c r="D8" i="349"/>
  <c r="C8" i="349"/>
  <c r="J61" i="338"/>
  <c r="J53" i="123"/>
  <c r="J63" i="338"/>
  <c r="J18" i="338"/>
  <c r="J19" i="338"/>
  <c r="H31" i="237"/>
  <c r="I31" i="237" s="1"/>
  <c r="I30" i="237"/>
  <c r="H29" i="237"/>
  <c r="I29" i="237" s="1"/>
  <c r="L57" i="237"/>
  <c r="K57" i="237"/>
  <c r="J57" i="237"/>
  <c r="I57" i="237"/>
  <c r="H57" i="237"/>
  <c r="G57" i="237"/>
  <c r="F57" i="237"/>
  <c r="H55" i="237"/>
  <c r="G55" i="237"/>
  <c r="F55" i="237"/>
  <c r="E57" i="237"/>
  <c r="E55" i="237"/>
  <c r="D57" i="237"/>
  <c r="D55" i="237"/>
  <c r="C57" i="237"/>
  <c r="C55" i="237"/>
  <c r="P241" i="256"/>
  <c r="C127" i="343"/>
  <c r="K241" i="256"/>
  <c r="K254" i="256"/>
  <c r="O16" i="299"/>
  <c r="O15" i="299"/>
  <c r="Q14" i="299"/>
  <c r="P14" i="299"/>
  <c r="O14" i="299"/>
  <c r="Q13" i="299"/>
  <c r="O13" i="299"/>
  <c r="P12" i="299"/>
  <c r="O12" i="299"/>
  <c r="Q11" i="299"/>
  <c r="P11" i="298"/>
  <c r="O11" i="298"/>
  <c r="Q10" i="299"/>
  <c r="P10" i="299"/>
  <c r="P9" i="299"/>
  <c r="O9" i="299"/>
  <c r="Q6" i="299"/>
  <c r="P564" i="356"/>
  <c r="O564" i="356"/>
  <c r="N564" i="356"/>
  <c r="Q41" i="137"/>
  <c r="P41" i="137"/>
  <c r="O41" i="137"/>
  <c r="K19" i="338"/>
  <c r="Q35" i="137"/>
  <c r="P35" i="137"/>
  <c r="O35" i="137"/>
  <c r="L50" i="338"/>
  <c r="K50" i="338"/>
  <c r="H50" i="338"/>
  <c r="F50" i="338"/>
  <c r="E50" i="338"/>
  <c r="D50" i="338"/>
  <c r="Q31" i="137"/>
  <c r="P42" i="95" s="1"/>
  <c r="P31" i="137"/>
  <c r="O42" i="95" s="1"/>
  <c r="O31" i="137"/>
  <c r="Q29" i="137"/>
  <c r="P39" i="95" s="1"/>
  <c r="J31" i="128"/>
  <c r="F44" i="338"/>
  <c r="F43" i="338" s="1"/>
  <c r="D44" i="338"/>
  <c r="D43" i="338" s="1"/>
  <c r="Q27" i="137"/>
  <c r="P27" i="137"/>
  <c r="O27" i="137"/>
  <c r="O26" i="137"/>
  <c r="N37" i="95" s="1"/>
  <c r="G100" i="123"/>
  <c r="F100" i="123"/>
  <c r="Q21" i="137"/>
  <c r="O21" i="137"/>
  <c r="M18" i="338"/>
  <c r="K18" i="338"/>
  <c r="Q18" i="137"/>
  <c r="P18" i="95" s="1"/>
  <c r="P18" i="137"/>
  <c r="O18" i="95" s="1"/>
  <c r="O18" i="137"/>
  <c r="Q17" i="137"/>
  <c r="P17" i="95" s="1"/>
  <c r="O17" i="137"/>
  <c r="N17" i="95" s="1"/>
  <c r="G12" i="338"/>
  <c r="F12" i="338"/>
  <c r="D12" i="338"/>
  <c r="M22" i="338"/>
  <c r="L22" i="338"/>
  <c r="K22" i="338"/>
  <c r="H22" i="338"/>
  <c r="G22" i="338"/>
  <c r="F22" i="338"/>
  <c r="E22" i="338"/>
  <c r="D22" i="338"/>
  <c r="Q15" i="137"/>
  <c r="P15" i="95" s="1"/>
  <c r="P15" i="137"/>
  <c r="O15" i="95" s="1"/>
  <c r="O15" i="137"/>
  <c r="N15" i="95" s="1"/>
  <c r="Q14" i="137"/>
  <c r="P14" i="95" s="1"/>
  <c r="P14" i="137"/>
  <c r="O14" i="95" s="1"/>
  <c r="O14" i="137"/>
  <c r="N14" i="95" s="1"/>
  <c r="P13" i="137"/>
  <c r="O13" i="95" s="1"/>
  <c r="K24" i="338"/>
  <c r="H24" i="338"/>
  <c r="L51" i="123"/>
  <c r="H51" i="123"/>
  <c r="G51" i="123"/>
  <c r="F51" i="123"/>
  <c r="E51" i="123"/>
  <c r="M50" i="123"/>
  <c r="P11" i="137"/>
  <c r="O11" i="95" s="1"/>
  <c r="K50" i="123"/>
  <c r="J50" i="123"/>
  <c r="I50" i="123"/>
  <c r="H50" i="123"/>
  <c r="G50" i="123"/>
  <c r="F50" i="123"/>
  <c r="E50" i="123"/>
  <c r="D50" i="123"/>
  <c r="Q6" i="137"/>
  <c r="P6" i="137"/>
  <c r="O6" i="137"/>
  <c r="D51" i="123"/>
  <c r="J10" i="338"/>
  <c r="D10" i="338"/>
  <c r="C117" i="255"/>
  <c r="D117" i="255"/>
  <c r="E117" i="255"/>
  <c r="F117" i="255"/>
  <c r="G117" i="255"/>
  <c r="J117" i="255"/>
  <c r="K117" i="255"/>
  <c r="H6" i="146"/>
  <c r="H9" i="146"/>
  <c r="H12" i="146"/>
  <c r="H8" i="146"/>
  <c r="H13" i="349"/>
  <c r="A176" i="343"/>
  <c r="A177" i="343"/>
  <c r="A178" i="343"/>
  <c r="A179" i="343"/>
  <c r="A180" i="343"/>
  <c r="A181" i="343"/>
  <c r="A182" i="343"/>
  <c r="A183" i="343"/>
  <c r="A184" i="343"/>
  <c r="A185" i="343"/>
  <c r="A186" i="343"/>
  <c r="A187" i="343"/>
  <c r="A188" i="343"/>
  <c r="A189" i="343"/>
  <c r="A190" i="343"/>
  <c r="A191" i="343"/>
  <c r="A192" i="343"/>
  <c r="A193" i="343"/>
  <c r="A194" i="343"/>
  <c r="A195" i="343"/>
  <c r="A196" i="343"/>
  <c r="A197" i="343"/>
  <c r="A198" i="343"/>
  <c r="A199" i="343"/>
  <c r="A200" i="343"/>
  <c r="A201" i="343"/>
  <c r="A202" i="343"/>
  <c r="A203" i="343"/>
  <c r="A204" i="343"/>
  <c r="A205" i="343"/>
  <c r="A206" i="343"/>
  <c r="A207" i="343"/>
  <c r="A208" i="343"/>
  <c r="A209" i="343"/>
  <c r="A210" i="343"/>
  <c r="A211" i="343"/>
  <c r="A212" i="343"/>
  <c r="A213" i="343"/>
  <c r="A214" i="343"/>
  <c r="A215" i="343"/>
  <c r="A216" i="343"/>
  <c r="A217" i="343"/>
  <c r="A218" i="343"/>
  <c r="A219" i="343"/>
  <c r="A220" i="343"/>
  <c r="A221" i="343"/>
  <c r="A222" i="343"/>
  <c r="A223" i="343"/>
  <c r="A224" i="343"/>
  <c r="A225" i="343"/>
  <c r="A226" i="343"/>
  <c r="A227" i="343"/>
  <c r="A228" i="343"/>
  <c r="A229" i="343"/>
  <c r="A230" i="343"/>
  <c r="A231" i="343"/>
  <c r="A232" i="343"/>
  <c r="A233" i="343"/>
  <c r="A234" i="343"/>
  <c r="A235" i="343"/>
  <c r="A236" i="343"/>
  <c r="A237" i="343"/>
  <c r="A238" i="343"/>
  <c r="A239" i="343"/>
  <c r="A240" i="343"/>
  <c r="A241" i="343"/>
  <c r="A242" i="343"/>
  <c r="A243" i="343"/>
  <c r="A244" i="343"/>
  <c r="A245" i="343"/>
  <c r="A246" i="343"/>
  <c r="A247" i="343"/>
  <c r="A248" i="343"/>
  <c r="A249" i="343"/>
  <c r="A250" i="343"/>
  <c r="A251" i="343"/>
  <c r="A252" i="343"/>
  <c r="A253" i="343"/>
  <c r="A254" i="343"/>
  <c r="A255" i="343"/>
  <c r="A256" i="343"/>
  <c r="A257" i="343"/>
  <c r="A258" i="343"/>
  <c r="A259" i="343"/>
  <c r="A260" i="343"/>
  <c r="A261" i="343"/>
  <c r="A262" i="343"/>
  <c r="A263" i="343"/>
  <c r="A264" i="343"/>
  <c r="A265" i="343"/>
  <c r="A266" i="343"/>
  <c r="A267" i="343"/>
  <c r="A268" i="343"/>
  <c r="A269" i="343"/>
  <c r="A270" i="343"/>
  <c r="A271" i="343"/>
  <c r="A272" i="343"/>
  <c r="A273" i="343"/>
  <c r="A274" i="343"/>
  <c r="A275" i="343"/>
  <c r="A276" i="343"/>
  <c r="A277" i="343"/>
  <c r="A278" i="343"/>
  <c r="A279" i="343"/>
  <c r="A280" i="343"/>
  <c r="A281" i="343"/>
  <c r="A282" i="343"/>
  <c r="A283" i="343"/>
  <c r="A284" i="343"/>
  <c r="A285" i="343"/>
  <c r="A286" i="343"/>
  <c r="A287" i="343"/>
  <c r="A288" i="343"/>
  <c r="A289" i="343"/>
  <c r="A290" i="343"/>
  <c r="A291" i="343"/>
  <c r="A292" i="343"/>
  <c r="A293" i="343"/>
  <c r="A294" i="343"/>
  <c r="A295" i="343"/>
  <c r="A296" i="343"/>
  <c r="A297" i="343"/>
  <c r="A298" i="343"/>
  <c r="A299" i="343"/>
  <c r="A300" i="343"/>
  <c r="A301" i="343"/>
  <c r="A302" i="343"/>
  <c r="A303" i="343"/>
  <c r="A304" i="343"/>
  <c r="A305" i="343"/>
  <c r="A306" i="343"/>
  <c r="A307" i="343"/>
  <c r="A308" i="343"/>
  <c r="A309" i="343"/>
  <c r="A310" i="343"/>
  <c r="A311" i="343"/>
  <c r="A312" i="343"/>
  <c r="A313" i="343"/>
  <c r="A314" i="343"/>
  <c r="A315" i="343"/>
  <c r="A316" i="343"/>
  <c r="A317" i="343"/>
  <c r="A318" i="343"/>
  <c r="A319" i="343"/>
  <c r="A320" i="343"/>
  <c r="A321" i="343"/>
  <c r="A322" i="343"/>
  <c r="A323" i="343"/>
  <c r="A324" i="343"/>
  <c r="A325" i="343"/>
  <c r="A326" i="343"/>
  <c r="A327" i="343"/>
  <c r="A328" i="343"/>
  <c r="A329" i="343"/>
  <c r="A330" i="343"/>
  <c r="A331" i="343"/>
  <c r="A332" i="343"/>
  <c r="A333" i="343"/>
  <c r="A334" i="343"/>
  <c r="A335" i="343"/>
  <c r="A336" i="343"/>
  <c r="A337" i="343"/>
  <c r="A338" i="343"/>
  <c r="A339" i="343"/>
  <c r="A175" i="343"/>
  <c r="K20" i="305"/>
  <c r="J20" i="305"/>
  <c r="I20" i="305"/>
  <c r="H20" i="305"/>
  <c r="G20" i="305"/>
  <c r="F20" i="305"/>
  <c r="E20" i="305"/>
  <c r="D20" i="305"/>
  <c r="K14" i="305"/>
  <c r="J14" i="305"/>
  <c r="I14" i="305"/>
  <c r="H14" i="305"/>
  <c r="G14" i="305"/>
  <c r="F14" i="305"/>
  <c r="E14" i="305"/>
  <c r="D14" i="305"/>
  <c r="C26" i="305"/>
  <c r="C20" i="305"/>
  <c r="C8" i="305"/>
  <c r="C14" i="305"/>
  <c r="C10" i="148"/>
  <c r="C20" i="148"/>
  <c r="H36" i="148"/>
  <c r="K20" i="148"/>
  <c r="J20" i="148"/>
  <c r="I20" i="148"/>
  <c r="H20" i="148"/>
  <c r="G20" i="148"/>
  <c r="F20" i="148"/>
  <c r="E20" i="148"/>
  <c r="D20" i="148"/>
  <c r="K10" i="148"/>
  <c r="J10" i="148"/>
  <c r="I10" i="148"/>
  <c r="H10" i="148"/>
  <c r="G10" i="148"/>
  <c r="F10" i="148"/>
  <c r="E10" i="148"/>
  <c r="D10" i="148"/>
  <c r="C36" i="148"/>
  <c r="E114" i="123"/>
  <c r="D114" i="123"/>
  <c r="I114" i="123"/>
  <c r="F114" i="123"/>
  <c r="M114" i="123"/>
  <c r="L114" i="123"/>
  <c r="K114" i="123"/>
  <c r="J114" i="123"/>
  <c r="H114" i="123"/>
  <c r="G114" i="123"/>
  <c r="I23" i="145"/>
  <c r="I24" i="145"/>
  <c r="I25" i="145"/>
  <c r="I26" i="145"/>
  <c r="I27" i="145"/>
  <c r="I28" i="145"/>
  <c r="I29" i="145"/>
  <c r="I30" i="145"/>
  <c r="I31" i="145"/>
  <c r="I32" i="145"/>
  <c r="I40" i="145"/>
  <c r="I41" i="145"/>
  <c r="I42" i="145"/>
  <c r="I43" i="145"/>
  <c r="I44" i="145"/>
  <c r="I45" i="145"/>
  <c r="I46" i="145"/>
  <c r="I47" i="145"/>
  <c r="I48" i="145"/>
  <c r="I49" i="145"/>
  <c r="I50" i="145"/>
  <c r="I51" i="145"/>
  <c r="I52" i="145"/>
  <c r="I53" i="145"/>
  <c r="I54" i="145"/>
  <c r="I5" i="145"/>
  <c r="K120" i="123"/>
  <c r="K63" i="248"/>
  <c r="J63" i="248"/>
  <c r="K62" i="248"/>
  <c r="J62" i="248"/>
  <c r="I63" i="248"/>
  <c r="I62" i="248"/>
  <c r="X34" i="354"/>
  <c r="F102" i="100"/>
  <c r="O43" i="137"/>
  <c r="O42" i="299" s="1"/>
  <c r="O44" i="137"/>
  <c r="O45" i="137"/>
  <c r="B111" i="100"/>
  <c r="B121" i="100"/>
  <c r="B120" i="100"/>
  <c r="B119" i="100"/>
  <c r="B118" i="100"/>
  <c r="B117" i="100"/>
  <c r="B122" i="100"/>
  <c r="B123" i="100"/>
  <c r="B124" i="100"/>
  <c r="B125" i="100"/>
  <c r="B126" i="100"/>
  <c r="B127" i="100"/>
  <c r="B128" i="100"/>
  <c r="B129" i="100"/>
  <c r="B130" i="100"/>
  <c r="B131" i="100"/>
  <c r="B132" i="100"/>
  <c r="B133" i="100"/>
  <c r="B134" i="100"/>
  <c r="F148" i="100"/>
  <c r="B142" i="100"/>
  <c r="B143" i="100"/>
  <c r="E146" i="100"/>
  <c r="E140" i="100"/>
  <c r="E139" i="100"/>
  <c r="E138" i="100"/>
  <c r="E137" i="100"/>
  <c r="E136" i="100"/>
  <c r="E135" i="100"/>
  <c r="F140" i="100"/>
  <c r="F139" i="100"/>
  <c r="F138" i="100"/>
  <c r="F137" i="100"/>
  <c r="F136" i="100"/>
  <c r="F135" i="100"/>
  <c r="C94" i="343"/>
  <c r="C105" i="343"/>
  <c r="K79" i="350"/>
  <c r="J79" i="350"/>
  <c r="I79" i="350"/>
  <c r="H79" i="350"/>
  <c r="G79" i="350"/>
  <c r="F79" i="350"/>
  <c r="E79" i="350"/>
  <c r="D79" i="350"/>
  <c r="C79" i="350"/>
  <c r="K79" i="349"/>
  <c r="J79" i="349"/>
  <c r="I79" i="349"/>
  <c r="H79" i="349"/>
  <c r="G79" i="349"/>
  <c r="F79" i="349"/>
  <c r="E79" i="349"/>
  <c r="D79" i="349"/>
  <c r="C79" i="349"/>
  <c r="K79" i="134"/>
  <c r="J79" i="134"/>
  <c r="I79" i="134"/>
  <c r="H79" i="134"/>
  <c r="G79" i="134"/>
  <c r="F79" i="134"/>
  <c r="D79" i="134"/>
  <c r="C79" i="134"/>
  <c r="P52" i="298"/>
  <c r="O52" i="298"/>
  <c r="A58" i="147"/>
  <c r="A54" i="147"/>
  <c r="B28" i="344"/>
  <c r="B93" i="100" s="1"/>
  <c r="A23" i="305"/>
  <c r="H5" i="344"/>
  <c r="F5" i="344"/>
  <c r="E5" i="344"/>
  <c r="E141" i="100"/>
  <c r="A95" i="100"/>
  <c r="D43" i="128"/>
  <c r="D17" i="144"/>
  <c r="D32" i="144"/>
  <c r="E43" i="128"/>
  <c r="E17" i="144"/>
  <c r="E32" i="144"/>
  <c r="F43" i="128"/>
  <c r="F17" i="144"/>
  <c r="F32" i="144"/>
  <c r="G43" i="128"/>
  <c r="G17" i="144"/>
  <c r="G32" i="144"/>
  <c r="H43" i="128"/>
  <c r="H17" i="144"/>
  <c r="H32" i="144"/>
  <c r="I43" i="128"/>
  <c r="I17" i="144"/>
  <c r="I32" i="144"/>
  <c r="J43" i="128"/>
  <c r="J32" i="144"/>
  <c r="K32" i="144"/>
  <c r="C43" i="128"/>
  <c r="C17" i="144"/>
  <c r="C32" i="144"/>
  <c r="K59" i="253"/>
  <c r="J59" i="253"/>
  <c r="L126" i="123" s="1"/>
  <c r="I59" i="253"/>
  <c r="K126" i="123" s="1"/>
  <c r="H59" i="253"/>
  <c r="I126" i="123" s="1"/>
  <c r="G59" i="253"/>
  <c r="H126" i="123" s="1"/>
  <c r="F59" i="253"/>
  <c r="G126" i="123" s="1"/>
  <c r="E59" i="253"/>
  <c r="F126" i="123" s="1"/>
  <c r="D59" i="253"/>
  <c r="E126" i="123" s="1"/>
  <c r="C59" i="253"/>
  <c r="D126" i="123" s="1"/>
  <c r="F101" i="100"/>
  <c r="M58" i="123"/>
  <c r="K65" i="350"/>
  <c r="K31" i="248" s="1"/>
  <c r="K69" i="350"/>
  <c r="K32" i="248" s="1"/>
  <c r="J65" i="350"/>
  <c r="J31" i="248" s="1"/>
  <c r="J69" i="350"/>
  <c r="J32" i="248" s="1"/>
  <c r="I65" i="350"/>
  <c r="I31" i="248" s="1"/>
  <c r="I69" i="350"/>
  <c r="I32" i="248" s="1"/>
  <c r="H65" i="350"/>
  <c r="H31" i="248" s="1"/>
  <c r="H69" i="350"/>
  <c r="H32" i="248" s="1"/>
  <c r="G65" i="350"/>
  <c r="G31" i="248" s="1"/>
  <c r="G69" i="350"/>
  <c r="G32" i="248" s="1"/>
  <c r="E65" i="350"/>
  <c r="E31" i="248" s="1"/>
  <c r="E69" i="350"/>
  <c r="E32" i="248" s="1"/>
  <c r="D7" i="350"/>
  <c r="D21" i="248" s="1"/>
  <c r="D10" i="350"/>
  <c r="D22" i="248" s="1"/>
  <c r="D14" i="350"/>
  <c r="D23" i="248" s="1"/>
  <c r="D18" i="350"/>
  <c r="D24" i="248" s="1"/>
  <c r="D21" i="350"/>
  <c r="D25" i="248" s="1"/>
  <c r="D27" i="350"/>
  <c r="D27" i="248" s="1"/>
  <c r="D43" i="350"/>
  <c r="D28" i="248" s="1"/>
  <c r="D47" i="350"/>
  <c r="D29" i="248" s="1"/>
  <c r="D65" i="350"/>
  <c r="D31" i="248" s="1"/>
  <c r="D69" i="350"/>
  <c r="D32" i="248" s="1"/>
  <c r="C7" i="350"/>
  <c r="C21" i="248" s="1"/>
  <c r="C10" i="350"/>
  <c r="C22" i="248" s="1"/>
  <c r="C14" i="350"/>
  <c r="C23" i="248" s="1"/>
  <c r="C18" i="350"/>
  <c r="C24" i="248" s="1"/>
  <c r="C21" i="350"/>
  <c r="C25" i="248" s="1"/>
  <c r="C27" i="350"/>
  <c r="C27" i="248" s="1"/>
  <c r="C43" i="350"/>
  <c r="C28" i="248" s="1"/>
  <c r="C47" i="350"/>
  <c r="C29" i="248" s="1"/>
  <c r="C51" i="350"/>
  <c r="C30" i="248" s="1"/>
  <c r="C65" i="350"/>
  <c r="C31" i="248" s="1"/>
  <c r="C69" i="350"/>
  <c r="C32" i="248" s="1"/>
  <c r="A58" i="95"/>
  <c r="A16" i="347"/>
  <c r="A15" i="347"/>
  <c r="A14" i="347"/>
  <c r="A13" i="347"/>
  <c r="A12" i="347"/>
  <c r="A11" i="347"/>
  <c r="A10" i="347"/>
  <c r="A9" i="347"/>
  <c r="A8" i="347"/>
  <c r="A7" i="347"/>
  <c r="A6" i="347"/>
  <c r="A5" i="347"/>
  <c r="A4" i="347"/>
  <c r="A3" i="347"/>
  <c r="L50" i="128"/>
  <c r="K50" i="128"/>
  <c r="A5" i="233"/>
  <c r="D3" i="86"/>
  <c r="E4" i="344"/>
  <c r="H4" i="344"/>
  <c r="F4" i="344"/>
  <c r="B4" i="100" s="1"/>
  <c r="C2" i="133" s="1"/>
  <c r="E2" i="344"/>
  <c r="H2" i="344"/>
  <c r="F2" i="344"/>
  <c r="O5" i="344"/>
  <c r="N5" i="344"/>
  <c r="M5" i="344"/>
  <c r="L5" i="344"/>
  <c r="K5" i="344"/>
  <c r="J5" i="344"/>
  <c r="I5" i="344"/>
  <c r="G5" i="344"/>
  <c r="N24" i="344"/>
  <c r="N23" i="344"/>
  <c r="N22" i="344"/>
  <c r="N21" i="344"/>
  <c r="N20" i="344"/>
  <c r="N19" i="344"/>
  <c r="N18" i="344"/>
  <c r="N17" i="344"/>
  <c r="N16" i="344"/>
  <c r="N15" i="344"/>
  <c r="N14" i="344"/>
  <c r="N13" i="344"/>
  <c r="N12" i="344"/>
  <c r="N11" i="344"/>
  <c r="N10" i="344"/>
  <c r="N9" i="344"/>
  <c r="N8" i="344"/>
  <c r="N7" i="344"/>
  <c r="N6" i="344"/>
  <c r="N4" i="344"/>
  <c r="N3" i="344"/>
  <c r="N2" i="344"/>
  <c r="M24" i="344"/>
  <c r="M23" i="344"/>
  <c r="M22" i="344"/>
  <c r="M21" i="344"/>
  <c r="M20" i="344"/>
  <c r="M19" i="344"/>
  <c r="M18" i="344"/>
  <c r="M17" i="344"/>
  <c r="M16" i="344"/>
  <c r="M15" i="344"/>
  <c r="M14" i="344"/>
  <c r="M13" i="344"/>
  <c r="M12" i="344"/>
  <c r="M11" i="344"/>
  <c r="M10" i="344"/>
  <c r="M9" i="344"/>
  <c r="M8" i="344"/>
  <c r="M7" i="344"/>
  <c r="M6" i="344"/>
  <c r="M4" i="344"/>
  <c r="M3" i="344"/>
  <c r="M2" i="344"/>
  <c r="L24" i="344"/>
  <c r="L23" i="344"/>
  <c r="L22" i="344"/>
  <c r="L21" i="344"/>
  <c r="L20" i="344"/>
  <c r="L19" i="344"/>
  <c r="L18" i="344"/>
  <c r="L17" i="344"/>
  <c r="L16" i="344"/>
  <c r="L15" i="344"/>
  <c r="L14" i="344"/>
  <c r="L13" i="344"/>
  <c r="L12" i="344"/>
  <c r="L11" i="344"/>
  <c r="L10" i="344"/>
  <c r="L9" i="344"/>
  <c r="L8" i="344"/>
  <c r="L7" i="344"/>
  <c r="L6" i="344"/>
  <c r="L4" i="344"/>
  <c r="L3" i="344"/>
  <c r="L2" i="344"/>
  <c r="K24" i="344"/>
  <c r="K23" i="344"/>
  <c r="K22" i="344"/>
  <c r="K21" i="344"/>
  <c r="K20" i="344"/>
  <c r="K19" i="344"/>
  <c r="K18" i="344"/>
  <c r="K17" i="344"/>
  <c r="K16" i="344"/>
  <c r="K15" i="344"/>
  <c r="K14" i="344"/>
  <c r="K13" i="344"/>
  <c r="K12" i="344"/>
  <c r="K11" i="344"/>
  <c r="K10" i="344"/>
  <c r="K9" i="344"/>
  <c r="K8" i="344"/>
  <c r="K7" i="344"/>
  <c r="K6" i="344"/>
  <c r="K4" i="344"/>
  <c r="K3" i="344"/>
  <c r="K2" i="344"/>
  <c r="J24" i="344"/>
  <c r="J23" i="344"/>
  <c r="J22" i="344"/>
  <c r="J21" i="344"/>
  <c r="J20" i="344"/>
  <c r="J19" i="344"/>
  <c r="J18" i="344"/>
  <c r="J17" i="344"/>
  <c r="J16" i="344"/>
  <c r="J15" i="344"/>
  <c r="J14" i="344"/>
  <c r="J13" i="344"/>
  <c r="J12" i="344"/>
  <c r="J11" i="344"/>
  <c r="J10" i="344"/>
  <c r="J9" i="344"/>
  <c r="J8" i="344"/>
  <c r="J7" i="344"/>
  <c r="J6" i="344"/>
  <c r="J4" i="344"/>
  <c r="J3" i="344"/>
  <c r="J2" i="344"/>
  <c r="I24" i="344"/>
  <c r="I23" i="344"/>
  <c r="I22" i="344"/>
  <c r="I21" i="344"/>
  <c r="I20" i="344"/>
  <c r="I19" i="344"/>
  <c r="I18" i="344"/>
  <c r="I17" i="344"/>
  <c r="I16" i="344"/>
  <c r="I15" i="344"/>
  <c r="I14" i="344"/>
  <c r="I13" i="344"/>
  <c r="I12" i="344"/>
  <c r="I11" i="344"/>
  <c r="I10" i="344"/>
  <c r="I9" i="344"/>
  <c r="I8" i="344"/>
  <c r="I7" i="344"/>
  <c r="I6" i="344"/>
  <c r="I4" i="344"/>
  <c r="I3" i="344"/>
  <c r="I2" i="344"/>
  <c r="H24" i="344"/>
  <c r="H23" i="344"/>
  <c r="H22" i="344"/>
  <c r="H21" i="344"/>
  <c r="H20" i="344"/>
  <c r="H19" i="344"/>
  <c r="H18" i="344"/>
  <c r="H17" i="344"/>
  <c r="H16" i="344"/>
  <c r="H15" i="344"/>
  <c r="H14" i="344"/>
  <c r="H13" i="344"/>
  <c r="H12" i="344"/>
  <c r="H11" i="344"/>
  <c r="H10" i="344"/>
  <c r="H9" i="344"/>
  <c r="H8" i="344"/>
  <c r="H7" i="344"/>
  <c r="H6" i="344"/>
  <c r="H3" i="344"/>
  <c r="O24" i="344"/>
  <c r="O23" i="344"/>
  <c r="O22" i="344"/>
  <c r="O21" i="344"/>
  <c r="O20" i="344"/>
  <c r="O19" i="344"/>
  <c r="O18" i="344"/>
  <c r="O17" i="344"/>
  <c r="O16" i="344"/>
  <c r="O15" i="344"/>
  <c r="O14" i="344"/>
  <c r="O13" i="344"/>
  <c r="O12" i="344"/>
  <c r="O11" i="344"/>
  <c r="G24" i="344"/>
  <c r="G23" i="344"/>
  <c r="G22" i="344"/>
  <c r="G21" i="344"/>
  <c r="G20" i="344"/>
  <c r="G19" i="344"/>
  <c r="G18" i="344"/>
  <c r="G17" i="344"/>
  <c r="G16" i="344"/>
  <c r="G15" i="344"/>
  <c r="G14" i="344"/>
  <c r="G13" i="344"/>
  <c r="G12" i="344"/>
  <c r="G11" i="344"/>
  <c r="F24" i="344"/>
  <c r="F23" i="344"/>
  <c r="F22" i="344"/>
  <c r="F21" i="344"/>
  <c r="F20" i="344"/>
  <c r="F19" i="344"/>
  <c r="F18" i="344"/>
  <c r="F17" i="344"/>
  <c r="F16" i="344"/>
  <c r="F15" i="344"/>
  <c r="F14" i="344"/>
  <c r="F13" i="344"/>
  <c r="F12" i="344"/>
  <c r="F11" i="344"/>
  <c r="E24" i="344"/>
  <c r="E23" i="344"/>
  <c r="E22" i="344"/>
  <c r="E21" i="344"/>
  <c r="E20" i="344"/>
  <c r="E19" i="344"/>
  <c r="E18" i="344"/>
  <c r="E15" i="344"/>
  <c r="E14" i="344"/>
  <c r="E16" i="344"/>
  <c r="E13" i="344"/>
  <c r="E17" i="344"/>
  <c r="E12" i="344"/>
  <c r="E11" i="344"/>
  <c r="O10" i="344"/>
  <c r="O9" i="344"/>
  <c r="O8" i="344"/>
  <c r="G10" i="344"/>
  <c r="G9" i="344"/>
  <c r="G8" i="344"/>
  <c r="F10" i="344"/>
  <c r="F9" i="344"/>
  <c r="F8" i="344"/>
  <c r="E10" i="344"/>
  <c r="E9" i="344"/>
  <c r="E8" i="344"/>
  <c r="B15" i="100"/>
  <c r="O4" i="344"/>
  <c r="O3" i="344"/>
  <c r="O2" i="344"/>
  <c r="G4" i="344"/>
  <c r="G3" i="344"/>
  <c r="G2" i="344"/>
  <c r="F3" i="344"/>
  <c r="E3" i="344"/>
  <c r="O7" i="344"/>
  <c r="G7" i="344"/>
  <c r="F7" i="344"/>
  <c r="E7" i="344"/>
  <c r="O6" i="344"/>
  <c r="G6" i="344"/>
  <c r="F6" i="344"/>
  <c r="E6" i="344"/>
  <c r="F146" i="100"/>
  <c r="E145" i="100"/>
  <c r="F145" i="100"/>
  <c r="E144" i="100"/>
  <c r="F144" i="100"/>
  <c r="F149" i="100"/>
  <c r="E149" i="100"/>
  <c r="E148" i="100"/>
  <c r="E147" i="100"/>
  <c r="F147" i="100"/>
  <c r="A2" i="347"/>
  <c r="X36" i="354"/>
  <c r="K39" i="253"/>
  <c r="K45" i="253"/>
  <c r="K46" i="253" s="1"/>
  <c r="J39" i="253"/>
  <c r="J45" i="253"/>
  <c r="I39" i="253"/>
  <c r="I45" i="253"/>
  <c r="I46" i="253" s="1"/>
  <c r="H39" i="253"/>
  <c r="H45" i="253"/>
  <c r="G39" i="253"/>
  <c r="G45" i="253"/>
  <c r="F39" i="253"/>
  <c r="F45" i="253"/>
  <c r="E39" i="253"/>
  <c r="E45" i="253"/>
  <c r="E46" i="253"/>
  <c r="D39" i="253"/>
  <c r="D45" i="253"/>
  <c r="C39" i="253"/>
  <c r="C45" i="253"/>
  <c r="C46" i="253" s="1"/>
  <c r="A39" i="253"/>
  <c r="A45" i="253"/>
  <c r="A35" i="253"/>
  <c r="A26" i="253"/>
  <c r="I78" i="253"/>
  <c r="K78" i="253"/>
  <c r="J78" i="253"/>
  <c r="C78" i="253"/>
  <c r="B46" i="253"/>
  <c r="B36" i="253"/>
  <c r="B27" i="253"/>
  <c r="B12" i="253"/>
  <c r="K31" i="253"/>
  <c r="K35" i="253"/>
  <c r="J31" i="253"/>
  <c r="J35" i="253"/>
  <c r="J36" i="253" s="1"/>
  <c r="I31" i="253"/>
  <c r="I35" i="253"/>
  <c r="H31" i="253"/>
  <c r="H35" i="253"/>
  <c r="G31" i="253"/>
  <c r="G35" i="253"/>
  <c r="F31" i="253"/>
  <c r="F35" i="253"/>
  <c r="F36" i="253"/>
  <c r="E31" i="253"/>
  <c r="E35" i="253"/>
  <c r="D31" i="253"/>
  <c r="D35" i="253"/>
  <c r="D36" i="253" s="1"/>
  <c r="C31" i="253"/>
  <c r="C35" i="253"/>
  <c r="A31" i="253"/>
  <c r="K26" i="253"/>
  <c r="J26" i="253"/>
  <c r="I26" i="253"/>
  <c r="H26" i="253"/>
  <c r="G26" i="253"/>
  <c r="F26" i="253"/>
  <c r="E26" i="253"/>
  <c r="D26" i="253"/>
  <c r="K22" i="253"/>
  <c r="J22" i="253"/>
  <c r="J27" i="253" s="1"/>
  <c r="I22" i="253"/>
  <c r="H22" i="253"/>
  <c r="H27" i="253" s="1"/>
  <c r="G22" i="253"/>
  <c r="F22" i="253"/>
  <c r="E22" i="253"/>
  <c r="D22" i="253"/>
  <c r="D27" i="253" s="1"/>
  <c r="C22" i="253"/>
  <c r="C26" i="253"/>
  <c r="A22" i="253"/>
  <c r="K10" i="253"/>
  <c r="K14" i="253"/>
  <c r="J10" i="253"/>
  <c r="J14" i="253"/>
  <c r="J15" i="253" s="1"/>
  <c r="I10" i="253"/>
  <c r="I14" i="253"/>
  <c r="H10" i="253"/>
  <c r="H14" i="253"/>
  <c r="G10" i="253"/>
  <c r="G14" i="253"/>
  <c r="F10" i="253"/>
  <c r="F14" i="253"/>
  <c r="F15" i="253"/>
  <c r="E14" i="253"/>
  <c r="D10" i="253"/>
  <c r="D14" i="253"/>
  <c r="C10" i="253"/>
  <c r="C14" i="253"/>
  <c r="C15" i="253"/>
  <c r="H78" i="253"/>
  <c r="G78" i="253"/>
  <c r="F78" i="253"/>
  <c r="E78" i="253"/>
  <c r="D78" i="253"/>
  <c r="E109" i="100"/>
  <c r="A2" i="253"/>
  <c r="B2" i="253"/>
  <c r="C3" i="253"/>
  <c r="D3" i="253"/>
  <c r="E3" i="253"/>
  <c r="F3" i="253"/>
  <c r="G3" i="253"/>
  <c r="H3" i="253"/>
  <c r="A27" i="253"/>
  <c r="A36" i="253"/>
  <c r="A46" i="253"/>
  <c r="A79" i="253"/>
  <c r="E100" i="100"/>
  <c r="A65" i="86"/>
  <c r="A64" i="86"/>
  <c r="A63" i="86"/>
  <c r="A62" i="86"/>
  <c r="A45" i="86"/>
  <c r="A41" i="301" s="1"/>
  <c r="I9" i="128"/>
  <c r="I14" i="128"/>
  <c r="H14" i="128"/>
  <c r="G14" i="128"/>
  <c r="G26" i="128"/>
  <c r="G38" i="128"/>
  <c r="H3" i="86"/>
  <c r="I50" i="128"/>
  <c r="J106" i="123"/>
  <c r="D50" i="128"/>
  <c r="F50" i="128"/>
  <c r="F72" i="128"/>
  <c r="G50" i="128"/>
  <c r="G72" i="128"/>
  <c r="H50" i="128"/>
  <c r="H72" i="128"/>
  <c r="A10" i="86"/>
  <c r="A18" i="86"/>
  <c r="A19" i="86"/>
  <c r="A20" i="86"/>
  <c r="A22" i="86"/>
  <c r="A23" i="86"/>
  <c r="A29" i="86"/>
  <c r="A30" i="86"/>
  <c r="G106" i="123"/>
  <c r="A31" i="86"/>
  <c r="A35" i="86"/>
  <c r="A36" i="86"/>
  <c r="F26" i="128"/>
  <c r="A37" i="86"/>
  <c r="A38" i="86"/>
  <c r="A48" i="86"/>
  <c r="A49" i="86"/>
  <c r="A2" i="86"/>
  <c r="B3" i="86"/>
  <c r="C3" i="86"/>
  <c r="E3" i="86"/>
  <c r="F3" i="86"/>
  <c r="G3" i="86"/>
  <c r="K106" i="123"/>
  <c r="D106" i="123"/>
  <c r="E106" i="123"/>
  <c r="H106" i="123"/>
  <c r="I106" i="123"/>
  <c r="L106" i="123"/>
  <c r="M106" i="123"/>
  <c r="C9" i="128"/>
  <c r="C14" i="128"/>
  <c r="D26" i="128"/>
  <c r="D32" i="128"/>
  <c r="D38" i="128"/>
  <c r="D31" i="237" s="1"/>
  <c r="C50" i="128"/>
  <c r="E50" i="128"/>
  <c r="J50" i="128"/>
  <c r="F106" i="123"/>
  <c r="D72" i="128"/>
  <c r="H32" i="128"/>
  <c r="H38" i="128"/>
  <c r="H26" i="128"/>
  <c r="I26" i="128"/>
  <c r="L9" i="128"/>
  <c r="E72" i="128"/>
  <c r="C72" i="128"/>
  <c r="C32" i="128"/>
  <c r="C38" i="128"/>
  <c r="C31" i="237" s="1"/>
  <c r="E32" i="128"/>
  <c r="E38" i="128"/>
  <c r="E31" i="237" s="1"/>
  <c r="F32" i="128"/>
  <c r="F38" i="128"/>
  <c r="I32" i="128"/>
  <c r="I38" i="128"/>
  <c r="H7" i="237"/>
  <c r="I7" i="237"/>
  <c r="K9" i="128"/>
  <c r="F9" i="128"/>
  <c r="F7" i="237"/>
  <c r="J7" i="237"/>
  <c r="D9" i="128"/>
  <c r="D14" i="128"/>
  <c r="E9" i="128"/>
  <c r="E14" i="128"/>
  <c r="C37" i="237"/>
  <c r="C30" i="237" s="1"/>
  <c r="F14" i="128"/>
  <c r="G7" i="237"/>
  <c r="D107" i="123"/>
  <c r="C7" i="237"/>
  <c r="E7" i="237"/>
  <c r="D7" i="237"/>
  <c r="I60" i="255"/>
  <c r="F60" i="255"/>
  <c r="G60" i="255"/>
  <c r="A48" i="127"/>
  <c r="A24" i="86" s="1"/>
  <c r="E60" i="255"/>
  <c r="H60" i="255"/>
  <c r="C60" i="255"/>
  <c r="D60" i="255"/>
  <c r="J60" i="255"/>
  <c r="K60" i="255"/>
  <c r="P40" i="137"/>
  <c r="L60" i="255"/>
  <c r="L38" i="237"/>
  <c r="L37" i="237"/>
  <c r="L52" i="237"/>
  <c r="L16" i="237" s="1"/>
  <c r="I11" i="237"/>
  <c r="I37" i="237"/>
  <c r="I38" i="237"/>
  <c r="I52" i="237"/>
  <c r="I16" i="237" s="1"/>
  <c r="J38" i="237"/>
  <c r="J37" i="237"/>
  <c r="J52" i="237"/>
  <c r="J16" i="237" s="1"/>
  <c r="F11" i="237"/>
  <c r="G53" i="123"/>
  <c r="F37" i="237"/>
  <c r="F38" i="237"/>
  <c r="F52" i="237"/>
  <c r="F16" i="237" s="1"/>
  <c r="G11" i="237"/>
  <c r="G38" i="237"/>
  <c r="G37" i="237"/>
  <c r="G52" i="237"/>
  <c r="G16" i="237" s="1"/>
  <c r="K37" i="237"/>
  <c r="K38" i="237"/>
  <c r="K52" i="237"/>
  <c r="K16" i="237" s="1"/>
  <c r="H11" i="237"/>
  <c r="I53" i="123"/>
  <c r="H38" i="237"/>
  <c r="H37" i="237"/>
  <c r="H52" i="237"/>
  <c r="H16" i="237" s="1"/>
  <c r="C11" i="237"/>
  <c r="C52" i="237"/>
  <c r="C16" i="237" s="1"/>
  <c r="E11" i="237"/>
  <c r="E37" i="237"/>
  <c r="E38" i="237"/>
  <c r="E30" i="237" s="1"/>
  <c r="E52" i="237"/>
  <c r="E16" i="237" s="1"/>
  <c r="D11" i="237"/>
  <c r="D37" i="237"/>
  <c r="D38" i="237"/>
  <c r="D52" i="237"/>
  <c r="D16" i="237" s="1"/>
  <c r="A68" i="248"/>
  <c r="A54" i="86" s="1"/>
  <c r="C57" i="248"/>
  <c r="C60" i="248"/>
  <c r="C62" i="248"/>
  <c r="C63" i="248"/>
  <c r="C64" i="248"/>
  <c r="F57" i="248"/>
  <c r="F60" i="248"/>
  <c r="F62" i="248"/>
  <c r="F63" i="248"/>
  <c r="F64" i="248"/>
  <c r="H57" i="248"/>
  <c r="H60" i="248"/>
  <c r="H62" i="248"/>
  <c r="H63" i="248"/>
  <c r="H64" i="248"/>
  <c r="G57" i="248"/>
  <c r="G60" i="248"/>
  <c r="G62" i="248"/>
  <c r="G63" i="248"/>
  <c r="G64" i="248"/>
  <c r="D57" i="248"/>
  <c r="D60" i="248"/>
  <c r="D62" i="248"/>
  <c r="D63" i="248"/>
  <c r="D64" i="248"/>
  <c r="E57" i="248"/>
  <c r="E60" i="248"/>
  <c r="E62" i="248"/>
  <c r="E63" i="248"/>
  <c r="E64" i="248"/>
  <c r="D51" i="350"/>
  <c r="D30" i="248" s="1"/>
  <c r="F10" i="349"/>
  <c r="F71" i="248" s="1"/>
  <c r="F21" i="349"/>
  <c r="F74" i="248" s="1"/>
  <c r="F43" i="349"/>
  <c r="F77" i="248" s="1"/>
  <c r="A75" i="351"/>
  <c r="A76" i="351"/>
  <c r="A77" i="351"/>
  <c r="A78" i="351"/>
  <c r="A79" i="351"/>
  <c r="A80" i="351"/>
  <c r="A81" i="351"/>
  <c r="A82" i="351"/>
  <c r="A83" i="351"/>
  <c r="A84" i="351"/>
  <c r="A85" i="351"/>
  <c r="A86" i="351"/>
  <c r="A87" i="351"/>
  <c r="A88" i="351"/>
  <c r="A89" i="351"/>
  <c r="A90" i="351"/>
  <c r="A91" i="351"/>
  <c r="A92" i="351"/>
  <c r="A93" i="351"/>
  <c r="A94" i="351"/>
  <c r="A95" i="351"/>
  <c r="A96" i="351"/>
  <c r="A97" i="351"/>
  <c r="A98" i="351"/>
  <c r="A99" i="351"/>
  <c r="A100" i="351"/>
  <c r="A101" i="351"/>
  <c r="A102" i="351"/>
  <c r="A103" i="351"/>
  <c r="A104" i="351"/>
  <c r="A105" i="351"/>
  <c r="A106" i="351"/>
  <c r="A107" i="351"/>
  <c r="A108" i="351"/>
  <c r="A109" i="351"/>
  <c r="A110" i="351"/>
  <c r="A111" i="351"/>
  <c r="A112" i="351"/>
  <c r="A113" i="351"/>
  <c r="A114" i="351"/>
  <c r="A115" i="351"/>
  <c r="A116" i="351"/>
  <c r="A117" i="351"/>
  <c r="A118" i="351"/>
  <c r="A119" i="351"/>
  <c r="A120" i="351"/>
  <c r="A121" i="351"/>
  <c r="A122" i="351"/>
  <c r="A123" i="351"/>
  <c r="A124" i="351"/>
  <c r="A125" i="351"/>
  <c r="A126" i="351"/>
  <c r="A127" i="351"/>
  <c r="A128" i="351"/>
  <c r="A129" i="351"/>
  <c r="A130" i="351"/>
  <c r="A131" i="351"/>
  <c r="A132" i="351"/>
  <c r="A133" i="351"/>
  <c r="O46" i="298" s="1"/>
  <c r="A134" i="351"/>
  <c r="A135" i="351"/>
  <c r="A136" i="351"/>
  <c r="A137" i="351"/>
  <c r="A138" i="351"/>
  <c r="A139" i="351"/>
  <c r="A74" i="351"/>
  <c r="A71" i="351"/>
  <c r="A142" i="351"/>
  <c r="A141" i="351"/>
  <c r="A140" i="351"/>
  <c r="H3" i="351"/>
  <c r="G3" i="351"/>
  <c r="F3" i="351"/>
  <c r="E3" i="351"/>
  <c r="D3" i="351"/>
  <c r="C3" i="351"/>
  <c r="B2" i="351"/>
  <c r="A2" i="351"/>
  <c r="E101" i="100"/>
  <c r="A29" i="133"/>
  <c r="A30" i="133"/>
  <c r="A31" i="133"/>
  <c r="A32" i="133"/>
  <c r="A33" i="133"/>
  <c r="A34" i="133"/>
  <c r="A35" i="133"/>
  <c r="A36" i="133"/>
  <c r="A37" i="133"/>
  <c r="A38" i="133"/>
  <c r="A39" i="133"/>
  <c r="A40" i="133"/>
  <c r="A41" i="133"/>
  <c r="A42" i="133"/>
  <c r="A43" i="133"/>
  <c r="A44" i="133"/>
  <c r="A45" i="133"/>
  <c r="A46" i="133"/>
  <c r="A47" i="133"/>
  <c r="A25" i="133"/>
  <c r="A28" i="133"/>
  <c r="A48" i="133"/>
  <c r="A49" i="133"/>
  <c r="A2" i="133"/>
  <c r="B2" i="133"/>
  <c r="C3" i="133"/>
  <c r="D3" i="133"/>
  <c r="E3" i="133"/>
  <c r="F3" i="133"/>
  <c r="G3" i="133"/>
  <c r="H3" i="133"/>
  <c r="A50" i="133"/>
  <c r="E102" i="100"/>
  <c r="O36" i="299"/>
  <c r="O37" i="299"/>
  <c r="A327" i="342"/>
  <c r="A328" i="342"/>
  <c r="A329" i="342"/>
  <c r="A330" i="342"/>
  <c r="A331" i="342"/>
  <c r="A332" i="342"/>
  <c r="A333" i="342"/>
  <c r="A334" i="342"/>
  <c r="A335" i="342"/>
  <c r="A336" i="342"/>
  <c r="A337" i="342"/>
  <c r="A294" i="342"/>
  <c r="A34" i="233" s="1"/>
  <c r="A295" i="342"/>
  <c r="Q34" i="299" s="1"/>
  <c r="A296" i="342"/>
  <c r="A297" i="342"/>
  <c r="A298" i="342"/>
  <c r="A299" i="342"/>
  <c r="A300" i="342"/>
  <c r="A301" i="342"/>
  <c r="A302" i="342"/>
  <c r="A303" i="342"/>
  <c r="A304" i="342"/>
  <c r="A305" i="342"/>
  <c r="A306" i="342"/>
  <c r="A307" i="342"/>
  <c r="Q35" i="299"/>
  <c r="A308" i="342"/>
  <c r="A309" i="342"/>
  <c r="A310" i="342"/>
  <c r="A311" i="342"/>
  <c r="A312" i="342"/>
  <c r="A313" i="342"/>
  <c r="A314" i="342"/>
  <c r="A315" i="342"/>
  <c r="A316" i="342"/>
  <c r="A36" i="233"/>
  <c r="A317" i="342"/>
  <c r="A318" i="342"/>
  <c r="A319" i="342"/>
  <c r="A320" i="342"/>
  <c r="A321" i="342"/>
  <c r="A322" i="342"/>
  <c r="A323" i="342"/>
  <c r="A324" i="342"/>
  <c r="A325" i="342"/>
  <c r="A326" i="342"/>
  <c r="A285" i="342"/>
  <c r="A286" i="342"/>
  <c r="A287" i="342"/>
  <c r="A288" i="342"/>
  <c r="A289" i="342"/>
  <c r="A290" i="342"/>
  <c r="A291" i="342"/>
  <c r="A292" i="342"/>
  <c r="A293" i="342"/>
  <c r="A284" i="342"/>
  <c r="A283" i="342"/>
  <c r="A282" i="342"/>
  <c r="A274" i="342"/>
  <c r="A275" i="342"/>
  <c r="A276" i="342"/>
  <c r="A277" i="342"/>
  <c r="A278" i="342"/>
  <c r="A279" i="342"/>
  <c r="A280" i="342"/>
  <c r="A281" i="342"/>
  <c r="A273" i="342"/>
  <c r="A272" i="342"/>
  <c r="A32" i="233" s="1"/>
  <c r="Q19" i="299"/>
  <c r="P18" i="299"/>
  <c r="P19" i="299"/>
  <c r="O18" i="299"/>
  <c r="O19" i="299"/>
  <c r="A271" i="342"/>
  <c r="A270" i="342"/>
  <c r="A269" i="342"/>
  <c r="A268" i="342"/>
  <c r="A267" i="342"/>
  <c r="A266" i="342"/>
  <c r="A265" i="342"/>
  <c r="A264" i="342"/>
  <c r="A263" i="342"/>
  <c r="A262" i="342"/>
  <c r="A261" i="342"/>
  <c r="A31" i="233" s="1"/>
  <c r="A260" i="342"/>
  <c r="A259" i="342"/>
  <c r="A258" i="342"/>
  <c r="A257" i="342"/>
  <c r="A256" i="342"/>
  <c r="A255" i="342"/>
  <c r="A254" i="342"/>
  <c r="A253" i="342"/>
  <c r="A252" i="342"/>
  <c r="A251" i="342"/>
  <c r="A250" i="342"/>
  <c r="A249" i="342"/>
  <c r="A248" i="342"/>
  <c r="A247" i="342"/>
  <c r="A246" i="342"/>
  <c r="A245" i="342"/>
  <c r="A244" i="342"/>
  <c r="A243" i="342"/>
  <c r="A242" i="342"/>
  <c r="A240" i="342"/>
  <c r="Q34" i="298"/>
  <c r="A238" i="342"/>
  <c r="A237" i="342"/>
  <c r="A236" i="342"/>
  <c r="A235" i="342"/>
  <c r="A234" i="342"/>
  <c r="A233" i="342"/>
  <c r="A232" i="342"/>
  <c r="A231" i="342"/>
  <c r="A229" i="342"/>
  <c r="P28" i="299" s="1"/>
  <c r="A228" i="342"/>
  <c r="A28" i="233" s="1"/>
  <c r="A227" i="342"/>
  <c r="A226" i="342"/>
  <c r="A225" i="342"/>
  <c r="A224" i="342"/>
  <c r="A223" i="342"/>
  <c r="A218" i="342"/>
  <c r="A217" i="342"/>
  <c r="A216" i="342"/>
  <c r="A215" i="342"/>
  <c r="A214" i="342"/>
  <c r="A213" i="342"/>
  <c r="A212" i="342"/>
  <c r="A211" i="342"/>
  <c r="A210" i="342"/>
  <c r="A209" i="342"/>
  <c r="A208" i="342"/>
  <c r="A207" i="342"/>
  <c r="A206" i="342"/>
  <c r="A26" i="233" s="1"/>
  <c r="A205" i="342"/>
  <c r="A204" i="342"/>
  <c r="A203" i="342"/>
  <c r="A202" i="342"/>
  <c r="A201" i="342"/>
  <c r="A200" i="342"/>
  <c r="A199" i="342"/>
  <c r="A198" i="342"/>
  <c r="A197" i="342"/>
  <c r="A196" i="342"/>
  <c r="A195" i="342"/>
  <c r="A25" i="233" s="1"/>
  <c r="A194" i="342"/>
  <c r="A193" i="342"/>
  <c r="A192" i="342"/>
  <c r="A191" i="342"/>
  <c r="A190" i="342"/>
  <c r="A188" i="342"/>
  <c r="A187" i="342"/>
  <c r="A186" i="342"/>
  <c r="A185" i="342"/>
  <c r="A184" i="342"/>
  <c r="A24" i="233" s="1"/>
  <c r="A183" i="342"/>
  <c r="A182" i="342"/>
  <c r="A181" i="342"/>
  <c r="A180" i="342"/>
  <c r="A179" i="342"/>
  <c r="A178" i="342"/>
  <c r="A177" i="342"/>
  <c r="A174" i="342"/>
  <c r="A173" i="342"/>
  <c r="A23" i="233" s="1"/>
  <c r="A239" i="342"/>
  <c r="A29" i="233" s="1"/>
  <c r="A341" i="342"/>
  <c r="W170" i="342"/>
  <c r="W338" i="342"/>
  <c r="W340" i="342" s="1"/>
  <c r="V170" i="342"/>
  <c r="V338" i="342"/>
  <c r="U170" i="342"/>
  <c r="U338" i="342"/>
  <c r="T170" i="342"/>
  <c r="T338" i="342"/>
  <c r="S170" i="342"/>
  <c r="S338" i="342"/>
  <c r="S340" i="342"/>
  <c r="R170" i="342"/>
  <c r="R338" i="342"/>
  <c r="R340" i="342" s="1"/>
  <c r="Q170" i="342"/>
  <c r="Q338" i="342"/>
  <c r="Q340" i="342" s="1"/>
  <c r="P170" i="342"/>
  <c r="P338" i="342"/>
  <c r="O170" i="342"/>
  <c r="O338" i="342"/>
  <c r="O340" i="342" s="1"/>
  <c r="N170" i="342"/>
  <c r="N338" i="342"/>
  <c r="M170" i="342"/>
  <c r="M338" i="342"/>
  <c r="L170" i="342"/>
  <c r="L338" i="342"/>
  <c r="A340" i="342"/>
  <c r="H3" i="342"/>
  <c r="G3" i="342"/>
  <c r="F3" i="342"/>
  <c r="E3" i="342"/>
  <c r="D3" i="342"/>
  <c r="C3" i="342"/>
  <c r="L2" i="342"/>
  <c r="B2" i="342"/>
  <c r="A2" i="342"/>
  <c r="A37" i="233"/>
  <c r="A35" i="233"/>
  <c r="A33" i="233"/>
  <c r="A19" i="233"/>
  <c r="Q2" i="246" s="1"/>
  <c r="A18" i="233"/>
  <c r="P2" i="246" s="1"/>
  <c r="A17" i="233"/>
  <c r="A17" i="299" s="1"/>
  <c r="A16" i="233"/>
  <c r="A16" i="299" s="1"/>
  <c r="A34" i="299" s="1"/>
  <c r="A15" i="233"/>
  <c r="A14" i="233"/>
  <c r="A14" i="299" s="1"/>
  <c r="A32" i="299" s="1"/>
  <c r="A13" i="233"/>
  <c r="A13" i="299" s="1"/>
  <c r="A12" i="233"/>
  <c r="A12" i="299" s="1"/>
  <c r="A30" i="299" s="1"/>
  <c r="A11" i="233"/>
  <c r="A10" i="233"/>
  <c r="A10" i="299" s="1"/>
  <c r="A28" i="299" s="1"/>
  <c r="A9" i="233"/>
  <c r="A9" i="299" s="1"/>
  <c r="A8" i="233"/>
  <c r="A8" i="299" s="1"/>
  <c r="A26" i="299" s="1"/>
  <c r="A7" i="233"/>
  <c r="A6" i="233"/>
  <c r="A30" i="233"/>
  <c r="A27" i="233"/>
  <c r="A39" i="233"/>
  <c r="A45" i="233" s="1"/>
  <c r="A2" i="233"/>
  <c r="B2" i="233"/>
  <c r="C3" i="233"/>
  <c r="D3" i="233"/>
  <c r="E3" i="233"/>
  <c r="F3" i="233"/>
  <c r="G3" i="233"/>
  <c r="H3" i="233"/>
  <c r="A40" i="233"/>
  <c r="E103" i="100"/>
  <c r="I3" i="127"/>
  <c r="A2" i="127"/>
  <c r="B2" i="127"/>
  <c r="M2" i="127"/>
  <c r="C3" i="127"/>
  <c r="D3" i="127"/>
  <c r="E3" i="127"/>
  <c r="F3" i="127"/>
  <c r="G3" i="127"/>
  <c r="H3" i="127"/>
  <c r="M22" i="127"/>
  <c r="N22" i="127"/>
  <c r="O22" i="127"/>
  <c r="P22" i="127"/>
  <c r="Q22" i="127"/>
  <c r="R22" i="127"/>
  <c r="S22" i="127"/>
  <c r="T22" i="127"/>
  <c r="U22" i="127"/>
  <c r="V22" i="127"/>
  <c r="W22" i="127"/>
  <c r="X22" i="127"/>
  <c r="M36" i="127"/>
  <c r="N36" i="127"/>
  <c r="O36" i="127"/>
  <c r="P36" i="127"/>
  <c r="Q36" i="127"/>
  <c r="R36" i="127"/>
  <c r="S36" i="127"/>
  <c r="T36" i="127"/>
  <c r="U36" i="127"/>
  <c r="V36" i="127"/>
  <c r="W36" i="127"/>
  <c r="X36" i="127"/>
  <c r="M38" i="127"/>
  <c r="N38" i="127"/>
  <c r="O38" i="127"/>
  <c r="P38" i="127"/>
  <c r="Q38" i="127"/>
  <c r="R38" i="127"/>
  <c r="S38" i="127"/>
  <c r="T38" i="127"/>
  <c r="U38" i="127"/>
  <c r="V38" i="127"/>
  <c r="W38" i="127"/>
  <c r="X38" i="127"/>
  <c r="M48" i="127"/>
  <c r="N48" i="127"/>
  <c r="O48" i="127"/>
  <c r="P48" i="127"/>
  <c r="Q48" i="127"/>
  <c r="R48" i="127"/>
  <c r="S48" i="127"/>
  <c r="T48" i="127"/>
  <c r="U48" i="127"/>
  <c r="V48" i="127"/>
  <c r="W48" i="127"/>
  <c r="X48" i="127"/>
  <c r="A49" i="127"/>
  <c r="D6" i="343"/>
  <c r="D17" i="343"/>
  <c r="D28" i="343"/>
  <c r="D39" i="343"/>
  <c r="D50" i="343"/>
  <c r="D61" i="343"/>
  <c r="D72" i="343"/>
  <c r="D83" i="343"/>
  <c r="D94" i="343"/>
  <c r="D105" i="343"/>
  <c r="D175" i="343"/>
  <c r="D186" i="343"/>
  <c r="D197" i="343"/>
  <c r="D208" i="343"/>
  <c r="D219" i="343"/>
  <c r="D230" i="343"/>
  <c r="D241" i="343"/>
  <c r="D252" i="343"/>
  <c r="D263" i="343"/>
  <c r="D274" i="343"/>
  <c r="C175" i="343"/>
  <c r="C186" i="343"/>
  <c r="C197" i="343"/>
  <c r="C208" i="343"/>
  <c r="C219" i="343"/>
  <c r="C230" i="343"/>
  <c r="C241" i="343"/>
  <c r="C252" i="343"/>
  <c r="C263" i="343"/>
  <c r="C274" i="343"/>
  <c r="C6" i="343"/>
  <c r="C17" i="343"/>
  <c r="C28" i="343"/>
  <c r="C39" i="343"/>
  <c r="C50" i="343"/>
  <c r="C61" i="343"/>
  <c r="C72" i="343"/>
  <c r="C83" i="343"/>
  <c r="Q37" i="140"/>
  <c r="P37" i="140"/>
  <c r="F329" i="343"/>
  <c r="E329" i="343"/>
  <c r="D329" i="343"/>
  <c r="C329" i="343"/>
  <c r="Q36" i="140"/>
  <c r="P36" i="140"/>
  <c r="O36" i="140"/>
  <c r="F318" i="343"/>
  <c r="E318" i="343"/>
  <c r="D318" i="343"/>
  <c r="C318" i="343"/>
  <c r="D307" i="343"/>
  <c r="C307" i="343"/>
  <c r="D296" i="343"/>
  <c r="C296" i="343"/>
  <c r="D285" i="343"/>
  <c r="C285" i="343"/>
  <c r="A18" i="126"/>
  <c r="A17" i="126"/>
  <c r="A16" i="294" s="1"/>
  <c r="A35" i="294" s="1"/>
  <c r="A16" i="126"/>
  <c r="C19" i="294"/>
  <c r="F160" i="343"/>
  <c r="E160" i="343"/>
  <c r="D160" i="343"/>
  <c r="C160" i="343"/>
  <c r="Q18" i="140"/>
  <c r="P18" i="140"/>
  <c r="O18" i="140"/>
  <c r="F149" i="343"/>
  <c r="E149" i="343"/>
  <c r="D149" i="343"/>
  <c r="C149" i="343"/>
  <c r="D138" i="343"/>
  <c r="C138" i="343"/>
  <c r="D127" i="343"/>
  <c r="D116" i="343"/>
  <c r="C116" i="343"/>
  <c r="A13" i="126"/>
  <c r="A12" i="140" s="1"/>
  <c r="A11" i="126"/>
  <c r="A10" i="294" s="1"/>
  <c r="A29" i="294" s="1"/>
  <c r="A7" i="126"/>
  <c r="A25" i="126" s="1"/>
  <c r="A24" i="140" s="1"/>
  <c r="A6" i="126"/>
  <c r="A5" i="294" s="1"/>
  <c r="A24" i="294" s="1"/>
  <c r="E104" i="100"/>
  <c r="I3" i="343"/>
  <c r="H3" i="343"/>
  <c r="G3" i="343"/>
  <c r="F3" i="343"/>
  <c r="E3" i="343"/>
  <c r="D3" i="343"/>
  <c r="C3" i="343"/>
  <c r="B2" i="343"/>
  <c r="A2" i="343"/>
  <c r="A12" i="126"/>
  <c r="A30" i="126" s="1"/>
  <c r="A29" i="140" s="1"/>
  <c r="A14" i="126"/>
  <c r="A32" i="126" s="1"/>
  <c r="A31" i="140" s="1"/>
  <c r="A15" i="126"/>
  <c r="A33" i="126" s="1"/>
  <c r="A32" i="140" s="1"/>
  <c r="A19" i="126"/>
  <c r="A37" i="126" s="1"/>
  <c r="A36" i="140" s="1"/>
  <c r="A20" i="126"/>
  <c r="A38" i="126" s="1"/>
  <c r="A37" i="140" s="1"/>
  <c r="K37" i="140" s="1"/>
  <c r="A8" i="126"/>
  <c r="A26" i="126" s="1"/>
  <c r="A25" i="140" s="1"/>
  <c r="A9" i="126"/>
  <c r="A27" i="126" s="1"/>
  <c r="A26" i="140" s="1"/>
  <c r="A10" i="126"/>
  <c r="A28" i="126" s="1"/>
  <c r="A27" i="140" s="1"/>
  <c r="I3" i="126"/>
  <c r="A2" i="126"/>
  <c r="B2" i="126"/>
  <c r="C3" i="126"/>
  <c r="D3" i="126"/>
  <c r="E3" i="126"/>
  <c r="F3" i="126"/>
  <c r="G3" i="126"/>
  <c r="H3" i="126"/>
  <c r="A75" i="126"/>
  <c r="E105" i="100"/>
  <c r="I3" i="129"/>
  <c r="A2" i="129"/>
  <c r="B2" i="129"/>
  <c r="C3" i="129"/>
  <c r="D3" i="129"/>
  <c r="E3" i="129"/>
  <c r="F3" i="129"/>
  <c r="G3" i="129"/>
  <c r="H3" i="129"/>
  <c r="A49" i="129"/>
  <c r="C46" i="131"/>
  <c r="C47" i="131"/>
  <c r="E106" i="100"/>
  <c r="I3" i="131"/>
  <c r="I46" i="131"/>
  <c r="H46" i="131"/>
  <c r="G46" i="131"/>
  <c r="F46" i="131"/>
  <c r="D46" i="131"/>
  <c r="A2" i="131"/>
  <c r="B2" i="131"/>
  <c r="C3" i="131"/>
  <c r="D3" i="131"/>
  <c r="E3" i="131"/>
  <c r="F3" i="131"/>
  <c r="G3" i="131"/>
  <c r="H3" i="131"/>
  <c r="A39" i="131"/>
  <c r="D47" i="131"/>
  <c r="H44" i="131"/>
  <c r="E46" i="131"/>
  <c r="E47" i="131"/>
  <c r="A47" i="131"/>
  <c r="F47" i="131"/>
  <c r="G47" i="131"/>
  <c r="H47" i="131"/>
  <c r="K54" i="237"/>
  <c r="J54" i="237"/>
  <c r="F54" i="237"/>
  <c r="F67" i="237" s="1"/>
  <c r="F17" i="237" s="1"/>
  <c r="E54" i="237"/>
  <c r="E67" i="237" s="1"/>
  <c r="E17" i="237" s="1"/>
  <c r="D54" i="237"/>
  <c r="D67" i="237" s="1"/>
  <c r="D17" i="237" s="1"/>
  <c r="C54" i="237"/>
  <c r="C67" i="237" s="1"/>
  <c r="C17" i="237" s="1"/>
  <c r="L54" i="237"/>
  <c r="I54" i="237"/>
  <c r="H54" i="237"/>
  <c r="H67" i="237" s="1"/>
  <c r="H17" i="237" s="1"/>
  <c r="G54" i="237"/>
  <c r="G67" i="237" s="1"/>
  <c r="G17" i="237" s="1"/>
  <c r="A53" i="237"/>
  <c r="A56" i="237"/>
  <c r="A55" i="237"/>
  <c r="A54" i="237"/>
  <c r="A40" i="237"/>
  <c r="E107" i="100"/>
  <c r="I3" i="237"/>
  <c r="A5" i="237"/>
  <c r="A11" i="237"/>
  <c r="A2" i="237"/>
  <c r="B2" i="237"/>
  <c r="C3" i="237"/>
  <c r="D3" i="237"/>
  <c r="E3" i="237"/>
  <c r="F3" i="237"/>
  <c r="G3" i="237"/>
  <c r="H3" i="237"/>
  <c r="A7" i="237"/>
  <c r="A18" i="237"/>
  <c r="A20" i="237"/>
  <c r="E108" i="100"/>
  <c r="A42" i="248"/>
  <c r="A12" i="248" s="1"/>
  <c r="A43" i="248"/>
  <c r="A13" i="248" s="1"/>
  <c r="A44" i="248"/>
  <c r="A14" i="248" s="1"/>
  <c r="A45" i="248"/>
  <c r="A15" i="248" s="1"/>
  <c r="A18" i="248"/>
  <c r="A33" i="248" s="1"/>
  <c r="A48" i="248" s="1"/>
  <c r="A17" i="248"/>
  <c r="H10" i="339" s="1"/>
  <c r="A26" i="248"/>
  <c r="A41" i="248"/>
  <c r="A57" i="248" s="1"/>
  <c r="A75" i="248"/>
  <c r="A2" i="248"/>
  <c r="B2" i="248"/>
  <c r="C3" i="248"/>
  <c r="D3" i="248"/>
  <c r="E3" i="248"/>
  <c r="F3" i="248"/>
  <c r="G3" i="248"/>
  <c r="H3" i="248"/>
  <c r="A87" i="248"/>
  <c r="C65" i="134"/>
  <c r="C16" i="248" s="1"/>
  <c r="C46" i="248" s="1"/>
  <c r="D65" i="134"/>
  <c r="D16" i="248" s="1"/>
  <c r="E65" i="134"/>
  <c r="E16" i="248" s="1"/>
  <c r="F65" i="134"/>
  <c r="F16" i="248" s="1"/>
  <c r="G65" i="134"/>
  <c r="G16" i="248" s="1"/>
  <c r="H65" i="134"/>
  <c r="H16" i="248" s="1"/>
  <c r="I65" i="134"/>
  <c r="I16" i="248" s="1"/>
  <c r="J65" i="134"/>
  <c r="J16" i="248" s="1"/>
  <c r="K65" i="134"/>
  <c r="K16" i="248" s="1"/>
  <c r="C73" i="350"/>
  <c r="C33" i="248" s="1"/>
  <c r="E73" i="350"/>
  <c r="E33" i="248" s="1"/>
  <c r="G73" i="350"/>
  <c r="G33" i="248" s="1"/>
  <c r="I73" i="350"/>
  <c r="I33" i="248" s="1"/>
  <c r="D73" i="350"/>
  <c r="D33" i="248" s="1"/>
  <c r="H73" i="350"/>
  <c r="H33" i="248" s="1"/>
  <c r="J73" i="350"/>
  <c r="J33" i="248" s="1"/>
  <c r="K73" i="350"/>
  <c r="K33" i="248" s="1"/>
  <c r="C18" i="134"/>
  <c r="C9" i="248" s="1"/>
  <c r="C7" i="134"/>
  <c r="C6" i="248" s="1"/>
  <c r="C10" i="134"/>
  <c r="C7" i="248" s="1"/>
  <c r="C14" i="134"/>
  <c r="C8" i="248" s="1"/>
  <c r="C21" i="134"/>
  <c r="C10" i="248" s="1"/>
  <c r="C40" i="248" s="1"/>
  <c r="C27" i="134"/>
  <c r="C12" i="248" s="1"/>
  <c r="C42" i="248" s="1"/>
  <c r="C43" i="134"/>
  <c r="C13" i="248" s="1"/>
  <c r="C43" i="248" s="1"/>
  <c r="C47" i="134"/>
  <c r="C14" i="248" s="1"/>
  <c r="C51" i="134"/>
  <c r="C15" i="248" s="1"/>
  <c r="C69" i="134"/>
  <c r="C17" i="248" s="1"/>
  <c r="C47" i="248" s="1"/>
  <c r="F18" i="134"/>
  <c r="F9" i="248" s="1"/>
  <c r="D18" i="134"/>
  <c r="D9" i="248" s="1"/>
  <c r="D14" i="134"/>
  <c r="D8" i="248" s="1"/>
  <c r="F14" i="134"/>
  <c r="F8" i="248" s="1"/>
  <c r="K69" i="134"/>
  <c r="K17" i="248" s="1"/>
  <c r="J69" i="134"/>
  <c r="J17" i="248" s="1"/>
  <c r="I69" i="134"/>
  <c r="I17" i="248" s="1"/>
  <c r="H69" i="134"/>
  <c r="H17" i="248" s="1"/>
  <c r="G69" i="134"/>
  <c r="G17" i="248" s="1"/>
  <c r="F7" i="134"/>
  <c r="F6" i="248" s="1"/>
  <c r="F10" i="134"/>
  <c r="F7" i="248" s="1"/>
  <c r="F21" i="134"/>
  <c r="F10" i="248" s="1"/>
  <c r="F27" i="134"/>
  <c r="F12" i="248" s="1"/>
  <c r="F43" i="134"/>
  <c r="F13" i="248" s="1"/>
  <c r="F47" i="134"/>
  <c r="F14" i="248" s="1"/>
  <c r="F51" i="134"/>
  <c r="F15" i="248" s="1"/>
  <c r="F69" i="134"/>
  <c r="F17" i="248"/>
  <c r="E69" i="134"/>
  <c r="E17" i="248"/>
  <c r="D7" i="134"/>
  <c r="D6" i="248" s="1"/>
  <c r="D10" i="134"/>
  <c r="D7" i="248" s="1"/>
  <c r="D21" i="134"/>
  <c r="D10" i="248" s="1"/>
  <c r="D27" i="134"/>
  <c r="D12" i="248" s="1"/>
  <c r="D42" i="248" s="1"/>
  <c r="D43" i="134"/>
  <c r="D13" i="248" s="1"/>
  <c r="D43" i="248" s="1"/>
  <c r="D47" i="134"/>
  <c r="D14" i="248" s="1"/>
  <c r="D44" i="248" s="1"/>
  <c r="D51" i="134"/>
  <c r="D15" i="248" s="1"/>
  <c r="D69" i="134"/>
  <c r="D17" i="248" s="1"/>
  <c r="J73" i="134"/>
  <c r="J18" i="248" s="1"/>
  <c r="I73" i="134"/>
  <c r="I18" i="248" s="1"/>
  <c r="F73" i="134"/>
  <c r="F18" i="248" s="1"/>
  <c r="K73" i="134"/>
  <c r="K18" i="248" s="1"/>
  <c r="H73" i="134"/>
  <c r="H18" i="248" s="1"/>
  <c r="G73" i="134"/>
  <c r="G18" i="248" s="1"/>
  <c r="E73" i="134"/>
  <c r="E18" i="248" s="1"/>
  <c r="D73" i="134"/>
  <c r="D18" i="248" s="1"/>
  <c r="C73" i="134"/>
  <c r="C18" i="248" s="1"/>
  <c r="J10" i="348"/>
  <c r="J11" i="348"/>
  <c r="J12" i="348"/>
  <c r="J13" i="348"/>
  <c r="J14" i="348"/>
  <c r="J15" i="348"/>
  <c r="J16" i="348"/>
  <c r="J17" i="348"/>
  <c r="J18" i="348"/>
  <c r="J19" i="348"/>
  <c r="J21" i="348"/>
  <c r="J22" i="348"/>
  <c r="J23" i="348"/>
  <c r="J24" i="348"/>
  <c r="J25" i="348"/>
  <c r="J26" i="348"/>
  <c r="J27" i="348"/>
  <c r="J28" i="348"/>
  <c r="J29" i="348"/>
  <c r="J30" i="348"/>
  <c r="J31" i="348"/>
  <c r="J32" i="348"/>
  <c r="J33" i="348"/>
  <c r="J34" i="348"/>
  <c r="J35" i="348"/>
  <c r="J37" i="348"/>
  <c r="J38" i="348"/>
  <c r="J39" i="348"/>
  <c r="J40" i="348"/>
  <c r="J41" i="348"/>
  <c r="J42" i="348"/>
  <c r="J43" i="348"/>
  <c r="J44" i="348"/>
  <c r="J45" i="348"/>
  <c r="J46" i="348"/>
  <c r="J47" i="348"/>
  <c r="J48" i="348"/>
  <c r="J49" i="348"/>
  <c r="J50" i="348"/>
  <c r="J51" i="348"/>
  <c r="J52" i="348"/>
  <c r="J53" i="348"/>
  <c r="J56" i="348"/>
  <c r="J57" i="348"/>
  <c r="J58" i="348"/>
  <c r="J59" i="348"/>
  <c r="J60" i="348"/>
  <c r="J61" i="348"/>
  <c r="J62" i="348"/>
  <c r="J63" i="348"/>
  <c r="J64" i="348"/>
  <c r="J65" i="348"/>
  <c r="J66" i="348"/>
  <c r="J67" i="348"/>
  <c r="J68" i="348"/>
  <c r="J69" i="348"/>
  <c r="J70" i="348"/>
  <c r="J71" i="348"/>
  <c r="J72" i="348"/>
  <c r="J73" i="348"/>
  <c r="J74" i="348"/>
  <c r="J75" i="348"/>
  <c r="I20" i="348"/>
  <c r="I54" i="348"/>
  <c r="I76" i="348"/>
  <c r="L10" i="348"/>
  <c r="L11" i="348"/>
  <c r="L12" i="348"/>
  <c r="L13" i="348"/>
  <c r="L14" i="348"/>
  <c r="L15" i="348"/>
  <c r="L16" i="348"/>
  <c r="L17" i="348"/>
  <c r="L18" i="348"/>
  <c r="L19" i="348"/>
  <c r="L21" i="348"/>
  <c r="L22" i="348"/>
  <c r="L23" i="348"/>
  <c r="L24" i="348"/>
  <c r="L25" i="348"/>
  <c r="L26" i="348"/>
  <c r="L27" i="348"/>
  <c r="L28" i="348"/>
  <c r="L29" i="348"/>
  <c r="L30" i="348"/>
  <c r="L31" i="348"/>
  <c r="L32" i="348"/>
  <c r="L33" i="348"/>
  <c r="L34" i="348"/>
  <c r="L35" i="348"/>
  <c r="L37" i="348"/>
  <c r="L38" i="348"/>
  <c r="L39" i="348"/>
  <c r="L40" i="348"/>
  <c r="L41" i="348"/>
  <c r="L42" i="348"/>
  <c r="L43" i="348"/>
  <c r="L44" i="348"/>
  <c r="L45" i="348"/>
  <c r="L46" i="348"/>
  <c r="L47" i="348"/>
  <c r="L48" i="348"/>
  <c r="L49" i="348"/>
  <c r="L50" i="348"/>
  <c r="L51" i="348"/>
  <c r="L52" i="348"/>
  <c r="L53" i="348"/>
  <c r="L56" i="348"/>
  <c r="L57" i="348"/>
  <c r="L58" i="348"/>
  <c r="L59" i="348"/>
  <c r="L60" i="348"/>
  <c r="L61" i="348"/>
  <c r="L62" i="348"/>
  <c r="L63" i="348"/>
  <c r="L64" i="348"/>
  <c r="L65" i="348"/>
  <c r="L66" i="348"/>
  <c r="L67" i="348"/>
  <c r="L68" i="348"/>
  <c r="L69" i="348"/>
  <c r="L70" i="348"/>
  <c r="L71" i="348"/>
  <c r="L72" i="348"/>
  <c r="L73" i="348"/>
  <c r="L74" i="348"/>
  <c r="L75" i="348"/>
  <c r="E75" i="348"/>
  <c r="E74" i="348"/>
  <c r="E73" i="348"/>
  <c r="E72" i="348"/>
  <c r="E71" i="348"/>
  <c r="E70" i="348"/>
  <c r="E69" i="348"/>
  <c r="E68" i="348"/>
  <c r="E67" i="348"/>
  <c r="E66" i="348"/>
  <c r="E65" i="348"/>
  <c r="E64" i="348"/>
  <c r="E63" i="348"/>
  <c r="E62" i="348"/>
  <c r="E61" i="348"/>
  <c r="E60" i="348"/>
  <c r="E59" i="348"/>
  <c r="E58" i="348"/>
  <c r="E57" i="348"/>
  <c r="E56" i="348"/>
  <c r="E53" i="348"/>
  <c r="E52" i="348"/>
  <c r="E51" i="348"/>
  <c r="E50" i="348"/>
  <c r="E49" i="348"/>
  <c r="E48" i="348"/>
  <c r="E47" i="348"/>
  <c r="E46" i="348"/>
  <c r="E45" i="348"/>
  <c r="E44" i="348"/>
  <c r="E43" i="348"/>
  <c r="E42" i="348"/>
  <c r="E41" i="348"/>
  <c r="E40" i="348"/>
  <c r="E39" i="348"/>
  <c r="E38" i="348"/>
  <c r="E37" i="348"/>
  <c r="E35" i="348"/>
  <c r="E34" i="348"/>
  <c r="E33" i="348"/>
  <c r="E32" i="348"/>
  <c r="E31" i="348"/>
  <c r="E30" i="348"/>
  <c r="E29" i="348"/>
  <c r="E28" i="348"/>
  <c r="E27" i="348"/>
  <c r="E26" i="348"/>
  <c r="E25" i="348"/>
  <c r="E24" i="348"/>
  <c r="E23" i="348"/>
  <c r="E22" i="348"/>
  <c r="E21" i="348"/>
  <c r="E19" i="348"/>
  <c r="E18" i="348"/>
  <c r="E17" i="348"/>
  <c r="E16" i="348"/>
  <c r="E15" i="348"/>
  <c r="E14" i="348"/>
  <c r="E13" i="348"/>
  <c r="E12" i="348"/>
  <c r="E11" i="348"/>
  <c r="E10" i="348"/>
  <c r="A24" i="344"/>
  <c r="A22" i="344"/>
  <c r="A21" i="344"/>
  <c r="A20" i="344"/>
  <c r="A19" i="344"/>
  <c r="A18" i="344"/>
  <c r="A17" i="344"/>
  <c r="A16" i="344"/>
  <c r="A15" i="344"/>
  <c r="A14" i="344"/>
  <c r="A13" i="344"/>
  <c r="A12" i="344"/>
  <c r="A11" i="344"/>
  <c r="A10" i="344"/>
  <c r="A9" i="344"/>
  <c r="A8" i="344"/>
  <c r="A7" i="344"/>
  <c r="A6" i="344"/>
  <c r="A5" i="344"/>
  <c r="A4" i="344"/>
  <c r="A3" i="344"/>
  <c r="A2" i="344"/>
  <c r="D15" i="339"/>
  <c r="B2" i="339"/>
  <c r="D2" i="339"/>
  <c r="D3" i="339"/>
  <c r="E3" i="339"/>
  <c r="A4" i="339"/>
  <c r="B4" i="339"/>
  <c r="D4" i="339"/>
  <c r="E4" i="339"/>
  <c r="F4" i="339"/>
  <c r="G4" i="339"/>
  <c r="H4" i="339"/>
  <c r="A5" i="339"/>
  <c r="B5" i="339"/>
  <c r="E5" i="339"/>
  <c r="F5" i="339"/>
  <c r="G5" i="339"/>
  <c r="A6" i="339"/>
  <c r="B6" i="339"/>
  <c r="E6" i="339"/>
  <c r="F6" i="339"/>
  <c r="G6" i="339"/>
  <c r="A7" i="339"/>
  <c r="B7" i="339"/>
  <c r="E7" i="339"/>
  <c r="F7" i="339"/>
  <c r="G7" i="339"/>
  <c r="A8" i="339"/>
  <c r="B8" i="339"/>
  <c r="E8" i="339"/>
  <c r="F8" i="339"/>
  <c r="G8" i="339"/>
  <c r="A9" i="339"/>
  <c r="B9" i="339"/>
  <c r="E9" i="339"/>
  <c r="F9" i="339"/>
  <c r="G9" i="339"/>
  <c r="H9" i="339"/>
  <c r="A10" i="339"/>
  <c r="C10" i="339"/>
  <c r="E10" i="339"/>
  <c r="F10" i="339"/>
  <c r="G10" i="339"/>
  <c r="A11" i="339"/>
  <c r="B11" i="339"/>
  <c r="E11" i="339"/>
  <c r="F11" i="339"/>
  <c r="G11" i="339"/>
  <c r="A12" i="339"/>
  <c r="B12" i="339"/>
  <c r="E12" i="339"/>
  <c r="F12" i="339"/>
  <c r="G12" i="339"/>
  <c r="A13" i="339"/>
  <c r="B13" i="339"/>
  <c r="D13" i="339"/>
  <c r="F13" i="339"/>
  <c r="G13" i="339"/>
  <c r="A14" i="339"/>
  <c r="B14" i="339"/>
  <c r="D14" i="339"/>
  <c r="F14" i="339"/>
  <c r="G14" i="339"/>
  <c r="A15" i="339"/>
  <c r="B15" i="339"/>
  <c r="F15" i="339"/>
  <c r="G15" i="339"/>
  <c r="A16" i="339"/>
  <c r="B16" i="339"/>
  <c r="D16" i="339"/>
  <c r="E16" i="339"/>
  <c r="F16" i="339"/>
  <c r="G16" i="339"/>
  <c r="A17" i="339"/>
  <c r="B17" i="339"/>
  <c r="E17" i="339"/>
  <c r="F17" i="339"/>
  <c r="G17" i="339"/>
  <c r="A18" i="339"/>
  <c r="B18" i="339"/>
  <c r="D18" i="339"/>
  <c r="F18" i="339"/>
  <c r="B19" i="339"/>
  <c r="D19" i="339"/>
  <c r="E19" i="339"/>
  <c r="F19" i="339"/>
  <c r="G19" i="339"/>
  <c r="B20" i="339"/>
  <c r="C20" i="339"/>
  <c r="E20" i="339"/>
  <c r="F20" i="339"/>
  <c r="G20" i="339"/>
  <c r="C21" i="339"/>
  <c r="D21" i="339"/>
  <c r="F21" i="339"/>
  <c r="C22" i="339"/>
  <c r="D22" i="339"/>
  <c r="E22" i="339"/>
  <c r="F22" i="339"/>
  <c r="G22" i="339"/>
  <c r="B23" i="339"/>
  <c r="E23" i="339"/>
  <c r="F23" i="339"/>
  <c r="G23" i="339"/>
  <c r="B24" i="339"/>
  <c r="E24" i="339"/>
  <c r="F24" i="339"/>
  <c r="G24" i="339"/>
  <c r="B25" i="339"/>
  <c r="E25" i="339"/>
  <c r="F25" i="339"/>
  <c r="G25" i="339"/>
  <c r="B26" i="339"/>
  <c r="D26" i="339"/>
  <c r="F26" i="339"/>
  <c r="G26" i="339"/>
  <c r="B27" i="339"/>
  <c r="D27" i="339"/>
  <c r="E27" i="339"/>
  <c r="F27" i="339"/>
  <c r="G27" i="339"/>
  <c r="B28" i="339"/>
  <c r="E28" i="339"/>
  <c r="F28" i="339"/>
  <c r="G28" i="339"/>
  <c r="E29" i="339"/>
  <c r="F29" i="339"/>
  <c r="G29" i="339"/>
  <c r="E30" i="339"/>
  <c r="F30" i="339"/>
  <c r="G30" i="339"/>
  <c r="E31" i="339"/>
  <c r="F31" i="339"/>
  <c r="G31" i="339"/>
  <c r="D32" i="339"/>
  <c r="F32" i="339"/>
  <c r="G32" i="339"/>
  <c r="F33" i="339"/>
  <c r="G33" i="339"/>
  <c r="F34" i="339"/>
  <c r="F35" i="339"/>
  <c r="F36" i="339"/>
  <c r="F37" i="339"/>
  <c r="A26" i="255"/>
  <c r="D27" i="255" s="1"/>
  <c r="C9" i="339"/>
  <c r="M73" i="338"/>
  <c r="L73" i="338"/>
  <c r="K73" i="338"/>
  <c r="I73" i="338"/>
  <c r="J73" i="338"/>
  <c r="H73" i="338"/>
  <c r="G73" i="338"/>
  <c r="F73" i="338"/>
  <c r="E73" i="338"/>
  <c r="D73" i="338"/>
  <c r="M61" i="338"/>
  <c r="L61" i="338"/>
  <c r="K61" i="338"/>
  <c r="I61" i="338"/>
  <c r="H61" i="338"/>
  <c r="G61" i="338"/>
  <c r="E61" i="338"/>
  <c r="J41" i="338"/>
  <c r="J52" i="338"/>
  <c r="J44" i="338"/>
  <c r="J43" i="338" s="1"/>
  <c r="J50" i="338"/>
  <c r="J25" i="338"/>
  <c r="J29" i="338"/>
  <c r="J27" i="338" s="1"/>
  <c r="J62" i="338"/>
  <c r="J64" i="338"/>
  <c r="D61" i="338"/>
  <c r="A3" i="338"/>
  <c r="B3" i="338"/>
  <c r="D4" i="338"/>
  <c r="E4" i="338"/>
  <c r="F4" i="338"/>
  <c r="G4" i="338"/>
  <c r="H4" i="338"/>
  <c r="I4" i="338"/>
  <c r="A9" i="338"/>
  <c r="D19" i="338"/>
  <c r="G19" i="338"/>
  <c r="I18" i="338"/>
  <c r="I19" i="338"/>
  <c r="D25" i="338"/>
  <c r="E25" i="338"/>
  <c r="F25" i="338"/>
  <c r="G25" i="338"/>
  <c r="H25" i="338"/>
  <c r="I25" i="338"/>
  <c r="K25" i="338"/>
  <c r="L25" i="338"/>
  <c r="M25" i="338"/>
  <c r="D29" i="338"/>
  <c r="D27" i="338" s="1"/>
  <c r="E29" i="338"/>
  <c r="E27" i="338" s="1"/>
  <c r="F29" i="338"/>
  <c r="F27" i="338" s="1"/>
  <c r="G29" i="338"/>
  <c r="G27" i="338" s="1"/>
  <c r="H29" i="338"/>
  <c r="H27" i="338" s="1"/>
  <c r="I29" i="338"/>
  <c r="I27" i="338" s="1"/>
  <c r="K29" i="338"/>
  <c r="K27" i="338" s="1"/>
  <c r="L29" i="338"/>
  <c r="L27" i="338" s="1"/>
  <c r="M29" i="338"/>
  <c r="M27" i="338" s="1"/>
  <c r="D41" i="338"/>
  <c r="E41" i="338"/>
  <c r="F41" i="338"/>
  <c r="G41" i="338"/>
  <c r="G52" i="338"/>
  <c r="H41" i="338"/>
  <c r="I41" i="338"/>
  <c r="I52" i="338"/>
  <c r="K41" i="338"/>
  <c r="K52" i="338"/>
  <c r="L41" i="338"/>
  <c r="L52" i="338"/>
  <c r="M41" i="338"/>
  <c r="M52" i="338"/>
  <c r="A38" i="338"/>
  <c r="A40" i="338"/>
  <c r="A42" i="338"/>
  <c r="I44" i="338"/>
  <c r="I43" i="338" s="1"/>
  <c r="A47" i="338"/>
  <c r="I50" i="338"/>
  <c r="I49" i="338" s="1"/>
  <c r="A51" i="338"/>
  <c r="D55" i="338"/>
  <c r="D57" i="338"/>
  <c r="E55" i="338"/>
  <c r="E57" i="338"/>
  <c r="G55" i="338"/>
  <c r="G57" i="338"/>
  <c r="A61" i="338"/>
  <c r="D62" i="338"/>
  <c r="E62" i="338"/>
  <c r="F62" i="338"/>
  <c r="G62" i="338"/>
  <c r="H62" i="338"/>
  <c r="I62" i="338"/>
  <c r="D63" i="338"/>
  <c r="E63" i="338"/>
  <c r="F63" i="338"/>
  <c r="G63" i="338"/>
  <c r="H63" i="338"/>
  <c r="I63" i="338"/>
  <c r="K63" i="338"/>
  <c r="L63" i="338"/>
  <c r="M63" i="338"/>
  <c r="D64" i="338"/>
  <c r="E64" i="338"/>
  <c r="F64" i="338"/>
  <c r="G64" i="338"/>
  <c r="H64" i="338"/>
  <c r="I64" i="338"/>
  <c r="K64" i="338"/>
  <c r="L64" i="338"/>
  <c r="M64" i="338"/>
  <c r="A65" i="338"/>
  <c r="D65" i="338"/>
  <c r="E65" i="338"/>
  <c r="F65" i="338"/>
  <c r="G65" i="338"/>
  <c r="H65" i="338"/>
  <c r="I65" i="338"/>
  <c r="A66" i="338"/>
  <c r="A73" i="338"/>
  <c r="F61" i="338"/>
  <c r="A60" i="255"/>
  <c r="A21" i="255"/>
  <c r="A23" i="255"/>
  <c r="A29" i="255"/>
  <c r="A16" i="255"/>
  <c r="A17" i="255" s="1"/>
  <c r="A18" i="255"/>
  <c r="A11" i="255"/>
  <c r="A14" i="255" s="1"/>
  <c r="A13" i="255"/>
  <c r="A6" i="255"/>
  <c r="K8" i="255" s="1"/>
  <c r="I3" i="255"/>
  <c r="A2" i="255"/>
  <c r="B2" i="255"/>
  <c r="C3" i="255"/>
  <c r="D3" i="255"/>
  <c r="E3" i="255"/>
  <c r="F3" i="255"/>
  <c r="G3" i="255"/>
  <c r="H3" i="255"/>
  <c r="A39" i="255"/>
  <c r="I48" i="255" s="1"/>
  <c r="A62" i="255"/>
  <c r="A68" i="255"/>
  <c r="A73" i="255"/>
  <c r="C74" i="255" s="1"/>
  <c r="A122" i="255"/>
  <c r="M68" i="123"/>
  <c r="L68" i="123"/>
  <c r="K68" i="123"/>
  <c r="I16" i="123"/>
  <c r="H16" i="123"/>
  <c r="G16" i="123"/>
  <c r="F16" i="123"/>
  <c r="E16" i="123"/>
  <c r="M84" i="123"/>
  <c r="L84" i="123"/>
  <c r="K84" i="123"/>
  <c r="A84" i="123"/>
  <c r="J3" i="123"/>
  <c r="M82" i="123"/>
  <c r="L82" i="123"/>
  <c r="K82" i="123"/>
  <c r="M76" i="123"/>
  <c r="L76" i="123"/>
  <c r="K76" i="123"/>
  <c r="A2" i="123"/>
  <c r="C2" i="123"/>
  <c r="D3" i="123"/>
  <c r="E3" i="123"/>
  <c r="F3" i="123"/>
  <c r="G3" i="123"/>
  <c r="H3" i="123"/>
  <c r="I3" i="123"/>
  <c r="A5" i="123"/>
  <c r="B18" i="123"/>
  <c r="B58" i="123" s="1"/>
  <c r="A20" i="123"/>
  <c r="A38" i="123"/>
  <c r="A39" i="123"/>
  <c r="A40" i="123"/>
  <c r="A41" i="123"/>
  <c r="A42" i="123"/>
  <c r="A51" i="123"/>
  <c r="B57" i="123"/>
  <c r="D42" i="88"/>
  <c r="E42" i="88"/>
  <c r="F42" i="88"/>
  <c r="G42" i="88"/>
  <c r="H42" i="88"/>
  <c r="I42" i="88"/>
  <c r="J42" i="88"/>
  <c r="K42" i="88"/>
  <c r="L42" i="88"/>
  <c r="F103" i="100"/>
  <c r="B103" i="100" s="1"/>
  <c r="A65" i="336"/>
  <c r="J63" i="336"/>
  <c r="I63" i="336"/>
  <c r="H63" i="336"/>
  <c r="G63" i="336"/>
  <c r="F63" i="336"/>
  <c r="E63" i="336"/>
  <c r="D63" i="336"/>
  <c r="C63" i="336"/>
  <c r="K37" i="336"/>
  <c r="J37" i="336"/>
  <c r="I37" i="336"/>
  <c r="H37" i="336"/>
  <c r="G37" i="336"/>
  <c r="F37" i="336"/>
  <c r="E37" i="336"/>
  <c r="D37" i="336"/>
  <c r="C37" i="336"/>
  <c r="H3" i="336"/>
  <c r="G3" i="336"/>
  <c r="F3" i="336"/>
  <c r="E3" i="336"/>
  <c r="D3" i="336"/>
  <c r="C3" i="336"/>
  <c r="B2" i="336"/>
  <c r="A2" i="336"/>
  <c r="S39" i="335"/>
  <c r="S40" i="335"/>
  <c r="A50" i="335"/>
  <c r="A106" i="335"/>
  <c r="A104" i="335"/>
  <c r="A103" i="335"/>
  <c r="A102" i="335"/>
  <c r="A101" i="335"/>
  <c r="A100" i="335"/>
  <c r="A99" i="335"/>
  <c r="A98" i="335"/>
  <c r="B97" i="335"/>
  <c r="A97" i="335"/>
  <c r="A96" i="335"/>
  <c r="A95" i="335"/>
  <c r="B94" i="335"/>
  <c r="A94" i="335"/>
  <c r="A93" i="335"/>
  <c r="A92" i="335"/>
  <c r="A91" i="335"/>
  <c r="A90" i="335"/>
  <c r="A89" i="335"/>
  <c r="A88" i="335"/>
  <c r="B87" i="335"/>
  <c r="A87" i="335"/>
  <c r="A86" i="335"/>
  <c r="A85" i="335"/>
  <c r="A84" i="335"/>
  <c r="A83" i="335"/>
  <c r="A82" i="335"/>
  <c r="A81" i="335"/>
  <c r="A80" i="335"/>
  <c r="A79" i="335"/>
  <c r="A78" i="335"/>
  <c r="A77" i="335"/>
  <c r="A76" i="335"/>
  <c r="A75" i="335"/>
  <c r="A74" i="335"/>
  <c r="A73" i="335"/>
  <c r="A72" i="335"/>
  <c r="A71" i="335"/>
  <c r="A70" i="335"/>
  <c r="A69" i="335"/>
  <c r="A68" i="335"/>
  <c r="A67" i="335"/>
  <c r="A66" i="335"/>
  <c r="A65" i="335"/>
  <c r="A64" i="335"/>
  <c r="A63" i="335"/>
  <c r="A62" i="335"/>
  <c r="A61" i="335"/>
  <c r="A60" i="335"/>
  <c r="R58" i="335"/>
  <c r="Q58" i="335"/>
  <c r="P58" i="335"/>
  <c r="O58" i="335"/>
  <c r="N58" i="335"/>
  <c r="M58" i="335"/>
  <c r="L58" i="335"/>
  <c r="K58" i="335"/>
  <c r="J58" i="335"/>
  <c r="I58" i="335"/>
  <c r="H58" i="335"/>
  <c r="G58" i="335"/>
  <c r="F58" i="335"/>
  <c r="E58" i="335"/>
  <c r="D58" i="335"/>
  <c r="C58" i="335"/>
  <c r="B2" i="335"/>
  <c r="B58" i="335" s="1"/>
  <c r="A2" i="335"/>
  <c r="A58" i="335" s="1"/>
  <c r="L45" i="337"/>
  <c r="L47" i="337" s="1"/>
  <c r="K45" i="337"/>
  <c r="K47" i="337" s="1"/>
  <c r="J45" i="337"/>
  <c r="J47" i="337" s="1"/>
  <c r="H45" i="337"/>
  <c r="H47" i="337" s="1"/>
  <c r="G45" i="337"/>
  <c r="G47" i="337" s="1"/>
  <c r="F45" i="337"/>
  <c r="F47" i="337" s="1"/>
  <c r="E45" i="337"/>
  <c r="E47" i="337" s="1"/>
  <c r="F48" i="337" s="1"/>
  <c r="D45" i="337"/>
  <c r="D47" i="337" s="1"/>
  <c r="C45" i="337"/>
  <c r="C47" i="337" s="1"/>
  <c r="L30" i="337"/>
  <c r="L32" i="337" s="1"/>
  <c r="K30" i="337"/>
  <c r="K32" i="337" s="1"/>
  <c r="J30" i="337"/>
  <c r="J32" i="337" s="1"/>
  <c r="F30" i="337"/>
  <c r="F32" i="337" s="1"/>
  <c r="H30" i="337"/>
  <c r="H32" i="337" s="1"/>
  <c r="G30" i="337"/>
  <c r="G32" i="337" s="1"/>
  <c r="G33" i="337" s="1"/>
  <c r="E30" i="337"/>
  <c r="E32" i="337" s="1"/>
  <c r="D30" i="337"/>
  <c r="D32" i="337" s="1"/>
  <c r="C30" i="337"/>
  <c r="C32" i="337" s="1"/>
  <c r="L15" i="337"/>
  <c r="L17" i="337" s="1"/>
  <c r="K15" i="337"/>
  <c r="K17" i="337" s="1"/>
  <c r="J15" i="337"/>
  <c r="J17" i="337" s="1"/>
  <c r="F15" i="337"/>
  <c r="F17" i="337" s="1"/>
  <c r="E15" i="337"/>
  <c r="E17" i="337" s="1"/>
  <c r="H15" i="337"/>
  <c r="H17" i="337"/>
  <c r="G15" i="337"/>
  <c r="G17" i="337"/>
  <c r="D15" i="337"/>
  <c r="D17" i="337" s="1"/>
  <c r="C15" i="337"/>
  <c r="C17" i="337" s="1"/>
  <c r="A50" i="337"/>
  <c r="A48" i="337"/>
  <c r="A46" i="337"/>
  <c r="A45" i="337"/>
  <c r="A44" i="337"/>
  <c r="A43" i="337"/>
  <c r="A42" i="337"/>
  <c r="A41" i="337"/>
  <c r="A40" i="337"/>
  <c r="A39" i="337"/>
  <c r="A38" i="337"/>
  <c r="A37" i="337"/>
  <c r="A36" i="337"/>
  <c r="A2" i="337"/>
  <c r="A31" i="337"/>
  <c r="A30" i="337"/>
  <c r="A29" i="337"/>
  <c r="A28" i="337"/>
  <c r="A27" i="337"/>
  <c r="A26" i="337"/>
  <c r="A25" i="337"/>
  <c r="A24" i="337"/>
  <c r="A23" i="337"/>
  <c r="A22" i="337"/>
  <c r="A21" i="337"/>
  <c r="H3" i="337"/>
  <c r="G3" i="337"/>
  <c r="F3" i="337"/>
  <c r="E3" i="337"/>
  <c r="D3" i="337"/>
  <c r="C3" i="337"/>
  <c r="B2" i="337"/>
  <c r="B2" i="142"/>
  <c r="C3" i="142"/>
  <c r="D3" i="142"/>
  <c r="E3" i="142"/>
  <c r="F3" i="142"/>
  <c r="G3" i="142"/>
  <c r="H3" i="142"/>
  <c r="C17" i="142"/>
  <c r="C30" i="142"/>
  <c r="D17" i="142"/>
  <c r="D30" i="142"/>
  <c r="E17" i="142"/>
  <c r="F17" i="142"/>
  <c r="F30" i="142"/>
  <c r="G17" i="142"/>
  <c r="G30" i="142"/>
  <c r="G32" i="142" s="1"/>
  <c r="H17" i="142"/>
  <c r="H30" i="142"/>
  <c r="I17" i="142"/>
  <c r="J17" i="142"/>
  <c r="J30" i="142"/>
  <c r="K17" i="142"/>
  <c r="K30" i="142"/>
  <c r="A20" i="142"/>
  <c r="A21" i="142"/>
  <c r="A22" i="142"/>
  <c r="A23" i="142"/>
  <c r="A24" i="142"/>
  <c r="A25" i="142"/>
  <c r="A26" i="142"/>
  <c r="A27" i="142"/>
  <c r="A28" i="142"/>
  <c r="E30" i="142"/>
  <c r="I30" i="142"/>
  <c r="A34" i="142"/>
  <c r="B2" i="143"/>
  <c r="F12" i="143"/>
  <c r="G12" i="143"/>
  <c r="F22" i="143"/>
  <c r="G22" i="143"/>
  <c r="G24" i="143" s="1"/>
  <c r="A26" i="143"/>
  <c r="B2" i="144"/>
  <c r="C3" i="144"/>
  <c r="D3" i="144"/>
  <c r="E3" i="144"/>
  <c r="F3" i="144"/>
  <c r="G3" i="144"/>
  <c r="H3" i="144"/>
  <c r="A20" i="144"/>
  <c r="A21" i="144"/>
  <c r="A22" i="144"/>
  <c r="A23" i="144"/>
  <c r="A24" i="144"/>
  <c r="A25" i="144"/>
  <c r="A26" i="144"/>
  <c r="A27" i="144"/>
  <c r="A28" i="144"/>
  <c r="A29" i="144"/>
  <c r="A30" i="144"/>
  <c r="A31" i="144"/>
  <c r="A36" i="144"/>
  <c r="K45" i="136"/>
  <c r="K41" i="316" s="1"/>
  <c r="K42" i="316" s="1"/>
  <c r="J45" i="136"/>
  <c r="J41" i="316" s="1"/>
  <c r="J42" i="316" s="1"/>
  <c r="I45" i="136"/>
  <c r="I41" i="316" s="1"/>
  <c r="I42" i="316" s="1"/>
  <c r="H45" i="136"/>
  <c r="H41" i="316" s="1"/>
  <c r="H42" i="316" s="1"/>
  <c r="G45" i="136"/>
  <c r="G41" i="316" s="1"/>
  <c r="G42" i="316" s="1"/>
  <c r="F45" i="136"/>
  <c r="F41" i="316" s="1"/>
  <c r="F42" i="316" s="1"/>
  <c r="E45" i="136"/>
  <c r="E41" i="316" s="1"/>
  <c r="E42" i="316" s="1"/>
  <c r="D45" i="136"/>
  <c r="D41" i="316" s="1"/>
  <c r="D42" i="316" s="1"/>
  <c r="C45" i="136"/>
  <c r="C41" i="316" s="1"/>
  <c r="C42" i="316" s="1"/>
  <c r="K48" i="136"/>
  <c r="K46" i="316" s="1"/>
  <c r="K47" i="316" s="1"/>
  <c r="J48" i="136"/>
  <c r="J46" i="316" s="1"/>
  <c r="J47" i="316" s="1"/>
  <c r="I48" i="136"/>
  <c r="I46" i="316" s="1"/>
  <c r="I47" i="316" s="1"/>
  <c r="H48" i="136"/>
  <c r="H46" i="316" s="1"/>
  <c r="H47" i="316" s="1"/>
  <c r="G48" i="136"/>
  <c r="G46" i="316" s="1"/>
  <c r="G47" i="316" s="1"/>
  <c r="F48" i="136"/>
  <c r="F46" i="316" s="1"/>
  <c r="F47" i="316" s="1"/>
  <c r="E48" i="136"/>
  <c r="E46" i="316" s="1"/>
  <c r="E47" i="316" s="1"/>
  <c r="D48" i="136"/>
  <c r="D46" i="316" s="1"/>
  <c r="D47" i="316" s="1"/>
  <c r="C48" i="136"/>
  <c r="C46" i="316" s="1"/>
  <c r="C47" i="316" s="1"/>
  <c r="C36" i="136"/>
  <c r="C32" i="316"/>
  <c r="C43" i="136"/>
  <c r="C36" i="316" s="1"/>
  <c r="C37" i="316" s="1"/>
  <c r="C7" i="136"/>
  <c r="C8" i="316"/>
  <c r="C25" i="316" s="1"/>
  <c r="C15" i="136"/>
  <c r="C13" i="316"/>
  <c r="C27" i="136"/>
  <c r="C18" i="316"/>
  <c r="C30" i="136"/>
  <c r="C23" i="316"/>
  <c r="K30" i="136"/>
  <c r="K23" i="316"/>
  <c r="J30" i="136"/>
  <c r="J23" i="316"/>
  <c r="I30" i="136"/>
  <c r="I23" i="316"/>
  <c r="H30" i="136"/>
  <c r="H23" i="316"/>
  <c r="G30" i="136"/>
  <c r="G23" i="316"/>
  <c r="F30" i="136"/>
  <c r="F23" i="316"/>
  <c r="E30" i="136"/>
  <c r="E23" i="316"/>
  <c r="D30" i="136"/>
  <c r="D23" i="316"/>
  <c r="K27" i="136"/>
  <c r="K18" i="316"/>
  <c r="J27" i="136"/>
  <c r="J18" i="316"/>
  <c r="I27" i="136"/>
  <c r="I18" i="316"/>
  <c r="H27" i="136"/>
  <c r="H18" i="316"/>
  <c r="G27" i="136"/>
  <c r="G18" i="316"/>
  <c r="F27" i="136"/>
  <c r="F18" i="316"/>
  <c r="E27" i="136"/>
  <c r="E18" i="316"/>
  <c r="D27" i="136"/>
  <c r="D18" i="316"/>
  <c r="B16" i="136"/>
  <c r="B13" i="136"/>
  <c r="B12" i="136"/>
  <c r="B11" i="136"/>
  <c r="B10" i="136"/>
  <c r="B9" i="136"/>
  <c r="B8" i="136"/>
  <c r="A26" i="249"/>
  <c r="A36" i="136"/>
  <c r="A43" i="136"/>
  <c r="A44" i="249"/>
  <c r="A45" i="136"/>
  <c r="A46" i="136"/>
  <c r="A48" i="249" s="1"/>
  <c r="A48" i="136"/>
  <c r="A50" i="249" s="1"/>
  <c r="A49" i="136"/>
  <c r="A51" i="249" s="1"/>
  <c r="A2" i="136"/>
  <c r="B2" i="136"/>
  <c r="C3" i="136"/>
  <c r="D3" i="136"/>
  <c r="E3" i="136"/>
  <c r="F3" i="136"/>
  <c r="G3" i="136"/>
  <c r="H3" i="136"/>
  <c r="D7" i="136"/>
  <c r="D8" i="316"/>
  <c r="E7" i="136"/>
  <c r="E8" i="316"/>
  <c r="E15" i="136"/>
  <c r="E13" i="316"/>
  <c r="E36" i="136"/>
  <c r="E32" i="316"/>
  <c r="E43" i="136"/>
  <c r="E36" i="316" s="1"/>
  <c r="E37" i="316" s="1"/>
  <c r="F7" i="136"/>
  <c r="F8" i="316"/>
  <c r="F15" i="136"/>
  <c r="F13" i="316"/>
  <c r="F36" i="136"/>
  <c r="F32" i="316"/>
  <c r="F43" i="136"/>
  <c r="F37" i="316"/>
  <c r="F51" i="136"/>
  <c r="G7" i="136"/>
  <c r="G8" i="316"/>
  <c r="G15" i="136"/>
  <c r="G13" i="316"/>
  <c r="G36" i="136"/>
  <c r="G32" i="316"/>
  <c r="G43" i="136"/>
  <c r="G36" i="316" s="1"/>
  <c r="G37" i="316" s="1"/>
  <c r="H7" i="136"/>
  <c r="H8" i="316"/>
  <c r="I7" i="136"/>
  <c r="I8" i="316"/>
  <c r="I15" i="136"/>
  <c r="I13" i="316"/>
  <c r="I36" i="136"/>
  <c r="I32" i="316"/>
  <c r="I43" i="136"/>
  <c r="I36" i="316" s="1"/>
  <c r="I37" i="316" s="1"/>
  <c r="I49" i="316" s="1"/>
  <c r="J7" i="136"/>
  <c r="J8" i="316"/>
  <c r="J15" i="136"/>
  <c r="J13" i="316"/>
  <c r="J36" i="136"/>
  <c r="J32" i="316"/>
  <c r="J43" i="136"/>
  <c r="J36" i="316" s="1"/>
  <c r="J37" i="316" s="1"/>
  <c r="K7" i="136"/>
  <c r="K8" i="316"/>
  <c r="K15" i="136"/>
  <c r="K13" i="316"/>
  <c r="K36" i="136"/>
  <c r="K32" i="316"/>
  <c r="K43" i="136"/>
  <c r="K36" i="316" s="1"/>
  <c r="K37" i="316" s="1"/>
  <c r="D15" i="136"/>
  <c r="D13" i="316"/>
  <c r="H15" i="136"/>
  <c r="H13" i="316"/>
  <c r="H25" i="316" s="1"/>
  <c r="D36" i="136"/>
  <c r="D32" i="316"/>
  <c r="D43" i="136"/>
  <c r="D36" i="316" s="1"/>
  <c r="D37" i="316" s="1"/>
  <c r="H36" i="136"/>
  <c r="H32" i="316"/>
  <c r="H43" i="136"/>
  <c r="H36" i="316" s="1"/>
  <c r="H37" i="316" s="1"/>
  <c r="A53" i="136"/>
  <c r="K47" i="249"/>
  <c r="J47" i="249"/>
  <c r="I47" i="249"/>
  <c r="H47" i="249"/>
  <c r="G47" i="249"/>
  <c r="F47" i="249"/>
  <c r="E47" i="249"/>
  <c r="D47" i="249"/>
  <c r="C47" i="249"/>
  <c r="K50" i="249"/>
  <c r="J50" i="249"/>
  <c r="I50" i="249"/>
  <c r="H50" i="249"/>
  <c r="G50" i="249"/>
  <c r="F50" i="249"/>
  <c r="E50" i="249"/>
  <c r="D50" i="249"/>
  <c r="C50" i="249"/>
  <c r="C37" i="249"/>
  <c r="C44" i="249"/>
  <c r="C7" i="249"/>
  <c r="C28" i="249"/>
  <c r="C31" i="249"/>
  <c r="D37" i="249"/>
  <c r="D44" i="249"/>
  <c r="E37" i="249"/>
  <c r="E44" i="249"/>
  <c r="F37" i="249"/>
  <c r="F44" i="249"/>
  <c r="F53" i="249" s="1"/>
  <c r="F60" i="249" s="1"/>
  <c r="G37" i="249"/>
  <c r="G44" i="249"/>
  <c r="G53" i="249" s="1"/>
  <c r="G7" i="249"/>
  <c r="G28" i="249"/>
  <c r="G31" i="249"/>
  <c r="H37" i="249"/>
  <c r="H44" i="249"/>
  <c r="I37" i="249"/>
  <c r="I44" i="249"/>
  <c r="J37" i="249"/>
  <c r="J44" i="249"/>
  <c r="K37" i="249"/>
  <c r="K44" i="249"/>
  <c r="K7" i="249"/>
  <c r="K28" i="249"/>
  <c r="K31" i="249"/>
  <c r="J28" i="249"/>
  <c r="I28" i="249"/>
  <c r="I34" i="249" s="1"/>
  <c r="H28" i="249"/>
  <c r="F28" i="249"/>
  <c r="E28" i="249"/>
  <c r="D28" i="249"/>
  <c r="J31" i="249"/>
  <c r="I31" i="249"/>
  <c r="H31" i="249"/>
  <c r="F31" i="249"/>
  <c r="E31" i="249"/>
  <c r="D31" i="249"/>
  <c r="A42" i="249"/>
  <c r="A41" i="249"/>
  <c r="A40" i="249"/>
  <c r="A39" i="249"/>
  <c r="A38" i="249"/>
  <c r="A16" i="249"/>
  <c r="A13" i="249"/>
  <c r="A12" i="249"/>
  <c r="A11" i="249"/>
  <c r="A10" i="249"/>
  <c r="A9" i="249"/>
  <c r="A8" i="249"/>
  <c r="A2" i="249"/>
  <c r="B2" i="249"/>
  <c r="C3" i="249"/>
  <c r="D3" i="249"/>
  <c r="E3" i="249"/>
  <c r="F3" i="249"/>
  <c r="G3" i="249"/>
  <c r="H3" i="249"/>
  <c r="A7" i="249"/>
  <c r="D7" i="249"/>
  <c r="D34" i="249" s="1"/>
  <c r="E7" i="249"/>
  <c r="F7" i="249"/>
  <c r="H7" i="249"/>
  <c r="I7" i="249"/>
  <c r="J7" i="249"/>
  <c r="A14" i="249"/>
  <c r="A15" i="249"/>
  <c r="A28" i="249"/>
  <c r="A29" i="249"/>
  <c r="A31" i="249"/>
  <c r="A32" i="249"/>
  <c r="A37" i="249"/>
  <c r="A43" i="249"/>
  <c r="A47" i="249"/>
  <c r="A56" i="249"/>
  <c r="E112" i="100"/>
  <c r="A2" i="246"/>
  <c r="B2" i="246"/>
  <c r="A4" i="246"/>
  <c r="A5" i="246"/>
  <c r="A6" i="246"/>
  <c r="A7" i="246"/>
  <c r="A8" i="246"/>
  <c r="A9" i="246"/>
  <c r="A10" i="246"/>
  <c r="A11" i="246"/>
  <c r="A12" i="246"/>
  <c r="A13" i="246"/>
  <c r="A14" i="246"/>
  <c r="E14" i="246" s="1"/>
  <c r="A15" i="246"/>
  <c r="A16" i="246"/>
  <c r="A17" i="246"/>
  <c r="A18" i="246"/>
  <c r="A19" i="246"/>
  <c r="A20" i="246"/>
  <c r="J20" i="246" s="1"/>
  <c r="A21" i="246"/>
  <c r="A22" i="246"/>
  <c r="A24" i="246"/>
  <c r="A25" i="246"/>
  <c r="A26" i="246"/>
  <c r="A27" i="246"/>
  <c r="A28" i="246"/>
  <c r="L28" i="246" s="1"/>
  <c r="A29" i="246"/>
  <c r="A30" i="246"/>
  <c r="A31" i="246"/>
  <c r="A32" i="246"/>
  <c r="A33" i="246"/>
  <c r="A35" i="246"/>
  <c r="A38" i="246"/>
  <c r="A39" i="246"/>
  <c r="A40" i="246"/>
  <c r="A41" i="246"/>
  <c r="A42" i="246"/>
  <c r="A43" i="246"/>
  <c r="J26" i="316"/>
  <c r="J50" i="316"/>
  <c r="H26" i="316"/>
  <c r="H50" i="316"/>
  <c r="H53" i="316" s="1"/>
  <c r="F26" i="316"/>
  <c r="F50" i="316"/>
  <c r="D26" i="316"/>
  <c r="D50" i="316"/>
  <c r="C50" i="316"/>
  <c r="C26" i="316"/>
  <c r="K50" i="316"/>
  <c r="I50" i="316"/>
  <c r="G50" i="316"/>
  <c r="E50" i="316"/>
  <c r="K26" i="316"/>
  <c r="K53" i="316" s="1"/>
  <c r="I26" i="316"/>
  <c r="G26" i="316"/>
  <c r="G53" i="316" s="1"/>
  <c r="E26" i="316"/>
  <c r="A2" i="316"/>
  <c r="B2" i="316"/>
  <c r="C3" i="316"/>
  <c r="D3" i="316"/>
  <c r="E3" i="316"/>
  <c r="F3" i="316"/>
  <c r="G3" i="316"/>
  <c r="H3" i="316"/>
  <c r="A5" i="316"/>
  <c r="A29" i="316" s="1"/>
  <c r="A12" i="316"/>
  <c r="A13" i="316"/>
  <c r="A14" i="316"/>
  <c r="A16" i="316"/>
  <c r="A17" i="316"/>
  <c r="A18" i="316"/>
  <c r="A19" i="316"/>
  <c r="A21" i="316"/>
  <c r="A22" i="316"/>
  <c r="A23" i="316"/>
  <c r="A24" i="316"/>
  <c r="A36" i="316"/>
  <c r="A37" i="316"/>
  <c r="A38" i="316"/>
  <c r="A40" i="316"/>
  <c r="A41" i="316"/>
  <c r="A42" i="316"/>
  <c r="A43" i="316"/>
  <c r="A45" i="316"/>
  <c r="A46" i="316"/>
  <c r="A47" i="316"/>
  <c r="A48" i="316"/>
  <c r="A54" i="316"/>
  <c r="A17" i="305"/>
  <c r="A11" i="305"/>
  <c r="A2" i="305"/>
  <c r="B2" i="305"/>
  <c r="C3" i="305"/>
  <c r="D3" i="305"/>
  <c r="E3" i="305"/>
  <c r="F3" i="305"/>
  <c r="G3" i="305"/>
  <c r="H3" i="305"/>
  <c r="D8" i="305"/>
  <c r="E8" i="305"/>
  <c r="E26" i="305"/>
  <c r="F8" i="305"/>
  <c r="G8" i="305"/>
  <c r="H8" i="305"/>
  <c r="H28" i="305" s="1"/>
  <c r="I8" i="305"/>
  <c r="I26" i="305"/>
  <c r="I28" i="305" s="1"/>
  <c r="J8" i="305"/>
  <c r="K8" i="305"/>
  <c r="D26" i="305"/>
  <c r="F26" i="305"/>
  <c r="H26" i="305"/>
  <c r="J26" i="305"/>
  <c r="G26" i="305"/>
  <c r="K26" i="305"/>
  <c r="A29" i="305"/>
  <c r="K57" i="146"/>
  <c r="K70" i="146"/>
  <c r="K84" i="146"/>
  <c r="J84" i="146"/>
  <c r="J57" i="146"/>
  <c r="J70" i="146"/>
  <c r="K71" i="146"/>
  <c r="H27" i="146"/>
  <c r="I57" i="146"/>
  <c r="I70" i="146"/>
  <c r="J71" i="146"/>
  <c r="I84" i="146"/>
  <c r="J85" i="146"/>
  <c r="H70" i="146"/>
  <c r="H57" i="146"/>
  <c r="H84" i="146"/>
  <c r="G27" i="146"/>
  <c r="H28" i="146" s="1"/>
  <c r="F27" i="146"/>
  <c r="G57" i="146"/>
  <c r="G70" i="146"/>
  <c r="G84" i="146"/>
  <c r="H85" i="146" s="1"/>
  <c r="F70" i="146"/>
  <c r="F57" i="146"/>
  <c r="F84" i="146"/>
  <c r="E27" i="146"/>
  <c r="F28" i="146" s="1"/>
  <c r="D27" i="146"/>
  <c r="E57" i="146"/>
  <c r="F58" i="146" s="1"/>
  <c r="E70" i="146"/>
  <c r="E84" i="146"/>
  <c r="D70" i="146"/>
  <c r="E71" i="146" s="1"/>
  <c r="D57" i="146"/>
  <c r="D84" i="146"/>
  <c r="C27" i="146"/>
  <c r="C70" i="146"/>
  <c r="C84" i="146"/>
  <c r="D85" i="146" s="1"/>
  <c r="C57" i="146"/>
  <c r="I85" i="146"/>
  <c r="B90" i="146"/>
  <c r="B85" i="146"/>
  <c r="B71" i="146"/>
  <c r="B58" i="146"/>
  <c r="B42" i="146"/>
  <c r="B28" i="146"/>
  <c r="A51" i="146"/>
  <c r="A64" i="146" s="1"/>
  <c r="A77" i="146" s="1"/>
  <c r="A39" i="146"/>
  <c r="B2" i="146"/>
  <c r="C3" i="146"/>
  <c r="D3" i="146"/>
  <c r="E3" i="146"/>
  <c r="F3" i="146"/>
  <c r="G3" i="146"/>
  <c r="H3" i="146"/>
  <c r="A18" i="146"/>
  <c r="A19" i="146"/>
  <c r="A20" i="146"/>
  <c r="A21" i="146"/>
  <c r="A34" i="146" s="1"/>
  <c r="A23" i="146"/>
  <c r="A28" i="146"/>
  <c r="A36" i="146"/>
  <c r="A40" i="146"/>
  <c r="A42" i="146"/>
  <c r="A48" i="146"/>
  <c r="A49" i="146"/>
  <c r="A62" i="146" s="1"/>
  <c r="A75" i="146" s="1"/>
  <c r="A50" i="146"/>
  <c r="A63" i="146" s="1"/>
  <c r="A76" i="146" s="1"/>
  <c r="A53" i="146"/>
  <c r="A66" i="146" s="1"/>
  <c r="A79" i="146" s="1"/>
  <c r="A56" i="146"/>
  <c r="A58" i="146"/>
  <c r="A61" i="146"/>
  <c r="A68" i="146"/>
  <c r="A82" i="146" s="1"/>
  <c r="A69" i="146"/>
  <c r="A71" i="146"/>
  <c r="A83" i="146"/>
  <c r="A85" i="146"/>
  <c r="A90" i="146"/>
  <c r="A92" i="146"/>
  <c r="I39" i="145"/>
  <c r="I55" i="145" s="1"/>
  <c r="H55" i="145"/>
  <c r="G55" i="145"/>
  <c r="F55" i="145"/>
  <c r="E55" i="145"/>
  <c r="D55" i="145"/>
  <c r="I34" i="145"/>
  <c r="I33" i="145"/>
  <c r="I22" i="145"/>
  <c r="I19" i="145"/>
  <c r="I18" i="145"/>
  <c r="I17" i="145"/>
  <c r="I16" i="145"/>
  <c r="I15" i="145"/>
  <c r="I10" i="145"/>
  <c r="I14" i="145"/>
  <c r="I9" i="145"/>
  <c r="I8" i="145"/>
  <c r="I7" i="145"/>
  <c r="I6" i="145"/>
  <c r="B2" i="145"/>
  <c r="A11" i="145"/>
  <c r="C11" i="145"/>
  <c r="D11" i="145"/>
  <c r="E11" i="145"/>
  <c r="F11" i="145"/>
  <c r="A35" i="145"/>
  <c r="C35" i="145"/>
  <c r="D35" i="145"/>
  <c r="D57" i="145" s="1"/>
  <c r="E35" i="145"/>
  <c r="F35" i="145"/>
  <c r="H35" i="145"/>
  <c r="C55" i="145"/>
  <c r="A59" i="145"/>
  <c r="D36" i="148"/>
  <c r="A43" i="148"/>
  <c r="K36" i="148"/>
  <c r="J36" i="148"/>
  <c r="I36" i="148"/>
  <c r="E36" i="148"/>
  <c r="G36" i="148"/>
  <c r="F36" i="148"/>
  <c r="B2" i="148"/>
  <c r="O43" i="299"/>
  <c r="A43" i="137"/>
  <c r="A42" i="299" s="1"/>
  <c r="P43" i="137"/>
  <c r="P42" i="299" s="1"/>
  <c r="Q43" i="137"/>
  <c r="Q42" i="299" s="1"/>
  <c r="A44" i="137"/>
  <c r="P44" i="137"/>
  <c r="P43" i="299" s="1"/>
  <c r="Q44" i="137"/>
  <c r="Q43" i="299" s="1"/>
  <c r="A2" i="137"/>
  <c r="B2" i="137"/>
  <c r="A4" i="137"/>
  <c r="A5" i="137"/>
  <c r="A6" i="137"/>
  <c r="A7" i="137"/>
  <c r="A8" i="137"/>
  <c r="A9" i="137"/>
  <c r="A10" i="137"/>
  <c r="A11" i="137"/>
  <c r="A12" i="137"/>
  <c r="A13" i="137"/>
  <c r="A14" i="137"/>
  <c r="A15" i="137"/>
  <c r="A16" i="137"/>
  <c r="A17" i="137"/>
  <c r="A18" i="137"/>
  <c r="A19" i="137"/>
  <c r="A20" i="137"/>
  <c r="A21" i="137"/>
  <c r="A22" i="137"/>
  <c r="A24" i="137"/>
  <c r="A25" i="137"/>
  <c r="A26" i="137"/>
  <c r="A27" i="137"/>
  <c r="A28" i="137"/>
  <c r="A29" i="137"/>
  <c r="A30" i="137"/>
  <c r="A31" i="137"/>
  <c r="A32" i="137"/>
  <c r="A33" i="137"/>
  <c r="A35" i="137"/>
  <c r="A36" i="137"/>
  <c r="A38" i="137"/>
  <c r="A39" i="137"/>
  <c r="A40" i="137"/>
  <c r="A41" i="137"/>
  <c r="A42" i="137"/>
  <c r="A45" i="137"/>
  <c r="P45" i="137"/>
  <c r="Q45" i="137"/>
  <c r="A46" i="137"/>
  <c r="A47" i="137"/>
  <c r="P36" i="299"/>
  <c r="Q36" i="299"/>
  <c r="P37" i="299"/>
  <c r="Q37" i="299"/>
  <c r="Q18" i="299"/>
  <c r="A15" i="299"/>
  <c r="A33" i="299" s="1"/>
  <c r="A19" i="299"/>
  <c r="A37" i="299" s="1"/>
  <c r="A11" i="299"/>
  <c r="A29" i="299" s="1"/>
  <c r="A5" i="299"/>
  <c r="A23" i="299" s="1"/>
  <c r="A2" i="299"/>
  <c r="B2" i="299"/>
  <c r="A4" i="299"/>
  <c r="Q44" i="299"/>
  <c r="A20" i="299"/>
  <c r="A22" i="299"/>
  <c r="A38" i="299"/>
  <c r="A40" i="299"/>
  <c r="A44" i="299"/>
  <c r="O44" i="299"/>
  <c r="P44" i="299"/>
  <c r="A45" i="299"/>
  <c r="A46" i="299"/>
  <c r="A48" i="298"/>
  <c r="A29" i="298"/>
  <c r="A30" i="298"/>
  <c r="A31" i="298"/>
  <c r="A32" i="298"/>
  <c r="A33" i="298"/>
  <c r="A34" i="298"/>
  <c r="A35" i="298"/>
  <c r="A36" i="298"/>
  <c r="A37" i="298"/>
  <c r="A38" i="298"/>
  <c r="A39" i="298"/>
  <c r="A40" i="298"/>
  <c r="A41" i="298"/>
  <c r="A42" i="298"/>
  <c r="A43" i="298"/>
  <c r="A44" i="298"/>
  <c r="A45" i="298"/>
  <c r="A46" i="298"/>
  <c r="A47" i="298"/>
  <c r="A6" i="298"/>
  <c r="A7" i="298"/>
  <c r="A8" i="298"/>
  <c r="A9" i="298"/>
  <c r="A10" i="298"/>
  <c r="A11" i="298"/>
  <c r="A12" i="298"/>
  <c r="A13" i="298"/>
  <c r="A14" i="298"/>
  <c r="A15" i="298"/>
  <c r="A16" i="298"/>
  <c r="A17" i="298"/>
  <c r="A18" i="298"/>
  <c r="A19" i="298"/>
  <c r="A20" i="298"/>
  <c r="A21" i="298"/>
  <c r="A22" i="298"/>
  <c r="A23" i="298"/>
  <c r="A24" i="298"/>
  <c r="A2" i="298"/>
  <c r="B2" i="298"/>
  <c r="A4" i="298"/>
  <c r="A5" i="298"/>
  <c r="A25" i="298"/>
  <c r="A27" i="298"/>
  <c r="A28" i="298"/>
  <c r="A50" i="298"/>
  <c r="A52" i="298"/>
  <c r="Q52" i="298"/>
  <c r="A53" i="298"/>
  <c r="A54" i="298"/>
  <c r="Q19" i="140"/>
  <c r="P19" i="140"/>
  <c r="O19" i="140"/>
  <c r="A18" i="140"/>
  <c r="A2" i="140"/>
  <c r="B2" i="140"/>
  <c r="A9" i="140"/>
  <c r="A42" i="140"/>
  <c r="Q13" i="300"/>
  <c r="Q14" i="300"/>
  <c r="Q16" i="300"/>
  <c r="O13" i="300"/>
  <c r="N13" i="300" s="1"/>
  <c r="P13" i="300"/>
  <c r="O14" i="300"/>
  <c r="N14" i="300" s="1"/>
  <c r="P14" i="300"/>
  <c r="O16" i="300"/>
  <c r="N16" i="300" s="1"/>
  <c r="P16" i="300"/>
  <c r="A6" i="300"/>
  <c r="A7" i="300"/>
  <c r="A8" i="300"/>
  <c r="A9" i="300"/>
  <c r="A10" i="300"/>
  <c r="A11" i="300"/>
  <c r="A12" i="300"/>
  <c r="A13" i="300"/>
  <c r="A14" i="300"/>
  <c r="A15" i="300"/>
  <c r="A16" i="300"/>
  <c r="A17" i="300"/>
  <c r="A18" i="300"/>
  <c r="A19" i="300"/>
  <c r="A20" i="300"/>
  <c r="A21" i="300"/>
  <c r="A22" i="300"/>
  <c r="A23" i="300"/>
  <c r="A24" i="300"/>
  <c r="A28" i="300"/>
  <c r="A4" i="300"/>
  <c r="A2" i="300"/>
  <c r="B2" i="300"/>
  <c r="A5" i="300"/>
  <c r="A25" i="300"/>
  <c r="A26" i="300"/>
  <c r="C20" i="128"/>
  <c r="D20" i="128"/>
  <c r="F56" i="128"/>
  <c r="C56" i="128"/>
  <c r="I20" i="128"/>
  <c r="B113" i="100"/>
  <c r="F105" i="100"/>
  <c r="B105" i="100" s="1"/>
  <c r="E85" i="128"/>
  <c r="F85" i="128"/>
  <c r="G85" i="128"/>
  <c r="H85" i="128"/>
  <c r="D85" i="128"/>
  <c r="C85" i="128" s="1"/>
  <c r="I85" i="128"/>
  <c r="I3" i="128"/>
  <c r="A2" i="128"/>
  <c r="B2" i="128"/>
  <c r="C3" i="128"/>
  <c r="D3" i="128"/>
  <c r="E3" i="128"/>
  <c r="F3" i="128"/>
  <c r="G3" i="128"/>
  <c r="H3" i="128"/>
  <c r="A6" i="128"/>
  <c r="A9" i="128" s="1"/>
  <c r="A11" i="128"/>
  <c r="A12" i="128" s="1"/>
  <c r="A22" i="128"/>
  <c r="A26" i="128" s="1"/>
  <c r="A29" i="128"/>
  <c r="A32" i="128" s="1"/>
  <c r="A34" i="128"/>
  <c r="A38" i="128" s="1"/>
  <c r="A40" i="128"/>
  <c r="A43" i="128" s="1"/>
  <c r="A45" i="128"/>
  <c r="A50" i="128" s="1"/>
  <c r="A53" i="128"/>
  <c r="A54" i="128" s="1"/>
  <c r="A57" i="128"/>
  <c r="A73" i="128"/>
  <c r="A79" i="128"/>
  <c r="E20" i="128"/>
  <c r="G17" i="128" s="1"/>
  <c r="F20" i="128"/>
  <c r="H17" i="128" s="1"/>
  <c r="H20" i="128" s="1"/>
  <c r="M6" i="95"/>
  <c r="M25" i="95"/>
  <c r="M26" i="95"/>
  <c r="M27" i="95"/>
  <c r="M28" i="95"/>
  <c r="M30" i="95"/>
  <c r="M32" i="95"/>
  <c r="M38" i="95"/>
  <c r="M44" i="95"/>
  <c r="M45" i="95"/>
  <c r="A5" i="95"/>
  <c r="A6" i="95"/>
  <c r="A7" i="95"/>
  <c r="A8" i="95"/>
  <c r="A9" i="95"/>
  <c r="A10" i="95"/>
  <c r="A11" i="95"/>
  <c r="A12" i="95"/>
  <c r="A13" i="95"/>
  <c r="A14" i="95"/>
  <c r="A15" i="95"/>
  <c r="A16" i="95"/>
  <c r="A17" i="95"/>
  <c r="A18" i="95"/>
  <c r="A20" i="95"/>
  <c r="A25" i="95"/>
  <c r="A26" i="95"/>
  <c r="A27" i="95"/>
  <c r="A28" i="95"/>
  <c r="A29" i="95"/>
  <c r="A30" i="95"/>
  <c r="A31" i="95"/>
  <c r="A32" i="95"/>
  <c r="A50" i="95"/>
  <c r="A51" i="95"/>
  <c r="A52" i="95"/>
  <c r="Q55" i="95"/>
  <c r="R55" i="95"/>
  <c r="S55" i="95"/>
  <c r="B2" i="301"/>
  <c r="A40" i="301"/>
  <c r="A39" i="301"/>
  <c r="A38" i="301"/>
  <c r="A8" i="301"/>
  <c r="A24" i="301" s="1"/>
  <c r="A18" i="301"/>
  <c r="A17" i="301"/>
  <c r="A16" i="301"/>
  <c r="A15" i="301"/>
  <c r="A14" i="301"/>
  <c r="A12" i="301"/>
  <c r="A10" i="301"/>
  <c r="A9" i="301"/>
  <c r="A7" i="301"/>
  <c r="A6" i="301"/>
  <c r="A5" i="301"/>
  <c r="A2" i="301"/>
  <c r="C3" i="301"/>
  <c r="D3" i="301"/>
  <c r="E3" i="301"/>
  <c r="F3" i="301"/>
  <c r="G3" i="301"/>
  <c r="H3" i="301"/>
  <c r="A11" i="301"/>
  <c r="C11" i="301"/>
  <c r="D11" i="301"/>
  <c r="E11" i="301"/>
  <c r="F11" i="301"/>
  <c r="G11" i="301"/>
  <c r="H11" i="301"/>
  <c r="I11" i="301"/>
  <c r="J11" i="301"/>
  <c r="K11" i="301"/>
  <c r="A19" i="301"/>
  <c r="C19" i="301"/>
  <c r="D19" i="301"/>
  <c r="E19" i="301"/>
  <c r="F19" i="301"/>
  <c r="F20" i="301" s="1"/>
  <c r="G19" i="301"/>
  <c r="H19" i="301"/>
  <c r="H20" i="301" s="1"/>
  <c r="I19" i="301"/>
  <c r="J19" i="301"/>
  <c r="J20" i="301" s="1"/>
  <c r="K19" i="301"/>
  <c r="A20" i="301"/>
  <c r="G20" i="301"/>
  <c r="I20" i="301"/>
  <c r="K20" i="301"/>
  <c r="A25" i="301"/>
  <c r="A26" i="301"/>
  <c r="A27" i="301"/>
  <c r="C28" i="301"/>
  <c r="D28" i="301"/>
  <c r="E28" i="301"/>
  <c r="F28" i="301"/>
  <c r="G28" i="301"/>
  <c r="H28" i="301"/>
  <c r="I28" i="301"/>
  <c r="J28" i="301"/>
  <c r="K28" i="301"/>
  <c r="A31" i="301"/>
  <c r="A32" i="301"/>
  <c r="A33" i="301"/>
  <c r="A34" i="301"/>
  <c r="A25" i="250"/>
  <c r="C42" i="139"/>
  <c r="D42" i="139"/>
  <c r="O42" i="139" s="1"/>
  <c r="E42" i="139"/>
  <c r="F42" i="139"/>
  <c r="G42" i="139"/>
  <c r="H42" i="139"/>
  <c r="I42" i="139"/>
  <c r="J42" i="139"/>
  <c r="K42" i="139"/>
  <c r="L42" i="139"/>
  <c r="M42" i="139"/>
  <c r="N42" i="139"/>
  <c r="O41" i="139"/>
  <c r="O40" i="139"/>
  <c r="O39" i="139"/>
  <c r="C36" i="139"/>
  <c r="C44" i="139" s="1"/>
  <c r="D36" i="139"/>
  <c r="D44" i="139" s="1"/>
  <c r="E36" i="139"/>
  <c r="E44" i="139" s="1"/>
  <c r="F36" i="139"/>
  <c r="F44" i="139" s="1"/>
  <c r="G36" i="139"/>
  <c r="G44" i="139" s="1"/>
  <c r="H36" i="139"/>
  <c r="I36" i="139"/>
  <c r="I44" i="139" s="1"/>
  <c r="J36" i="139"/>
  <c r="J44" i="139" s="1"/>
  <c r="K36" i="139"/>
  <c r="L36" i="139"/>
  <c r="M36" i="139"/>
  <c r="N36" i="139"/>
  <c r="N44" i="139" s="1"/>
  <c r="H44" i="139"/>
  <c r="L44" i="139"/>
  <c r="O35" i="139"/>
  <c r="O34" i="139"/>
  <c r="O33" i="139"/>
  <c r="C30" i="139"/>
  <c r="D30" i="139"/>
  <c r="E30" i="139"/>
  <c r="F30" i="139"/>
  <c r="G30" i="139"/>
  <c r="H30" i="139"/>
  <c r="I30" i="139"/>
  <c r="J30" i="139"/>
  <c r="K30" i="139"/>
  <c r="L30" i="139"/>
  <c r="M30" i="139"/>
  <c r="N30" i="139"/>
  <c r="O29" i="139"/>
  <c r="O28" i="139"/>
  <c r="O27" i="139"/>
  <c r="N21" i="139"/>
  <c r="M21" i="139"/>
  <c r="M15" i="139"/>
  <c r="L21" i="139"/>
  <c r="K21" i="139"/>
  <c r="K15" i="139"/>
  <c r="J21" i="139"/>
  <c r="I21" i="139"/>
  <c r="I15" i="139"/>
  <c r="H21" i="139"/>
  <c r="G21" i="139"/>
  <c r="G15" i="139"/>
  <c r="F21" i="139"/>
  <c r="E21" i="139"/>
  <c r="E15" i="139"/>
  <c r="D21" i="139"/>
  <c r="C21" i="139"/>
  <c r="C15" i="139"/>
  <c r="C23" i="139" s="1"/>
  <c r="D15" i="139"/>
  <c r="F15" i="139"/>
  <c r="F23" i="139" s="1"/>
  <c r="H15" i="139"/>
  <c r="J15" i="139"/>
  <c r="J23" i="139" s="1"/>
  <c r="L15" i="139"/>
  <c r="N15" i="139"/>
  <c r="N23" i="139" s="1"/>
  <c r="N9" i="139"/>
  <c r="M9" i="139"/>
  <c r="L9" i="139"/>
  <c r="K9" i="139"/>
  <c r="J9" i="139"/>
  <c r="I9" i="139"/>
  <c r="H9" i="139"/>
  <c r="G9" i="139"/>
  <c r="F9" i="139"/>
  <c r="E9" i="139"/>
  <c r="D9" i="139"/>
  <c r="C9" i="139"/>
  <c r="O20" i="139"/>
  <c r="O19" i="139"/>
  <c r="O18" i="139"/>
  <c r="O14" i="139"/>
  <c r="O13" i="139"/>
  <c r="O12" i="139"/>
  <c r="O8" i="139"/>
  <c r="O7" i="139"/>
  <c r="A2" i="139"/>
  <c r="B2" i="139"/>
  <c r="D3" i="139"/>
  <c r="O6" i="139"/>
  <c r="M44" i="139"/>
  <c r="A45" i="139"/>
  <c r="A2" i="134"/>
  <c r="B2" i="134"/>
  <c r="C3" i="134"/>
  <c r="D3" i="134"/>
  <c r="E3" i="134"/>
  <c r="F3" i="134"/>
  <c r="G3" i="134"/>
  <c r="H3" i="134"/>
  <c r="A84" i="134"/>
  <c r="A84" i="350"/>
  <c r="H3" i="350"/>
  <c r="G3" i="350"/>
  <c r="F3" i="350"/>
  <c r="E3" i="350"/>
  <c r="D3" i="350"/>
  <c r="C3" i="350"/>
  <c r="B2" i="350"/>
  <c r="A2" i="350"/>
  <c r="C65" i="349"/>
  <c r="C69" i="349"/>
  <c r="K65" i="349"/>
  <c r="K69" i="349"/>
  <c r="J65" i="349"/>
  <c r="J69" i="349"/>
  <c r="I65" i="349"/>
  <c r="I69" i="349"/>
  <c r="H65" i="349"/>
  <c r="H69" i="349"/>
  <c r="G73" i="349"/>
  <c r="G65" i="349"/>
  <c r="G69" i="349"/>
  <c r="F65" i="349"/>
  <c r="F69" i="349"/>
  <c r="E73" i="349"/>
  <c r="E65" i="349"/>
  <c r="E69" i="349"/>
  <c r="D65" i="349"/>
  <c r="D69" i="349"/>
  <c r="A84" i="349"/>
  <c r="H3" i="349"/>
  <c r="G3" i="349"/>
  <c r="F3" i="349"/>
  <c r="E3" i="349"/>
  <c r="D3" i="349"/>
  <c r="C3" i="349"/>
  <c r="B2" i="349"/>
  <c r="A2" i="349"/>
  <c r="C40" i="294"/>
  <c r="C53" i="294"/>
  <c r="I53" i="294"/>
  <c r="H53" i="294"/>
  <c r="G53" i="294"/>
  <c r="F53" i="294"/>
  <c r="E53" i="294"/>
  <c r="D53" i="294"/>
  <c r="I40" i="294"/>
  <c r="H40" i="294"/>
  <c r="G40" i="294"/>
  <c r="F40" i="294"/>
  <c r="E40" i="294"/>
  <c r="D40" i="294"/>
  <c r="I21" i="294"/>
  <c r="H21" i="294"/>
  <c r="H54" i="294" s="1"/>
  <c r="G21" i="294"/>
  <c r="G54" i="294" s="1"/>
  <c r="F21" i="294"/>
  <c r="F54" i="294" s="1"/>
  <c r="A44" i="294"/>
  <c r="A45" i="294"/>
  <c r="A46" i="294"/>
  <c r="A47" i="294"/>
  <c r="A48" i="294"/>
  <c r="A49" i="294"/>
  <c r="A50" i="294"/>
  <c r="A43" i="294"/>
  <c r="A19" i="294"/>
  <c r="A38" i="294" s="1"/>
  <c r="A2" i="294"/>
  <c r="B2" i="294"/>
  <c r="I3" i="294"/>
  <c r="I54" i="294"/>
  <c r="A55" i="294"/>
  <c r="B2" i="256"/>
  <c r="C241" i="256"/>
  <c r="L241" i="256"/>
  <c r="L254" i="256"/>
  <c r="M241" i="256"/>
  <c r="M254" i="256"/>
  <c r="N241" i="256"/>
  <c r="O241" i="256"/>
  <c r="C254" i="256"/>
  <c r="N254" i="256"/>
  <c r="O254" i="256"/>
  <c r="A255" i="256"/>
  <c r="F2" i="296"/>
  <c r="G3" i="296"/>
  <c r="H3" i="296"/>
  <c r="A24" i="296"/>
  <c r="B114" i="100"/>
  <c r="C2" i="141"/>
  <c r="D3" i="141"/>
  <c r="E3" i="141"/>
  <c r="F3" i="141"/>
  <c r="G3" i="141"/>
  <c r="H3" i="141"/>
  <c r="I3" i="141"/>
  <c r="A22" i="141"/>
  <c r="A23" i="141"/>
  <c r="B115" i="100"/>
  <c r="C2" i="315"/>
  <c r="D3" i="315"/>
  <c r="E3" i="315"/>
  <c r="F3" i="315"/>
  <c r="G3" i="315"/>
  <c r="H3" i="315"/>
  <c r="I3" i="315"/>
  <c r="A24" i="315"/>
  <c r="B116" i="100"/>
  <c r="D2" i="314"/>
  <c r="E3" i="314"/>
  <c r="F3" i="314"/>
  <c r="G3" i="314"/>
  <c r="H3" i="314"/>
  <c r="I3" i="314"/>
  <c r="J3" i="314"/>
  <c r="A22" i="314"/>
  <c r="C3" i="147"/>
  <c r="D3" i="147"/>
  <c r="E3" i="147"/>
  <c r="F3" i="147"/>
  <c r="G3" i="147"/>
  <c r="H3" i="147"/>
  <c r="A47" i="147"/>
  <c r="C48" i="147"/>
  <c r="D48" i="147"/>
  <c r="E48" i="147"/>
  <c r="F48" i="147"/>
  <c r="G48" i="147"/>
  <c r="H48" i="147"/>
  <c r="L44" i="88"/>
  <c r="K44" i="88"/>
  <c r="J44" i="88"/>
  <c r="I44" i="88"/>
  <c r="H44" i="88"/>
  <c r="G44" i="88"/>
  <c r="F44" i="88"/>
  <c r="E44" i="88"/>
  <c r="D44" i="88"/>
  <c r="C44" i="88"/>
  <c r="I3" i="88"/>
  <c r="C3" i="88"/>
  <c r="D3" i="88"/>
  <c r="E3" i="88"/>
  <c r="F3" i="88"/>
  <c r="G3" i="88"/>
  <c r="H3" i="88"/>
  <c r="A35" i="88"/>
  <c r="C2" i="235"/>
  <c r="D2" i="235"/>
  <c r="A50" i="235"/>
  <c r="F109" i="100"/>
  <c r="B109" i="100" s="1"/>
  <c r="F100" i="100"/>
  <c r="B100" i="100" s="1"/>
  <c r="B102" i="100"/>
  <c r="F104" i="100"/>
  <c r="B104" i="100" s="1"/>
  <c r="F106" i="100"/>
  <c r="B106" i="100" s="1"/>
  <c r="F107" i="100"/>
  <c r="B107" i="100" s="1"/>
  <c r="F108" i="100"/>
  <c r="B108" i="100" s="1"/>
  <c r="A1" i="248" s="1"/>
  <c r="F112" i="100"/>
  <c r="B112" i="100" s="1"/>
  <c r="B135" i="100"/>
  <c r="B136" i="100"/>
  <c r="B137" i="100"/>
  <c r="B138" i="100"/>
  <c r="B139" i="100"/>
  <c r="B140" i="100"/>
  <c r="B147" i="100"/>
  <c r="B148" i="100"/>
  <c r="B149" i="100"/>
  <c r="B173" i="100"/>
  <c r="B172" i="100"/>
  <c r="B171" i="100"/>
  <c r="B170" i="100"/>
  <c r="B169" i="100"/>
  <c r="B168" i="100"/>
  <c r="B167" i="100"/>
  <c r="B166" i="100"/>
  <c r="B165" i="100"/>
  <c r="B164" i="100"/>
  <c r="B163" i="100"/>
  <c r="B162" i="100"/>
  <c r="B161" i="100"/>
  <c r="B160" i="100"/>
  <c r="B159" i="100"/>
  <c r="B158" i="100"/>
  <c r="B157" i="100"/>
  <c r="B156" i="100"/>
  <c r="B155" i="100"/>
  <c r="B154" i="100"/>
  <c r="B153" i="100"/>
  <c r="B152" i="100"/>
  <c r="B151" i="100"/>
  <c r="C110" i="100"/>
  <c r="D110" i="100"/>
  <c r="B3" i="100"/>
  <c r="B7" i="100"/>
  <c r="I2" i="248" s="1"/>
  <c r="B16" i="100"/>
  <c r="K3" i="128" s="1"/>
  <c r="B17" i="100"/>
  <c r="L3" i="129" s="1"/>
  <c r="B29" i="100"/>
  <c r="W3" i="342" s="1"/>
  <c r="B28" i="100"/>
  <c r="V3" i="342" s="1"/>
  <c r="B27" i="100"/>
  <c r="B26" i="100"/>
  <c r="T3" i="342" s="1"/>
  <c r="B25" i="100"/>
  <c r="S3" i="342" s="1"/>
  <c r="B24" i="100"/>
  <c r="N2" i="139" s="1"/>
  <c r="B23" i="100"/>
  <c r="R3" i="127" s="1"/>
  <c r="B22" i="100"/>
  <c r="L2" i="139" s="1"/>
  <c r="B21" i="100"/>
  <c r="K2" i="139" s="1"/>
  <c r="B20" i="100"/>
  <c r="O3" i="127" s="1"/>
  <c r="B19" i="100"/>
  <c r="N3" i="127" s="1"/>
  <c r="B18" i="100"/>
  <c r="H2" i="139" s="1"/>
  <c r="C2" i="233"/>
  <c r="C2" i="343"/>
  <c r="C2" i="129"/>
  <c r="C2" i="237"/>
  <c r="D3" i="338"/>
  <c r="D2" i="141"/>
  <c r="E2" i="314"/>
  <c r="C47" i="147"/>
  <c r="F2" i="235"/>
  <c r="B37" i="100"/>
  <c r="B36" i="100"/>
  <c r="B6" i="100"/>
  <c r="A14" i="128"/>
  <c r="K58" i="146"/>
  <c r="I74" i="338"/>
  <c r="I70" i="338" s="1"/>
  <c r="G3" i="294"/>
  <c r="C2" i="349"/>
  <c r="C2" i="134"/>
  <c r="C2" i="301"/>
  <c r="J3" i="146"/>
  <c r="C2" i="337"/>
  <c r="C2" i="351"/>
  <c r="C87" i="146"/>
  <c r="I71" i="146"/>
  <c r="K85" i="146"/>
  <c r="K87" i="146"/>
  <c r="K2" i="123"/>
  <c r="D87" i="146"/>
  <c r="D71" i="146"/>
  <c r="H87" i="146"/>
  <c r="H71" i="146"/>
  <c r="D28" i="305"/>
  <c r="J53" i="249"/>
  <c r="G34" i="249"/>
  <c r="D53" i="249"/>
  <c r="I30" i="337"/>
  <c r="A25" i="315"/>
  <c r="A24" i="141"/>
  <c r="A80" i="128"/>
  <c r="A71" i="336"/>
  <c r="C171" i="343"/>
  <c r="B5" i="100"/>
  <c r="E2" i="86" s="1"/>
  <c r="B2" i="100"/>
  <c r="G2" i="315"/>
  <c r="K3" i="127"/>
  <c r="P3" i="140"/>
  <c r="K3" i="88"/>
  <c r="I2" i="136"/>
  <c r="Q3" i="140"/>
  <c r="K48" i="147"/>
  <c r="F74" i="338"/>
  <c r="F70" i="338" s="1"/>
  <c r="E2" i="336"/>
  <c r="P3" i="342"/>
  <c r="K44" i="139"/>
  <c r="Q3" i="342"/>
  <c r="D2" i="337"/>
  <c r="E2" i="123"/>
  <c r="O36" i="139"/>
  <c r="O44" i="139" s="1"/>
  <c r="A29" i="126"/>
  <c r="A28" i="140" s="1"/>
  <c r="A81" i="128"/>
  <c r="E85" i="146"/>
  <c r="G87" i="146"/>
  <c r="H32" i="142"/>
  <c r="F2" i="133"/>
  <c r="F2" i="144"/>
  <c r="J3" i="133"/>
  <c r="F87" i="146"/>
  <c r="J58" i="146"/>
  <c r="G85" i="146"/>
  <c r="L30" i="237"/>
  <c r="O37" i="140"/>
  <c r="E19" i="294"/>
  <c r="A12" i="294"/>
  <c r="A31" i="294" s="1"/>
  <c r="A6" i="294"/>
  <c r="A25" i="294" s="1"/>
  <c r="A15" i="294"/>
  <c r="A34" i="294" s="1"/>
  <c r="A34" i="126"/>
  <c r="A33" i="140" s="1"/>
  <c r="A15" i="140"/>
  <c r="A17" i="294"/>
  <c r="A36" i="294" s="1"/>
  <c r="A36" i="126"/>
  <c r="A35" i="140" s="1"/>
  <c r="A17" i="140"/>
  <c r="I2" i="148"/>
  <c r="I3" i="253"/>
  <c r="I3" i="351"/>
  <c r="I3" i="342"/>
  <c r="J3" i="343"/>
  <c r="I3" i="336"/>
  <c r="J3" i="337"/>
  <c r="I3" i="142"/>
  <c r="I3" i="144"/>
  <c r="I3" i="136"/>
  <c r="I3" i="249"/>
  <c r="I3" i="316"/>
  <c r="I3" i="146"/>
  <c r="C2" i="299"/>
  <c r="C2" i="140"/>
  <c r="B2" i="95"/>
  <c r="I3" i="350"/>
  <c r="K3" i="256"/>
  <c r="J3" i="141"/>
  <c r="C3" i="294"/>
  <c r="I3" i="134"/>
  <c r="I3" i="301"/>
  <c r="J3" i="128"/>
  <c r="O3" i="300"/>
  <c r="O3" i="298"/>
  <c r="O3" i="137"/>
  <c r="I3" i="337"/>
  <c r="J3" i="255"/>
  <c r="I3" i="248"/>
  <c r="J3" i="237"/>
  <c r="J3" i="131"/>
  <c r="J3" i="129"/>
  <c r="J3" i="126"/>
  <c r="J3" i="127"/>
  <c r="I3" i="233"/>
  <c r="I3" i="133"/>
  <c r="I3" i="86"/>
  <c r="I3" i="305"/>
  <c r="C2" i="137"/>
  <c r="C2" i="298"/>
  <c r="C2" i="300"/>
  <c r="I3" i="349"/>
  <c r="J3" i="88"/>
  <c r="I48" i="147"/>
  <c r="I3" i="147"/>
  <c r="K3" i="314"/>
  <c r="J3" i="315"/>
  <c r="I3" i="296"/>
  <c r="E3" i="139"/>
  <c r="N3" i="95"/>
  <c r="O3" i="140"/>
  <c r="O3" i="299"/>
  <c r="A3" i="335"/>
  <c r="K3" i="123"/>
  <c r="K4" i="338"/>
  <c r="E2" i="248"/>
  <c r="E2" i="342"/>
  <c r="E2" i="129"/>
  <c r="G2" i="296"/>
  <c r="G2" i="123"/>
  <c r="F2" i="343"/>
  <c r="F2" i="337"/>
  <c r="L3" i="314"/>
  <c r="H2" i="314"/>
  <c r="F2" i="134"/>
  <c r="I11" i="145"/>
  <c r="E2" i="253"/>
  <c r="E2" i="147"/>
  <c r="E87" i="146"/>
  <c r="F85" i="146"/>
  <c r="F2" i="305"/>
  <c r="I3" i="256"/>
  <c r="F2" i="136"/>
  <c r="A11" i="294"/>
  <c r="A30" i="294" s="1"/>
  <c r="A14" i="294"/>
  <c r="A33" i="294" s="1"/>
  <c r="A1" i="143"/>
  <c r="A1" i="298"/>
  <c r="A1" i="355"/>
  <c r="A1" i="88"/>
  <c r="A1" i="294"/>
  <c r="A1" i="316"/>
  <c r="A1" i="147"/>
  <c r="A1" i="128"/>
  <c r="A1" i="314"/>
  <c r="A1" i="131"/>
  <c r="K75" i="255"/>
  <c r="C75" i="255"/>
  <c r="L75" i="255"/>
  <c r="C36" i="142"/>
  <c r="A7" i="299"/>
  <c r="A25" i="299" s="1"/>
  <c r="A6" i="299"/>
  <c r="A24" i="299" s="1"/>
  <c r="D75" i="255"/>
  <c r="F77" i="255"/>
  <c r="L74" i="255"/>
  <c r="E77" i="255"/>
  <c r="J69" i="255"/>
  <c r="E63" i="255"/>
  <c r="E64" i="255"/>
  <c r="C65" i="255"/>
  <c r="K65" i="255"/>
  <c r="C43" i="255"/>
  <c r="K46" i="255"/>
  <c r="J7" i="255"/>
  <c r="A30" i="255"/>
  <c r="D64" i="255"/>
  <c r="L64" i="255"/>
  <c r="J65" i="255"/>
  <c r="J46" i="255"/>
  <c r="E7" i="255"/>
  <c r="C26" i="128"/>
  <c r="F32" i="237"/>
  <c r="F14" i="237" s="1"/>
  <c r="G32" i="237"/>
  <c r="G14" i="237" s="1"/>
  <c r="H32" i="237"/>
  <c r="H14" i="237" s="1"/>
  <c r="J21" i="349"/>
  <c r="J74" i="248" s="1"/>
  <c r="E47" i="248"/>
  <c r="E46" i="248"/>
  <c r="C44" i="248"/>
  <c r="D46" i="248"/>
  <c r="D47" i="248"/>
  <c r="D6" i="350"/>
  <c r="K62" i="350"/>
  <c r="J30" i="350"/>
  <c r="G63" i="134"/>
  <c r="H63" i="134" s="1"/>
  <c r="I40" i="134"/>
  <c r="G22" i="134"/>
  <c r="H22" i="134" s="1"/>
  <c r="I56" i="350"/>
  <c r="K38" i="350"/>
  <c r="I31" i="350"/>
  <c r="G25" i="350"/>
  <c r="H25" i="350" s="1"/>
  <c r="I20" i="350"/>
  <c r="G15" i="350"/>
  <c r="I9" i="350"/>
  <c r="J60" i="134"/>
  <c r="J57" i="134"/>
  <c r="I55" i="134"/>
  <c r="J53" i="134"/>
  <c r="K49" i="134"/>
  <c r="G48" i="134"/>
  <c r="H48" i="134" s="1"/>
  <c r="G44" i="134"/>
  <c r="H44" i="134" s="1"/>
  <c r="G40" i="134"/>
  <c r="H40" i="134" s="1"/>
  <c r="J38" i="134"/>
  <c r="J37" i="134"/>
  <c r="J36" i="134"/>
  <c r="J35" i="134"/>
  <c r="J34" i="134"/>
  <c r="J33" i="134"/>
  <c r="J32" i="134"/>
  <c r="J31" i="134"/>
  <c r="J30" i="134"/>
  <c r="J29" i="134"/>
  <c r="J28" i="134"/>
  <c r="K25" i="134"/>
  <c r="K24" i="134"/>
  <c r="K23" i="134"/>
  <c r="K22" i="134"/>
  <c r="J20" i="134"/>
  <c r="J19" i="134"/>
  <c r="K17" i="134"/>
  <c r="G17" i="134"/>
  <c r="H17" i="134" s="1"/>
  <c r="G15" i="134"/>
  <c r="I13" i="134"/>
  <c r="J12" i="134"/>
  <c r="J11" i="134"/>
  <c r="J9" i="134"/>
  <c r="G8" i="134"/>
  <c r="H8" i="134" s="1"/>
  <c r="E9" i="134"/>
  <c r="E15" i="134"/>
  <c r="E20" i="134"/>
  <c r="E25" i="134"/>
  <c r="E31" i="134"/>
  <c r="E35" i="134"/>
  <c r="E39" i="134"/>
  <c r="E45" i="134"/>
  <c r="E53" i="134"/>
  <c r="E57" i="134"/>
  <c r="E61" i="134"/>
  <c r="F57" i="338" s="1"/>
  <c r="E8" i="350"/>
  <c r="E9" i="350"/>
  <c r="E25" i="350"/>
  <c r="E31" i="350"/>
  <c r="E35" i="350"/>
  <c r="E39" i="350"/>
  <c r="E45" i="350"/>
  <c r="E53" i="350"/>
  <c r="E57" i="350"/>
  <c r="E61" i="350"/>
  <c r="I8" i="134"/>
  <c r="E11" i="134"/>
  <c r="E16" i="134"/>
  <c r="E22" i="134"/>
  <c r="E28" i="134"/>
  <c r="E30" i="134"/>
  <c r="E32" i="134"/>
  <c r="E34" i="134"/>
  <c r="E36" i="134"/>
  <c r="E38" i="134"/>
  <c r="E40" i="134"/>
  <c r="E44" i="134"/>
  <c r="E48" i="134"/>
  <c r="E52" i="134"/>
  <c r="E54" i="134"/>
  <c r="E56" i="134"/>
  <c r="E58" i="134"/>
  <c r="E60" i="134"/>
  <c r="E62" i="134"/>
  <c r="I8" i="350"/>
  <c r="K8" i="350"/>
  <c r="E22" i="350"/>
  <c r="E24" i="350"/>
  <c r="E28" i="350"/>
  <c r="E30" i="350"/>
  <c r="E32" i="350"/>
  <c r="E34" i="350"/>
  <c r="E36" i="350"/>
  <c r="E38" i="350"/>
  <c r="E40" i="350"/>
  <c r="E44" i="350"/>
  <c r="E43" i="350" s="1"/>
  <c r="E28" i="248" s="1"/>
  <c r="E48" i="350"/>
  <c r="E52" i="350"/>
  <c r="E54" i="350"/>
  <c r="E56" i="350"/>
  <c r="E58" i="350"/>
  <c r="E60" i="350"/>
  <c r="E62" i="350"/>
  <c r="K48" i="248"/>
  <c r="M56" i="338" s="1"/>
  <c r="J48" i="248"/>
  <c r="L56" i="338" s="1"/>
  <c r="I48" i="248"/>
  <c r="J56" i="338" s="1"/>
  <c r="H48" i="248"/>
  <c r="I56" i="338" s="1"/>
  <c r="G48" i="248"/>
  <c r="H56" i="338" s="1"/>
  <c r="K47" i="248"/>
  <c r="J47" i="248"/>
  <c r="I47" i="248"/>
  <c r="H47" i="248"/>
  <c r="G47" i="248"/>
  <c r="K46" i="248"/>
  <c r="J46" i="248"/>
  <c r="I46" i="248"/>
  <c r="H46" i="248"/>
  <c r="G46" i="248"/>
  <c r="K56" i="338"/>
  <c r="H34" i="249"/>
  <c r="F34" i="249"/>
  <c r="F55" i="249" s="1"/>
  <c r="H33" i="136"/>
  <c r="H34" i="144"/>
  <c r="G34" i="144"/>
  <c r="F34" i="144"/>
  <c r="E34" i="144"/>
  <c r="D34" i="144"/>
  <c r="C34" i="144"/>
  <c r="D32" i="142"/>
  <c r="F32" i="142"/>
  <c r="I32" i="142"/>
  <c r="K32" i="142"/>
  <c r="J32" i="142"/>
  <c r="E32" i="142"/>
  <c r="J63" i="350"/>
  <c r="G37" i="350"/>
  <c r="H37" i="350" s="1"/>
  <c r="G38" i="350"/>
  <c r="H38" i="350" s="1"/>
  <c r="G39" i="350"/>
  <c r="H39" i="350" s="1"/>
  <c r="G40" i="350"/>
  <c r="H40" i="350" s="1"/>
  <c r="G41" i="350"/>
  <c r="H41" i="350" s="1"/>
  <c r="I44" i="350"/>
  <c r="J45" i="350"/>
  <c r="I48" i="350"/>
  <c r="J49" i="350"/>
  <c r="J52" i="350"/>
  <c r="I53" i="350"/>
  <c r="I54" i="350"/>
  <c r="J55" i="350"/>
  <c r="J56" i="350"/>
  <c r="I57" i="350"/>
  <c r="I58" i="350"/>
  <c r="J59" i="350"/>
  <c r="J60" i="350"/>
  <c r="I61" i="350"/>
  <c r="I62" i="350"/>
  <c r="C6" i="350"/>
  <c r="C77" i="350" s="1"/>
  <c r="G9" i="134"/>
  <c r="H9" i="134" s="1"/>
  <c r="I241" i="256"/>
  <c r="F6" i="134"/>
  <c r="J241" i="256"/>
  <c r="H15" i="350"/>
  <c r="E18" i="350"/>
  <c r="E24" i="248" s="1"/>
  <c r="I7" i="350"/>
  <c r="I21" i="248" s="1"/>
  <c r="E24" i="134"/>
  <c r="E19" i="134"/>
  <c r="E12" i="134"/>
  <c r="K8" i="134"/>
  <c r="E63" i="350"/>
  <c r="E59" i="350"/>
  <c r="E55" i="350"/>
  <c r="E49" i="350"/>
  <c r="E47" i="350" s="1"/>
  <c r="E29" i="248" s="1"/>
  <c r="E41" i="350"/>
  <c r="E37" i="350"/>
  <c r="E33" i="350"/>
  <c r="E29" i="350"/>
  <c r="E23" i="350"/>
  <c r="E17" i="350"/>
  <c r="E12" i="350"/>
  <c r="J8" i="350"/>
  <c r="E63" i="134"/>
  <c r="E59" i="134"/>
  <c r="E55" i="134"/>
  <c r="F55" i="338" s="1"/>
  <c r="E49" i="134"/>
  <c r="E41" i="134"/>
  <c r="E37" i="134"/>
  <c r="E33" i="134"/>
  <c r="E29" i="134"/>
  <c r="E23" i="134"/>
  <c r="E17" i="134"/>
  <c r="E13" i="134"/>
  <c r="J8" i="134"/>
  <c r="E8" i="134"/>
  <c r="E7" i="134" s="1"/>
  <c r="E6" i="248" s="1"/>
  <c r="G11" i="134"/>
  <c r="H11" i="134" s="1"/>
  <c r="G12" i="134"/>
  <c r="H12" i="134" s="1"/>
  <c r="G13" i="134"/>
  <c r="H13" i="134" s="1"/>
  <c r="K13" i="134"/>
  <c r="J15" i="134"/>
  <c r="J16" i="134"/>
  <c r="I17" i="134"/>
  <c r="G19" i="134"/>
  <c r="H19" i="134" s="1"/>
  <c r="G20" i="134"/>
  <c r="H20" i="134" s="1"/>
  <c r="I22" i="134"/>
  <c r="I23" i="134"/>
  <c r="I24" i="134"/>
  <c r="I25" i="134"/>
  <c r="G28" i="134"/>
  <c r="H28" i="134" s="1"/>
  <c r="G29" i="134"/>
  <c r="H29" i="134" s="1"/>
  <c r="G30" i="134"/>
  <c r="H30" i="134" s="1"/>
  <c r="G31" i="134"/>
  <c r="H31" i="134" s="1"/>
  <c r="G32" i="134"/>
  <c r="H32" i="134" s="1"/>
  <c r="G33" i="134"/>
  <c r="H33" i="134" s="1"/>
  <c r="G34" i="134"/>
  <c r="H34" i="134" s="1"/>
  <c r="G35" i="134"/>
  <c r="H35" i="134" s="1"/>
  <c r="G36" i="134"/>
  <c r="H36" i="134" s="1"/>
  <c r="G37" i="134"/>
  <c r="H37" i="134" s="1"/>
  <c r="G38" i="134"/>
  <c r="H38" i="134" s="1"/>
  <c r="G39" i="134"/>
  <c r="H39" i="134" s="1"/>
  <c r="G41" i="134"/>
  <c r="H41" i="134" s="1"/>
  <c r="J44" i="134"/>
  <c r="K48" i="134"/>
  <c r="K47" i="134" s="1"/>
  <c r="K14" i="248" s="1"/>
  <c r="J52" i="134"/>
  <c r="I54" i="134"/>
  <c r="J56" i="134"/>
  <c r="I58" i="134"/>
  <c r="I62" i="134"/>
  <c r="I12" i="350"/>
  <c r="G17" i="350"/>
  <c r="H17" i="350" s="1"/>
  <c r="G23" i="350"/>
  <c r="H23" i="350" s="1"/>
  <c r="I29" i="350"/>
  <c r="K34" i="350"/>
  <c r="G45" i="350"/>
  <c r="H45" i="350" s="1"/>
  <c r="I9" i="134"/>
  <c r="I7" i="134" s="1"/>
  <c r="I6" i="248" s="1"/>
  <c r="I32" i="134"/>
  <c r="G55" i="134"/>
  <c r="H55" i="134" s="1"/>
  <c r="J19" i="350"/>
  <c r="J40" i="350"/>
  <c r="J39" i="134"/>
  <c r="J40" i="134"/>
  <c r="J41" i="134"/>
  <c r="I44" i="134"/>
  <c r="K44" i="134"/>
  <c r="I48" i="134"/>
  <c r="I49" i="134"/>
  <c r="G52" i="134"/>
  <c r="H52" i="134" s="1"/>
  <c r="G53" i="134"/>
  <c r="H53" i="134" s="1"/>
  <c r="G54" i="134"/>
  <c r="H54" i="134" s="1"/>
  <c r="K54" i="134"/>
  <c r="K55" i="134"/>
  <c r="G57" i="134"/>
  <c r="H57" i="134" s="1"/>
  <c r="G58" i="134"/>
  <c r="H58" i="134" s="1"/>
  <c r="I59" i="134"/>
  <c r="J61" i="134"/>
  <c r="L57" i="338" s="1"/>
  <c r="I63" i="134"/>
  <c r="I11" i="350"/>
  <c r="I13" i="350"/>
  <c r="G16" i="350"/>
  <c r="H16" i="350" s="1"/>
  <c r="I19" i="350"/>
  <c r="I18" i="350" s="1"/>
  <c r="I24" i="248" s="1"/>
  <c r="G22" i="350"/>
  <c r="G24" i="350"/>
  <c r="H24" i="350" s="1"/>
  <c r="I28" i="350"/>
  <c r="I30" i="350"/>
  <c r="K32" i="350"/>
  <c r="K36" i="350"/>
  <c r="K40" i="350"/>
  <c r="I52" i="350"/>
  <c r="I60" i="350"/>
  <c r="K15" i="134"/>
  <c r="I28" i="134"/>
  <c r="I36" i="134"/>
  <c r="J48" i="134"/>
  <c r="G59" i="134"/>
  <c r="H59" i="134" s="1"/>
  <c r="J13" i="350"/>
  <c r="K24" i="350"/>
  <c r="J34" i="350"/>
  <c r="K54" i="350"/>
  <c r="G14" i="350"/>
  <c r="G23" i="248" s="1"/>
  <c r="K58" i="134"/>
  <c r="K59" i="134"/>
  <c r="G61" i="134"/>
  <c r="H61" i="134" s="1"/>
  <c r="G62" i="134"/>
  <c r="H62" i="134" s="1"/>
  <c r="K62" i="134"/>
  <c r="K63" i="134"/>
  <c r="K9" i="350"/>
  <c r="K11" i="350"/>
  <c r="K12" i="350"/>
  <c r="K13" i="350"/>
  <c r="J15" i="350"/>
  <c r="J16" i="350"/>
  <c r="J17" i="350"/>
  <c r="K19" i="350"/>
  <c r="K20" i="350"/>
  <c r="J22" i="350"/>
  <c r="J23" i="350"/>
  <c r="J21" i="350" s="1"/>
  <c r="J25" i="248" s="1"/>
  <c r="J24" i="350"/>
  <c r="J25" i="350"/>
  <c r="K28" i="350"/>
  <c r="K29" i="350"/>
  <c r="K30" i="350"/>
  <c r="K31" i="350"/>
  <c r="K33" i="350"/>
  <c r="K35" i="350"/>
  <c r="K37" i="350"/>
  <c r="K39" i="350"/>
  <c r="K41" i="350"/>
  <c r="J48" i="350"/>
  <c r="J47" i="350" s="1"/>
  <c r="J29" i="248" s="1"/>
  <c r="J54" i="350"/>
  <c r="J58" i="350"/>
  <c r="J62" i="350"/>
  <c r="I12" i="134"/>
  <c r="I19" i="134"/>
  <c r="G24" i="134"/>
  <c r="H24" i="134" s="1"/>
  <c r="I30" i="134"/>
  <c r="I34" i="134"/>
  <c r="I38" i="134"/>
  <c r="G45" i="134"/>
  <c r="H45" i="134" s="1"/>
  <c r="K52" i="134"/>
  <c r="K56" i="134"/>
  <c r="K60" i="134"/>
  <c r="G11" i="350"/>
  <c r="H11" i="350" s="1"/>
  <c r="K16" i="350"/>
  <c r="K22" i="350"/>
  <c r="J28" i="350"/>
  <c r="J32" i="350"/>
  <c r="J36" i="350"/>
  <c r="K48" i="350"/>
  <c r="K58" i="350"/>
  <c r="E18" i="134"/>
  <c r="E9" i="248" s="1"/>
  <c r="K45" i="350"/>
  <c r="I49" i="350"/>
  <c r="J53" i="350"/>
  <c r="I55" i="350"/>
  <c r="J57" i="350"/>
  <c r="I59" i="350"/>
  <c r="J61" i="350"/>
  <c r="I63" i="350"/>
  <c r="I11" i="134"/>
  <c r="J13" i="134"/>
  <c r="J10" i="134" s="1"/>
  <c r="J7" i="248" s="1"/>
  <c r="K16" i="134"/>
  <c r="I20" i="134"/>
  <c r="G23" i="134"/>
  <c r="H23" i="134" s="1"/>
  <c r="G25" i="134"/>
  <c r="H25" i="134" s="1"/>
  <c r="I29" i="134"/>
  <c r="I31" i="134"/>
  <c r="I33" i="134"/>
  <c r="I35" i="134"/>
  <c r="I37" i="134"/>
  <c r="I39" i="134"/>
  <c r="I41" i="134"/>
  <c r="J45" i="134"/>
  <c r="J43" i="134" s="1"/>
  <c r="J13" i="248" s="1"/>
  <c r="G49" i="134"/>
  <c r="G47" i="134" s="1"/>
  <c r="G14" i="248" s="1"/>
  <c r="K53" i="134"/>
  <c r="G56" i="134"/>
  <c r="K57" i="134"/>
  <c r="G60" i="134"/>
  <c r="H60" i="134" s="1"/>
  <c r="K61" i="134"/>
  <c r="M57" i="338" s="1"/>
  <c r="J9" i="350"/>
  <c r="J7" i="350" s="1"/>
  <c r="J21" i="248" s="1"/>
  <c r="J12" i="350"/>
  <c r="K15" i="350"/>
  <c r="K17" i="350"/>
  <c r="K14" i="350" s="1"/>
  <c r="K23" i="248" s="1"/>
  <c r="J20" i="350"/>
  <c r="J18" i="350" s="1"/>
  <c r="K23" i="350"/>
  <c r="K25" i="350"/>
  <c r="J29" i="350"/>
  <c r="J31" i="350"/>
  <c r="J33" i="350"/>
  <c r="J35" i="350"/>
  <c r="J38" i="350"/>
  <c r="K44" i="350"/>
  <c r="G53" i="350"/>
  <c r="H53" i="350" s="1"/>
  <c r="G57" i="350"/>
  <c r="H57" i="350" s="1"/>
  <c r="G61" i="350"/>
  <c r="H61" i="350" s="1"/>
  <c r="E10" i="134"/>
  <c r="E7" i="248" s="1"/>
  <c r="G18" i="134"/>
  <c r="G9" i="248" s="1"/>
  <c r="I32" i="350"/>
  <c r="I33" i="350"/>
  <c r="I34" i="350"/>
  <c r="I35" i="350"/>
  <c r="I36" i="350"/>
  <c r="I37" i="350"/>
  <c r="I38" i="350"/>
  <c r="I39" i="350"/>
  <c r="I40" i="350"/>
  <c r="I41" i="350"/>
  <c r="G44" i="350"/>
  <c r="H44" i="350" s="1"/>
  <c r="H43" i="350" s="1"/>
  <c r="H28" i="248" s="1"/>
  <c r="J44" i="350"/>
  <c r="J43" i="350" s="1"/>
  <c r="J28" i="248" s="1"/>
  <c r="I45" i="350"/>
  <c r="I43" i="350" s="1"/>
  <c r="I28" i="248" s="1"/>
  <c r="G49" i="350"/>
  <c r="H49" i="350" s="1"/>
  <c r="K49" i="350"/>
  <c r="K52" i="350"/>
  <c r="G54" i="350"/>
  <c r="H54" i="350" s="1"/>
  <c r="G55" i="350"/>
  <c r="H55" i="350" s="1"/>
  <c r="K55" i="350"/>
  <c r="K56" i="350"/>
  <c r="G58" i="350"/>
  <c r="H58" i="350" s="1"/>
  <c r="G59" i="350"/>
  <c r="H59" i="350" s="1"/>
  <c r="K59" i="350"/>
  <c r="K60" i="350"/>
  <c r="G62" i="350"/>
  <c r="H62" i="350" s="1"/>
  <c r="G63" i="350"/>
  <c r="H63" i="350" s="1"/>
  <c r="K63" i="350"/>
  <c r="K9" i="134"/>
  <c r="K7" i="134" s="1"/>
  <c r="K11" i="134"/>
  <c r="K12" i="134"/>
  <c r="I15" i="134"/>
  <c r="I16" i="134"/>
  <c r="J17" i="134"/>
  <c r="J14" i="134" s="1"/>
  <c r="K19" i="134"/>
  <c r="K20" i="134"/>
  <c r="J22" i="134"/>
  <c r="J23" i="134"/>
  <c r="J24" i="134"/>
  <c r="J25" i="134"/>
  <c r="K28" i="134"/>
  <c r="K29" i="134"/>
  <c r="K30" i="134"/>
  <c r="K31" i="134"/>
  <c r="K32" i="134"/>
  <c r="K33" i="134"/>
  <c r="K34" i="134"/>
  <c r="K35" i="134"/>
  <c r="K36" i="134"/>
  <c r="K37" i="134"/>
  <c r="K38" i="134"/>
  <c r="K39" i="134"/>
  <c r="K40" i="134"/>
  <c r="K41" i="134"/>
  <c r="I45" i="134"/>
  <c r="K45" i="134"/>
  <c r="K43" i="134" s="1"/>
  <c r="K13" i="248" s="1"/>
  <c r="J49" i="134"/>
  <c r="I52" i="134"/>
  <c r="I53" i="134"/>
  <c r="J54" i="134"/>
  <c r="J55" i="134"/>
  <c r="I56" i="134"/>
  <c r="I57" i="134"/>
  <c r="J58" i="134"/>
  <c r="J59" i="134"/>
  <c r="I60" i="134"/>
  <c r="I61" i="134"/>
  <c r="J57" i="338" s="1"/>
  <c r="J62" i="134"/>
  <c r="J63" i="134"/>
  <c r="G8" i="350"/>
  <c r="H8" i="350" s="1"/>
  <c r="G9" i="350"/>
  <c r="H9" i="350" s="1"/>
  <c r="J11" i="350"/>
  <c r="G12" i="350"/>
  <c r="H12" i="350" s="1"/>
  <c r="G13" i="350"/>
  <c r="H13" i="350" s="1"/>
  <c r="I15" i="350"/>
  <c r="I16" i="350"/>
  <c r="I17" i="350"/>
  <c r="G19" i="350"/>
  <c r="H19" i="350" s="1"/>
  <c r="G20" i="350"/>
  <c r="H20" i="350" s="1"/>
  <c r="I22" i="350"/>
  <c r="I23" i="350"/>
  <c r="I24" i="350"/>
  <c r="I25" i="350"/>
  <c r="G28" i="350"/>
  <c r="H28" i="350" s="1"/>
  <c r="G29" i="350"/>
  <c r="H29" i="350" s="1"/>
  <c r="G30" i="350"/>
  <c r="H30" i="350" s="1"/>
  <c r="G31" i="350"/>
  <c r="H31" i="350" s="1"/>
  <c r="G32" i="350"/>
  <c r="H32" i="350" s="1"/>
  <c r="G33" i="350"/>
  <c r="H33" i="350" s="1"/>
  <c r="G34" i="350"/>
  <c r="H34" i="350" s="1"/>
  <c r="G35" i="350"/>
  <c r="H35" i="350" s="1"/>
  <c r="G36" i="350"/>
  <c r="H36" i="350" s="1"/>
  <c r="J37" i="350"/>
  <c r="J39" i="350"/>
  <c r="J41" i="350"/>
  <c r="G48" i="350"/>
  <c r="H48" i="350" s="1"/>
  <c r="G52" i="350"/>
  <c r="H52" i="350" s="1"/>
  <c r="K53" i="350"/>
  <c r="G56" i="350"/>
  <c r="H56" i="350" s="1"/>
  <c r="K57" i="350"/>
  <c r="G60" i="350"/>
  <c r="H60" i="350" s="1"/>
  <c r="E14" i="350"/>
  <c r="E23" i="248" s="1"/>
  <c r="E51" i="134"/>
  <c r="E15" i="248" s="1"/>
  <c r="E43" i="134"/>
  <c r="E13" i="248" s="1"/>
  <c r="E47" i="134"/>
  <c r="E14" i="248" s="1"/>
  <c r="E14" i="134"/>
  <c r="E8" i="248" s="1"/>
  <c r="E27" i="350"/>
  <c r="E27" i="248" s="1"/>
  <c r="E21" i="350"/>
  <c r="E25" i="248" s="1"/>
  <c r="E10" i="350"/>
  <c r="E22" i="248" s="1"/>
  <c r="E37" i="248" s="1"/>
  <c r="E27" i="134"/>
  <c r="E12" i="248" s="1"/>
  <c r="E21" i="134"/>
  <c r="E10" i="248" s="1"/>
  <c r="E7" i="350"/>
  <c r="E21" i="248" s="1"/>
  <c r="J7" i="134"/>
  <c r="J6" i="248" s="1"/>
  <c r="G7" i="134"/>
  <c r="G6" i="248" s="1"/>
  <c r="G27" i="134"/>
  <c r="G12" i="248" s="1"/>
  <c r="G10" i="134"/>
  <c r="G7" i="248" s="1"/>
  <c r="H15" i="134"/>
  <c r="K43" i="350"/>
  <c r="K28" i="248" s="1"/>
  <c r="J27" i="134"/>
  <c r="J12" i="248" s="1"/>
  <c r="I21" i="134"/>
  <c r="I10" i="248" s="1"/>
  <c r="J51" i="350"/>
  <c r="J30" i="248" s="1"/>
  <c r="H22" i="350"/>
  <c r="H21" i="350" s="1"/>
  <c r="H25" i="248" s="1"/>
  <c r="G21" i="350"/>
  <c r="G25" i="248" s="1"/>
  <c r="I10" i="350"/>
  <c r="I22" i="248" s="1"/>
  <c r="I47" i="134"/>
  <c r="I14" i="248" s="1"/>
  <c r="G43" i="134"/>
  <c r="G13" i="248" s="1"/>
  <c r="H57" i="338"/>
  <c r="I27" i="134"/>
  <c r="I12" i="248" s="1"/>
  <c r="H56" i="134"/>
  <c r="H49" i="134"/>
  <c r="H47" i="134" s="1"/>
  <c r="H14" i="248" s="1"/>
  <c r="G43" i="350"/>
  <c r="G28" i="248" s="1"/>
  <c r="C21" i="246"/>
  <c r="I28" i="246"/>
  <c r="C34" i="246"/>
  <c r="I27" i="350"/>
  <c r="I27" i="248" s="1"/>
  <c r="K14" i="134"/>
  <c r="K8" i="248" s="1"/>
  <c r="K21" i="134"/>
  <c r="K10" i="248" s="1"/>
  <c r="G16" i="134"/>
  <c r="G14" i="134" s="1"/>
  <c r="G8" i="248" s="1"/>
  <c r="G38" i="248" s="1"/>
  <c r="H241" i="256"/>
  <c r="D33" i="136"/>
  <c r="D19" i="246"/>
  <c r="C29" i="246"/>
  <c r="P31" i="299"/>
  <c r="V564" i="356"/>
  <c r="Q5" i="299"/>
  <c r="I87" i="146"/>
  <c r="D58" i="146"/>
  <c r="I58" i="146"/>
  <c r="O33" i="299"/>
  <c r="AL85" i="356"/>
  <c r="Z85" i="356" s="1"/>
  <c r="C32" i="137" s="1"/>
  <c r="B43" i="95" s="1"/>
  <c r="I11" i="146"/>
  <c r="AL84" i="356"/>
  <c r="AL83" i="356"/>
  <c r="AI83" i="356" s="1"/>
  <c r="AL82" i="356"/>
  <c r="AD82" i="356" s="1"/>
  <c r="I12" i="146"/>
  <c r="AL81" i="356"/>
  <c r="Z81" i="356" s="1"/>
  <c r="AL80" i="356"/>
  <c r="AA80" i="356" s="1"/>
  <c r="AL79" i="356"/>
  <c r="AD79" i="356" s="1"/>
  <c r="I41" i="95"/>
  <c r="N41" i="95"/>
  <c r="AL499" i="356"/>
  <c r="AF499" i="356" s="1"/>
  <c r="H40" i="95"/>
  <c r="N40" i="95"/>
  <c r="I23" i="139"/>
  <c r="G23" i="139"/>
  <c r="K23" i="139"/>
  <c r="G6" i="246"/>
  <c r="G8" i="246"/>
  <c r="G10" i="246"/>
  <c r="G12" i="246"/>
  <c r="G14" i="246"/>
  <c r="G16" i="246"/>
  <c r="G18" i="246"/>
  <c r="G21" i="246"/>
  <c r="G25" i="246"/>
  <c r="G27" i="246"/>
  <c r="G30" i="246"/>
  <c r="G32" i="246"/>
  <c r="G34" i="246"/>
  <c r="G40" i="246"/>
  <c r="G5" i="246"/>
  <c r="G7" i="246"/>
  <c r="G9" i="246"/>
  <c r="G11" i="246"/>
  <c r="G13" i="246"/>
  <c r="G15" i="246"/>
  <c r="G17" i="246"/>
  <c r="G19" i="246"/>
  <c r="G20" i="246"/>
  <c r="G26" i="246"/>
  <c r="G29" i="246"/>
  <c r="G31" i="246"/>
  <c r="G33" i="246"/>
  <c r="G35" i="246"/>
  <c r="G39" i="246"/>
  <c r="M28" i="246"/>
  <c r="H47" i="255"/>
  <c r="J28" i="246"/>
  <c r="H28" i="246"/>
  <c r="K19" i="246"/>
  <c r="F15" i="299"/>
  <c r="C15" i="299"/>
  <c r="K15" i="299"/>
  <c r="E45" i="298"/>
  <c r="M45" i="298"/>
  <c r="D16" i="299"/>
  <c r="F16" i="299"/>
  <c r="H16" i="299"/>
  <c r="J16" i="299"/>
  <c r="E16" i="299"/>
  <c r="G18" i="298"/>
  <c r="I16" i="299"/>
  <c r="M16" i="299"/>
  <c r="F41" i="298"/>
  <c r="J41" i="298"/>
  <c r="I34" i="299"/>
  <c r="AA563" i="356"/>
  <c r="AC563" i="356"/>
  <c r="AE563" i="356"/>
  <c r="AG563" i="356"/>
  <c r="AI563" i="356"/>
  <c r="L24" i="298"/>
  <c r="AK563" i="356"/>
  <c r="Z563" i="356"/>
  <c r="AB563" i="356"/>
  <c r="AD563" i="356"/>
  <c r="AF563" i="356"/>
  <c r="AH563" i="356"/>
  <c r="K24" i="298"/>
  <c r="AJ563" i="356"/>
  <c r="AG562" i="356"/>
  <c r="AB562" i="356"/>
  <c r="AJ562" i="356"/>
  <c r="AA561" i="356"/>
  <c r="AC561" i="356"/>
  <c r="AE561" i="356"/>
  <c r="AG561" i="356"/>
  <c r="AI561" i="356"/>
  <c r="AK561" i="356"/>
  <c r="Z561" i="356"/>
  <c r="AB561" i="356"/>
  <c r="AD561" i="356"/>
  <c r="AF561" i="356"/>
  <c r="AH561" i="356"/>
  <c r="AJ561" i="356"/>
  <c r="AG560" i="356"/>
  <c r="AB560" i="356"/>
  <c r="AJ560" i="356"/>
  <c r="AA559" i="356"/>
  <c r="AC559" i="356"/>
  <c r="AE559" i="356"/>
  <c r="AG559" i="356"/>
  <c r="AI559" i="356"/>
  <c r="AK559" i="356"/>
  <c r="Z559" i="356"/>
  <c r="AB559" i="356"/>
  <c r="AD559" i="356"/>
  <c r="AF559" i="356"/>
  <c r="AH559" i="356"/>
  <c r="AJ559" i="356"/>
  <c r="AG558" i="356"/>
  <c r="AB558" i="356"/>
  <c r="AJ558" i="356"/>
  <c r="AA557" i="356"/>
  <c r="AC557" i="356"/>
  <c r="AE557" i="356"/>
  <c r="AG557" i="356"/>
  <c r="AI557" i="356"/>
  <c r="AK557" i="356"/>
  <c r="Z557" i="356"/>
  <c r="AB557" i="356"/>
  <c r="AD557" i="356"/>
  <c r="AF557" i="356"/>
  <c r="AH557" i="356"/>
  <c r="AJ557" i="356"/>
  <c r="AG556" i="356"/>
  <c r="AB556" i="356"/>
  <c r="AJ556" i="356"/>
  <c r="AA555" i="356"/>
  <c r="AC555" i="356"/>
  <c r="AE555" i="356"/>
  <c r="AG555" i="356"/>
  <c r="AI555" i="356"/>
  <c r="AK555" i="356"/>
  <c r="Z555" i="356"/>
  <c r="AB555" i="356"/>
  <c r="AD555" i="356"/>
  <c r="AF555" i="356"/>
  <c r="AH555" i="356"/>
  <c r="AJ555" i="356"/>
  <c r="AG554" i="356"/>
  <c r="AB554" i="356"/>
  <c r="AJ554" i="356"/>
  <c r="AA553" i="356"/>
  <c r="AC553" i="356"/>
  <c r="AE553" i="356"/>
  <c r="AG553" i="356"/>
  <c r="AI553" i="356"/>
  <c r="AK553" i="356"/>
  <c r="Z553" i="356"/>
  <c r="AB553" i="356"/>
  <c r="AD553" i="356"/>
  <c r="AF553" i="356"/>
  <c r="AH553" i="356"/>
  <c r="AJ553" i="356"/>
  <c r="AG552" i="356"/>
  <c r="AB552" i="356"/>
  <c r="AJ552" i="356"/>
  <c r="AA551" i="356"/>
  <c r="AC551" i="356"/>
  <c r="AE551" i="356"/>
  <c r="AG551" i="356"/>
  <c r="AI551" i="356"/>
  <c r="AK551" i="356"/>
  <c r="Z551" i="356"/>
  <c r="AB551" i="356"/>
  <c r="AD551" i="356"/>
  <c r="AF551" i="356"/>
  <c r="AH551" i="356"/>
  <c r="AJ551" i="356"/>
  <c r="AG550" i="356"/>
  <c r="AB550" i="356"/>
  <c r="AJ550" i="356"/>
  <c r="AA549" i="356"/>
  <c r="AC549" i="356"/>
  <c r="AE549" i="356"/>
  <c r="AG549" i="356"/>
  <c r="AI549" i="356"/>
  <c r="AK549" i="356"/>
  <c r="Z549" i="356"/>
  <c r="AB549" i="356"/>
  <c r="AD549" i="356"/>
  <c r="AF549" i="356"/>
  <c r="AH549" i="356"/>
  <c r="AJ549" i="356"/>
  <c r="AG548" i="356"/>
  <c r="AB548" i="356"/>
  <c r="AJ548" i="356"/>
  <c r="AA547" i="356"/>
  <c r="AC547" i="356"/>
  <c r="AE547" i="356"/>
  <c r="AG547" i="356"/>
  <c r="AI547" i="356"/>
  <c r="AK547" i="356"/>
  <c r="Z547" i="356"/>
  <c r="AB547" i="356"/>
  <c r="AD547" i="356"/>
  <c r="AF547" i="356"/>
  <c r="AH547" i="356"/>
  <c r="AJ547" i="356"/>
  <c r="AG546" i="356"/>
  <c r="AB546" i="356"/>
  <c r="AJ546" i="356"/>
  <c r="AA545" i="356"/>
  <c r="AC545" i="356"/>
  <c r="AE545" i="356"/>
  <c r="AG545" i="356"/>
  <c r="AI545" i="356"/>
  <c r="AK545" i="356"/>
  <c r="Z545" i="356"/>
  <c r="AB545" i="356"/>
  <c r="AD545" i="356"/>
  <c r="AF545" i="356"/>
  <c r="AH545" i="356"/>
  <c r="AJ545" i="356"/>
  <c r="AG544" i="356"/>
  <c r="AB544" i="356"/>
  <c r="AJ544" i="356"/>
  <c r="AA543" i="356"/>
  <c r="AC543" i="356"/>
  <c r="AE543" i="356"/>
  <c r="AG543" i="356"/>
  <c r="AI543" i="356"/>
  <c r="AK543" i="356"/>
  <c r="Z543" i="356"/>
  <c r="AB543" i="356"/>
  <c r="AD543" i="356"/>
  <c r="AF543" i="356"/>
  <c r="AH543" i="356"/>
  <c r="AJ543" i="356"/>
  <c r="AG542" i="356"/>
  <c r="AB542" i="356"/>
  <c r="AJ542" i="356"/>
  <c r="AA541" i="356"/>
  <c r="AC541" i="356"/>
  <c r="AE541" i="356"/>
  <c r="AG541" i="356"/>
  <c r="AI541" i="356"/>
  <c r="AK541" i="356"/>
  <c r="Z541" i="356"/>
  <c r="AB541" i="356"/>
  <c r="AD541" i="356"/>
  <c r="AF541" i="356"/>
  <c r="AH541" i="356"/>
  <c r="AJ541" i="356"/>
  <c r="AG540" i="356"/>
  <c r="AB540" i="356"/>
  <c r="AJ540" i="356"/>
  <c r="AA539" i="356"/>
  <c r="AC539" i="356"/>
  <c r="AE539" i="356"/>
  <c r="AG539" i="356"/>
  <c r="AI539" i="356"/>
  <c r="AK539" i="356"/>
  <c r="Z539" i="356"/>
  <c r="AB539" i="356"/>
  <c r="AD539" i="356"/>
  <c r="AF539" i="356"/>
  <c r="AH539" i="356"/>
  <c r="AJ539" i="356"/>
  <c r="AG538" i="356"/>
  <c r="AB538" i="356"/>
  <c r="AJ538" i="356"/>
  <c r="AA537" i="356"/>
  <c r="AC537" i="356"/>
  <c r="AE537" i="356"/>
  <c r="AG537" i="356"/>
  <c r="AI537" i="356"/>
  <c r="AK537" i="356"/>
  <c r="Z537" i="356"/>
  <c r="AB537" i="356"/>
  <c r="AD537" i="356"/>
  <c r="AF537" i="356"/>
  <c r="AH537" i="356"/>
  <c r="AJ537" i="356"/>
  <c r="AG536" i="356"/>
  <c r="AB536" i="356"/>
  <c r="AJ536" i="356"/>
  <c r="AA535" i="356"/>
  <c r="AC535" i="356"/>
  <c r="AE535" i="356"/>
  <c r="AG535" i="356"/>
  <c r="AI535" i="356"/>
  <c r="AK535" i="356"/>
  <c r="Z535" i="356"/>
  <c r="AB535" i="356"/>
  <c r="AD535" i="356"/>
  <c r="AF535" i="356"/>
  <c r="AH535" i="356"/>
  <c r="AJ535" i="356"/>
  <c r="AG534" i="356"/>
  <c r="AB534" i="356"/>
  <c r="AJ534" i="356"/>
  <c r="AA533" i="356"/>
  <c r="AC533" i="356"/>
  <c r="AE533" i="356"/>
  <c r="AG533" i="356"/>
  <c r="AI533" i="356"/>
  <c r="AK533" i="356"/>
  <c r="Z533" i="356"/>
  <c r="AB533" i="356"/>
  <c r="AD533" i="356"/>
  <c r="AF533" i="356"/>
  <c r="AH533" i="356"/>
  <c r="AJ533" i="356"/>
  <c r="AG532" i="356"/>
  <c r="AB532" i="356"/>
  <c r="AJ532" i="356"/>
  <c r="AA531" i="356"/>
  <c r="AC531" i="356"/>
  <c r="AE531" i="356"/>
  <c r="AG531" i="356"/>
  <c r="AI531" i="356"/>
  <c r="AK531" i="356"/>
  <c r="Z531" i="356"/>
  <c r="AB531" i="356"/>
  <c r="AD531" i="356"/>
  <c r="AF531" i="356"/>
  <c r="AH531" i="356"/>
  <c r="AJ531" i="356"/>
  <c r="AG530" i="356"/>
  <c r="AB530" i="356"/>
  <c r="AJ530" i="356"/>
  <c r="AA529" i="356"/>
  <c r="AC529" i="356"/>
  <c r="AE529" i="356"/>
  <c r="AG529" i="356"/>
  <c r="AI529" i="356"/>
  <c r="AK529" i="356"/>
  <c r="Z529" i="356"/>
  <c r="AB529" i="356"/>
  <c r="AD529" i="356"/>
  <c r="AF529" i="356"/>
  <c r="AH529" i="356"/>
  <c r="AJ529" i="356"/>
  <c r="AG528" i="356"/>
  <c r="AB528" i="356"/>
  <c r="AJ528" i="356"/>
  <c r="AA527" i="356"/>
  <c r="AC527" i="356"/>
  <c r="AE527" i="356"/>
  <c r="AG527" i="356"/>
  <c r="AI527" i="356"/>
  <c r="AK527" i="356"/>
  <c r="Z527" i="356"/>
  <c r="AB527" i="356"/>
  <c r="AD527" i="356"/>
  <c r="AF527" i="356"/>
  <c r="AH527" i="356"/>
  <c r="AJ527" i="356"/>
  <c r="AG526" i="356"/>
  <c r="AB526" i="356"/>
  <c r="AJ526" i="356"/>
  <c r="AA525" i="356"/>
  <c r="AC525" i="356"/>
  <c r="AE525" i="356"/>
  <c r="AG525" i="356"/>
  <c r="AI525" i="356"/>
  <c r="AK525" i="356"/>
  <c r="Z525" i="356"/>
  <c r="AB525" i="356"/>
  <c r="AD525" i="356"/>
  <c r="AF525" i="356"/>
  <c r="AH525" i="356"/>
  <c r="AJ525" i="356"/>
  <c r="AG524" i="356"/>
  <c r="AB524" i="356"/>
  <c r="AJ524" i="356"/>
  <c r="AA523" i="356"/>
  <c r="AC523" i="356"/>
  <c r="AE523" i="356"/>
  <c r="AG523" i="356"/>
  <c r="AI523" i="356"/>
  <c r="AK523" i="356"/>
  <c r="Z523" i="356"/>
  <c r="AB523" i="356"/>
  <c r="AD523" i="356"/>
  <c r="AF523" i="356"/>
  <c r="AH523" i="356"/>
  <c r="AJ523" i="356"/>
  <c r="AG522" i="356"/>
  <c r="AB522" i="356"/>
  <c r="AJ522" i="356"/>
  <c r="AA521" i="356"/>
  <c r="AC521" i="356"/>
  <c r="AE521" i="356"/>
  <c r="AG521" i="356"/>
  <c r="AI521" i="356"/>
  <c r="AK521" i="356"/>
  <c r="Z521" i="356"/>
  <c r="AB521" i="356"/>
  <c r="AD521" i="356"/>
  <c r="AF521" i="356"/>
  <c r="AH521" i="356"/>
  <c r="AJ521" i="356"/>
  <c r="AG520" i="356"/>
  <c r="AB520" i="356"/>
  <c r="AJ520" i="356"/>
  <c r="AA519" i="356"/>
  <c r="AC519" i="356"/>
  <c r="AE519" i="356"/>
  <c r="AG519" i="356"/>
  <c r="AI519" i="356"/>
  <c r="AK519" i="356"/>
  <c r="Z519" i="356"/>
  <c r="AB519" i="356"/>
  <c r="AD519" i="356"/>
  <c r="AF519" i="356"/>
  <c r="AH519" i="356"/>
  <c r="AJ519" i="356"/>
  <c r="AG518" i="356"/>
  <c r="AB518" i="356"/>
  <c r="AJ518" i="356"/>
  <c r="AA517" i="356"/>
  <c r="AC517" i="356"/>
  <c r="AE517" i="356"/>
  <c r="AG517" i="356"/>
  <c r="AI517" i="356"/>
  <c r="AK517" i="356"/>
  <c r="Z517" i="356"/>
  <c r="AB517" i="356"/>
  <c r="AD517" i="356"/>
  <c r="AF517" i="356"/>
  <c r="AH517" i="356"/>
  <c r="AJ517" i="356"/>
  <c r="AG516" i="356"/>
  <c r="AB516" i="356"/>
  <c r="AJ516" i="356"/>
  <c r="AA515" i="356"/>
  <c r="AC515" i="356"/>
  <c r="AE515" i="356"/>
  <c r="AG515" i="356"/>
  <c r="AI515" i="356"/>
  <c r="AK515" i="356"/>
  <c r="Z515" i="356"/>
  <c r="AB515" i="356"/>
  <c r="AD515" i="356"/>
  <c r="AF515" i="356"/>
  <c r="AH515" i="356"/>
  <c r="AJ515" i="356"/>
  <c r="AG514" i="356"/>
  <c r="AB514" i="356"/>
  <c r="AJ514" i="356"/>
  <c r="AG512" i="356"/>
  <c r="AB512" i="356"/>
  <c r="AJ512" i="356"/>
  <c r="AG510" i="356"/>
  <c r="AB510" i="356"/>
  <c r="AJ510" i="356"/>
  <c r="AG508" i="356"/>
  <c r="AB508" i="356"/>
  <c r="AJ508" i="356"/>
  <c r="AG506" i="356"/>
  <c r="AB506" i="356"/>
  <c r="AJ506" i="356"/>
  <c r="AG504" i="356"/>
  <c r="AB504" i="356"/>
  <c r="AJ504" i="356"/>
  <c r="AG502" i="356"/>
  <c r="AB502" i="356"/>
  <c r="AJ502" i="356"/>
  <c r="AG500" i="356"/>
  <c r="AB500" i="356"/>
  <c r="AJ500" i="356"/>
  <c r="AA498" i="356"/>
  <c r="AC498" i="356"/>
  <c r="AE498" i="356"/>
  <c r="AG498" i="356"/>
  <c r="AI498" i="356"/>
  <c r="AK498" i="356"/>
  <c r="Z498" i="356"/>
  <c r="AB498" i="356"/>
  <c r="AD498" i="356"/>
  <c r="AF498" i="356"/>
  <c r="AH498" i="356"/>
  <c r="AJ498" i="356"/>
  <c r="AA496" i="356"/>
  <c r="AC496" i="356"/>
  <c r="AE496" i="356"/>
  <c r="AG496" i="356"/>
  <c r="AI496" i="356"/>
  <c r="AK496" i="356"/>
  <c r="Z496" i="356"/>
  <c r="AB496" i="356"/>
  <c r="AD496" i="356"/>
  <c r="AF496" i="356"/>
  <c r="AH496" i="356"/>
  <c r="AJ496" i="356"/>
  <c r="AA494" i="356"/>
  <c r="AC494" i="356"/>
  <c r="AE494" i="356"/>
  <c r="AG494" i="356"/>
  <c r="AI494" i="356"/>
  <c r="AK494" i="356"/>
  <c r="Z494" i="356"/>
  <c r="AB494" i="356"/>
  <c r="AD494" i="356"/>
  <c r="AF494" i="356"/>
  <c r="AH494" i="356"/>
  <c r="AJ494" i="356"/>
  <c r="AA492" i="356"/>
  <c r="AC492" i="356"/>
  <c r="AE492" i="356"/>
  <c r="AG492" i="356"/>
  <c r="AI492" i="356"/>
  <c r="AK492" i="356"/>
  <c r="Z492" i="356"/>
  <c r="AB492" i="356"/>
  <c r="AD492" i="356"/>
  <c r="AF492" i="356"/>
  <c r="AH492" i="356"/>
  <c r="AJ492" i="356"/>
  <c r="AA490" i="356"/>
  <c r="AC490" i="356"/>
  <c r="AE490" i="356"/>
  <c r="AG490" i="356"/>
  <c r="AI490" i="356"/>
  <c r="AK490" i="356"/>
  <c r="Z490" i="356"/>
  <c r="AB490" i="356"/>
  <c r="AD490" i="356"/>
  <c r="AF490" i="356"/>
  <c r="AH490" i="356"/>
  <c r="AJ490" i="356"/>
  <c r="AA488" i="356"/>
  <c r="AC488" i="356"/>
  <c r="AE488" i="356"/>
  <c r="AG488" i="356"/>
  <c r="AI488" i="356"/>
  <c r="AK488" i="356"/>
  <c r="Z488" i="356"/>
  <c r="AB488" i="356"/>
  <c r="AD488" i="356"/>
  <c r="AF488" i="356"/>
  <c r="AH488" i="356"/>
  <c r="AJ488" i="356"/>
  <c r="AA486" i="356"/>
  <c r="AC486" i="356"/>
  <c r="AE486" i="356"/>
  <c r="AG486" i="356"/>
  <c r="AI486" i="356"/>
  <c r="AK486" i="356"/>
  <c r="Z486" i="356"/>
  <c r="AB486" i="356"/>
  <c r="AD486" i="356"/>
  <c r="AF486" i="356"/>
  <c r="AH486" i="356"/>
  <c r="AJ486" i="356"/>
  <c r="AA484" i="356"/>
  <c r="AC484" i="356"/>
  <c r="AE484" i="356"/>
  <c r="AG484" i="356"/>
  <c r="AI484" i="356"/>
  <c r="AK484" i="356"/>
  <c r="Z484" i="356"/>
  <c r="AB484" i="356"/>
  <c r="AD484" i="356"/>
  <c r="AF484" i="356"/>
  <c r="AH484" i="356"/>
  <c r="AJ484" i="356"/>
  <c r="AA482" i="356"/>
  <c r="AC482" i="356"/>
  <c r="AE482" i="356"/>
  <c r="AG482" i="356"/>
  <c r="AI482" i="356"/>
  <c r="AK482" i="356"/>
  <c r="Z482" i="356"/>
  <c r="AB482" i="356"/>
  <c r="AD482" i="356"/>
  <c r="AF482" i="356"/>
  <c r="AH482" i="356"/>
  <c r="AJ482" i="356"/>
  <c r="AA480" i="356"/>
  <c r="AC480" i="356"/>
  <c r="AE480" i="356"/>
  <c r="AG480" i="356"/>
  <c r="AI480" i="356"/>
  <c r="AK480" i="356"/>
  <c r="Z480" i="356"/>
  <c r="AB480" i="356"/>
  <c r="AD480" i="356"/>
  <c r="AF480" i="356"/>
  <c r="AH480" i="356"/>
  <c r="AJ480" i="356"/>
  <c r="AA478" i="356"/>
  <c r="AC478" i="356"/>
  <c r="AE478" i="356"/>
  <c r="AG478" i="356"/>
  <c r="AI478" i="356"/>
  <c r="AK478" i="356"/>
  <c r="Z478" i="356"/>
  <c r="AB478" i="356"/>
  <c r="AD478" i="356"/>
  <c r="AF478" i="356"/>
  <c r="AH478" i="356"/>
  <c r="AJ478" i="356"/>
  <c r="AA476" i="356"/>
  <c r="AC476" i="356"/>
  <c r="AE476" i="356"/>
  <c r="AG476" i="356"/>
  <c r="AI476" i="356"/>
  <c r="AK476" i="356"/>
  <c r="Z476" i="356"/>
  <c r="AB476" i="356"/>
  <c r="AD476" i="356"/>
  <c r="AF476" i="356"/>
  <c r="AH476" i="356"/>
  <c r="AJ476" i="356"/>
  <c r="AA474" i="356"/>
  <c r="AC474" i="356"/>
  <c r="AE474" i="356"/>
  <c r="AG474" i="356"/>
  <c r="AI474" i="356"/>
  <c r="AK474" i="356"/>
  <c r="Z474" i="356"/>
  <c r="AB474" i="356"/>
  <c r="AD474" i="356"/>
  <c r="AF474" i="356"/>
  <c r="AH474" i="356"/>
  <c r="AJ474" i="356"/>
  <c r="AA472" i="356"/>
  <c r="AC472" i="356"/>
  <c r="AE472" i="356"/>
  <c r="AG472" i="356"/>
  <c r="AI472" i="356"/>
  <c r="AK472" i="356"/>
  <c r="Z472" i="356"/>
  <c r="AB472" i="356"/>
  <c r="AD472" i="356"/>
  <c r="AF472" i="356"/>
  <c r="AH472" i="356"/>
  <c r="AJ472" i="356"/>
  <c r="AA470" i="356"/>
  <c r="AC470" i="356"/>
  <c r="AE470" i="356"/>
  <c r="AG470" i="356"/>
  <c r="AI470" i="356"/>
  <c r="AK470" i="356"/>
  <c r="Z470" i="356"/>
  <c r="AB470" i="356"/>
  <c r="AD470" i="356"/>
  <c r="AF470" i="356"/>
  <c r="AH470" i="356"/>
  <c r="AJ470" i="356"/>
  <c r="AA468" i="356"/>
  <c r="AC468" i="356"/>
  <c r="AE468" i="356"/>
  <c r="AG468" i="356"/>
  <c r="AI468" i="356"/>
  <c r="AK468" i="356"/>
  <c r="Z468" i="356"/>
  <c r="AB468" i="356"/>
  <c r="AD468" i="356"/>
  <c r="AF468" i="356"/>
  <c r="AH468" i="356"/>
  <c r="AJ468" i="356"/>
  <c r="AA466" i="356"/>
  <c r="AC466" i="356"/>
  <c r="AE466" i="356"/>
  <c r="AG466" i="356"/>
  <c r="AI466" i="356"/>
  <c r="AK466" i="356"/>
  <c r="Z466" i="356"/>
  <c r="AB466" i="356"/>
  <c r="AD466" i="356"/>
  <c r="AF466" i="356"/>
  <c r="AH466" i="356"/>
  <c r="AJ466" i="356"/>
  <c r="AA464" i="356"/>
  <c r="AC464" i="356"/>
  <c r="AE464" i="356"/>
  <c r="AG464" i="356"/>
  <c r="AI464" i="356"/>
  <c r="AK464" i="356"/>
  <c r="Z464" i="356"/>
  <c r="AB464" i="356"/>
  <c r="AD464" i="356"/>
  <c r="AF464" i="356"/>
  <c r="AH464" i="356"/>
  <c r="AJ464" i="356"/>
  <c r="AA462" i="356"/>
  <c r="AC462" i="356"/>
  <c r="AE462" i="356"/>
  <c r="AG462" i="356"/>
  <c r="AI462" i="356"/>
  <c r="AK462" i="356"/>
  <c r="Z462" i="356"/>
  <c r="AB462" i="356"/>
  <c r="AD462" i="356"/>
  <c r="AF462" i="356"/>
  <c r="AH462" i="356"/>
  <c r="AJ462" i="356"/>
  <c r="AA460" i="356"/>
  <c r="AC460" i="356"/>
  <c r="AE460" i="356"/>
  <c r="AG460" i="356"/>
  <c r="AI460" i="356"/>
  <c r="AK460" i="356"/>
  <c r="Z460" i="356"/>
  <c r="AB460" i="356"/>
  <c r="AD460" i="356"/>
  <c r="AF460" i="356"/>
  <c r="AH460" i="356"/>
  <c r="AJ460" i="356"/>
  <c r="AA458" i="356"/>
  <c r="AC458" i="356"/>
  <c r="AE458" i="356"/>
  <c r="AG458" i="356"/>
  <c r="AI458" i="356"/>
  <c r="AK458" i="356"/>
  <c r="Z458" i="356"/>
  <c r="AB458" i="356"/>
  <c r="AD458" i="356"/>
  <c r="AF458" i="356"/>
  <c r="AH458" i="356"/>
  <c r="AJ458" i="356"/>
  <c r="AA456" i="356"/>
  <c r="AC456" i="356"/>
  <c r="AE456" i="356"/>
  <c r="AG456" i="356"/>
  <c r="AI456" i="356"/>
  <c r="AK456" i="356"/>
  <c r="Z456" i="356"/>
  <c r="AB456" i="356"/>
  <c r="AD456" i="356"/>
  <c r="AF456" i="356"/>
  <c r="AH456" i="356"/>
  <c r="AJ456" i="356"/>
  <c r="AA454" i="356"/>
  <c r="AC454" i="356"/>
  <c r="AE454" i="356"/>
  <c r="AG454" i="356"/>
  <c r="AI454" i="356"/>
  <c r="AK454" i="356"/>
  <c r="Z454" i="356"/>
  <c r="AB454" i="356"/>
  <c r="AD454" i="356"/>
  <c r="AF454" i="356"/>
  <c r="AH454" i="356"/>
  <c r="AJ454" i="356"/>
  <c r="AA452" i="356"/>
  <c r="AC452" i="356"/>
  <c r="AE452" i="356"/>
  <c r="AG452" i="356"/>
  <c r="AI452" i="356"/>
  <c r="AK452" i="356"/>
  <c r="Z452" i="356"/>
  <c r="AB452" i="356"/>
  <c r="AD452" i="356"/>
  <c r="AF452" i="356"/>
  <c r="AH452" i="356"/>
  <c r="AJ452" i="356"/>
  <c r="AA450" i="356"/>
  <c r="AC450" i="356"/>
  <c r="AE450" i="356"/>
  <c r="AG450" i="356"/>
  <c r="AI450" i="356"/>
  <c r="AK450" i="356"/>
  <c r="Z450" i="356"/>
  <c r="AB450" i="356"/>
  <c r="AD450" i="356"/>
  <c r="AF450" i="356"/>
  <c r="AH450" i="356"/>
  <c r="AJ450" i="356"/>
  <c r="AA448" i="356"/>
  <c r="AC448" i="356"/>
  <c r="AE448" i="356"/>
  <c r="AG448" i="356"/>
  <c r="AI448" i="356"/>
  <c r="AK448" i="356"/>
  <c r="Z448" i="356"/>
  <c r="AB448" i="356"/>
  <c r="AD448" i="356"/>
  <c r="AF448" i="356"/>
  <c r="AH448" i="356"/>
  <c r="AJ448" i="356"/>
  <c r="AA446" i="356"/>
  <c r="AC446" i="356"/>
  <c r="AE446" i="356"/>
  <c r="AG446" i="356"/>
  <c r="AI446" i="356"/>
  <c r="AK446" i="356"/>
  <c r="Z446" i="356"/>
  <c r="AB446" i="356"/>
  <c r="AD446" i="356"/>
  <c r="AF446" i="356"/>
  <c r="AH446" i="356"/>
  <c r="AJ446" i="356"/>
  <c r="AA444" i="356"/>
  <c r="AC444" i="356"/>
  <c r="AE444" i="356"/>
  <c r="AG444" i="356"/>
  <c r="AI444" i="356"/>
  <c r="AK444" i="356"/>
  <c r="Z444" i="356"/>
  <c r="AB444" i="356"/>
  <c r="AD444" i="356"/>
  <c r="AF444" i="356"/>
  <c r="AH444" i="356"/>
  <c r="AJ444" i="356"/>
  <c r="AA442" i="356"/>
  <c r="AC442" i="356"/>
  <c r="AE442" i="356"/>
  <c r="AG442" i="356"/>
  <c r="AI442" i="356"/>
  <c r="AK442" i="356"/>
  <c r="Z442" i="356"/>
  <c r="AB442" i="356"/>
  <c r="AD442" i="356"/>
  <c r="AF442" i="356"/>
  <c r="AH442" i="356"/>
  <c r="AJ442" i="356"/>
  <c r="AA440" i="356"/>
  <c r="AC440" i="356"/>
  <c r="AE440" i="356"/>
  <c r="AG440" i="356"/>
  <c r="AI440" i="356"/>
  <c r="AK440" i="356"/>
  <c r="Z440" i="356"/>
  <c r="AB440" i="356"/>
  <c r="AD440" i="356"/>
  <c r="AF440" i="356"/>
  <c r="AH440" i="356"/>
  <c r="AJ440" i="356"/>
  <c r="AA438" i="356"/>
  <c r="AC438" i="356"/>
  <c r="AE438" i="356"/>
  <c r="AG438" i="356"/>
  <c r="AI438" i="356"/>
  <c r="AK438" i="356"/>
  <c r="Z438" i="356"/>
  <c r="AB438" i="356"/>
  <c r="AD438" i="356"/>
  <c r="AF438" i="356"/>
  <c r="AH438" i="356"/>
  <c r="AJ438" i="356"/>
  <c r="AA436" i="356"/>
  <c r="AC436" i="356"/>
  <c r="AE436" i="356"/>
  <c r="AG436" i="356"/>
  <c r="AI436" i="356"/>
  <c r="AK436" i="356"/>
  <c r="Z436" i="356"/>
  <c r="AB436" i="356"/>
  <c r="AD436" i="356"/>
  <c r="AF436" i="356"/>
  <c r="AH436" i="356"/>
  <c r="AJ436" i="356"/>
  <c r="AA434" i="356"/>
  <c r="AC434" i="356"/>
  <c r="AE434" i="356"/>
  <c r="AG434" i="356"/>
  <c r="AI434" i="356"/>
  <c r="AK434" i="356"/>
  <c r="Z434" i="356"/>
  <c r="AB434" i="356"/>
  <c r="AD434" i="356"/>
  <c r="AF434" i="356"/>
  <c r="AH434" i="356"/>
  <c r="AJ434" i="356"/>
  <c r="AA432" i="356"/>
  <c r="AC432" i="356"/>
  <c r="AE432" i="356"/>
  <c r="AG432" i="356"/>
  <c r="AI432" i="356"/>
  <c r="AK432" i="356"/>
  <c r="Z432" i="356"/>
  <c r="AB432" i="356"/>
  <c r="AD432" i="356"/>
  <c r="AF432" i="356"/>
  <c r="AH432" i="356"/>
  <c r="AJ432" i="356"/>
  <c r="AA430" i="356"/>
  <c r="AC430" i="356"/>
  <c r="AE430" i="356"/>
  <c r="AG430" i="356"/>
  <c r="AI430" i="356"/>
  <c r="AK430" i="356"/>
  <c r="Z430" i="356"/>
  <c r="AB430" i="356"/>
  <c r="AD430" i="356"/>
  <c r="AF430" i="356"/>
  <c r="AH430" i="356"/>
  <c r="AJ430" i="356"/>
  <c r="AA428" i="356"/>
  <c r="AC428" i="356"/>
  <c r="AE428" i="356"/>
  <c r="AG428" i="356"/>
  <c r="AI428" i="356"/>
  <c r="AK428" i="356"/>
  <c r="Z428" i="356"/>
  <c r="AB428" i="356"/>
  <c r="AD428" i="356"/>
  <c r="AF428" i="356"/>
  <c r="AH428" i="356"/>
  <c r="AJ428" i="356"/>
  <c r="AA426" i="356"/>
  <c r="AC426" i="356"/>
  <c r="AE426" i="356"/>
  <c r="AG426" i="356"/>
  <c r="AI426" i="356"/>
  <c r="AK426" i="356"/>
  <c r="Z426" i="356"/>
  <c r="AB426" i="356"/>
  <c r="AD426" i="356"/>
  <c r="AF426" i="356"/>
  <c r="AH426" i="356"/>
  <c r="AJ426" i="356"/>
  <c r="AA424" i="356"/>
  <c r="AC424" i="356"/>
  <c r="AE424" i="356"/>
  <c r="AG424" i="356"/>
  <c r="AI424" i="356"/>
  <c r="AK424" i="356"/>
  <c r="Z424" i="356"/>
  <c r="AB424" i="356"/>
  <c r="AD424" i="356"/>
  <c r="AF424" i="356"/>
  <c r="AH424" i="356"/>
  <c r="AJ424" i="356"/>
  <c r="AA422" i="356"/>
  <c r="AC422" i="356"/>
  <c r="AE422" i="356"/>
  <c r="AG422" i="356"/>
  <c r="AI422" i="356"/>
  <c r="AK422" i="356"/>
  <c r="Z422" i="356"/>
  <c r="AB422" i="356"/>
  <c r="AD422" i="356"/>
  <c r="AF422" i="356"/>
  <c r="AH422" i="356"/>
  <c r="AJ422" i="356"/>
  <c r="AA420" i="356"/>
  <c r="AC420" i="356"/>
  <c r="AE420" i="356"/>
  <c r="AG420" i="356"/>
  <c r="AI420" i="356"/>
  <c r="AK420" i="356"/>
  <c r="Z420" i="356"/>
  <c r="AB420" i="356"/>
  <c r="AD420" i="356"/>
  <c r="AF420" i="356"/>
  <c r="AH420" i="356"/>
  <c r="AJ420" i="356"/>
  <c r="AA418" i="356"/>
  <c r="AC418" i="356"/>
  <c r="AE418" i="356"/>
  <c r="AG418" i="356"/>
  <c r="AI418" i="356"/>
  <c r="AK418" i="356"/>
  <c r="Z418" i="356"/>
  <c r="AB418" i="356"/>
  <c r="AD418" i="356"/>
  <c r="AF418" i="356"/>
  <c r="AH418" i="356"/>
  <c r="AJ418" i="356"/>
  <c r="AA416" i="356"/>
  <c r="AC416" i="356"/>
  <c r="AE416" i="356"/>
  <c r="AG416" i="356"/>
  <c r="AI416" i="356"/>
  <c r="AK416" i="356"/>
  <c r="Z416" i="356"/>
  <c r="AB416" i="356"/>
  <c r="AD416" i="356"/>
  <c r="AF416" i="356"/>
  <c r="AH416" i="356"/>
  <c r="AJ416" i="356"/>
  <c r="AA414" i="356"/>
  <c r="AC414" i="356"/>
  <c r="AE414" i="356"/>
  <c r="AG414" i="356"/>
  <c r="AI414" i="356"/>
  <c r="AK414" i="356"/>
  <c r="Z414" i="356"/>
  <c r="AB414" i="356"/>
  <c r="AD414" i="356"/>
  <c r="AF414" i="356"/>
  <c r="AH414" i="356"/>
  <c r="AJ414" i="356"/>
  <c r="AA412" i="356"/>
  <c r="AC412" i="356"/>
  <c r="AE412" i="356"/>
  <c r="AG412" i="356"/>
  <c r="AI412" i="356"/>
  <c r="AK412" i="356"/>
  <c r="Z412" i="356"/>
  <c r="AB412" i="356"/>
  <c r="AD412" i="356"/>
  <c r="AF412" i="356"/>
  <c r="AH412" i="356"/>
  <c r="AJ412" i="356"/>
  <c r="AA410" i="356"/>
  <c r="AC410" i="356"/>
  <c r="AE410" i="356"/>
  <c r="AG410" i="356"/>
  <c r="AI410" i="356"/>
  <c r="AK410" i="356"/>
  <c r="Z410" i="356"/>
  <c r="AB410" i="356"/>
  <c r="AD410" i="356"/>
  <c r="AF410" i="356"/>
  <c r="AH410" i="356"/>
  <c r="AJ410" i="356"/>
  <c r="AA408" i="356"/>
  <c r="AC408" i="356"/>
  <c r="AE408" i="356"/>
  <c r="AG408" i="356"/>
  <c r="AI408" i="356"/>
  <c r="AK408" i="356"/>
  <c r="Z408" i="356"/>
  <c r="AB408" i="356"/>
  <c r="AD408" i="356"/>
  <c r="AF408" i="356"/>
  <c r="AH408" i="356"/>
  <c r="AJ408" i="356"/>
  <c r="AA406" i="356"/>
  <c r="AC406" i="356"/>
  <c r="AE406" i="356"/>
  <c r="AG406" i="356"/>
  <c r="AI406" i="356"/>
  <c r="AK406" i="356"/>
  <c r="Z406" i="356"/>
  <c r="AB406" i="356"/>
  <c r="AD406" i="356"/>
  <c r="AF406" i="356"/>
  <c r="AH406" i="356"/>
  <c r="AJ406" i="356"/>
  <c r="AA404" i="356"/>
  <c r="AC404" i="356"/>
  <c r="AE404" i="356"/>
  <c r="AG404" i="356"/>
  <c r="AI404" i="356"/>
  <c r="AK404" i="356"/>
  <c r="Z404" i="356"/>
  <c r="AB404" i="356"/>
  <c r="AD404" i="356"/>
  <c r="AF404" i="356"/>
  <c r="AH404" i="356"/>
  <c r="AJ404" i="356"/>
  <c r="AA402" i="356"/>
  <c r="AC402" i="356"/>
  <c r="AE402" i="356"/>
  <c r="AG402" i="356"/>
  <c r="AI402" i="356"/>
  <c r="AK402" i="356"/>
  <c r="Z402" i="356"/>
  <c r="AB402" i="356"/>
  <c r="AD402" i="356"/>
  <c r="AF402" i="356"/>
  <c r="AH402" i="356"/>
  <c r="AJ402" i="356"/>
  <c r="AA400" i="356"/>
  <c r="AC400" i="356"/>
  <c r="AE400" i="356"/>
  <c r="AG400" i="356"/>
  <c r="AI400" i="356"/>
  <c r="AK400" i="356"/>
  <c r="Z400" i="356"/>
  <c r="AB400" i="356"/>
  <c r="AD400" i="356"/>
  <c r="AF400" i="356"/>
  <c r="AH400" i="356"/>
  <c r="AJ400" i="356"/>
  <c r="AA398" i="356"/>
  <c r="AC398" i="356"/>
  <c r="AE398" i="356"/>
  <c r="AG398" i="356"/>
  <c r="AI398" i="356"/>
  <c r="AK398" i="356"/>
  <c r="Z398" i="356"/>
  <c r="AB398" i="356"/>
  <c r="AD398" i="356"/>
  <c r="AF398" i="356"/>
  <c r="AH398" i="356"/>
  <c r="AJ398" i="356"/>
  <c r="AA396" i="356"/>
  <c r="AC396" i="356"/>
  <c r="AE396" i="356"/>
  <c r="AG396" i="356"/>
  <c r="AI396" i="356"/>
  <c r="AK396" i="356"/>
  <c r="Z396" i="356"/>
  <c r="AB396" i="356"/>
  <c r="AD396" i="356"/>
  <c r="AF396" i="356"/>
  <c r="AH396" i="356"/>
  <c r="AJ396" i="356"/>
  <c r="AA394" i="356"/>
  <c r="AC394" i="356"/>
  <c r="AE394" i="356"/>
  <c r="AG394" i="356"/>
  <c r="AI394" i="356"/>
  <c r="AK394" i="356"/>
  <c r="Z394" i="356"/>
  <c r="AB394" i="356"/>
  <c r="AD394" i="356"/>
  <c r="AF394" i="356"/>
  <c r="AH394" i="356"/>
  <c r="AJ394" i="356"/>
  <c r="AA392" i="356"/>
  <c r="AC392" i="356"/>
  <c r="AE392" i="356"/>
  <c r="AG392" i="356"/>
  <c r="AI392" i="356"/>
  <c r="AK392" i="356"/>
  <c r="Z392" i="356"/>
  <c r="AB392" i="356"/>
  <c r="AD392" i="356"/>
  <c r="AF392" i="356"/>
  <c r="AH392" i="356"/>
  <c r="AJ392" i="356"/>
  <c r="AA390" i="356"/>
  <c r="AC390" i="356"/>
  <c r="AE390" i="356"/>
  <c r="AG390" i="356"/>
  <c r="AI390" i="356"/>
  <c r="AK390" i="356"/>
  <c r="Z390" i="356"/>
  <c r="AB390" i="356"/>
  <c r="AD390" i="356"/>
  <c r="AF390" i="356"/>
  <c r="AH390" i="356"/>
  <c r="AJ390" i="356"/>
  <c r="AA388" i="356"/>
  <c r="AC388" i="356"/>
  <c r="AE388" i="356"/>
  <c r="AG388" i="356"/>
  <c r="AI388" i="356"/>
  <c r="AK388" i="356"/>
  <c r="Z388" i="356"/>
  <c r="AB388" i="356"/>
  <c r="AD388" i="356"/>
  <c r="AF388" i="356"/>
  <c r="AH388" i="356"/>
  <c r="AJ388" i="356"/>
  <c r="AA386" i="356"/>
  <c r="AC386" i="356"/>
  <c r="AE386" i="356"/>
  <c r="AG386" i="356"/>
  <c r="AI386" i="356"/>
  <c r="AK386" i="356"/>
  <c r="Z386" i="356"/>
  <c r="AB386" i="356"/>
  <c r="AD386" i="356"/>
  <c r="AF386" i="356"/>
  <c r="AH386" i="356"/>
  <c r="AJ386" i="356"/>
  <c r="AA384" i="356"/>
  <c r="AC384" i="356"/>
  <c r="AE384" i="356"/>
  <c r="AG384" i="356"/>
  <c r="AI384" i="356"/>
  <c r="AK384" i="356"/>
  <c r="Z384" i="356"/>
  <c r="AB384" i="356"/>
  <c r="AD384" i="356"/>
  <c r="AF384" i="356"/>
  <c r="AH384" i="356"/>
  <c r="AJ384" i="356"/>
  <c r="AA382" i="356"/>
  <c r="AC382" i="356"/>
  <c r="AE382" i="356"/>
  <c r="AG382" i="356"/>
  <c r="AI382" i="356"/>
  <c r="AK382" i="356"/>
  <c r="Z382" i="356"/>
  <c r="AB382" i="356"/>
  <c r="AD382" i="356"/>
  <c r="AF382" i="356"/>
  <c r="AH382" i="356"/>
  <c r="AJ382" i="356"/>
  <c r="AA380" i="356"/>
  <c r="AC380" i="356"/>
  <c r="AE380" i="356"/>
  <c r="AG380" i="356"/>
  <c r="AI380" i="356"/>
  <c r="AK380" i="356"/>
  <c r="Z380" i="356"/>
  <c r="AB380" i="356"/>
  <c r="AD380" i="356"/>
  <c r="AF380" i="356"/>
  <c r="AH380" i="356"/>
  <c r="AJ380" i="356"/>
  <c r="AA378" i="356"/>
  <c r="AC378" i="356"/>
  <c r="AE378" i="356"/>
  <c r="AG378" i="356"/>
  <c r="AI378" i="356"/>
  <c r="AK378" i="356"/>
  <c r="Z378" i="356"/>
  <c r="AB378" i="356"/>
  <c r="AD378" i="356"/>
  <c r="AF378" i="356"/>
  <c r="AH378" i="356"/>
  <c r="AJ378" i="356"/>
  <c r="AA376" i="356"/>
  <c r="AC376" i="356"/>
  <c r="AE376" i="356"/>
  <c r="AG376" i="356"/>
  <c r="AI376" i="356"/>
  <c r="AK376" i="356"/>
  <c r="Z376" i="356"/>
  <c r="AB376" i="356"/>
  <c r="AD376" i="356"/>
  <c r="AF376" i="356"/>
  <c r="AH376" i="356"/>
  <c r="AJ376" i="356"/>
  <c r="AA374" i="356"/>
  <c r="AC374" i="356"/>
  <c r="AE374" i="356"/>
  <c r="AG374" i="356"/>
  <c r="AI374" i="356"/>
  <c r="AK374" i="356"/>
  <c r="Z374" i="356"/>
  <c r="AB374" i="356"/>
  <c r="AD374" i="356"/>
  <c r="AF374" i="356"/>
  <c r="AH374" i="356"/>
  <c r="AJ374" i="356"/>
  <c r="AA372" i="356"/>
  <c r="AC372" i="356"/>
  <c r="AE372" i="356"/>
  <c r="AG372" i="356"/>
  <c r="AI372" i="356"/>
  <c r="AK372" i="356"/>
  <c r="Z372" i="356"/>
  <c r="AB372" i="356"/>
  <c r="AD372" i="356"/>
  <c r="AF372" i="356"/>
  <c r="AH372" i="356"/>
  <c r="AJ372" i="356"/>
  <c r="AA370" i="356"/>
  <c r="AC370" i="356"/>
  <c r="AE370" i="356"/>
  <c r="AG370" i="356"/>
  <c r="AI370" i="356"/>
  <c r="AK370" i="356"/>
  <c r="Z370" i="356"/>
  <c r="AB370" i="356"/>
  <c r="AD370" i="356"/>
  <c r="AF370" i="356"/>
  <c r="AH370" i="356"/>
  <c r="AJ370" i="356"/>
  <c r="AA368" i="356"/>
  <c r="AC368" i="356"/>
  <c r="AE368" i="356"/>
  <c r="AG368" i="356"/>
  <c r="AI368" i="356"/>
  <c r="AK368" i="356"/>
  <c r="Z368" i="356"/>
  <c r="AB368" i="356"/>
  <c r="AD368" i="356"/>
  <c r="AF368" i="356"/>
  <c r="AH368" i="356"/>
  <c r="AJ368" i="356"/>
  <c r="AA366" i="356"/>
  <c r="AC366" i="356"/>
  <c r="AE366" i="356"/>
  <c r="AG366" i="356"/>
  <c r="AI366" i="356"/>
  <c r="AK366" i="356"/>
  <c r="Z366" i="356"/>
  <c r="AB366" i="356"/>
  <c r="AD366" i="356"/>
  <c r="AF366" i="356"/>
  <c r="AH366" i="356"/>
  <c r="AJ366" i="356"/>
  <c r="AA364" i="356"/>
  <c r="AC364" i="356"/>
  <c r="AE364" i="356"/>
  <c r="AG364" i="356"/>
  <c r="AI364" i="356"/>
  <c r="AK364" i="356"/>
  <c r="Z364" i="356"/>
  <c r="AB364" i="356"/>
  <c r="AD364" i="356"/>
  <c r="AF364" i="356"/>
  <c r="AH364" i="356"/>
  <c r="AJ364" i="356"/>
  <c r="AA362" i="356"/>
  <c r="AC362" i="356"/>
  <c r="AE362" i="356"/>
  <c r="AG362" i="356"/>
  <c r="AI362" i="356"/>
  <c r="AK362" i="356"/>
  <c r="Z362" i="356"/>
  <c r="AB362" i="356"/>
  <c r="AD362" i="356"/>
  <c r="AF362" i="356"/>
  <c r="AH362" i="356"/>
  <c r="AJ362" i="356"/>
  <c r="AA360" i="356"/>
  <c r="AC360" i="356"/>
  <c r="AE360" i="356"/>
  <c r="AG360" i="356"/>
  <c r="AI360" i="356"/>
  <c r="AK360" i="356"/>
  <c r="Z360" i="356"/>
  <c r="AB360" i="356"/>
  <c r="AD360" i="356"/>
  <c r="AF360" i="356"/>
  <c r="AH360" i="356"/>
  <c r="AJ360" i="356"/>
  <c r="AA358" i="356"/>
  <c r="AC358" i="356"/>
  <c r="AE358" i="356"/>
  <c r="AG358" i="356"/>
  <c r="AI358" i="356"/>
  <c r="AK358" i="356"/>
  <c r="Z358" i="356"/>
  <c r="AB358" i="356"/>
  <c r="AD358" i="356"/>
  <c r="AF358" i="356"/>
  <c r="AH358" i="356"/>
  <c r="AJ358" i="356"/>
  <c r="AA356" i="356"/>
  <c r="AC356" i="356"/>
  <c r="AE356" i="356"/>
  <c r="AG356" i="356"/>
  <c r="AI356" i="356"/>
  <c r="AK356" i="356"/>
  <c r="Z356" i="356"/>
  <c r="AB356" i="356"/>
  <c r="AD356" i="356"/>
  <c r="AF356" i="356"/>
  <c r="AH356" i="356"/>
  <c r="AJ356" i="356"/>
  <c r="AA354" i="356"/>
  <c r="AC354" i="356"/>
  <c r="AE354" i="356"/>
  <c r="AG354" i="356"/>
  <c r="AI354" i="356"/>
  <c r="AK354" i="356"/>
  <c r="Z354" i="356"/>
  <c r="AB354" i="356"/>
  <c r="AD354" i="356"/>
  <c r="AF354" i="356"/>
  <c r="AH354" i="356"/>
  <c r="AJ354" i="356"/>
  <c r="AA352" i="356"/>
  <c r="AC352" i="356"/>
  <c r="AE352" i="356"/>
  <c r="AG352" i="356"/>
  <c r="AI352" i="356"/>
  <c r="AK352" i="356"/>
  <c r="Z352" i="356"/>
  <c r="AB352" i="356"/>
  <c r="AD352" i="356"/>
  <c r="AF352" i="356"/>
  <c r="AH352" i="356"/>
  <c r="AJ352" i="356"/>
  <c r="AA350" i="356"/>
  <c r="AC350" i="356"/>
  <c r="AE350" i="356"/>
  <c r="AG350" i="356"/>
  <c r="AI350" i="356"/>
  <c r="AK350" i="356"/>
  <c r="Z350" i="356"/>
  <c r="AB350" i="356"/>
  <c r="AD350" i="356"/>
  <c r="AF350" i="356"/>
  <c r="AH350" i="356"/>
  <c r="AJ350" i="356"/>
  <c r="AA348" i="356"/>
  <c r="AC348" i="356"/>
  <c r="AE348" i="356"/>
  <c r="AG348" i="356"/>
  <c r="AI348" i="356"/>
  <c r="AK348" i="356"/>
  <c r="Z348" i="356"/>
  <c r="AB348" i="356"/>
  <c r="AD348" i="356"/>
  <c r="AF348" i="356"/>
  <c r="AH348" i="356"/>
  <c r="AJ348" i="356"/>
  <c r="AA346" i="356"/>
  <c r="AC346" i="356"/>
  <c r="AE346" i="356"/>
  <c r="AG346" i="356"/>
  <c r="AI346" i="356"/>
  <c r="AK346" i="356"/>
  <c r="Z346" i="356"/>
  <c r="AB346" i="356"/>
  <c r="AD346" i="356"/>
  <c r="AF346" i="356"/>
  <c r="AH346" i="356"/>
  <c r="AJ346" i="356"/>
  <c r="AA344" i="356"/>
  <c r="AC344" i="356"/>
  <c r="AE344" i="356"/>
  <c r="AG344" i="356"/>
  <c r="AI344" i="356"/>
  <c r="AK344" i="356"/>
  <c r="Z344" i="356"/>
  <c r="AB344" i="356"/>
  <c r="AD344" i="356"/>
  <c r="AF344" i="356"/>
  <c r="AH344" i="356"/>
  <c r="AJ344" i="356"/>
  <c r="AA342" i="356"/>
  <c r="AC342" i="356"/>
  <c r="AE342" i="356"/>
  <c r="AG342" i="356"/>
  <c r="AI342" i="356"/>
  <c r="AK342" i="356"/>
  <c r="Z342" i="356"/>
  <c r="AB342" i="356"/>
  <c r="AD342" i="356"/>
  <c r="AF342" i="356"/>
  <c r="AH342" i="356"/>
  <c r="AJ342" i="356"/>
  <c r="AA340" i="356"/>
  <c r="AC340" i="356"/>
  <c r="AE340" i="356"/>
  <c r="AG340" i="356"/>
  <c r="AI340" i="356"/>
  <c r="AK340" i="356"/>
  <c r="Z340" i="356"/>
  <c r="AB340" i="356"/>
  <c r="AD340" i="356"/>
  <c r="AF340" i="356"/>
  <c r="AH340" i="356"/>
  <c r="AJ340" i="356"/>
  <c r="AA338" i="356"/>
  <c r="AC338" i="356"/>
  <c r="AE338" i="356"/>
  <c r="AG338" i="356"/>
  <c r="AI338" i="356"/>
  <c r="AK338" i="356"/>
  <c r="Z338" i="356"/>
  <c r="AB338" i="356"/>
  <c r="AD338" i="356"/>
  <c r="AF338" i="356"/>
  <c r="AH338" i="356"/>
  <c r="AJ338" i="356"/>
  <c r="AA336" i="356"/>
  <c r="AC336" i="356"/>
  <c r="AE336" i="356"/>
  <c r="AG336" i="356"/>
  <c r="AI336" i="356"/>
  <c r="AK336" i="356"/>
  <c r="Z336" i="356"/>
  <c r="AB336" i="356"/>
  <c r="AD336" i="356"/>
  <c r="AF336" i="356"/>
  <c r="AH336" i="356"/>
  <c r="AJ336" i="356"/>
  <c r="AA334" i="356"/>
  <c r="AC334" i="356"/>
  <c r="AE334" i="356"/>
  <c r="AG334" i="356"/>
  <c r="AI334" i="356"/>
  <c r="AK334" i="356"/>
  <c r="Z334" i="356"/>
  <c r="AB334" i="356"/>
  <c r="AD334" i="356"/>
  <c r="AF334" i="356"/>
  <c r="AH334" i="356"/>
  <c r="AJ334" i="356"/>
  <c r="AA332" i="356"/>
  <c r="AC332" i="356"/>
  <c r="AE332" i="356"/>
  <c r="AG332" i="356"/>
  <c r="AI332" i="356"/>
  <c r="AK332" i="356"/>
  <c r="Z332" i="356"/>
  <c r="AB332" i="356"/>
  <c r="AD332" i="356"/>
  <c r="AF332" i="356"/>
  <c r="AH332" i="356"/>
  <c r="AJ332" i="356"/>
  <c r="AA330" i="356"/>
  <c r="AC330" i="356"/>
  <c r="AE330" i="356"/>
  <c r="AG330" i="356"/>
  <c r="AI330" i="356"/>
  <c r="AK330" i="356"/>
  <c r="Z330" i="356"/>
  <c r="AB330" i="356"/>
  <c r="AD330" i="356"/>
  <c r="AF330" i="356"/>
  <c r="AH330" i="356"/>
  <c r="AJ330" i="356"/>
  <c r="AA328" i="356"/>
  <c r="AC328" i="356"/>
  <c r="AE328" i="356"/>
  <c r="AG328" i="356"/>
  <c r="AI328" i="356"/>
  <c r="AK328" i="356"/>
  <c r="Z328" i="356"/>
  <c r="AB328" i="356"/>
  <c r="AD328" i="356"/>
  <c r="AF328" i="356"/>
  <c r="AH328" i="356"/>
  <c r="AJ328" i="356"/>
  <c r="AA326" i="356"/>
  <c r="AC326" i="356"/>
  <c r="AE326" i="356"/>
  <c r="AG326" i="356"/>
  <c r="AI326" i="356"/>
  <c r="AK326" i="356"/>
  <c r="Z326" i="356"/>
  <c r="AB326" i="356"/>
  <c r="AD326" i="356"/>
  <c r="AF326" i="356"/>
  <c r="AH326" i="356"/>
  <c r="AJ326" i="356"/>
  <c r="AA324" i="356"/>
  <c r="AC324" i="356"/>
  <c r="AE324" i="356"/>
  <c r="AG324" i="356"/>
  <c r="AI324" i="356"/>
  <c r="AK324" i="356"/>
  <c r="Z324" i="356"/>
  <c r="AB324" i="356"/>
  <c r="AD324" i="356"/>
  <c r="AF324" i="356"/>
  <c r="AH324" i="356"/>
  <c r="AJ324" i="356"/>
  <c r="AA322" i="356"/>
  <c r="AC322" i="356"/>
  <c r="AE322" i="356"/>
  <c r="AG322" i="356"/>
  <c r="AI322" i="356"/>
  <c r="AK322" i="356"/>
  <c r="Z322" i="356"/>
  <c r="AB322" i="356"/>
  <c r="D18" i="95" s="1"/>
  <c r="AD322" i="356"/>
  <c r="AF322" i="356"/>
  <c r="AH322" i="356"/>
  <c r="AJ322" i="356"/>
  <c r="AA320" i="356"/>
  <c r="AC320" i="356"/>
  <c r="AE320" i="356"/>
  <c r="AG320" i="356"/>
  <c r="AI320" i="356"/>
  <c r="AK320" i="356"/>
  <c r="Z320" i="356"/>
  <c r="AB320" i="356"/>
  <c r="AD320" i="356"/>
  <c r="AF320" i="356"/>
  <c r="AH320" i="356"/>
  <c r="AJ320" i="356"/>
  <c r="AA318" i="356"/>
  <c r="AC318" i="356"/>
  <c r="AE318" i="356"/>
  <c r="AG318" i="356"/>
  <c r="AI318" i="356"/>
  <c r="AK318" i="356"/>
  <c r="Z318" i="356"/>
  <c r="AB318" i="356"/>
  <c r="AD318" i="356"/>
  <c r="AF318" i="356"/>
  <c r="AH318" i="356"/>
  <c r="AJ318" i="356"/>
  <c r="AA316" i="356"/>
  <c r="AC316" i="356"/>
  <c r="AE316" i="356"/>
  <c r="AG316" i="356"/>
  <c r="AI316" i="356"/>
  <c r="AK316" i="356"/>
  <c r="Z316" i="356"/>
  <c r="AB316" i="356"/>
  <c r="AD316" i="356"/>
  <c r="AF316" i="356"/>
  <c r="AH316" i="356"/>
  <c r="AJ316" i="356"/>
  <c r="AA314" i="356"/>
  <c r="AC314" i="356"/>
  <c r="AE314" i="356"/>
  <c r="AG314" i="356"/>
  <c r="AI314" i="356"/>
  <c r="AK314" i="356"/>
  <c r="Z314" i="356"/>
  <c r="AB314" i="356"/>
  <c r="AD314" i="356"/>
  <c r="AF314" i="356"/>
  <c r="AH314" i="356"/>
  <c r="AJ314" i="356"/>
  <c r="AA312" i="356"/>
  <c r="AC312" i="356"/>
  <c r="AE312" i="356"/>
  <c r="AG312" i="356"/>
  <c r="I13" i="95"/>
  <c r="AI312" i="356"/>
  <c r="AK312" i="356"/>
  <c r="Z312" i="356"/>
  <c r="AB312" i="356"/>
  <c r="AD312" i="356"/>
  <c r="AF312" i="356"/>
  <c r="H13" i="95"/>
  <c r="AH312" i="356"/>
  <c r="AJ312" i="356"/>
  <c r="AA310" i="356"/>
  <c r="AC310" i="356"/>
  <c r="AE310" i="356"/>
  <c r="AG310" i="356"/>
  <c r="AI310" i="356"/>
  <c r="AK310" i="356"/>
  <c r="Z310" i="356"/>
  <c r="AB310" i="356"/>
  <c r="AD310" i="356"/>
  <c r="AF310" i="356"/>
  <c r="AH310" i="356"/>
  <c r="AJ310" i="356"/>
  <c r="AA308" i="356"/>
  <c r="AC308" i="356"/>
  <c r="AE308" i="356"/>
  <c r="AG308" i="356"/>
  <c r="AI308" i="356"/>
  <c r="AK308" i="356"/>
  <c r="Z308" i="356"/>
  <c r="AB308" i="356"/>
  <c r="AD308" i="356"/>
  <c r="AF308" i="356"/>
  <c r="AH308" i="356"/>
  <c r="AJ308" i="356"/>
  <c r="AA306" i="356"/>
  <c r="AC306" i="356"/>
  <c r="AE306" i="356"/>
  <c r="AG306" i="356"/>
  <c r="AI306" i="356"/>
  <c r="AK306" i="356"/>
  <c r="Z306" i="356"/>
  <c r="AB306" i="356"/>
  <c r="AD306" i="356"/>
  <c r="AF306" i="356"/>
  <c r="AH306" i="356"/>
  <c r="AJ306" i="356"/>
  <c r="AA304" i="356"/>
  <c r="AC304" i="356"/>
  <c r="AE304" i="356"/>
  <c r="AG304" i="356"/>
  <c r="AI304" i="356"/>
  <c r="AK304" i="356"/>
  <c r="Z304" i="356"/>
  <c r="AB304" i="356"/>
  <c r="AD304" i="356"/>
  <c r="AF304" i="356"/>
  <c r="AH304" i="356"/>
  <c r="AJ304" i="356"/>
  <c r="AA302" i="356"/>
  <c r="AC302" i="356"/>
  <c r="AE302" i="356"/>
  <c r="AG302" i="356"/>
  <c r="AI302" i="356"/>
  <c r="AK302" i="356"/>
  <c r="Z302" i="356"/>
  <c r="AB302" i="356"/>
  <c r="AD302" i="356"/>
  <c r="AF302" i="356"/>
  <c r="AH302" i="356"/>
  <c r="AJ302" i="356"/>
  <c r="AA300" i="356"/>
  <c r="AC300" i="356"/>
  <c r="AE300" i="356"/>
  <c r="AG300" i="356"/>
  <c r="AI300" i="356"/>
  <c r="AK300" i="356"/>
  <c r="Z300" i="356"/>
  <c r="AB300" i="356"/>
  <c r="AD300" i="356"/>
  <c r="AF300" i="356"/>
  <c r="AH300" i="356"/>
  <c r="AJ300" i="356"/>
  <c r="AA298" i="356"/>
  <c r="AC298" i="356"/>
  <c r="AE298" i="356"/>
  <c r="AG298" i="356"/>
  <c r="AI298" i="356"/>
  <c r="AK298" i="356"/>
  <c r="Z298" i="356"/>
  <c r="AB298" i="356"/>
  <c r="AD298" i="356"/>
  <c r="AF298" i="356"/>
  <c r="AH298" i="356"/>
  <c r="AJ298" i="356"/>
  <c r="AA296" i="356"/>
  <c r="AC296" i="356"/>
  <c r="AE296" i="356"/>
  <c r="AG296" i="356"/>
  <c r="AI296" i="356"/>
  <c r="AK296" i="356"/>
  <c r="Z296" i="356"/>
  <c r="AB296" i="356"/>
  <c r="AD296" i="356"/>
  <c r="AF296" i="356"/>
  <c r="AH296" i="356"/>
  <c r="AJ296" i="356"/>
  <c r="AA294" i="356"/>
  <c r="AC294" i="356"/>
  <c r="AE294" i="356"/>
  <c r="AG294" i="356"/>
  <c r="AI294" i="356"/>
  <c r="AK294" i="356"/>
  <c r="Z294" i="356"/>
  <c r="AB294" i="356"/>
  <c r="AD294" i="356"/>
  <c r="AF294" i="356"/>
  <c r="AH294" i="356"/>
  <c r="AJ294" i="356"/>
  <c r="AA292" i="356"/>
  <c r="AC292" i="356"/>
  <c r="AE292" i="356"/>
  <c r="AG292" i="356"/>
  <c r="AI292" i="356"/>
  <c r="AK292" i="356"/>
  <c r="Z292" i="356"/>
  <c r="AB292" i="356"/>
  <c r="AD292" i="356"/>
  <c r="AF292" i="356"/>
  <c r="AH292" i="356"/>
  <c r="AJ292" i="356"/>
  <c r="AA290" i="356"/>
  <c r="AC290" i="356"/>
  <c r="AE290" i="356"/>
  <c r="AG290" i="356"/>
  <c r="AI290" i="356"/>
  <c r="AK290" i="356"/>
  <c r="Z290" i="356"/>
  <c r="AB290" i="356"/>
  <c r="AD290" i="356"/>
  <c r="AF290" i="356"/>
  <c r="AH290" i="356"/>
  <c r="AJ290" i="356"/>
  <c r="AA288" i="356"/>
  <c r="AC288" i="356"/>
  <c r="AE288" i="356"/>
  <c r="AG288" i="356"/>
  <c r="AI288" i="356"/>
  <c r="AK288" i="356"/>
  <c r="Z288" i="356"/>
  <c r="AB288" i="356"/>
  <c r="AD288" i="356"/>
  <c r="AF288" i="356"/>
  <c r="AH288" i="356"/>
  <c r="AJ288" i="356"/>
  <c r="AA286" i="356"/>
  <c r="AC286" i="356"/>
  <c r="AE286" i="356"/>
  <c r="AG286" i="356"/>
  <c r="AI286" i="356"/>
  <c r="AK286" i="356"/>
  <c r="Z286" i="356"/>
  <c r="AB286" i="356"/>
  <c r="AD286" i="356"/>
  <c r="AF286" i="356"/>
  <c r="AH286" i="356"/>
  <c r="AJ286" i="356"/>
  <c r="AA284" i="356"/>
  <c r="AC284" i="356"/>
  <c r="AE284" i="356"/>
  <c r="AG284" i="356"/>
  <c r="AI284" i="356"/>
  <c r="AK284" i="356"/>
  <c r="Z284" i="356"/>
  <c r="AB284" i="356"/>
  <c r="AD284" i="356"/>
  <c r="AF284" i="356"/>
  <c r="AH284" i="356"/>
  <c r="AJ284" i="356"/>
  <c r="AA282" i="356"/>
  <c r="AC282" i="356"/>
  <c r="AE282" i="356"/>
  <c r="AG282" i="356"/>
  <c r="AI282" i="356"/>
  <c r="AK282" i="356"/>
  <c r="Z282" i="356"/>
  <c r="AB282" i="356"/>
  <c r="AD282" i="356"/>
  <c r="AF282" i="356"/>
  <c r="AH282" i="356"/>
  <c r="AJ282" i="356"/>
  <c r="AA280" i="356"/>
  <c r="AC280" i="356"/>
  <c r="AE280" i="356"/>
  <c r="AG280" i="356"/>
  <c r="AI280" i="356"/>
  <c r="AK280" i="356"/>
  <c r="Z280" i="356"/>
  <c r="AB280" i="356"/>
  <c r="AD280" i="356"/>
  <c r="AF280" i="356"/>
  <c r="AH280" i="356"/>
  <c r="AJ280" i="356"/>
  <c r="AA278" i="356"/>
  <c r="AC278" i="356"/>
  <c r="AE278" i="356"/>
  <c r="AG278" i="356"/>
  <c r="AI278" i="356"/>
  <c r="AK278" i="356"/>
  <c r="Z278" i="356"/>
  <c r="AB278" i="356"/>
  <c r="AD278" i="356"/>
  <c r="AF278" i="356"/>
  <c r="AH278" i="356"/>
  <c r="AJ278" i="356"/>
  <c r="AC276" i="356"/>
  <c r="AG276" i="356"/>
  <c r="AK276" i="356"/>
  <c r="AB276" i="356"/>
  <c r="AF276" i="356"/>
  <c r="AJ276" i="356"/>
  <c r="AC274" i="356"/>
  <c r="AG274" i="356"/>
  <c r="AK274" i="356"/>
  <c r="AB274" i="356"/>
  <c r="AF274" i="356"/>
  <c r="AJ274" i="356"/>
  <c r="AC272" i="356"/>
  <c r="AG272" i="356"/>
  <c r="AK272" i="356"/>
  <c r="AB272" i="356"/>
  <c r="AF272" i="356"/>
  <c r="AJ272" i="356"/>
  <c r="AC270" i="356"/>
  <c r="AG270" i="356"/>
  <c r="AK270" i="356"/>
  <c r="AB270" i="356"/>
  <c r="AF270" i="356"/>
  <c r="AJ270" i="356"/>
  <c r="AC268" i="356"/>
  <c r="AG268" i="356"/>
  <c r="AK268" i="356"/>
  <c r="AB268" i="356"/>
  <c r="AF268" i="356"/>
  <c r="AJ268" i="356"/>
  <c r="AC266" i="356"/>
  <c r="AG266" i="356"/>
  <c r="AK266" i="356"/>
  <c r="AB266" i="356"/>
  <c r="AF266" i="356"/>
  <c r="AJ266" i="356"/>
  <c r="AC264" i="356"/>
  <c r="AG264" i="356"/>
  <c r="AK264" i="356"/>
  <c r="AB264" i="356"/>
  <c r="AF264" i="356"/>
  <c r="AJ264" i="356"/>
  <c r="AC262" i="356"/>
  <c r="AG262" i="356"/>
  <c r="AK262" i="356"/>
  <c r="AB262" i="356"/>
  <c r="AF262" i="356"/>
  <c r="AJ262" i="356"/>
  <c r="AC260" i="356"/>
  <c r="AG260" i="356"/>
  <c r="AK260" i="356"/>
  <c r="AB260" i="356"/>
  <c r="AF260" i="356"/>
  <c r="AJ260" i="356"/>
  <c r="AC258" i="356"/>
  <c r="AG258" i="356"/>
  <c r="AK258" i="356"/>
  <c r="AB258" i="356"/>
  <c r="AF258" i="356"/>
  <c r="AJ258" i="356"/>
  <c r="AC256" i="356"/>
  <c r="AG256" i="356"/>
  <c r="AK256" i="356"/>
  <c r="AB256" i="356"/>
  <c r="AF256" i="356"/>
  <c r="AJ256" i="356"/>
  <c r="AA254" i="356"/>
  <c r="AC254" i="356"/>
  <c r="AE254" i="356"/>
  <c r="AG254" i="356"/>
  <c r="AI254" i="356"/>
  <c r="AK254" i="356"/>
  <c r="Z254" i="356"/>
  <c r="AB254" i="356"/>
  <c r="AD254" i="356"/>
  <c r="AF254" i="356"/>
  <c r="AH254" i="356"/>
  <c r="AJ254" i="356"/>
  <c r="AA252" i="356"/>
  <c r="AC252" i="356"/>
  <c r="AE252" i="356"/>
  <c r="AG252" i="356"/>
  <c r="AI252" i="356"/>
  <c r="AK252" i="356"/>
  <c r="Z252" i="356"/>
  <c r="AB252" i="356"/>
  <c r="AD252" i="356"/>
  <c r="AF252" i="356"/>
  <c r="AH252" i="356"/>
  <c r="AJ252" i="356"/>
  <c r="AA250" i="356"/>
  <c r="AC250" i="356"/>
  <c r="AE250" i="356"/>
  <c r="AG250" i="356"/>
  <c r="AI250" i="356"/>
  <c r="AK250" i="356"/>
  <c r="Z250" i="356"/>
  <c r="AB250" i="356"/>
  <c r="AD250" i="356"/>
  <c r="AF250" i="356"/>
  <c r="AH250" i="356"/>
  <c r="AJ250" i="356"/>
  <c r="AA248" i="356"/>
  <c r="AC248" i="356"/>
  <c r="AE248" i="356"/>
  <c r="AG248" i="356"/>
  <c r="AI248" i="356"/>
  <c r="AK248" i="356"/>
  <c r="Z248" i="356"/>
  <c r="AB248" i="356"/>
  <c r="AD248" i="356"/>
  <c r="AF248" i="356"/>
  <c r="AH248" i="356"/>
  <c r="AJ248" i="356"/>
  <c r="AA246" i="356"/>
  <c r="AC246" i="356"/>
  <c r="AE246" i="356"/>
  <c r="AG246" i="356"/>
  <c r="AI246" i="356"/>
  <c r="AK246" i="356"/>
  <c r="Z246" i="356"/>
  <c r="AB246" i="356"/>
  <c r="AD246" i="356"/>
  <c r="AF246" i="356"/>
  <c r="AH246" i="356"/>
  <c r="AJ246" i="356"/>
  <c r="AA244" i="356"/>
  <c r="AC244" i="356"/>
  <c r="AE244" i="356"/>
  <c r="AG244" i="356"/>
  <c r="AI244" i="356"/>
  <c r="AK244" i="356"/>
  <c r="Z244" i="356"/>
  <c r="AB244" i="356"/>
  <c r="AD244" i="356"/>
  <c r="AF244" i="356"/>
  <c r="AH244" i="356"/>
  <c r="AJ244" i="356"/>
  <c r="AA242" i="356"/>
  <c r="AC242" i="356"/>
  <c r="AE242" i="356"/>
  <c r="AG242" i="356"/>
  <c r="AI242" i="356"/>
  <c r="AK242" i="356"/>
  <c r="Z242" i="356"/>
  <c r="AB242" i="356"/>
  <c r="AD242" i="356"/>
  <c r="AF242" i="356"/>
  <c r="AH242" i="356"/>
  <c r="AJ242" i="356"/>
  <c r="AA240" i="356"/>
  <c r="AC240" i="356"/>
  <c r="AE240" i="356"/>
  <c r="AG240" i="356"/>
  <c r="AI240" i="356"/>
  <c r="AK240" i="356"/>
  <c r="Z240" i="356"/>
  <c r="AB240" i="356"/>
  <c r="AD240" i="356"/>
  <c r="AF240" i="356"/>
  <c r="AH240" i="356"/>
  <c r="AJ240" i="356"/>
  <c r="AA238" i="356"/>
  <c r="AC238" i="356"/>
  <c r="AE238" i="356"/>
  <c r="AG238" i="356"/>
  <c r="AI238" i="356"/>
  <c r="AK238" i="356"/>
  <c r="Z238" i="356"/>
  <c r="AB238" i="356"/>
  <c r="AD238" i="356"/>
  <c r="AF238" i="356"/>
  <c r="AH238" i="356"/>
  <c r="AJ238" i="356"/>
  <c r="Z236" i="356"/>
  <c r="AB236" i="356"/>
  <c r="AD236" i="356"/>
  <c r="AF236" i="356"/>
  <c r="AH236" i="356"/>
  <c r="AJ236" i="356"/>
  <c r="AA236" i="356"/>
  <c r="AC236" i="356"/>
  <c r="AE236" i="356"/>
  <c r="AG236" i="356"/>
  <c r="AI236" i="356"/>
  <c r="AK236" i="356"/>
  <c r="Z234" i="356"/>
  <c r="AB234" i="356"/>
  <c r="AD234" i="356"/>
  <c r="AF234" i="356"/>
  <c r="AH234" i="356"/>
  <c r="AJ234" i="356"/>
  <c r="AA234" i="356"/>
  <c r="AC234" i="356"/>
  <c r="AE234" i="356"/>
  <c r="AG234" i="356"/>
  <c r="AI234" i="356"/>
  <c r="AK234" i="356"/>
  <c r="Z232" i="356"/>
  <c r="AB232" i="356"/>
  <c r="AD232" i="356"/>
  <c r="AF232" i="356"/>
  <c r="AH232" i="356"/>
  <c r="AJ232" i="356"/>
  <c r="AA232" i="356"/>
  <c r="AC232" i="356"/>
  <c r="AE232" i="356"/>
  <c r="AG232" i="356"/>
  <c r="AI232" i="356"/>
  <c r="AK232" i="356"/>
  <c r="Z230" i="356"/>
  <c r="AB230" i="356"/>
  <c r="AD230" i="356"/>
  <c r="AF230" i="356"/>
  <c r="AH230" i="356"/>
  <c r="AJ230" i="356"/>
  <c r="AA230" i="356"/>
  <c r="AC230" i="356"/>
  <c r="AE230" i="356"/>
  <c r="AG230" i="356"/>
  <c r="AI230" i="356"/>
  <c r="AK230" i="356"/>
  <c r="Z228" i="356"/>
  <c r="AB228" i="356"/>
  <c r="AD228" i="356"/>
  <c r="AF228" i="356"/>
  <c r="AH228" i="356"/>
  <c r="AJ228" i="356"/>
  <c r="AA228" i="356"/>
  <c r="AC228" i="356"/>
  <c r="AE228" i="356"/>
  <c r="AG228" i="356"/>
  <c r="AI228" i="356"/>
  <c r="AK228" i="356"/>
  <c r="Z226" i="356"/>
  <c r="AB226" i="356"/>
  <c r="AD226" i="356"/>
  <c r="AF226" i="356"/>
  <c r="AH226" i="356"/>
  <c r="AJ226" i="356"/>
  <c r="AA226" i="356"/>
  <c r="AC226" i="356"/>
  <c r="AE226" i="356"/>
  <c r="AG226" i="356"/>
  <c r="AI226" i="356"/>
  <c r="AK226" i="356"/>
  <c r="Z224" i="356"/>
  <c r="AB224" i="356"/>
  <c r="AD224" i="356"/>
  <c r="AF224" i="356"/>
  <c r="AH224" i="356"/>
  <c r="AJ224" i="356"/>
  <c r="AA224" i="356"/>
  <c r="AC224" i="356"/>
  <c r="AE224" i="356"/>
  <c r="AG224" i="356"/>
  <c r="AI224" i="356"/>
  <c r="AK224" i="356"/>
  <c r="Z221" i="356"/>
  <c r="AB221" i="356"/>
  <c r="AD221" i="356"/>
  <c r="AF221" i="356"/>
  <c r="AH221" i="356"/>
  <c r="AJ221" i="356"/>
  <c r="AA221" i="356"/>
  <c r="AC221" i="356"/>
  <c r="AE221" i="356"/>
  <c r="AG221" i="356"/>
  <c r="AI221" i="356"/>
  <c r="AK221" i="356"/>
  <c r="Z219" i="356"/>
  <c r="AB219" i="356"/>
  <c r="AD219" i="356"/>
  <c r="AF219" i="356"/>
  <c r="AH219" i="356"/>
  <c r="AJ219" i="356"/>
  <c r="AA219" i="356"/>
  <c r="AC219" i="356"/>
  <c r="AE219" i="356"/>
  <c r="AG219" i="356"/>
  <c r="AI219" i="356"/>
  <c r="AK219" i="356"/>
  <c r="Z217" i="356"/>
  <c r="AB217" i="356"/>
  <c r="AD217" i="356"/>
  <c r="AF217" i="356"/>
  <c r="AH217" i="356"/>
  <c r="AJ217" i="356"/>
  <c r="AA217" i="356"/>
  <c r="AC217" i="356"/>
  <c r="AE217" i="356"/>
  <c r="AG217" i="356"/>
  <c r="AI217" i="356"/>
  <c r="AK217" i="356"/>
  <c r="Z215" i="356"/>
  <c r="AB215" i="356"/>
  <c r="AD215" i="356"/>
  <c r="AF215" i="356"/>
  <c r="AH215" i="356"/>
  <c r="AJ215" i="356"/>
  <c r="AA215" i="356"/>
  <c r="AC215" i="356"/>
  <c r="AE215" i="356"/>
  <c r="AG215" i="356"/>
  <c r="AI215" i="356"/>
  <c r="AK215" i="356"/>
  <c r="Z213" i="356"/>
  <c r="AB213" i="356"/>
  <c r="D37" i="95" s="1"/>
  <c r="AD213" i="356"/>
  <c r="AF213" i="356"/>
  <c r="AH213" i="356"/>
  <c r="AJ213" i="356"/>
  <c r="AA213" i="356"/>
  <c r="AC213" i="356"/>
  <c r="E37" i="95" s="1"/>
  <c r="AE213" i="356"/>
  <c r="AG213" i="356"/>
  <c r="I37" i="95" s="1"/>
  <c r="AI213" i="356"/>
  <c r="AK213" i="356"/>
  <c r="Z211" i="356"/>
  <c r="AB211" i="356"/>
  <c r="AD211" i="356"/>
  <c r="AF211" i="356"/>
  <c r="AH211" i="356"/>
  <c r="AJ211" i="356"/>
  <c r="AA211" i="356"/>
  <c r="AC211" i="356"/>
  <c r="AE211" i="356"/>
  <c r="AG211" i="356"/>
  <c r="AI211" i="356"/>
  <c r="AK211" i="356"/>
  <c r="Z209" i="356"/>
  <c r="AB209" i="356"/>
  <c r="AD209" i="356"/>
  <c r="AF209" i="356"/>
  <c r="AH209" i="356"/>
  <c r="AJ209" i="356"/>
  <c r="AA209" i="356"/>
  <c r="AC209" i="356"/>
  <c r="AE209" i="356"/>
  <c r="AG209" i="356"/>
  <c r="AI209" i="356"/>
  <c r="AK209" i="356"/>
  <c r="Z207" i="356"/>
  <c r="AB207" i="356"/>
  <c r="AD207" i="356"/>
  <c r="AF207" i="356"/>
  <c r="AH207" i="356"/>
  <c r="AJ207" i="356"/>
  <c r="AA207" i="356"/>
  <c r="AC207" i="356"/>
  <c r="AE207" i="356"/>
  <c r="AG207" i="356"/>
  <c r="AI207" i="356"/>
  <c r="AK207" i="356"/>
  <c r="Z205" i="356"/>
  <c r="AB205" i="356"/>
  <c r="AD205" i="356"/>
  <c r="AF205" i="356"/>
  <c r="AH205" i="356"/>
  <c r="AJ205" i="356"/>
  <c r="AA205" i="356"/>
  <c r="AC205" i="356"/>
  <c r="AE205" i="356"/>
  <c r="AG205" i="356"/>
  <c r="AI205" i="356"/>
  <c r="AK205" i="356"/>
  <c r="Z203" i="356"/>
  <c r="AB203" i="356"/>
  <c r="AD203" i="356"/>
  <c r="AF203" i="356"/>
  <c r="AH203" i="356"/>
  <c r="AJ203" i="356"/>
  <c r="AA203" i="356"/>
  <c r="AC203" i="356"/>
  <c r="AE203" i="356"/>
  <c r="AG203" i="356"/>
  <c r="AI203" i="356"/>
  <c r="AK203" i="356"/>
  <c r="Z201" i="356"/>
  <c r="AB201" i="356"/>
  <c r="AD201" i="356"/>
  <c r="AF201" i="356"/>
  <c r="AH201" i="356"/>
  <c r="AJ201" i="356"/>
  <c r="AA201" i="356"/>
  <c r="AC201" i="356"/>
  <c r="AE201" i="356"/>
  <c r="AG201" i="356"/>
  <c r="AI201" i="356"/>
  <c r="AK201" i="356"/>
  <c r="Z199" i="356"/>
  <c r="AB199" i="356"/>
  <c r="AD199" i="356"/>
  <c r="AF199" i="356"/>
  <c r="AH199" i="356"/>
  <c r="AJ199" i="356"/>
  <c r="AA199" i="356"/>
  <c r="AC199" i="356"/>
  <c r="AE199" i="356"/>
  <c r="AG199" i="356"/>
  <c r="AI199" i="356"/>
  <c r="AK199" i="356"/>
  <c r="Z197" i="356"/>
  <c r="AB197" i="356"/>
  <c r="AD197" i="356"/>
  <c r="AF197" i="356"/>
  <c r="AH197" i="356"/>
  <c r="AJ197" i="356"/>
  <c r="AA197" i="356"/>
  <c r="AC197" i="356"/>
  <c r="AE197" i="356"/>
  <c r="AG197" i="356"/>
  <c r="AI197" i="356"/>
  <c r="AK197" i="356"/>
  <c r="Z195" i="356"/>
  <c r="AB195" i="356"/>
  <c r="AD195" i="356"/>
  <c r="AF195" i="356"/>
  <c r="AH195" i="356"/>
  <c r="AJ195" i="356"/>
  <c r="AA195" i="356"/>
  <c r="AC195" i="356"/>
  <c r="AE195" i="356"/>
  <c r="AG195" i="356"/>
  <c r="AI195" i="356"/>
  <c r="AK195" i="356"/>
  <c r="Z193" i="356"/>
  <c r="AB193" i="356"/>
  <c r="AD193" i="356"/>
  <c r="AF193" i="356"/>
  <c r="AH193" i="356"/>
  <c r="AJ193" i="356"/>
  <c r="AA193" i="356"/>
  <c r="AC193" i="356"/>
  <c r="AE193" i="356"/>
  <c r="AG193" i="356"/>
  <c r="AI193" i="356"/>
  <c r="AK193" i="356"/>
  <c r="Z191" i="356"/>
  <c r="AB191" i="356"/>
  <c r="AD191" i="356"/>
  <c r="AF191" i="356"/>
  <c r="AH191" i="356"/>
  <c r="AJ191" i="356"/>
  <c r="AA191" i="356"/>
  <c r="AC191" i="356"/>
  <c r="AE191" i="356"/>
  <c r="AG191" i="356"/>
  <c r="AI191" i="356"/>
  <c r="AK191" i="356"/>
  <c r="Z189" i="356"/>
  <c r="AB189" i="356"/>
  <c r="AD189" i="356"/>
  <c r="AF189" i="356"/>
  <c r="AH189" i="356"/>
  <c r="AJ189" i="356"/>
  <c r="AA189" i="356"/>
  <c r="AC189" i="356"/>
  <c r="AE189" i="356"/>
  <c r="AG189" i="356"/>
  <c r="AI189" i="356"/>
  <c r="AK189" i="356"/>
  <c r="Z186" i="356"/>
  <c r="AB186" i="356"/>
  <c r="AD186" i="356"/>
  <c r="AF186" i="356"/>
  <c r="AH186" i="356"/>
  <c r="AJ186" i="356"/>
  <c r="AA186" i="356"/>
  <c r="AC186" i="356"/>
  <c r="AE186" i="356"/>
  <c r="AG186" i="356"/>
  <c r="AI186" i="356"/>
  <c r="AK186" i="356"/>
  <c r="Z184" i="356"/>
  <c r="AB184" i="356"/>
  <c r="AD184" i="356"/>
  <c r="AF184" i="356"/>
  <c r="AH184" i="356"/>
  <c r="AJ184" i="356"/>
  <c r="AA184" i="356"/>
  <c r="AC184" i="356"/>
  <c r="AE184" i="356"/>
  <c r="AG184" i="356"/>
  <c r="AI184" i="356"/>
  <c r="AK184" i="356"/>
  <c r="Z182" i="356"/>
  <c r="AB182" i="356"/>
  <c r="AD182" i="356"/>
  <c r="AF182" i="356"/>
  <c r="AH182" i="356"/>
  <c r="AJ182" i="356"/>
  <c r="AA182" i="356"/>
  <c r="AC182" i="356"/>
  <c r="AE182" i="356"/>
  <c r="AG182" i="356"/>
  <c r="AI182" i="356"/>
  <c r="AK182" i="356"/>
  <c r="Z180" i="356"/>
  <c r="AB180" i="356"/>
  <c r="AD180" i="356"/>
  <c r="AF180" i="356"/>
  <c r="AH180" i="356"/>
  <c r="AJ180" i="356"/>
  <c r="AA180" i="356"/>
  <c r="AC180" i="356"/>
  <c r="AE180" i="356"/>
  <c r="AG180" i="356"/>
  <c r="AI180" i="356"/>
  <c r="AK180" i="356"/>
  <c r="Z178" i="356"/>
  <c r="AB178" i="356"/>
  <c r="AD178" i="356"/>
  <c r="AF178" i="356"/>
  <c r="AH178" i="356"/>
  <c r="AJ178" i="356"/>
  <c r="AA178" i="356"/>
  <c r="AC178" i="356"/>
  <c r="AE178" i="356"/>
  <c r="AG178" i="356"/>
  <c r="AI178" i="356"/>
  <c r="AK178" i="356"/>
  <c r="Z176" i="356"/>
  <c r="AB176" i="356"/>
  <c r="AD176" i="356"/>
  <c r="AF176" i="356"/>
  <c r="AH176" i="356"/>
  <c r="AJ176" i="356"/>
  <c r="AA176" i="356"/>
  <c r="AC176" i="356"/>
  <c r="AE176" i="356"/>
  <c r="AG176" i="356"/>
  <c r="AI176" i="356"/>
  <c r="AK176" i="356"/>
  <c r="Z174" i="356"/>
  <c r="AB174" i="356"/>
  <c r="AD174" i="356"/>
  <c r="AF174" i="356"/>
  <c r="AH174" i="356"/>
  <c r="AJ174" i="356"/>
  <c r="AA174" i="356"/>
  <c r="AC174" i="356"/>
  <c r="AE174" i="356"/>
  <c r="AG174" i="356"/>
  <c r="AI174" i="356"/>
  <c r="AK174" i="356"/>
  <c r="Z172" i="356"/>
  <c r="AB172" i="356"/>
  <c r="AD172" i="356"/>
  <c r="AF172" i="356"/>
  <c r="AH172" i="356"/>
  <c r="AJ172" i="356"/>
  <c r="AA172" i="356"/>
  <c r="AC172" i="356"/>
  <c r="AE172" i="356"/>
  <c r="AG172" i="356"/>
  <c r="AI172" i="356"/>
  <c r="AK172" i="356"/>
  <c r="Z170" i="356"/>
  <c r="AB170" i="356"/>
  <c r="AD170" i="356"/>
  <c r="AF170" i="356"/>
  <c r="AH170" i="356"/>
  <c r="AJ170" i="356"/>
  <c r="AA170" i="356"/>
  <c r="AC170" i="356"/>
  <c r="AE170" i="356"/>
  <c r="AG170" i="356"/>
  <c r="AI170" i="356"/>
  <c r="AK170" i="356"/>
  <c r="Z168" i="356"/>
  <c r="AB168" i="356"/>
  <c r="AD168" i="356"/>
  <c r="AF168" i="356"/>
  <c r="AH168" i="356"/>
  <c r="AJ168" i="356"/>
  <c r="AA168" i="356"/>
  <c r="AC168" i="356"/>
  <c r="AE168" i="356"/>
  <c r="AG168" i="356"/>
  <c r="AI168" i="356"/>
  <c r="AK168" i="356"/>
  <c r="Z166" i="356"/>
  <c r="AB166" i="356"/>
  <c r="AD166" i="356"/>
  <c r="AF166" i="356"/>
  <c r="AH166" i="356"/>
  <c r="AJ166" i="356"/>
  <c r="AA166" i="356"/>
  <c r="AC166" i="356"/>
  <c r="AE166" i="356"/>
  <c r="AG166" i="356"/>
  <c r="AI166" i="356"/>
  <c r="AK166" i="356"/>
  <c r="Z164" i="356"/>
  <c r="AB164" i="356"/>
  <c r="AD164" i="356"/>
  <c r="AF164" i="356"/>
  <c r="AH164" i="356"/>
  <c r="AJ164" i="356"/>
  <c r="AA164" i="356"/>
  <c r="AC164" i="356"/>
  <c r="AE164" i="356"/>
  <c r="AG164" i="356"/>
  <c r="AI164" i="356"/>
  <c r="AK164" i="356"/>
  <c r="Z162" i="356"/>
  <c r="AB162" i="356"/>
  <c r="AD162" i="356"/>
  <c r="AF162" i="356"/>
  <c r="AH162" i="356"/>
  <c r="AJ162" i="356"/>
  <c r="AA162" i="356"/>
  <c r="AC162" i="356"/>
  <c r="AE162" i="356"/>
  <c r="AG162" i="356"/>
  <c r="AI162" i="356"/>
  <c r="AK162" i="356"/>
  <c r="Z160" i="356"/>
  <c r="AB160" i="356"/>
  <c r="AD160" i="356"/>
  <c r="AF160" i="356"/>
  <c r="AH160" i="356"/>
  <c r="AJ160" i="356"/>
  <c r="AA160" i="356"/>
  <c r="AC160" i="356"/>
  <c r="AE160" i="356"/>
  <c r="AG160" i="356"/>
  <c r="AI160" i="356"/>
  <c r="AK160" i="356"/>
  <c r="Z158" i="356"/>
  <c r="AB158" i="356"/>
  <c r="AD158" i="356"/>
  <c r="AF158" i="356"/>
  <c r="AH158" i="356"/>
  <c r="AJ158" i="356"/>
  <c r="AA158" i="356"/>
  <c r="AC158" i="356"/>
  <c r="AE158" i="356"/>
  <c r="AG158" i="356"/>
  <c r="AI158" i="356"/>
  <c r="AK158" i="356"/>
  <c r="Z156" i="356"/>
  <c r="AB156" i="356"/>
  <c r="AD156" i="356"/>
  <c r="AF156" i="356"/>
  <c r="AH156" i="356"/>
  <c r="AJ156" i="356"/>
  <c r="AA156" i="356"/>
  <c r="AC156" i="356"/>
  <c r="AE156" i="356"/>
  <c r="AG156" i="356"/>
  <c r="AI156" i="356"/>
  <c r="AK156" i="356"/>
  <c r="Z154" i="356"/>
  <c r="AB154" i="356"/>
  <c r="AD154" i="356"/>
  <c r="AF154" i="356"/>
  <c r="AH154" i="356"/>
  <c r="AJ154" i="356"/>
  <c r="AA154" i="356"/>
  <c r="AC154" i="356"/>
  <c r="AE154" i="356"/>
  <c r="AG154" i="356"/>
  <c r="AI154" i="356"/>
  <c r="AK154" i="356"/>
  <c r="Z152" i="356"/>
  <c r="AB152" i="356"/>
  <c r="AD152" i="356"/>
  <c r="AC152" i="356"/>
  <c r="AF152" i="356"/>
  <c r="AH152" i="356"/>
  <c r="AJ152" i="356"/>
  <c r="AA152" i="356"/>
  <c r="AE152" i="356"/>
  <c r="AG152" i="356"/>
  <c r="AI152" i="356"/>
  <c r="AK152" i="356"/>
  <c r="Z150" i="356"/>
  <c r="AB150" i="356"/>
  <c r="AD150" i="356"/>
  <c r="AF150" i="356"/>
  <c r="AH150" i="356"/>
  <c r="AJ150" i="356"/>
  <c r="AC150" i="356"/>
  <c r="AG150" i="356"/>
  <c r="AK150" i="356"/>
  <c r="AA150" i="356"/>
  <c r="AE150" i="356"/>
  <c r="AI150" i="356"/>
  <c r="Z148" i="356"/>
  <c r="AB148" i="356"/>
  <c r="AD148" i="356"/>
  <c r="AF148" i="356"/>
  <c r="AH148" i="356"/>
  <c r="AJ148" i="356"/>
  <c r="AA148" i="356"/>
  <c r="AC148" i="356"/>
  <c r="AE148" i="356"/>
  <c r="AG148" i="356"/>
  <c r="AI148" i="356"/>
  <c r="AK148" i="356"/>
  <c r="Z146" i="356"/>
  <c r="AB146" i="356"/>
  <c r="AD146" i="356"/>
  <c r="AF146" i="356"/>
  <c r="AH146" i="356"/>
  <c r="AJ146" i="356"/>
  <c r="AA146" i="356"/>
  <c r="AC146" i="356"/>
  <c r="AE146" i="356"/>
  <c r="AG146" i="356"/>
  <c r="AI146" i="356"/>
  <c r="AK146" i="356"/>
  <c r="Z144" i="356"/>
  <c r="AB144" i="356"/>
  <c r="AD144" i="356"/>
  <c r="AF144" i="356"/>
  <c r="AH144" i="356"/>
  <c r="AJ144" i="356"/>
  <c r="AA144" i="356"/>
  <c r="AC144" i="356"/>
  <c r="AE144" i="356"/>
  <c r="AG144" i="356"/>
  <c r="AI144" i="356"/>
  <c r="AK144" i="356"/>
  <c r="Z142" i="356"/>
  <c r="AB142" i="356"/>
  <c r="AD142" i="356"/>
  <c r="AF142" i="356"/>
  <c r="AH142" i="356"/>
  <c r="AJ142" i="356"/>
  <c r="AA142" i="356"/>
  <c r="AC142" i="356"/>
  <c r="AE142" i="356"/>
  <c r="AG142" i="356"/>
  <c r="AI142" i="356"/>
  <c r="AK142" i="356"/>
  <c r="Z140" i="356"/>
  <c r="AB140" i="356"/>
  <c r="AD140" i="356"/>
  <c r="AF140" i="356"/>
  <c r="AH140" i="356"/>
  <c r="AJ140" i="356"/>
  <c r="AA140" i="356"/>
  <c r="AC140" i="356"/>
  <c r="AE140" i="356"/>
  <c r="AG140" i="356"/>
  <c r="AI140" i="356"/>
  <c r="AK140" i="356"/>
  <c r="Z138" i="356"/>
  <c r="AB138" i="356"/>
  <c r="AD138" i="356"/>
  <c r="AF138" i="356"/>
  <c r="AH138" i="356"/>
  <c r="AJ138" i="356"/>
  <c r="AA138" i="356"/>
  <c r="AC138" i="356"/>
  <c r="AE138" i="356"/>
  <c r="AG138" i="356"/>
  <c r="AI138" i="356"/>
  <c r="AK138" i="356"/>
  <c r="Z136" i="356"/>
  <c r="AB136" i="356"/>
  <c r="AD136" i="356"/>
  <c r="AF136" i="356"/>
  <c r="AH136" i="356"/>
  <c r="AJ136" i="356"/>
  <c r="AA136" i="356"/>
  <c r="AC136" i="356"/>
  <c r="AE136" i="356"/>
  <c r="AG136" i="356"/>
  <c r="AI136" i="356"/>
  <c r="AK136" i="356"/>
  <c r="Z134" i="356"/>
  <c r="AB134" i="356"/>
  <c r="AD134" i="356"/>
  <c r="AF134" i="356"/>
  <c r="AH134" i="356"/>
  <c r="AJ134" i="356"/>
  <c r="AA134" i="356"/>
  <c r="AC134" i="356"/>
  <c r="AE134" i="356"/>
  <c r="AG134" i="356"/>
  <c r="AI134" i="356"/>
  <c r="AK134" i="356"/>
  <c r="Z132" i="356"/>
  <c r="AB132" i="356"/>
  <c r="AD132" i="356"/>
  <c r="AF132" i="356"/>
  <c r="AH132" i="356"/>
  <c r="AJ132" i="356"/>
  <c r="AA132" i="356"/>
  <c r="AC132" i="356"/>
  <c r="AE132" i="356"/>
  <c r="AG132" i="356"/>
  <c r="AI132" i="356"/>
  <c r="AK132" i="356"/>
  <c r="Z130" i="356"/>
  <c r="AB130" i="356"/>
  <c r="AD130" i="356"/>
  <c r="AF130" i="356"/>
  <c r="AH130" i="356"/>
  <c r="AJ130" i="356"/>
  <c r="AA130" i="356"/>
  <c r="AC130" i="356"/>
  <c r="AE130" i="356"/>
  <c r="AG130" i="356"/>
  <c r="AI130" i="356"/>
  <c r="AK130" i="356"/>
  <c r="Z128" i="356"/>
  <c r="AB128" i="356"/>
  <c r="AD128" i="356"/>
  <c r="AF128" i="356"/>
  <c r="AH128" i="356"/>
  <c r="AJ128" i="356"/>
  <c r="AA128" i="356"/>
  <c r="AC128" i="356"/>
  <c r="AE128" i="356"/>
  <c r="AG128" i="356"/>
  <c r="AI128" i="356"/>
  <c r="AK128" i="356"/>
  <c r="Z126" i="356"/>
  <c r="AB126" i="356"/>
  <c r="AD126" i="356"/>
  <c r="AF126" i="356"/>
  <c r="AH126" i="356"/>
  <c r="AJ126" i="356"/>
  <c r="AA126" i="356"/>
  <c r="AC126" i="356"/>
  <c r="AE126" i="356"/>
  <c r="AG126" i="356"/>
  <c r="AI126" i="356"/>
  <c r="AK126" i="356"/>
  <c r="Z124" i="356"/>
  <c r="AB124" i="356"/>
  <c r="AD124" i="356"/>
  <c r="AF124" i="356"/>
  <c r="AH124" i="356"/>
  <c r="AJ124" i="356"/>
  <c r="AA124" i="356"/>
  <c r="AC124" i="356"/>
  <c r="AE124" i="356"/>
  <c r="AG124" i="356"/>
  <c r="AI124" i="356"/>
  <c r="AK124" i="356"/>
  <c r="Z122" i="356"/>
  <c r="AB122" i="356"/>
  <c r="AD122" i="356"/>
  <c r="AF122" i="356"/>
  <c r="AH122" i="356"/>
  <c r="AJ122" i="356"/>
  <c r="AA122" i="356"/>
  <c r="AC122" i="356"/>
  <c r="AE122" i="356"/>
  <c r="AG122" i="356"/>
  <c r="AI122" i="356"/>
  <c r="AK122" i="356"/>
  <c r="Z120" i="356"/>
  <c r="AB120" i="356"/>
  <c r="AD120" i="356"/>
  <c r="AF120" i="356"/>
  <c r="AH120" i="356"/>
  <c r="AJ120" i="356"/>
  <c r="AA120" i="356"/>
  <c r="AC120" i="356"/>
  <c r="AE120" i="356"/>
  <c r="AG120" i="356"/>
  <c r="AI120" i="356"/>
  <c r="AK120" i="356"/>
  <c r="Z118" i="356"/>
  <c r="AB118" i="356"/>
  <c r="AD118" i="356"/>
  <c r="AF118" i="356"/>
  <c r="AH118" i="356"/>
  <c r="AJ118" i="356"/>
  <c r="AA118" i="356"/>
  <c r="AC118" i="356"/>
  <c r="AE118" i="356"/>
  <c r="AG118" i="356"/>
  <c r="AI118" i="356"/>
  <c r="AK118" i="356"/>
  <c r="Z116" i="356"/>
  <c r="AB116" i="356"/>
  <c r="AD116" i="356"/>
  <c r="AF116" i="356"/>
  <c r="AH116" i="356"/>
  <c r="AJ116" i="356"/>
  <c r="AA116" i="356"/>
  <c r="AC116" i="356"/>
  <c r="AE116" i="356"/>
  <c r="AG116" i="356"/>
  <c r="AI116" i="356"/>
  <c r="AK116" i="356"/>
  <c r="Z114" i="356"/>
  <c r="AB114" i="356"/>
  <c r="AD114" i="356"/>
  <c r="AF114" i="356"/>
  <c r="AH114" i="356"/>
  <c r="AJ114" i="356"/>
  <c r="AA114" i="356"/>
  <c r="AC114" i="356"/>
  <c r="AE114" i="356"/>
  <c r="AG114" i="356"/>
  <c r="AI114" i="356"/>
  <c r="AK114" i="356"/>
  <c r="Z112" i="356"/>
  <c r="AB112" i="356"/>
  <c r="AD112" i="356"/>
  <c r="AF112" i="356"/>
  <c r="AH112" i="356"/>
  <c r="AJ112" i="356"/>
  <c r="AA112" i="356"/>
  <c r="AC112" i="356"/>
  <c r="AE112" i="356"/>
  <c r="AG112" i="356"/>
  <c r="AI112" i="356"/>
  <c r="AK112" i="356"/>
  <c r="Z110" i="356"/>
  <c r="AB110" i="356"/>
  <c r="AD110" i="356"/>
  <c r="AF110" i="356"/>
  <c r="AH110" i="356"/>
  <c r="AJ110" i="356"/>
  <c r="AA110" i="356"/>
  <c r="AC110" i="356"/>
  <c r="AE110" i="356"/>
  <c r="AG110" i="356"/>
  <c r="AI110" i="356"/>
  <c r="AK110" i="356"/>
  <c r="Z108" i="356"/>
  <c r="AB108" i="356"/>
  <c r="AD108" i="356"/>
  <c r="AF108" i="356"/>
  <c r="AH108" i="356"/>
  <c r="AJ108" i="356"/>
  <c r="AA108" i="356"/>
  <c r="AC108" i="356"/>
  <c r="AE108" i="356"/>
  <c r="AG108" i="356"/>
  <c r="AI108" i="356"/>
  <c r="AK108" i="356"/>
  <c r="Z106" i="356"/>
  <c r="AB106" i="356"/>
  <c r="AD106" i="356"/>
  <c r="AF106" i="356"/>
  <c r="AH106" i="356"/>
  <c r="AJ106" i="356"/>
  <c r="AA106" i="356"/>
  <c r="AC106" i="356"/>
  <c r="AE106" i="356"/>
  <c r="AG106" i="356"/>
  <c r="AI106" i="356"/>
  <c r="AK106" i="356"/>
  <c r="Z104" i="356"/>
  <c r="AB104" i="356"/>
  <c r="AD104" i="356"/>
  <c r="AF104" i="356"/>
  <c r="AH104" i="356"/>
  <c r="AJ104" i="356"/>
  <c r="AA104" i="356"/>
  <c r="AC104" i="356"/>
  <c r="AE104" i="356"/>
  <c r="AG104" i="356"/>
  <c r="AI104" i="356"/>
  <c r="AK104" i="356"/>
  <c r="Z102" i="356"/>
  <c r="AB102" i="356"/>
  <c r="AD102" i="356"/>
  <c r="AF102" i="356"/>
  <c r="AH102" i="356"/>
  <c r="AJ102" i="356"/>
  <c r="AA102" i="356"/>
  <c r="AC102" i="356"/>
  <c r="AE102" i="356"/>
  <c r="AG102" i="356"/>
  <c r="AI102" i="356"/>
  <c r="AK102" i="356"/>
  <c r="Z100" i="356"/>
  <c r="AB100" i="356"/>
  <c r="AD100" i="356"/>
  <c r="AF100" i="356"/>
  <c r="AH100" i="356"/>
  <c r="AJ100" i="356"/>
  <c r="AA100" i="356"/>
  <c r="AC100" i="356"/>
  <c r="AE100" i="356"/>
  <c r="AG100" i="356"/>
  <c r="AI100" i="356"/>
  <c r="AK100" i="356"/>
  <c r="Z98" i="356"/>
  <c r="AB98" i="356"/>
  <c r="AD98" i="356"/>
  <c r="AF98" i="356"/>
  <c r="AH98" i="356"/>
  <c r="AJ98" i="356"/>
  <c r="AA98" i="356"/>
  <c r="AC98" i="356"/>
  <c r="AE98" i="356"/>
  <c r="AG98" i="356"/>
  <c r="AI98" i="356"/>
  <c r="AK98" i="356"/>
  <c r="Z96" i="356"/>
  <c r="AB96" i="356"/>
  <c r="AD96" i="356"/>
  <c r="AF96" i="356"/>
  <c r="AH96" i="356"/>
  <c r="AJ96" i="356"/>
  <c r="AA96" i="356"/>
  <c r="AC96" i="356"/>
  <c r="AE96" i="356"/>
  <c r="AG96" i="356"/>
  <c r="AI96" i="356"/>
  <c r="AK96" i="356"/>
  <c r="Z94" i="356"/>
  <c r="AB94" i="356"/>
  <c r="AD94" i="356"/>
  <c r="AF94" i="356"/>
  <c r="AH94" i="356"/>
  <c r="AJ94" i="356"/>
  <c r="AA94" i="356"/>
  <c r="AC94" i="356"/>
  <c r="AE94" i="356"/>
  <c r="AG94" i="356"/>
  <c r="AI94" i="356"/>
  <c r="AK94" i="356"/>
  <c r="Z92" i="356"/>
  <c r="AB92" i="356"/>
  <c r="AD92" i="356"/>
  <c r="AF92" i="356"/>
  <c r="AH92" i="356"/>
  <c r="AJ92" i="356"/>
  <c r="AA92" i="356"/>
  <c r="AC92" i="356"/>
  <c r="AE92" i="356"/>
  <c r="AG92" i="356"/>
  <c r="AI92" i="356"/>
  <c r="AK92" i="356"/>
  <c r="Z90" i="356"/>
  <c r="AB90" i="356"/>
  <c r="AD90" i="356"/>
  <c r="AF90" i="356"/>
  <c r="AH90" i="356"/>
  <c r="AJ90" i="356"/>
  <c r="AA90" i="356"/>
  <c r="AC90" i="356"/>
  <c r="AE90" i="356"/>
  <c r="AG90" i="356"/>
  <c r="AI90" i="356"/>
  <c r="AK90" i="356"/>
  <c r="Z88" i="356"/>
  <c r="AB88" i="356"/>
  <c r="AD88" i="356"/>
  <c r="AF88" i="356"/>
  <c r="AH88" i="356"/>
  <c r="AJ88" i="356"/>
  <c r="AA88" i="356"/>
  <c r="AC88" i="356"/>
  <c r="AE88" i="356"/>
  <c r="AG88" i="356"/>
  <c r="AI88" i="356"/>
  <c r="AK88" i="356"/>
  <c r="Z86" i="356"/>
  <c r="AB86" i="356"/>
  <c r="AD86" i="356"/>
  <c r="AF86" i="356"/>
  <c r="AH86" i="356"/>
  <c r="AJ86" i="356"/>
  <c r="AA86" i="356"/>
  <c r="AC86" i="356"/>
  <c r="AE86" i="356"/>
  <c r="AG86" i="356"/>
  <c r="AI86" i="356"/>
  <c r="AK86" i="356"/>
  <c r="AD78" i="356"/>
  <c r="AA78" i="356"/>
  <c r="AI78" i="356"/>
  <c r="AD76" i="356"/>
  <c r="AA76" i="356"/>
  <c r="AI76" i="356"/>
  <c r="AD74" i="356"/>
  <c r="AA74" i="356"/>
  <c r="AI74" i="356"/>
  <c r="AD72" i="356"/>
  <c r="AA72" i="356"/>
  <c r="AI72" i="356"/>
  <c r="AD69" i="356"/>
  <c r="AA69" i="356"/>
  <c r="AI69" i="356"/>
  <c r="AD67" i="356"/>
  <c r="Z67" i="356"/>
  <c r="AI67" i="356"/>
  <c r="AE65" i="356"/>
  <c r="Z65" i="356"/>
  <c r="AH65" i="356"/>
  <c r="AE63" i="356"/>
  <c r="Z63" i="356"/>
  <c r="AH63" i="356"/>
  <c r="AE61" i="356"/>
  <c r="Z61" i="356"/>
  <c r="AF61" i="356"/>
  <c r="AJ61" i="356"/>
  <c r="AC59" i="356"/>
  <c r="AG59" i="356"/>
  <c r="AK59" i="356"/>
  <c r="AB59" i="356"/>
  <c r="AF59" i="356"/>
  <c r="AJ59" i="356"/>
  <c r="AC57" i="356"/>
  <c r="AG57" i="356"/>
  <c r="AK57" i="356"/>
  <c r="AB57" i="356"/>
  <c r="AF57" i="356"/>
  <c r="AJ57" i="356"/>
  <c r="AC55" i="356"/>
  <c r="AG55" i="356"/>
  <c r="AK55" i="356"/>
  <c r="AB55" i="356"/>
  <c r="AF55" i="356"/>
  <c r="AJ55" i="356"/>
  <c r="AC53" i="356"/>
  <c r="AG53" i="356"/>
  <c r="AK53" i="356"/>
  <c r="AB53" i="356"/>
  <c r="AF53" i="356"/>
  <c r="AJ53" i="356"/>
  <c r="AC51" i="356"/>
  <c r="AG51" i="356"/>
  <c r="AK51" i="356"/>
  <c r="AB51" i="356"/>
  <c r="AF51" i="356"/>
  <c r="AJ51" i="356"/>
  <c r="AC49" i="356"/>
  <c r="AG49" i="356"/>
  <c r="AK49" i="356"/>
  <c r="AB49" i="356"/>
  <c r="AF49" i="356"/>
  <c r="AJ49" i="356"/>
  <c r="AC47" i="356"/>
  <c r="AG47" i="356"/>
  <c r="AK47" i="356"/>
  <c r="AB47" i="356"/>
  <c r="AF47" i="356"/>
  <c r="AJ47" i="356"/>
  <c r="AC45" i="356"/>
  <c r="AG45" i="356"/>
  <c r="AF45" i="356"/>
  <c r="AK45" i="356"/>
  <c r="AD45" i="356"/>
  <c r="AJ45" i="356"/>
  <c r="AC43" i="356"/>
  <c r="AG43" i="356"/>
  <c r="AK43" i="356"/>
  <c r="AF43" i="356"/>
  <c r="Z43" i="356"/>
  <c r="AH43" i="356"/>
  <c r="AC41" i="356"/>
  <c r="AG41" i="356"/>
  <c r="AK41" i="356"/>
  <c r="AF41" i="356"/>
  <c r="Z41" i="356"/>
  <c r="AH41" i="356"/>
  <c r="AC39" i="356"/>
  <c r="AG39" i="356"/>
  <c r="AK39" i="356"/>
  <c r="AF39" i="356"/>
  <c r="Z39" i="356"/>
  <c r="AH39" i="356"/>
  <c r="AC37" i="356"/>
  <c r="AG37" i="356"/>
  <c r="AK37" i="356"/>
  <c r="AF37" i="356"/>
  <c r="Z37" i="356"/>
  <c r="AH37" i="356"/>
  <c r="AC35" i="356"/>
  <c r="AG35" i="356"/>
  <c r="AK35" i="356"/>
  <c r="AF35" i="356"/>
  <c r="Z35" i="356"/>
  <c r="AH35" i="356"/>
  <c r="AC33" i="356"/>
  <c r="AG33" i="356"/>
  <c r="AK33" i="356"/>
  <c r="AF33" i="356"/>
  <c r="Z33" i="356"/>
  <c r="AH33" i="356"/>
  <c r="AC31" i="356"/>
  <c r="AG31" i="356"/>
  <c r="AK31" i="356"/>
  <c r="AF31" i="356"/>
  <c r="Z31" i="356"/>
  <c r="AH31" i="356"/>
  <c r="AC29" i="356"/>
  <c r="AG29" i="356"/>
  <c r="AK29" i="356"/>
  <c r="AF29" i="356"/>
  <c r="Z29" i="356"/>
  <c r="AH29" i="356"/>
  <c r="AC27" i="356"/>
  <c r="AG27" i="356"/>
  <c r="AK27" i="356"/>
  <c r="AF27" i="356"/>
  <c r="Z27" i="356"/>
  <c r="AH27" i="356"/>
  <c r="AC25" i="356"/>
  <c r="AG25" i="356"/>
  <c r="AK25" i="356"/>
  <c r="AF25" i="356"/>
  <c r="Z25" i="356"/>
  <c r="AH25" i="356"/>
  <c r="AC23" i="356"/>
  <c r="AG23" i="356"/>
  <c r="AK23" i="356"/>
  <c r="AF23" i="356"/>
  <c r="Z23" i="356"/>
  <c r="AH23" i="356"/>
  <c r="AC21" i="356"/>
  <c r="AG21" i="356"/>
  <c r="AK21" i="356"/>
  <c r="AF21" i="356"/>
  <c r="Z21" i="356"/>
  <c r="AH21" i="356"/>
  <c r="AC19" i="356"/>
  <c r="AG19" i="356"/>
  <c r="AK19" i="356"/>
  <c r="AF19" i="356"/>
  <c r="Z19" i="356"/>
  <c r="AH19" i="356"/>
  <c r="AC17" i="356"/>
  <c r="AG17" i="356"/>
  <c r="AI17" i="356"/>
  <c r="AK17" i="356"/>
  <c r="AB17" i="356"/>
  <c r="AF17" i="356"/>
  <c r="AJ17" i="356"/>
  <c r="Z17" i="356"/>
  <c r="AD17" i="356"/>
  <c r="AH17" i="356"/>
  <c r="AA15" i="356"/>
  <c r="AC15" i="356"/>
  <c r="AE15" i="356"/>
  <c r="AG15" i="356"/>
  <c r="AI15" i="356"/>
  <c r="AK15" i="356"/>
  <c r="AB15" i="356"/>
  <c r="AF15" i="356"/>
  <c r="AJ15" i="356"/>
  <c r="Z15" i="356"/>
  <c r="AD15" i="356"/>
  <c r="AH15" i="356"/>
  <c r="AA13" i="356"/>
  <c r="AC13" i="356"/>
  <c r="AE13" i="356"/>
  <c r="AG13" i="356"/>
  <c r="AI13" i="356"/>
  <c r="AK13" i="356"/>
  <c r="AB13" i="356"/>
  <c r="AF13" i="356"/>
  <c r="AJ13" i="356"/>
  <c r="Z13" i="356"/>
  <c r="AD13" i="356"/>
  <c r="AH13" i="356"/>
  <c r="AA11" i="356"/>
  <c r="AC11" i="356"/>
  <c r="AE11" i="356"/>
  <c r="AG11" i="356"/>
  <c r="AI11" i="356"/>
  <c r="AK11" i="356"/>
  <c r="AB11" i="356"/>
  <c r="AF11" i="356"/>
  <c r="AJ11" i="356"/>
  <c r="Z11" i="356"/>
  <c r="AD11" i="356"/>
  <c r="AH11" i="356"/>
  <c r="AA9" i="356"/>
  <c r="AC9" i="356"/>
  <c r="AE9" i="356"/>
  <c r="AG9" i="356"/>
  <c r="AI9" i="356"/>
  <c r="AK9" i="356"/>
  <c r="AB9" i="356"/>
  <c r="AF9" i="356"/>
  <c r="AJ9" i="356"/>
  <c r="Z9" i="356"/>
  <c r="AD9" i="356"/>
  <c r="AH9" i="356"/>
  <c r="AA7" i="356"/>
  <c r="AC7" i="356"/>
  <c r="AE7" i="356"/>
  <c r="AG7" i="356"/>
  <c r="AI7" i="356"/>
  <c r="AK7" i="356"/>
  <c r="AB7" i="356"/>
  <c r="AF7" i="356"/>
  <c r="AJ7" i="356"/>
  <c r="Z7" i="356"/>
  <c r="AD7" i="356"/>
  <c r="AH7" i="356"/>
  <c r="AA5" i="356"/>
  <c r="AC5" i="356"/>
  <c r="AE5" i="356"/>
  <c r="AG5" i="356"/>
  <c r="AI5" i="356"/>
  <c r="AK5" i="356"/>
  <c r="AB5" i="356"/>
  <c r="AF5" i="356"/>
  <c r="AJ5" i="356"/>
  <c r="Z5" i="356"/>
  <c r="AD5" i="356"/>
  <c r="AH5" i="356"/>
  <c r="AA3" i="356"/>
  <c r="AC3" i="356"/>
  <c r="AE3" i="356"/>
  <c r="AG3" i="356"/>
  <c r="AI3" i="356"/>
  <c r="AK3" i="356"/>
  <c r="AB3" i="356"/>
  <c r="AF3" i="356"/>
  <c r="AJ3" i="356"/>
  <c r="Z3" i="356"/>
  <c r="AD3" i="356"/>
  <c r="AH3" i="356"/>
  <c r="Z70" i="356"/>
  <c r="AB70" i="356"/>
  <c r="AD70" i="356"/>
  <c r="AF70" i="356"/>
  <c r="AH70" i="356"/>
  <c r="AJ70" i="356"/>
  <c r="AA70" i="356"/>
  <c r="AC70" i="356"/>
  <c r="AE70" i="356"/>
  <c r="AG70" i="356"/>
  <c r="AI70" i="356"/>
  <c r="AK70" i="356"/>
  <c r="AA513" i="356"/>
  <c r="AC513" i="356"/>
  <c r="AE513" i="356"/>
  <c r="AG513" i="356"/>
  <c r="AI513" i="356"/>
  <c r="AK513" i="356"/>
  <c r="Z513" i="356"/>
  <c r="AB513" i="356"/>
  <c r="AD513" i="356"/>
  <c r="AF513" i="356"/>
  <c r="AH513" i="356"/>
  <c r="AJ513" i="356"/>
  <c r="AA511" i="356"/>
  <c r="AC511" i="356"/>
  <c r="AE511" i="356"/>
  <c r="AG511" i="356"/>
  <c r="AI511" i="356"/>
  <c r="AK511" i="356"/>
  <c r="Z511" i="356"/>
  <c r="AB511" i="356"/>
  <c r="AD511" i="356"/>
  <c r="AF511" i="356"/>
  <c r="AH511" i="356"/>
  <c r="AJ511" i="356"/>
  <c r="AA509" i="356"/>
  <c r="AC509" i="356"/>
  <c r="AE509" i="356"/>
  <c r="AG509" i="356"/>
  <c r="AI509" i="356"/>
  <c r="AK509" i="356"/>
  <c r="Z509" i="356"/>
  <c r="AB509" i="356"/>
  <c r="AD509" i="356"/>
  <c r="AF509" i="356"/>
  <c r="AH509" i="356"/>
  <c r="AJ509" i="356"/>
  <c r="AA507" i="356"/>
  <c r="AC507" i="356"/>
  <c r="AE507" i="356"/>
  <c r="AG507" i="356"/>
  <c r="AI507" i="356"/>
  <c r="AK507" i="356"/>
  <c r="Z507" i="356"/>
  <c r="AB507" i="356"/>
  <c r="AD507" i="356"/>
  <c r="AF507" i="356"/>
  <c r="AH507" i="356"/>
  <c r="AJ507" i="356"/>
  <c r="AA505" i="356"/>
  <c r="AC505" i="356"/>
  <c r="AE505" i="356"/>
  <c r="AG505" i="356"/>
  <c r="AI505" i="356"/>
  <c r="AK505" i="356"/>
  <c r="Z505" i="356"/>
  <c r="AB505" i="356"/>
  <c r="AD505" i="356"/>
  <c r="AF505" i="356"/>
  <c r="AH505" i="356"/>
  <c r="AJ505" i="356"/>
  <c r="AA503" i="356"/>
  <c r="AC503" i="356"/>
  <c r="AE503" i="356"/>
  <c r="AG503" i="356"/>
  <c r="AI503" i="356"/>
  <c r="AK503" i="356"/>
  <c r="Z503" i="356"/>
  <c r="AB503" i="356"/>
  <c r="AD503" i="356"/>
  <c r="AF503" i="356"/>
  <c r="AH503" i="356"/>
  <c r="AJ503" i="356"/>
  <c r="AA501" i="356"/>
  <c r="AC501" i="356"/>
  <c r="AE501" i="356"/>
  <c r="AG501" i="356"/>
  <c r="AI501" i="356"/>
  <c r="AK501" i="356"/>
  <c r="Z501" i="356"/>
  <c r="AB501" i="356"/>
  <c r="AD501" i="356"/>
  <c r="AF501" i="356"/>
  <c r="AH501" i="356"/>
  <c r="AJ501" i="356"/>
  <c r="AA497" i="356"/>
  <c r="AC497" i="356"/>
  <c r="AE497" i="356"/>
  <c r="AG497" i="356"/>
  <c r="AI497" i="356"/>
  <c r="AK497" i="356"/>
  <c r="Z497" i="356"/>
  <c r="AB497" i="356"/>
  <c r="AD497" i="356"/>
  <c r="AF497" i="356"/>
  <c r="AH497" i="356"/>
  <c r="AJ497" i="356"/>
  <c r="AA495" i="356"/>
  <c r="AC495" i="356"/>
  <c r="AE495" i="356"/>
  <c r="AG495" i="356"/>
  <c r="AI495" i="356"/>
  <c r="AK495" i="356"/>
  <c r="Z495" i="356"/>
  <c r="AB495" i="356"/>
  <c r="AD495" i="356"/>
  <c r="AF495" i="356"/>
  <c r="AH495" i="356"/>
  <c r="AJ495" i="356"/>
  <c r="AA493" i="356"/>
  <c r="AC493" i="356"/>
  <c r="AE493" i="356"/>
  <c r="AG493" i="356"/>
  <c r="AI493" i="356"/>
  <c r="AK493" i="356"/>
  <c r="Z493" i="356"/>
  <c r="AB493" i="356"/>
  <c r="AD493" i="356"/>
  <c r="AF493" i="356"/>
  <c r="AH493" i="356"/>
  <c r="AJ493" i="356"/>
  <c r="AA491" i="356"/>
  <c r="AC491" i="356"/>
  <c r="AE491" i="356"/>
  <c r="AG491" i="356"/>
  <c r="AI491" i="356"/>
  <c r="AK491" i="356"/>
  <c r="Z491" i="356"/>
  <c r="AB491" i="356"/>
  <c r="AD491" i="356"/>
  <c r="AF491" i="356"/>
  <c r="AH491" i="356"/>
  <c r="AJ491" i="356"/>
  <c r="AA489" i="356"/>
  <c r="AC489" i="356"/>
  <c r="AE489" i="356"/>
  <c r="AG489" i="356"/>
  <c r="AI489" i="356"/>
  <c r="AK489" i="356"/>
  <c r="Z489" i="356"/>
  <c r="AB489" i="356"/>
  <c r="AD489" i="356"/>
  <c r="AF489" i="356"/>
  <c r="AH489" i="356"/>
  <c r="AJ489" i="356"/>
  <c r="AA487" i="356"/>
  <c r="AC487" i="356"/>
  <c r="AE487" i="356"/>
  <c r="AG487" i="356"/>
  <c r="AI487" i="356"/>
  <c r="AK487" i="356"/>
  <c r="Z487" i="356"/>
  <c r="AB487" i="356"/>
  <c r="AD487" i="356"/>
  <c r="AF487" i="356"/>
  <c r="AH487" i="356"/>
  <c r="AJ487" i="356"/>
  <c r="AA485" i="356"/>
  <c r="AC485" i="356"/>
  <c r="AE485" i="356"/>
  <c r="AG485" i="356"/>
  <c r="AI485" i="356"/>
  <c r="AK485" i="356"/>
  <c r="Z485" i="356"/>
  <c r="AB485" i="356"/>
  <c r="AD485" i="356"/>
  <c r="AF485" i="356"/>
  <c r="AH485" i="356"/>
  <c r="AJ485" i="356"/>
  <c r="AA483" i="356"/>
  <c r="AC483" i="356"/>
  <c r="AE483" i="356"/>
  <c r="AG483" i="356"/>
  <c r="AI483" i="356"/>
  <c r="AK483" i="356"/>
  <c r="Z483" i="356"/>
  <c r="AB483" i="356"/>
  <c r="AD483" i="356"/>
  <c r="AF483" i="356"/>
  <c r="AH483" i="356"/>
  <c r="AJ483" i="356"/>
  <c r="AA481" i="356"/>
  <c r="AC481" i="356"/>
  <c r="AE481" i="356"/>
  <c r="AG481" i="356"/>
  <c r="AI481" i="356"/>
  <c r="AK481" i="356"/>
  <c r="Z481" i="356"/>
  <c r="AB481" i="356"/>
  <c r="AD481" i="356"/>
  <c r="AF481" i="356"/>
  <c r="AH481" i="356"/>
  <c r="AJ481" i="356"/>
  <c r="AA479" i="356"/>
  <c r="AC479" i="356"/>
  <c r="AE479" i="356"/>
  <c r="AG479" i="356"/>
  <c r="AI479" i="356"/>
  <c r="AK479" i="356"/>
  <c r="Z479" i="356"/>
  <c r="AB479" i="356"/>
  <c r="AD479" i="356"/>
  <c r="AF479" i="356"/>
  <c r="AH479" i="356"/>
  <c r="AJ479" i="356"/>
  <c r="AA477" i="356"/>
  <c r="AC477" i="356"/>
  <c r="AE477" i="356"/>
  <c r="AG477" i="356"/>
  <c r="AI477" i="356"/>
  <c r="AK477" i="356"/>
  <c r="Z477" i="356"/>
  <c r="AB477" i="356"/>
  <c r="AD477" i="356"/>
  <c r="AF477" i="356"/>
  <c r="AH477" i="356"/>
  <c r="AJ477" i="356"/>
  <c r="AA475" i="356"/>
  <c r="AC475" i="356"/>
  <c r="AE475" i="356"/>
  <c r="AG475" i="356"/>
  <c r="AI475" i="356"/>
  <c r="AK475" i="356"/>
  <c r="Z475" i="356"/>
  <c r="AB475" i="356"/>
  <c r="AD475" i="356"/>
  <c r="AF475" i="356"/>
  <c r="AH475" i="356"/>
  <c r="AJ475" i="356"/>
  <c r="AA473" i="356"/>
  <c r="AC473" i="356"/>
  <c r="AE473" i="356"/>
  <c r="AG473" i="356"/>
  <c r="AI473" i="356"/>
  <c r="AK473" i="356"/>
  <c r="Z473" i="356"/>
  <c r="AB473" i="356"/>
  <c r="AD473" i="356"/>
  <c r="AF473" i="356"/>
  <c r="AH473" i="356"/>
  <c r="AJ473" i="356"/>
  <c r="AA471" i="356"/>
  <c r="AC471" i="356"/>
  <c r="AE471" i="356"/>
  <c r="AG471" i="356"/>
  <c r="AI471" i="356"/>
  <c r="AK471" i="356"/>
  <c r="Z471" i="356"/>
  <c r="AB471" i="356"/>
  <c r="AD471" i="356"/>
  <c r="AF471" i="356"/>
  <c r="AH471" i="356"/>
  <c r="AJ471" i="356"/>
  <c r="AA469" i="356"/>
  <c r="AC469" i="356"/>
  <c r="AE469" i="356"/>
  <c r="AG469" i="356"/>
  <c r="AI469" i="356"/>
  <c r="AK469" i="356"/>
  <c r="Z469" i="356"/>
  <c r="AB469" i="356"/>
  <c r="AD469" i="356"/>
  <c r="AF469" i="356"/>
  <c r="AH469" i="356"/>
  <c r="AJ469" i="356"/>
  <c r="AA467" i="356"/>
  <c r="AC467" i="356"/>
  <c r="AE467" i="356"/>
  <c r="AG467" i="356"/>
  <c r="AI467" i="356"/>
  <c r="AK467" i="356"/>
  <c r="Z467" i="356"/>
  <c r="AB467" i="356"/>
  <c r="AD467" i="356"/>
  <c r="AF467" i="356"/>
  <c r="AH467" i="356"/>
  <c r="AJ467" i="356"/>
  <c r="AA465" i="356"/>
  <c r="AC465" i="356"/>
  <c r="AE465" i="356"/>
  <c r="AG465" i="356"/>
  <c r="AI465" i="356"/>
  <c r="AK465" i="356"/>
  <c r="Z465" i="356"/>
  <c r="AB465" i="356"/>
  <c r="AD465" i="356"/>
  <c r="AF465" i="356"/>
  <c r="AH465" i="356"/>
  <c r="AJ465" i="356"/>
  <c r="AA463" i="356"/>
  <c r="AC463" i="356"/>
  <c r="AE463" i="356"/>
  <c r="AG463" i="356"/>
  <c r="AI463" i="356"/>
  <c r="AK463" i="356"/>
  <c r="Z463" i="356"/>
  <c r="AB463" i="356"/>
  <c r="AD463" i="356"/>
  <c r="AF463" i="356"/>
  <c r="AH463" i="356"/>
  <c r="AJ463" i="356"/>
  <c r="AA461" i="356"/>
  <c r="AC461" i="356"/>
  <c r="AE461" i="356"/>
  <c r="AG461" i="356"/>
  <c r="AI461" i="356"/>
  <c r="AK461" i="356"/>
  <c r="Z461" i="356"/>
  <c r="AB461" i="356"/>
  <c r="AD461" i="356"/>
  <c r="AF461" i="356"/>
  <c r="AH461" i="356"/>
  <c r="AJ461" i="356"/>
  <c r="AA459" i="356"/>
  <c r="AC459" i="356"/>
  <c r="AE459" i="356"/>
  <c r="AG459" i="356"/>
  <c r="AI459" i="356"/>
  <c r="AK459" i="356"/>
  <c r="Z459" i="356"/>
  <c r="AB459" i="356"/>
  <c r="AD459" i="356"/>
  <c r="AF459" i="356"/>
  <c r="AH459" i="356"/>
  <c r="AJ459" i="356"/>
  <c r="AA457" i="356"/>
  <c r="AC457" i="356"/>
  <c r="AE457" i="356"/>
  <c r="AG457" i="356"/>
  <c r="AI457" i="356"/>
  <c r="AK457" i="356"/>
  <c r="Z457" i="356"/>
  <c r="AB457" i="356"/>
  <c r="AD457" i="356"/>
  <c r="AF457" i="356"/>
  <c r="AH457" i="356"/>
  <c r="AJ457" i="356"/>
  <c r="AA455" i="356"/>
  <c r="AC455" i="356"/>
  <c r="AE455" i="356"/>
  <c r="AG455" i="356"/>
  <c r="AI455" i="356"/>
  <c r="AK455" i="356"/>
  <c r="Z455" i="356"/>
  <c r="AB455" i="356"/>
  <c r="AD455" i="356"/>
  <c r="AF455" i="356"/>
  <c r="AH455" i="356"/>
  <c r="AJ455" i="356"/>
  <c r="AA453" i="356"/>
  <c r="AC453" i="356"/>
  <c r="AE453" i="356"/>
  <c r="AG453" i="356"/>
  <c r="AI453" i="356"/>
  <c r="AK453" i="356"/>
  <c r="Z453" i="356"/>
  <c r="AB453" i="356"/>
  <c r="AD453" i="356"/>
  <c r="AF453" i="356"/>
  <c r="AH453" i="356"/>
  <c r="AJ453" i="356"/>
  <c r="AA451" i="356"/>
  <c r="AC451" i="356"/>
  <c r="AE451" i="356"/>
  <c r="AG451" i="356"/>
  <c r="AI451" i="356"/>
  <c r="AK451" i="356"/>
  <c r="Z451" i="356"/>
  <c r="AB451" i="356"/>
  <c r="AD451" i="356"/>
  <c r="AF451" i="356"/>
  <c r="AH451" i="356"/>
  <c r="AJ451" i="356"/>
  <c r="AA449" i="356"/>
  <c r="AC449" i="356"/>
  <c r="AE449" i="356"/>
  <c r="AG449" i="356"/>
  <c r="AI449" i="356"/>
  <c r="AK449" i="356"/>
  <c r="Z449" i="356"/>
  <c r="AB449" i="356"/>
  <c r="AD449" i="356"/>
  <c r="AF449" i="356"/>
  <c r="AH449" i="356"/>
  <c r="AJ449" i="356"/>
  <c r="AA447" i="356"/>
  <c r="AC447" i="356"/>
  <c r="AE447" i="356"/>
  <c r="AG447" i="356"/>
  <c r="AI447" i="356"/>
  <c r="AK447" i="356"/>
  <c r="Z447" i="356"/>
  <c r="AB447" i="356"/>
  <c r="AD447" i="356"/>
  <c r="AF447" i="356"/>
  <c r="AH447" i="356"/>
  <c r="AJ447" i="356"/>
  <c r="AA445" i="356"/>
  <c r="AC445" i="356"/>
  <c r="AE445" i="356"/>
  <c r="AG445" i="356"/>
  <c r="AI445" i="356"/>
  <c r="AK445" i="356"/>
  <c r="Z445" i="356"/>
  <c r="AB445" i="356"/>
  <c r="AD445" i="356"/>
  <c r="AF445" i="356"/>
  <c r="AH445" i="356"/>
  <c r="AJ445" i="356"/>
  <c r="AA443" i="356"/>
  <c r="AC443" i="356"/>
  <c r="AE443" i="356"/>
  <c r="AG443" i="356"/>
  <c r="AI443" i="356"/>
  <c r="AK443" i="356"/>
  <c r="Z443" i="356"/>
  <c r="AB443" i="356"/>
  <c r="AD443" i="356"/>
  <c r="AF443" i="356"/>
  <c r="AH443" i="356"/>
  <c r="AJ443" i="356"/>
  <c r="AA441" i="356"/>
  <c r="AC441" i="356"/>
  <c r="AE441" i="356"/>
  <c r="AG441" i="356"/>
  <c r="AI441" i="356"/>
  <c r="AK441" i="356"/>
  <c r="Z441" i="356"/>
  <c r="AB441" i="356"/>
  <c r="AD441" i="356"/>
  <c r="AF441" i="356"/>
  <c r="AH441" i="356"/>
  <c r="AJ441" i="356"/>
  <c r="AA439" i="356"/>
  <c r="AC439" i="356"/>
  <c r="AE439" i="356"/>
  <c r="AG439" i="356"/>
  <c r="AI439" i="356"/>
  <c r="AK439" i="356"/>
  <c r="Z439" i="356"/>
  <c r="AB439" i="356"/>
  <c r="AD439" i="356"/>
  <c r="AF439" i="356"/>
  <c r="AH439" i="356"/>
  <c r="AJ439" i="356"/>
  <c r="AA437" i="356"/>
  <c r="AC437" i="356"/>
  <c r="AE437" i="356"/>
  <c r="AG437" i="356"/>
  <c r="AI437" i="356"/>
  <c r="AK437" i="356"/>
  <c r="Z437" i="356"/>
  <c r="AB437" i="356"/>
  <c r="AD437" i="356"/>
  <c r="AF437" i="356"/>
  <c r="AH437" i="356"/>
  <c r="AJ437" i="356"/>
  <c r="AA435" i="356"/>
  <c r="AC435" i="356"/>
  <c r="AE435" i="356"/>
  <c r="AG435" i="356"/>
  <c r="AI435" i="356"/>
  <c r="AK435" i="356"/>
  <c r="Z435" i="356"/>
  <c r="AB435" i="356"/>
  <c r="AD435" i="356"/>
  <c r="AF435" i="356"/>
  <c r="AH435" i="356"/>
  <c r="AJ435" i="356"/>
  <c r="AA433" i="356"/>
  <c r="AC433" i="356"/>
  <c r="AE433" i="356"/>
  <c r="AG433" i="356"/>
  <c r="AI433" i="356"/>
  <c r="AK433" i="356"/>
  <c r="Z433" i="356"/>
  <c r="AB433" i="356"/>
  <c r="AD433" i="356"/>
  <c r="AF433" i="356"/>
  <c r="AH433" i="356"/>
  <c r="AJ433" i="356"/>
  <c r="AA431" i="356"/>
  <c r="AC431" i="356"/>
  <c r="AE431" i="356"/>
  <c r="AG431" i="356"/>
  <c r="AI431" i="356"/>
  <c r="AK431" i="356"/>
  <c r="Z431" i="356"/>
  <c r="AB431" i="356"/>
  <c r="AD431" i="356"/>
  <c r="AF431" i="356"/>
  <c r="AH431" i="356"/>
  <c r="AJ431" i="356"/>
  <c r="AA429" i="356"/>
  <c r="AC429" i="356"/>
  <c r="AE429" i="356"/>
  <c r="AG429" i="356"/>
  <c r="AI429" i="356"/>
  <c r="AK429" i="356"/>
  <c r="Z429" i="356"/>
  <c r="AB429" i="356"/>
  <c r="AD429" i="356"/>
  <c r="AF429" i="356"/>
  <c r="AH429" i="356"/>
  <c r="AJ429" i="356"/>
  <c r="AA427" i="356"/>
  <c r="AC427" i="356"/>
  <c r="AE427" i="356"/>
  <c r="AG427" i="356"/>
  <c r="AI427" i="356"/>
  <c r="AK427" i="356"/>
  <c r="Z427" i="356"/>
  <c r="AB427" i="356"/>
  <c r="AD427" i="356"/>
  <c r="AF427" i="356"/>
  <c r="AH427" i="356"/>
  <c r="AJ427" i="356"/>
  <c r="AA425" i="356"/>
  <c r="AC425" i="356"/>
  <c r="AE425" i="356"/>
  <c r="AG425" i="356"/>
  <c r="AI425" i="356"/>
  <c r="AK425" i="356"/>
  <c r="Z425" i="356"/>
  <c r="AB425" i="356"/>
  <c r="AD425" i="356"/>
  <c r="AF425" i="356"/>
  <c r="AH425" i="356"/>
  <c r="AJ425" i="356"/>
  <c r="AA423" i="356"/>
  <c r="AC423" i="356"/>
  <c r="AE423" i="356"/>
  <c r="AG423" i="356"/>
  <c r="AI423" i="356"/>
  <c r="AK423" i="356"/>
  <c r="Z423" i="356"/>
  <c r="AB423" i="356"/>
  <c r="AD423" i="356"/>
  <c r="AF423" i="356"/>
  <c r="AH423" i="356"/>
  <c r="AJ423" i="356"/>
  <c r="AA421" i="356"/>
  <c r="AC421" i="356"/>
  <c r="AE421" i="356"/>
  <c r="AG421" i="356"/>
  <c r="AI421" i="356"/>
  <c r="AK421" i="356"/>
  <c r="Z421" i="356"/>
  <c r="AB421" i="356"/>
  <c r="AD421" i="356"/>
  <c r="AF421" i="356"/>
  <c r="AH421" i="356"/>
  <c r="AJ421" i="356"/>
  <c r="AA419" i="356"/>
  <c r="AC419" i="356"/>
  <c r="AE419" i="356"/>
  <c r="AG419" i="356"/>
  <c r="AI419" i="356"/>
  <c r="AK419" i="356"/>
  <c r="Z419" i="356"/>
  <c r="AB419" i="356"/>
  <c r="AD419" i="356"/>
  <c r="AF419" i="356"/>
  <c r="AH419" i="356"/>
  <c r="AJ419" i="356"/>
  <c r="AA417" i="356"/>
  <c r="AC417" i="356"/>
  <c r="AE417" i="356"/>
  <c r="AG417" i="356"/>
  <c r="AI417" i="356"/>
  <c r="AK417" i="356"/>
  <c r="Z417" i="356"/>
  <c r="AB417" i="356"/>
  <c r="AD417" i="356"/>
  <c r="AF417" i="356"/>
  <c r="AH417" i="356"/>
  <c r="AJ417" i="356"/>
  <c r="AA415" i="356"/>
  <c r="AC415" i="356"/>
  <c r="AE415" i="356"/>
  <c r="AG415" i="356"/>
  <c r="AI415" i="356"/>
  <c r="AK415" i="356"/>
  <c r="Z415" i="356"/>
  <c r="AB415" i="356"/>
  <c r="AD415" i="356"/>
  <c r="AF415" i="356"/>
  <c r="AH415" i="356"/>
  <c r="AJ415" i="356"/>
  <c r="AA413" i="356"/>
  <c r="AC413" i="356"/>
  <c r="AE413" i="356"/>
  <c r="AG413" i="356"/>
  <c r="AI413" i="356"/>
  <c r="AK413" i="356"/>
  <c r="Z413" i="356"/>
  <c r="AB413" i="356"/>
  <c r="AD413" i="356"/>
  <c r="AF413" i="356"/>
  <c r="AH413" i="356"/>
  <c r="AJ413" i="356"/>
  <c r="AA411" i="356"/>
  <c r="AC411" i="356"/>
  <c r="AE411" i="356"/>
  <c r="AG411" i="356"/>
  <c r="AI411" i="356"/>
  <c r="AK411" i="356"/>
  <c r="Z411" i="356"/>
  <c r="AB411" i="356"/>
  <c r="AD411" i="356"/>
  <c r="AF411" i="356"/>
  <c r="AH411" i="356"/>
  <c r="AJ411" i="356"/>
  <c r="AA409" i="356"/>
  <c r="C9" i="95" s="1"/>
  <c r="AC409" i="356"/>
  <c r="AE409" i="356"/>
  <c r="AG409" i="356"/>
  <c r="I9" i="95" s="1"/>
  <c r="AI409" i="356"/>
  <c r="AK409" i="356"/>
  <c r="Z409" i="356"/>
  <c r="AB409" i="356"/>
  <c r="AD409" i="356"/>
  <c r="AF409" i="356"/>
  <c r="AH409" i="356"/>
  <c r="AJ409" i="356"/>
  <c r="AA407" i="356"/>
  <c r="AC407" i="356"/>
  <c r="AE407" i="356"/>
  <c r="AG407" i="356"/>
  <c r="AI407" i="356"/>
  <c r="Z407" i="356"/>
  <c r="AB407" i="356"/>
  <c r="AD407" i="356"/>
  <c r="AF407" i="356"/>
  <c r="AH407" i="356"/>
  <c r="AK407" i="356"/>
  <c r="AJ407" i="356"/>
  <c r="AA405" i="356"/>
  <c r="AC405" i="356"/>
  <c r="AE405" i="356"/>
  <c r="AG405" i="356"/>
  <c r="AI405" i="356"/>
  <c r="AK405" i="356"/>
  <c r="Z405" i="356"/>
  <c r="AB405" i="356"/>
  <c r="AD405" i="356"/>
  <c r="AF405" i="356"/>
  <c r="AH405" i="356"/>
  <c r="AJ405" i="356"/>
  <c r="AA403" i="356"/>
  <c r="AC403" i="356"/>
  <c r="AE403" i="356"/>
  <c r="AG403" i="356"/>
  <c r="AI403" i="356"/>
  <c r="AK403" i="356"/>
  <c r="Z403" i="356"/>
  <c r="AB403" i="356"/>
  <c r="AD403" i="356"/>
  <c r="AF403" i="356"/>
  <c r="AH403" i="356"/>
  <c r="AJ403" i="356"/>
  <c r="AA401" i="356"/>
  <c r="AC401" i="356"/>
  <c r="AE401" i="356"/>
  <c r="AG401" i="356"/>
  <c r="AI401" i="356"/>
  <c r="AK401" i="356"/>
  <c r="Z401" i="356"/>
  <c r="AB401" i="356"/>
  <c r="AD401" i="356"/>
  <c r="AF401" i="356"/>
  <c r="AH401" i="356"/>
  <c r="AJ401" i="356"/>
  <c r="AA399" i="356"/>
  <c r="AC399" i="356"/>
  <c r="AE399" i="356"/>
  <c r="AG399" i="356"/>
  <c r="AI399" i="356"/>
  <c r="AK399" i="356"/>
  <c r="Z399" i="356"/>
  <c r="AB399" i="356"/>
  <c r="AD399" i="356"/>
  <c r="AF399" i="356"/>
  <c r="AH399" i="356"/>
  <c r="AJ399" i="356"/>
  <c r="AA397" i="356"/>
  <c r="AC397" i="356"/>
  <c r="AE397" i="356"/>
  <c r="AG397" i="356"/>
  <c r="AI397" i="356"/>
  <c r="AK397" i="356"/>
  <c r="Z397" i="356"/>
  <c r="AB397" i="356"/>
  <c r="AD397" i="356"/>
  <c r="AF397" i="356"/>
  <c r="AH397" i="356"/>
  <c r="AJ397" i="356"/>
  <c r="AA395" i="356"/>
  <c r="AC395" i="356"/>
  <c r="AE395" i="356"/>
  <c r="AG395" i="356"/>
  <c r="AI395" i="356"/>
  <c r="AK395" i="356"/>
  <c r="Z395" i="356"/>
  <c r="AB395" i="356"/>
  <c r="AD395" i="356"/>
  <c r="AF395" i="356"/>
  <c r="AH395" i="356"/>
  <c r="AJ395" i="356"/>
  <c r="AA393" i="356"/>
  <c r="AC393" i="356"/>
  <c r="AE393" i="356"/>
  <c r="AG393" i="356"/>
  <c r="AI393" i="356"/>
  <c r="AK393" i="356"/>
  <c r="Z393" i="356"/>
  <c r="AB393" i="356"/>
  <c r="AD393" i="356"/>
  <c r="AF393" i="356"/>
  <c r="AH393" i="356"/>
  <c r="AJ393" i="356"/>
  <c r="AA391" i="356"/>
  <c r="AC391" i="356"/>
  <c r="AE391" i="356"/>
  <c r="AG391" i="356"/>
  <c r="AI391" i="356"/>
  <c r="AK391" i="356"/>
  <c r="Z391" i="356"/>
  <c r="AB391" i="356"/>
  <c r="AD391" i="356"/>
  <c r="AF391" i="356"/>
  <c r="AH391" i="356"/>
  <c r="AJ391" i="356"/>
  <c r="AA389" i="356"/>
  <c r="AC389" i="356"/>
  <c r="AE389" i="356"/>
  <c r="AG389" i="356"/>
  <c r="AI389" i="356"/>
  <c r="AK389" i="356"/>
  <c r="Z389" i="356"/>
  <c r="AB389" i="356"/>
  <c r="AD389" i="356"/>
  <c r="AF389" i="356"/>
  <c r="AH389" i="356"/>
  <c r="AJ389" i="356"/>
  <c r="AA387" i="356"/>
  <c r="AC387" i="356"/>
  <c r="AE387" i="356"/>
  <c r="AG387" i="356"/>
  <c r="AI387" i="356"/>
  <c r="AK387" i="356"/>
  <c r="Z387" i="356"/>
  <c r="AB387" i="356"/>
  <c r="AD387" i="356"/>
  <c r="AF387" i="356"/>
  <c r="AH387" i="356"/>
  <c r="AJ387" i="356"/>
  <c r="AA385" i="356"/>
  <c r="AC385" i="356"/>
  <c r="AE385" i="356"/>
  <c r="AG385" i="356"/>
  <c r="AI385" i="356"/>
  <c r="AK385" i="356"/>
  <c r="Z385" i="356"/>
  <c r="AB385" i="356"/>
  <c r="AD385" i="356"/>
  <c r="AF385" i="356"/>
  <c r="AH385" i="356"/>
  <c r="AJ385" i="356"/>
  <c r="AA383" i="356"/>
  <c r="AC383" i="356"/>
  <c r="AE383" i="356"/>
  <c r="AG383" i="356"/>
  <c r="AI383" i="356"/>
  <c r="AK383" i="356"/>
  <c r="Z383" i="356"/>
  <c r="AB383" i="356"/>
  <c r="AD383" i="356"/>
  <c r="AF383" i="356"/>
  <c r="AH383" i="356"/>
  <c r="AJ383" i="356"/>
  <c r="AA381" i="356"/>
  <c r="AC381" i="356"/>
  <c r="AE381" i="356"/>
  <c r="AG381" i="356"/>
  <c r="AI381" i="356"/>
  <c r="AK381" i="356"/>
  <c r="Z381" i="356"/>
  <c r="AB381" i="356"/>
  <c r="AD381" i="356"/>
  <c r="AF381" i="356"/>
  <c r="AH381" i="356"/>
  <c r="AJ381" i="356"/>
  <c r="AA379" i="356"/>
  <c r="AC379" i="356"/>
  <c r="AE379" i="356"/>
  <c r="AG379" i="356"/>
  <c r="AI379" i="356"/>
  <c r="AK379" i="356"/>
  <c r="Z379" i="356"/>
  <c r="AB379" i="356"/>
  <c r="AD379" i="356"/>
  <c r="AF379" i="356"/>
  <c r="AH379" i="356"/>
  <c r="AJ379" i="356"/>
  <c r="AA377" i="356"/>
  <c r="AC377" i="356"/>
  <c r="AE377" i="356"/>
  <c r="AG377" i="356"/>
  <c r="AI377" i="356"/>
  <c r="AK377" i="356"/>
  <c r="Z377" i="356"/>
  <c r="AB377" i="356"/>
  <c r="AD377" i="356"/>
  <c r="AF377" i="356"/>
  <c r="AH377" i="356"/>
  <c r="AJ377" i="356"/>
  <c r="AA375" i="356"/>
  <c r="AC375" i="356"/>
  <c r="AE375" i="356"/>
  <c r="AG375" i="356"/>
  <c r="AI375" i="356"/>
  <c r="AK375" i="356"/>
  <c r="Z375" i="356"/>
  <c r="AB375" i="356"/>
  <c r="AD375" i="356"/>
  <c r="AF375" i="356"/>
  <c r="AH375" i="356"/>
  <c r="AJ375" i="356"/>
  <c r="AA373" i="356"/>
  <c r="AC373" i="356"/>
  <c r="AE373" i="356"/>
  <c r="AG373" i="356"/>
  <c r="AI373" i="356"/>
  <c r="AK373" i="356"/>
  <c r="Z373" i="356"/>
  <c r="AB373" i="356"/>
  <c r="AD373" i="356"/>
  <c r="AF373" i="356"/>
  <c r="AH373" i="356"/>
  <c r="AJ373" i="356"/>
  <c r="AA371" i="356"/>
  <c r="AC371" i="356"/>
  <c r="AE371" i="356"/>
  <c r="AG371" i="356"/>
  <c r="AI371" i="356"/>
  <c r="AK371" i="356"/>
  <c r="Z371" i="356"/>
  <c r="AB371" i="356"/>
  <c r="AD371" i="356"/>
  <c r="AF371" i="356"/>
  <c r="AH371" i="356"/>
  <c r="AJ371" i="356"/>
  <c r="AA369" i="356"/>
  <c r="AC369" i="356"/>
  <c r="AE369" i="356"/>
  <c r="AG369" i="356"/>
  <c r="AI369" i="356"/>
  <c r="AK369" i="356"/>
  <c r="Z369" i="356"/>
  <c r="AB369" i="356"/>
  <c r="AD369" i="356"/>
  <c r="AF369" i="356"/>
  <c r="AH369" i="356"/>
  <c r="AJ369" i="356"/>
  <c r="AA367" i="356"/>
  <c r="AC367" i="356"/>
  <c r="AE367" i="356"/>
  <c r="AG367" i="356"/>
  <c r="AI367" i="356"/>
  <c r="AK367" i="356"/>
  <c r="Z367" i="356"/>
  <c r="AB367" i="356"/>
  <c r="AD367" i="356"/>
  <c r="AF367" i="356"/>
  <c r="AH367" i="356"/>
  <c r="AJ367" i="356"/>
  <c r="AA365" i="356"/>
  <c r="AC365" i="356"/>
  <c r="AE365" i="356"/>
  <c r="AG365" i="356"/>
  <c r="AI365" i="356"/>
  <c r="AK365" i="356"/>
  <c r="Z365" i="356"/>
  <c r="AB365" i="356"/>
  <c r="AD365" i="356"/>
  <c r="AF365" i="356"/>
  <c r="AH365" i="356"/>
  <c r="AJ365" i="356"/>
  <c r="AA363" i="356"/>
  <c r="AC363" i="356"/>
  <c r="AE363" i="356"/>
  <c r="AG363" i="356"/>
  <c r="AI363" i="356"/>
  <c r="AK363" i="356"/>
  <c r="Z363" i="356"/>
  <c r="AB363" i="356"/>
  <c r="AD363" i="356"/>
  <c r="AF363" i="356"/>
  <c r="AH363" i="356"/>
  <c r="AJ363" i="356"/>
  <c r="AA361" i="356"/>
  <c r="AC361" i="356"/>
  <c r="AE361" i="356"/>
  <c r="AG361" i="356"/>
  <c r="AI361" i="356"/>
  <c r="AK361" i="356"/>
  <c r="Z361" i="356"/>
  <c r="AB361" i="356"/>
  <c r="AD361" i="356"/>
  <c r="AF361" i="356"/>
  <c r="AH361" i="356"/>
  <c r="AJ361" i="356"/>
  <c r="AA359" i="356"/>
  <c r="AC359" i="356"/>
  <c r="AE359" i="356"/>
  <c r="AG359" i="356"/>
  <c r="AI359" i="356"/>
  <c r="AK359" i="356"/>
  <c r="Z359" i="356"/>
  <c r="AB359" i="356"/>
  <c r="AD359" i="356"/>
  <c r="AF359" i="356"/>
  <c r="AH359" i="356"/>
  <c r="AJ359" i="356"/>
  <c r="AA357" i="356"/>
  <c r="AC357" i="356"/>
  <c r="AE357" i="356"/>
  <c r="AG357" i="356"/>
  <c r="AI357" i="356"/>
  <c r="AK357" i="356"/>
  <c r="Z357" i="356"/>
  <c r="AB357" i="356"/>
  <c r="AD357" i="356"/>
  <c r="AF357" i="356"/>
  <c r="AH357" i="356"/>
  <c r="AJ357" i="356"/>
  <c r="AA355" i="356"/>
  <c r="AC355" i="356"/>
  <c r="AE355" i="356"/>
  <c r="AG355" i="356"/>
  <c r="AI355" i="356"/>
  <c r="AK355" i="356"/>
  <c r="Z355" i="356"/>
  <c r="AB355" i="356"/>
  <c r="AD355" i="356"/>
  <c r="AF355" i="356"/>
  <c r="AH355" i="356"/>
  <c r="AJ355" i="356"/>
  <c r="AA353" i="356"/>
  <c r="AC353" i="356"/>
  <c r="AE353" i="356"/>
  <c r="AG353" i="356"/>
  <c r="AI353" i="356"/>
  <c r="AK353" i="356"/>
  <c r="Z353" i="356"/>
  <c r="AB353" i="356"/>
  <c r="AD353" i="356"/>
  <c r="AF353" i="356"/>
  <c r="AH353" i="356"/>
  <c r="AJ353" i="356"/>
  <c r="AA351" i="356"/>
  <c r="AC351" i="356"/>
  <c r="AE351" i="356"/>
  <c r="AG351" i="356"/>
  <c r="AI351" i="356"/>
  <c r="AK351" i="356"/>
  <c r="Z351" i="356"/>
  <c r="AB351" i="356"/>
  <c r="AD351" i="356"/>
  <c r="AF351" i="356"/>
  <c r="AH351" i="356"/>
  <c r="AJ351" i="356"/>
  <c r="AA349" i="356"/>
  <c r="AC349" i="356"/>
  <c r="AE349" i="356"/>
  <c r="AG349" i="356"/>
  <c r="AI349" i="356"/>
  <c r="AK349" i="356"/>
  <c r="Z349" i="356"/>
  <c r="AB349" i="356"/>
  <c r="AD349" i="356"/>
  <c r="AF349" i="356"/>
  <c r="AH349" i="356"/>
  <c r="AJ349" i="356"/>
  <c r="AA347" i="356"/>
  <c r="AC347" i="356"/>
  <c r="AE347" i="356"/>
  <c r="AG347" i="356"/>
  <c r="AI347" i="356"/>
  <c r="AK347" i="356"/>
  <c r="Z347" i="356"/>
  <c r="AB347" i="356"/>
  <c r="AD347" i="356"/>
  <c r="AF347" i="356"/>
  <c r="AH347" i="356"/>
  <c r="AJ347" i="356"/>
  <c r="AA345" i="356"/>
  <c r="AC345" i="356"/>
  <c r="AE345" i="356"/>
  <c r="AG345" i="356"/>
  <c r="AI345" i="356"/>
  <c r="AK345" i="356"/>
  <c r="Z345" i="356"/>
  <c r="AB345" i="356"/>
  <c r="AD345" i="356"/>
  <c r="AF345" i="356"/>
  <c r="AH345" i="356"/>
  <c r="AJ345" i="356"/>
  <c r="AA343" i="356"/>
  <c r="AC343" i="356"/>
  <c r="AE343" i="356"/>
  <c r="AG343" i="356"/>
  <c r="AI343" i="356"/>
  <c r="AK343" i="356"/>
  <c r="Z343" i="356"/>
  <c r="AB343" i="356"/>
  <c r="AD343" i="356"/>
  <c r="AF343" i="356"/>
  <c r="AH343" i="356"/>
  <c r="AJ343" i="356"/>
  <c r="AA341" i="356"/>
  <c r="AC341" i="356"/>
  <c r="AE341" i="356"/>
  <c r="AG341" i="356"/>
  <c r="AI341" i="356"/>
  <c r="AK341" i="356"/>
  <c r="Z341" i="356"/>
  <c r="AB341" i="356"/>
  <c r="AD341" i="356"/>
  <c r="AF341" i="356"/>
  <c r="AH341" i="356"/>
  <c r="AJ341" i="356"/>
  <c r="AA339" i="356"/>
  <c r="AC339" i="356"/>
  <c r="AE339" i="356"/>
  <c r="AG339" i="356"/>
  <c r="AI339" i="356"/>
  <c r="AK339" i="356"/>
  <c r="Z339" i="356"/>
  <c r="AB339" i="356"/>
  <c r="AD339" i="356"/>
  <c r="AF339" i="356"/>
  <c r="AH339" i="356"/>
  <c r="AJ339" i="356"/>
  <c r="AA337" i="356"/>
  <c r="AC337" i="356"/>
  <c r="AE337" i="356"/>
  <c r="AG337" i="356"/>
  <c r="AI337" i="356"/>
  <c r="AK337" i="356"/>
  <c r="Z337" i="356"/>
  <c r="AB337" i="356"/>
  <c r="AD337" i="356"/>
  <c r="AF337" i="356"/>
  <c r="AH337" i="356"/>
  <c r="AJ337" i="356"/>
  <c r="AA335" i="356"/>
  <c r="AC335" i="356"/>
  <c r="AE335" i="356"/>
  <c r="AG335" i="356"/>
  <c r="AI335" i="356"/>
  <c r="AK335" i="356"/>
  <c r="Z335" i="356"/>
  <c r="AB335" i="356"/>
  <c r="AD335" i="356"/>
  <c r="AF335" i="356"/>
  <c r="AH335" i="356"/>
  <c r="AJ335" i="356"/>
  <c r="AA333" i="356"/>
  <c r="AC333" i="356"/>
  <c r="AE333" i="356"/>
  <c r="AG333" i="356"/>
  <c r="AI333" i="356"/>
  <c r="AK333" i="356"/>
  <c r="Z333" i="356"/>
  <c r="AB333" i="356"/>
  <c r="AD333" i="356"/>
  <c r="AF333" i="356"/>
  <c r="AH333" i="356"/>
  <c r="AJ333" i="356"/>
  <c r="AA331" i="356"/>
  <c r="AC331" i="356"/>
  <c r="AE331" i="356"/>
  <c r="AG331" i="356"/>
  <c r="AI331" i="356"/>
  <c r="AK331" i="356"/>
  <c r="Z331" i="356"/>
  <c r="AB331" i="356"/>
  <c r="AD331" i="356"/>
  <c r="AF331" i="356"/>
  <c r="AH331" i="356"/>
  <c r="AJ331" i="356"/>
  <c r="AA329" i="356"/>
  <c r="AC329" i="356"/>
  <c r="AE329" i="356"/>
  <c r="AG329" i="356"/>
  <c r="AI329" i="356"/>
  <c r="AK329" i="356"/>
  <c r="Z329" i="356"/>
  <c r="AB329" i="356"/>
  <c r="AD329" i="356"/>
  <c r="AF329" i="356"/>
  <c r="AH329" i="356"/>
  <c r="AJ329" i="356"/>
  <c r="AA327" i="356"/>
  <c r="AC327" i="356"/>
  <c r="AE327" i="356"/>
  <c r="AG327" i="356"/>
  <c r="AI327" i="356"/>
  <c r="AK327" i="356"/>
  <c r="Z327" i="356"/>
  <c r="AB327" i="356"/>
  <c r="AD327" i="356"/>
  <c r="AF327" i="356"/>
  <c r="AH327" i="356"/>
  <c r="AJ327" i="356"/>
  <c r="AA325" i="356"/>
  <c r="AC325" i="356"/>
  <c r="AE325" i="356"/>
  <c r="AG325" i="356"/>
  <c r="AI325" i="356"/>
  <c r="AK325" i="356"/>
  <c r="Z325" i="356"/>
  <c r="AB325" i="356"/>
  <c r="AD325" i="356"/>
  <c r="AF325" i="356"/>
  <c r="AH325" i="356"/>
  <c r="AJ325" i="356"/>
  <c r="AA323" i="356"/>
  <c r="AC323" i="356"/>
  <c r="AE323" i="356"/>
  <c r="AG323" i="356"/>
  <c r="AI323" i="356"/>
  <c r="AK323" i="356"/>
  <c r="Z323" i="356"/>
  <c r="AB323" i="356"/>
  <c r="AD323" i="356"/>
  <c r="AF323" i="356"/>
  <c r="AH323" i="356"/>
  <c r="AJ323" i="356"/>
  <c r="AA321" i="356"/>
  <c r="AC321" i="356"/>
  <c r="AE321" i="356"/>
  <c r="AG321" i="356"/>
  <c r="AI321" i="356"/>
  <c r="AK321" i="356"/>
  <c r="Z321" i="356"/>
  <c r="AB321" i="356"/>
  <c r="AD321" i="356"/>
  <c r="AF321" i="356"/>
  <c r="AH321" i="356"/>
  <c r="AJ321" i="356"/>
  <c r="AA319" i="356"/>
  <c r="AC319" i="356"/>
  <c r="AE319" i="356"/>
  <c r="AG319" i="356"/>
  <c r="I14" i="95"/>
  <c r="AI319" i="356"/>
  <c r="AK319" i="356"/>
  <c r="Z319" i="356"/>
  <c r="AB319" i="356"/>
  <c r="AD319" i="356"/>
  <c r="AF319" i="356"/>
  <c r="AH319" i="356"/>
  <c r="AJ319" i="356"/>
  <c r="AA317" i="356"/>
  <c r="AC317" i="356"/>
  <c r="AE317" i="356"/>
  <c r="AG317" i="356"/>
  <c r="AI317" i="356"/>
  <c r="AK317" i="356"/>
  <c r="Z317" i="356"/>
  <c r="AB317" i="356"/>
  <c r="AD317" i="356"/>
  <c r="AF317" i="356"/>
  <c r="AH317" i="356"/>
  <c r="AJ317" i="356"/>
  <c r="AA315" i="356"/>
  <c r="AC315" i="356"/>
  <c r="AE315" i="356"/>
  <c r="AG315" i="356"/>
  <c r="AI315" i="356"/>
  <c r="AK315" i="356"/>
  <c r="Z315" i="356"/>
  <c r="AB315" i="356"/>
  <c r="AD315" i="356"/>
  <c r="AF315" i="356"/>
  <c r="AH315" i="356"/>
  <c r="AJ315" i="356"/>
  <c r="AA313" i="356"/>
  <c r="AC313" i="356"/>
  <c r="AE313" i="356"/>
  <c r="AG313" i="356"/>
  <c r="AI313" i="356"/>
  <c r="AK313" i="356"/>
  <c r="Z313" i="356"/>
  <c r="AB313" i="356"/>
  <c r="AD313" i="356"/>
  <c r="AF313" i="356"/>
  <c r="AH313" i="356"/>
  <c r="AJ313" i="356"/>
  <c r="AA311" i="356"/>
  <c r="AC311" i="356"/>
  <c r="AE311" i="356"/>
  <c r="AG311" i="356"/>
  <c r="AI311" i="356"/>
  <c r="AK311" i="356"/>
  <c r="Z311" i="356"/>
  <c r="AB311" i="356"/>
  <c r="AD311" i="356"/>
  <c r="AF311" i="356"/>
  <c r="AH311" i="356"/>
  <c r="AJ311" i="356"/>
  <c r="AA309" i="356"/>
  <c r="AC309" i="356"/>
  <c r="AE309" i="356"/>
  <c r="AG309" i="356"/>
  <c r="AI309" i="356"/>
  <c r="AK309" i="356"/>
  <c r="Z309" i="356"/>
  <c r="AB309" i="356"/>
  <c r="AD309" i="356"/>
  <c r="AF309" i="356"/>
  <c r="AH309" i="356"/>
  <c r="AJ309" i="356"/>
  <c r="AA307" i="356"/>
  <c r="AC307" i="356"/>
  <c r="AE307" i="356"/>
  <c r="AG307" i="356"/>
  <c r="AI307" i="356"/>
  <c r="AK307" i="356"/>
  <c r="Z307" i="356"/>
  <c r="AB307" i="356"/>
  <c r="AD307" i="356"/>
  <c r="AF307" i="356"/>
  <c r="AH307" i="356"/>
  <c r="AJ307" i="356"/>
  <c r="AA305" i="356"/>
  <c r="AC305" i="356"/>
  <c r="AE305" i="356"/>
  <c r="AG305" i="356"/>
  <c r="AI305" i="356"/>
  <c r="AK305" i="356"/>
  <c r="Z305" i="356"/>
  <c r="AB305" i="356"/>
  <c r="AD305" i="356"/>
  <c r="AF305" i="356"/>
  <c r="AH305" i="356"/>
  <c r="AJ305" i="356"/>
  <c r="AA303" i="356"/>
  <c r="AC303" i="356"/>
  <c r="AE303" i="356"/>
  <c r="AG303" i="356"/>
  <c r="AI303" i="356"/>
  <c r="AK303" i="356"/>
  <c r="Z303" i="356"/>
  <c r="AB303" i="356"/>
  <c r="AD303" i="356"/>
  <c r="AF303" i="356"/>
  <c r="AH303" i="356"/>
  <c r="AJ303" i="356"/>
  <c r="AA301" i="356"/>
  <c r="AC301" i="356"/>
  <c r="AE301" i="356"/>
  <c r="AG301" i="356"/>
  <c r="AI301" i="356"/>
  <c r="AK301" i="356"/>
  <c r="Z301" i="356"/>
  <c r="AB301" i="356"/>
  <c r="AD301" i="356"/>
  <c r="AF301" i="356"/>
  <c r="AH301" i="356"/>
  <c r="AJ301" i="356"/>
  <c r="AA299" i="356"/>
  <c r="AC299" i="356"/>
  <c r="AE299" i="356"/>
  <c r="AG299" i="356"/>
  <c r="AI299" i="356"/>
  <c r="AK299" i="356"/>
  <c r="Z299" i="356"/>
  <c r="AB299" i="356"/>
  <c r="AD299" i="356"/>
  <c r="AF299" i="356"/>
  <c r="AH299" i="356"/>
  <c r="AJ299" i="356"/>
  <c r="AA297" i="356"/>
  <c r="AC297" i="356"/>
  <c r="AE297" i="356"/>
  <c r="AG297" i="356"/>
  <c r="AI297" i="356"/>
  <c r="AK297" i="356"/>
  <c r="Z297" i="356"/>
  <c r="AB297" i="356"/>
  <c r="AD297" i="356"/>
  <c r="AF297" i="356"/>
  <c r="AH297" i="356"/>
  <c r="AJ297" i="356"/>
  <c r="AA295" i="356"/>
  <c r="AC295" i="356"/>
  <c r="AE295" i="356"/>
  <c r="AG295" i="356"/>
  <c r="AI295" i="356"/>
  <c r="AK295" i="356"/>
  <c r="Z295" i="356"/>
  <c r="AB295" i="356"/>
  <c r="AD295" i="356"/>
  <c r="AF295" i="356"/>
  <c r="AH295" i="356"/>
  <c r="AJ295" i="356"/>
  <c r="AA293" i="356"/>
  <c r="AC293" i="356"/>
  <c r="AE293" i="356"/>
  <c r="AG293" i="356"/>
  <c r="AI293" i="356"/>
  <c r="AK293" i="356"/>
  <c r="Z293" i="356"/>
  <c r="AB293" i="356"/>
  <c r="AD293" i="356"/>
  <c r="AF293" i="356"/>
  <c r="AH293" i="356"/>
  <c r="AJ293" i="356"/>
  <c r="AA291" i="356"/>
  <c r="AC291" i="356"/>
  <c r="AE291" i="356"/>
  <c r="AG291" i="356"/>
  <c r="AI291" i="356"/>
  <c r="AK291" i="356"/>
  <c r="Z291" i="356"/>
  <c r="AB291" i="356"/>
  <c r="AD291" i="356"/>
  <c r="AF291" i="356"/>
  <c r="AH291" i="356"/>
  <c r="AJ291" i="356"/>
  <c r="AA289" i="356"/>
  <c r="AC289" i="356"/>
  <c r="AE289" i="356"/>
  <c r="AG289" i="356"/>
  <c r="AI289" i="356"/>
  <c r="AK289" i="356"/>
  <c r="Z289" i="356"/>
  <c r="AB289" i="356"/>
  <c r="AD289" i="356"/>
  <c r="AF289" i="356"/>
  <c r="AH289" i="356"/>
  <c r="AJ289" i="356"/>
  <c r="AA287" i="356"/>
  <c r="AC287" i="356"/>
  <c r="AE287" i="356"/>
  <c r="AG287" i="356"/>
  <c r="AI287" i="356"/>
  <c r="AK287" i="356"/>
  <c r="Z287" i="356"/>
  <c r="AB287" i="356"/>
  <c r="AD287" i="356"/>
  <c r="AF287" i="356"/>
  <c r="AH287" i="356"/>
  <c r="AJ287" i="356"/>
  <c r="AA285" i="356"/>
  <c r="AC285" i="356"/>
  <c r="AE285" i="356"/>
  <c r="AG285" i="356"/>
  <c r="AI285" i="356"/>
  <c r="AK285" i="356"/>
  <c r="Z285" i="356"/>
  <c r="AB285" i="356"/>
  <c r="AD285" i="356"/>
  <c r="AF285" i="356"/>
  <c r="AH285" i="356"/>
  <c r="AJ285" i="356"/>
  <c r="AA283" i="356"/>
  <c r="AC283" i="356"/>
  <c r="AE283" i="356"/>
  <c r="AG283" i="356"/>
  <c r="AI283" i="356"/>
  <c r="AK283" i="356"/>
  <c r="Z283" i="356"/>
  <c r="AB283" i="356"/>
  <c r="AD283" i="356"/>
  <c r="AF283" i="356"/>
  <c r="AH283" i="356"/>
  <c r="AJ283" i="356"/>
  <c r="AA281" i="356"/>
  <c r="AC281" i="356"/>
  <c r="AE281" i="356"/>
  <c r="AG281" i="356"/>
  <c r="AI281" i="356"/>
  <c r="AK281" i="356"/>
  <c r="Z281" i="356"/>
  <c r="AB281" i="356"/>
  <c r="AD281" i="356"/>
  <c r="AF281" i="356"/>
  <c r="AH281" i="356"/>
  <c r="AJ281" i="356"/>
  <c r="AA279" i="356"/>
  <c r="AC279" i="356"/>
  <c r="AE279" i="356"/>
  <c r="AG279" i="356"/>
  <c r="AI279" i="356"/>
  <c r="AK279" i="356"/>
  <c r="Z279" i="356"/>
  <c r="AB279" i="356"/>
  <c r="AD279" i="356"/>
  <c r="AF279" i="356"/>
  <c r="AH279" i="356"/>
  <c r="AJ279" i="356"/>
  <c r="AA277" i="356"/>
  <c r="AC277" i="356"/>
  <c r="AE277" i="356"/>
  <c r="AG277" i="356"/>
  <c r="AI277" i="356"/>
  <c r="AK277" i="356"/>
  <c r="Z277" i="356"/>
  <c r="AB277" i="356"/>
  <c r="AD277" i="356"/>
  <c r="AF277" i="356"/>
  <c r="AH277" i="356"/>
  <c r="AJ277" i="356"/>
  <c r="AA275" i="356"/>
  <c r="AC275" i="356"/>
  <c r="AE275" i="356"/>
  <c r="AG275" i="356"/>
  <c r="AI275" i="356"/>
  <c r="AK275" i="356"/>
  <c r="Z275" i="356"/>
  <c r="AB275" i="356"/>
  <c r="AD275" i="356"/>
  <c r="AF275" i="356"/>
  <c r="AH275" i="356"/>
  <c r="AJ275" i="356"/>
  <c r="AA273" i="356"/>
  <c r="AC273" i="356"/>
  <c r="AE273" i="356"/>
  <c r="AG273" i="356"/>
  <c r="AI273" i="356"/>
  <c r="AK273" i="356"/>
  <c r="Z273" i="356"/>
  <c r="AB273" i="356"/>
  <c r="AD273" i="356"/>
  <c r="AF273" i="356"/>
  <c r="AH273" i="356"/>
  <c r="AJ273" i="356"/>
  <c r="AA271" i="356"/>
  <c r="AC271" i="356"/>
  <c r="AE271" i="356"/>
  <c r="AG271" i="356"/>
  <c r="AI271" i="356"/>
  <c r="AK271" i="356"/>
  <c r="Z271" i="356"/>
  <c r="AB271" i="356"/>
  <c r="AD271" i="356"/>
  <c r="AF271" i="356"/>
  <c r="AH271" i="356"/>
  <c r="AJ271" i="356"/>
  <c r="AA269" i="356"/>
  <c r="AC269" i="356"/>
  <c r="AE269" i="356"/>
  <c r="AG269" i="356"/>
  <c r="AI269" i="356"/>
  <c r="AK269" i="356"/>
  <c r="Z269" i="356"/>
  <c r="AB269" i="356"/>
  <c r="AD269" i="356"/>
  <c r="AF269" i="356"/>
  <c r="AH269" i="356"/>
  <c r="AJ269" i="356"/>
  <c r="AA267" i="356"/>
  <c r="AC267" i="356"/>
  <c r="AE267" i="356"/>
  <c r="AG267" i="356"/>
  <c r="AI267" i="356"/>
  <c r="AK267" i="356"/>
  <c r="Z267" i="356"/>
  <c r="AB267" i="356"/>
  <c r="AD267" i="356"/>
  <c r="AF267" i="356"/>
  <c r="AH267" i="356"/>
  <c r="AJ267" i="356"/>
  <c r="AA265" i="356"/>
  <c r="AC265" i="356"/>
  <c r="AE265" i="356"/>
  <c r="AG265" i="356"/>
  <c r="AI265" i="356"/>
  <c r="AK265" i="356"/>
  <c r="Z265" i="356"/>
  <c r="AB265" i="356"/>
  <c r="AD265" i="356"/>
  <c r="AF265" i="356"/>
  <c r="AH265" i="356"/>
  <c r="AJ265" i="356"/>
  <c r="AA263" i="356"/>
  <c r="AC263" i="356"/>
  <c r="AE263" i="356"/>
  <c r="AG263" i="356"/>
  <c r="AI263" i="356"/>
  <c r="AK263" i="356"/>
  <c r="Z263" i="356"/>
  <c r="AB263" i="356"/>
  <c r="AD263" i="356"/>
  <c r="AF263" i="356"/>
  <c r="AH263" i="356"/>
  <c r="AJ263" i="356"/>
  <c r="AA261" i="356"/>
  <c r="AC261" i="356"/>
  <c r="AE261" i="356"/>
  <c r="AG261" i="356"/>
  <c r="AI261" i="356"/>
  <c r="AK261" i="356"/>
  <c r="Z261" i="356"/>
  <c r="AB261" i="356"/>
  <c r="AD261" i="356"/>
  <c r="AF261" i="356"/>
  <c r="AH261" i="356"/>
  <c r="AJ261" i="356"/>
  <c r="AA259" i="356"/>
  <c r="AC259" i="356"/>
  <c r="AE259" i="356"/>
  <c r="AG259" i="356"/>
  <c r="AI259" i="356"/>
  <c r="AK259" i="356"/>
  <c r="Z259" i="356"/>
  <c r="AB259" i="356"/>
  <c r="AD259" i="356"/>
  <c r="AF259" i="356"/>
  <c r="AH259" i="356"/>
  <c r="AJ259" i="356"/>
  <c r="AA257" i="356"/>
  <c r="AC257" i="356"/>
  <c r="AE257" i="356"/>
  <c r="AG257" i="356"/>
  <c r="AI257" i="356"/>
  <c r="AK257" i="356"/>
  <c r="Z257" i="356"/>
  <c r="AB257" i="356"/>
  <c r="AD257" i="356"/>
  <c r="AF257" i="356"/>
  <c r="AH257" i="356"/>
  <c r="AJ257" i="356"/>
  <c r="AA255" i="356"/>
  <c r="AC255" i="356"/>
  <c r="AE255" i="356"/>
  <c r="AG255" i="356"/>
  <c r="AI255" i="356"/>
  <c r="AK255" i="356"/>
  <c r="Z255" i="356"/>
  <c r="AB255" i="356"/>
  <c r="AD255" i="356"/>
  <c r="AF255" i="356"/>
  <c r="AH255" i="356"/>
  <c r="AJ255" i="356"/>
  <c r="AA253" i="356"/>
  <c r="AC253" i="356"/>
  <c r="AE253" i="356"/>
  <c r="AG253" i="356"/>
  <c r="AI253" i="356"/>
  <c r="AK253" i="356"/>
  <c r="Z253" i="356"/>
  <c r="AB253" i="356"/>
  <c r="AD253" i="356"/>
  <c r="AF253" i="356"/>
  <c r="AH253" i="356"/>
  <c r="AJ253" i="356"/>
  <c r="AA251" i="356"/>
  <c r="AC251" i="356"/>
  <c r="AE251" i="356"/>
  <c r="AG251" i="356"/>
  <c r="AI251" i="356"/>
  <c r="AK251" i="356"/>
  <c r="Z251" i="356"/>
  <c r="AB251" i="356"/>
  <c r="AD251" i="356"/>
  <c r="AF251" i="356"/>
  <c r="AH251" i="356"/>
  <c r="AJ251" i="356"/>
  <c r="AA249" i="356"/>
  <c r="AC249" i="356"/>
  <c r="AE249" i="356"/>
  <c r="AG249" i="356"/>
  <c r="AI249" i="356"/>
  <c r="AK249" i="356"/>
  <c r="Z249" i="356"/>
  <c r="AB249" i="356"/>
  <c r="AD249" i="356"/>
  <c r="AF249" i="356"/>
  <c r="AH249" i="356"/>
  <c r="AJ249" i="356"/>
  <c r="AA247" i="356"/>
  <c r="AC247" i="356"/>
  <c r="AE247" i="356"/>
  <c r="AG247" i="356"/>
  <c r="AI247" i="356"/>
  <c r="AK247" i="356"/>
  <c r="Z247" i="356"/>
  <c r="AB247" i="356"/>
  <c r="AD247" i="356"/>
  <c r="AF247" i="356"/>
  <c r="AH247" i="356"/>
  <c r="AJ247" i="356"/>
  <c r="AA245" i="356"/>
  <c r="AC245" i="356"/>
  <c r="AE245" i="356"/>
  <c r="AG245" i="356"/>
  <c r="AI245" i="356"/>
  <c r="AK245" i="356"/>
  <c r="Z245" i="356"/>
  <c r="AB245" i="356"/>
  <c r="AD245" i="356"/>
  <c r="AF245" i="356"/>
  <c r="AH245" i="356"/>
  <c r="AJ245" i="356"/>
  <c r="AA243" i="356"/>
  <c r="AC243" i="356"/>
  <c r="AE243" i="356"/>
  <c r="AG243" i="356"/>
  <c r="AI243" i="356"/>
  <c r="AK243" i="356"/>
  <c r="Z243" i="356"/>
  <c r="AB243" i="356"/>
  <c r="AD243" i="356"/>
  <c r="AF243" i="356"/>
  <c r="AH243" i="356"/>
  <c r="AJ243" i="356"/>
  <c r="AA241" i="356"/>
  <c r="AC241" i="356"/>
  <c r="AE241" i="356"/>
  <c r="AG241" i="356"/>
  <c r="AI241" i="356"/>
  <c r="AK241" i="356"/>
  <c r="Z241" i="356"/>
  <c r="AB241" i="356"/>
  <c r="AD241" i="356"/>
  <c r="AF241" i="356"/>
  <c r="AH241" i="356"/>
  <c r="AJ241" i="356"/>
  <c r="AA239" i="356"/>
  <c r="AC239" i="356"/>
  <c r="AE239" i="356"/>
  <c r="AG239" i="356"/>
  <c r="AI239" i="356"/>
  <c r="AK239" i="356"/>
  <c r="Z239" i="356"/>
  <c r="AB239" i="356"/>
  <c r="AD239" i="356"/>
  <c r="AF239" i="356"/>
  <c r="AH239" i="356"/>
  <c r="AJ239" i="356"/>
  <c r="Z237" i="356"/>
  <c r="AA237" i="356"/>
  <c r="AC237" i="356"/>
  <c r="AE237" i="356"/>
  <c r="AG237" i="356"/>
  <c r="AI237" i="356"/>
  <c r="AK237" i="356"/>
  <c r="AB237" i="356"/>
  <c r="AD237" i="356"/>
  <c r="AF237" i="356"/>
  <c r="AH237" i="356"/>
  <c r="AJ237" i="356"/>
  <c r="Z235" i="356"/>
  <c r="AB235" i="356"/>
  <c r="AD235" i="356"/>
  <c r="AF235" i="356"/>
  <c r="AH235" i="356"/>
  <c r="AJ235" i="356"/>
  <c r="AA235" i="356"/>
  <c r="AC235" i="356"/>
  <c r="AE235" i="356"/>
  <c r="AG235" i="356"/>
  <c r="AI235" i="356"/>
  <c r="AK235" i="356"/>
  <c r="Z233" i="356"/>
  <c r="AB233" i="356"/>
  <c r="AD233" i="356"/>
  <c r="AF233" i="356"/>
  <c r="AH233" i="356"/>
  <c r="AJ233" i="356"/>
  <c r="AA233" i="356"/>
  <c r="AC233" i="356"/>
  <c r="AE233" i="356"/>
  <c r="AG233" i="356"/>
  <c r="AI233" i="356"/>
  <c r="AK233" i="356"/>
  <c r="Z231" i="356"/>
  <c r="AB231" i="356"/>
  <c r="AD231" i="356"/>
  <c r="AF231" i="356"/>
  <c r="AH231" i="356"/>
  <c r="AJ231" i="356"/>
  <c r="AA231" i="356"/>
  <c r="AC231" i="356"/>
  <c r="AE231" i="356"/>
  <c r="AG231" i="356"/>
  <c r="AI231" i="356"/>
  <c r="AK231" i="356"/>
  <c r="Z229" i="356"/>
  <c r="AB229" i="356"/>
  <c r="AD229" i="356"/>
  <c r="AF229" i="356"/>
  <c r="AH229" i="356"/>
  <c r="AJ229" i="356"/>
  <c r="AA229" i="356"/>
  <c r="AC229" i="356"/>
  <c r="AE229" i="356"/>
  <c r="AG229" i="356"/>
  <c r="AI229" i="356"/>
  <c r="AK229" i="356"/>
  <c r="Z227" i="356"/>
  <c r="AB227" i="356"/>
  <c r="AD227" i="356"/>
  <c r="AF227" i="356"/>
  <c r="AH227" i="356"/>
  <c r="AJ227" i="356"/>
  <c r="AA227" i="356"/>
  <c r="AC227" i="356"/>
  <c r="AE227" i="356"/>
  <c r="AG227" i="356"/>
  <c r="AI227" i="356"/>
  <c r="AK227" i="356"/>
  <c r="Z225" i="356"/>
  <c r="AB225" i="356"/>
  <c r="AD225" i="356"/>
  <c r="AF225" i="356"/>
  <c r="AH225" i="356"/>
  <c r="AJ225" i="356"/>
  <c r="AA225" i="356"/>
  <c r="AC225" i="356"/>
  <c r="AE225" i="356"/>
  <c r="AG225" i="356"/>
  <c r="AI225" i="356"/>
  <c r="AK225" i="356"/>
  <c r="Z222" i="356"/>
  <c r="AB222" i="356"/>
  <c r="AD222" i="356"/>
  <c r="AF222" i="356"/>
  <c r="AH222" i="356"/>
  <c r="AJ222" i="356"/>
  <c r="AA222" i="356"/>
  <c r="AC222" i="356"/>
  <c r="AE222" i="356"/>
  <c r="AG222" i="356"/>
  <c r="AI222" i="356"/>
  <c r="AK222" i="356"/>
  <c r="Z220" i="356"/>
  <c r="AB220" i="356"/>
  <c r="AD220" i="356"/>
  <c r="AF220" i="356"/>
  <c r="AH220" i="356"/>
  <c r="AJ220" i="356"/>
  <c r="AA220" i="356"/>
  <c r="AC220" i="356"/>
  <c r="AE220" i="356"/>
  <c r="AG220" i="356"/>
  <c r="AI220" i="356"/>
  <c r="AK220" i="356"/>
  <c r="Z218" i="356"/>
  <c r="AB218" i="356"/>
  <c r="AD218" i="356"/>
  <c r="AF218" i="356"/>
  <c r="AH218" i="356"/>
  <c r="AJ218" i="356"/>
  <c r="AA218" i="356"/>
  <c r="AC218" i="356"/>
  <c r="AE218" i="356"/>
  <c r="AG218" i="356"/>
  <c r="AI218" i="356"/>
  <c r="AK218" i="356"/>
  <c r="Z216" i="356"/>
  <c r="AB216" i="356"/>
  <c r="AD216" i="356"/>
  <c r="AF216" i="356"/>
  <c r="AH216" i="356"/>
  <c r="AJ216" i="356"/>
  <c r="AA216" i="356"/>
  <c r="AC216" i="356"/>
  <c r="AE216" i="356"/>
  <c r="AG216" i="356"/>
  <c r="AI216" i="356"/>
  <c r="AK216" i="356"/>
  <c r="Z214" i="356"/>
  <c r="AB214" i="356"/>
  <c r="AD214" i="356"/>
  <c r="AF214" i="356"/>
  <c r="AH214" i="356"/>
  <c r="AJ214" i="356"/>
  <c r="AA214" i="356"/>
  <c r="AC214" i="356"/>
  <c r="AE214" i="356"/>
  <c r="AG214" i="356"/>
  <c r="AI214" i="356"/>
  <c r="AK214" i="356"/>
  <c r="Z212" i="356"/>
  <c r="AB212" i="356"/>
  <c r="AD212" i="356"/>
  <c r="AF212" i="356"/>
  <c r="AH212" i="356"/>
  <c r="AJ212" i="356"/>
  <c r="AA212" i="356"/>
  <c r="AC212" i="356"/>
  <c r="AE212" i="356"/>
  <c r="AG212" i="356"/>
  <c r="AI212" i="356"/>
  <c r="AK212" i="356"/>
  <c r="Z210" i="356"/>
  <c r="AB210" i="356"/>
  <c r="AD210" i="356"/>
  <c r="AF210" i="356"/>
  <c r="AH210" i="356"/>
  <c r="AJ210" i="356"/>
  <c r="AA210" i="356"/>
  <c r="AC210" i="356"/>
  <c r="AE210" i="356"/>
  <c r="AG210" i="356"/>
  <c r="AI210" i="356"/>
  <c r="AK210" i="356"/>
  <c r="Z208" i="356"/>
  <c r="AB208" i="356"/>
  <c r="AD208" i="356"/>
  <c r="AF208" i="356"/>
  <c r="AH208" i="356"/>
  <c r="AJ208" i="356"/>
  <c r="AA208" i="356"/>
  <c r="AC208" i="356"/>
  <c r="AE208" i="356"/>
  <c r="AG208" i="356"/>
  <c r="AI208" i="356"/>
  <c r="AK208" i="356"/>
  <c r="Z206" i="356"/>
  <c r="AB206" i="356"/>
  <c r="AD206" i="356"/>
  <c r="AF206" i="356"/>
  <c r="AH206" i="356"/>
  <c r="AJ206" i="356"/>
  <c r="AA206" i="356"/>
  <c r="AC206" i="356"/>
  <c r="AE206" i="356"/>
  <c r="AG206" i="356"/>
  <c r="AI206" i="356"/>
  <c r="AK206" i="356"/>
  <c r="Z204" i="356"/>
  <c r="AB204" i="356"/>
  <c r="AD204" i="356"/>
  <c r="AF204" i="356"/>
  <c r="AH204" i="356"/>
  <c r="AJ204" i="356"/>
  <c r="AA204" i="356"/>
  <c r="AC204" i="356"/>
  <c r="AE204" i="356"/>
  <c r="AG204" i="356"/>
  <c r="AI204" i="356"/>
  <c r="AK204" i="356"/>
  <c r="Z202" i="356"/>
  <c r="AB202" i="356"/>
  <c r="AD202" i="356"/>
  <c r="AF202" i="356"/>
  <c r="AH202" i="356"/>
  <c r="AJ202" i="356"/>
  <c r="AA202" i="356"/>
  <c r="AC202" i="356"/>
  <c r="AE202" i="356"/>
  <c r="AG202" i="356"/>
  <c r="AI202" i="356"/>
  <c r="AK202" i="356"/>
  <c r="Z200" i="356"/>
  <c r="AB200" i="356"/>
  <c r="AD200" i="356"/>
  <c r="AF200" i="356"/>
  <c r="AH200" i="356"/>
  <c r="AJ200" i="356"/>
  <c r="AA200" i="356"/>
  <c r="AC200" i="356"/>
  <c r="AE200" i="356"/>
  <c r="AG200" i="356"/>
  <c r="AI200" i="356"/>
  <c r="AK200" i="356"/>
  <c r="Z198" i="356"/>
  <c r="AB198" i="356"/>
  <c r="AD198" i="356"/>
  <c r="AF198" i="356"/>
  <c r="AH198" i="356"/>
  <c r="AJ198" i="356"/>
  <c r="AA198" i="356"/>
  <c r="AC198" i="356"/>
  <c r="AE198" i="356"/>
  <c r="AG198" i="356"/>
  <c r="AI198" i="356"/>
  <c r="AK198" i="356"/>
  <c r="Z196" i="356"/>
  <c r="AB196" i="356"/>
  <c r="AD196" i="356"/>
  <c r="AF196" i="356"/>
  <c r="AH196" i="356"/>
  <c r="AJ196" i="356"/>
  <c r="AA196" i="356"/>
  <c r="AC196" i="356"/>
  <c r="AE196" i="356"/>
  <c r="AG196" i="356"/>
  <c r="AI196" i="356"/>
  <c r="AK196" i="356"/>
  <c r="Z194" i="356"/>
  <c r="AB194" i="356"/>
  <c r="AD194" i="356"/>
  <c r="AF194" i="356"/>
  <c r="AH194" i="356"/>
  <c r="AJ194" i="356"/>
  <c r="AA194" i="356"/>
  <c r="AC194" i="356"/>
  <c r="AE194" i="356"/>
  <c r="AG194" i="356"/>
  <c r="AI194" i="356"/>
  <c r="AK194" i="356"/>
  <c r="Z192" i="356"/>
  <c r="AB192" i="356"/>
  <c r="AD192" i="356"/>
  <c r="AF192" i="356"/>
  <c r="AH192" i="356"/>
  <c r="AJ192" i="356"/>
  <c r="AA192" i="356"/>
  <c r="AC192" i="356"/>
  <c r="AE192" i="356"/>
  <c r="AG192" i="356"/>
  <c r="AI192" i="356"/>
  <c r="AK192" i="356"/>
  <c r="Z190" i="356"/>
  <c r="AB190" i="356"/>
  <c r="AD190" i="356"/>
  <c r="AF190" i="356"/>
  <c r="AH190" i="356"/>
  <c r="AJ190" i="356"/>
  <c r="AA190" i="356"/>
  <c r="AC190" i="356"/>
  <c r="AE190" i="356"/>
  <c r="AG190" i="356"/>
  <c r="AI190" i="356"/>
  <c r="AK190" i="356"/>
  <c r="Z187" i="356"/>
  <c r="AB187" i="356"/>
  <c r="AD187" i="356"/>
  <c r="AF187" i="356"/>
  <c r="AH187" i="356"/>
  <c r="AJ187" i="356"/>
  <c r="AA187" i="356"/>
  <c r="AC187" i="356"/>
  <c r="AE187" i="356"/>
  <c r="AG187" i="356"/>
  <c r="AI187" i="356"/>
  <c r="AK187" i="356"/>
  <c r="Z185" i="356"/>
  <c r="AB185" i="356"/>
  <c r="AD185" i="356"/>
  <c r="AF185" i="356"/>
  <c r="AH185" i="356"/>
  <c r="AJ185" i="356"/>
  <c r="AA185" i="356"/>
  <c r="AC185" i="356"/>
  <c r="AE185" i="356"/>
  <c r="AG185" i="356"/>
  <c r="AI185" i="356"/>
  <c r="AK185" i="356"/>
  <c r="Z183" i="356"/>
  <c r="AB183" i="356"/>
  <c r="AD183" i="356"/>
  <c r="AF183" i="356"/>
  <c r="AH183" i="356"/>
  <c r="AJ183" i="356"/>
  <c r="AA183" i="356"/>
  <c r="AC183" i="356"/>
  <c r="AE183" i="356"/>
  <c r="AG183" i="356"/>
  <c r="AI183" i="356"/>
  <c r="AK183" i="356"/>
  <c r="Z181" i="356"/>
  <c r="AB181" i="356"/>
  <c r="AD181" i="356"/>
  <c r="AF181" i="356"/>
  <c r="AH181" i="356"/>
  <c r="AJ181" i="356"/>
  <c r="AA181" i="356"/>
  <c r="AC181" i="356"/>
  <c r="AE181" i="356"/>
  <c r="AG181" i="356"/>
  <c r="AI181" i="356"/>
  <c r="AK181" i="356"/>
  <c r="Z179" i="356"/>
  <c r="AB179" i="356"/>
  <c r="AD179" i="356"/>
  <c r="AF179" i="356"/>
  <c r="AH179" i="356"/>
  <c r="AJ179" i="356"/>
  <c r="AA179" i="356"/>
  <c r="AC179" i="356"/>
  <c r="AE179" i="356"/>
  <c r="AG179" i="356"/>
  <c r="AI179" i="356"/>
  <c r="AK179" i="356"/>
  <c r="Z177" i="356"/>
  <c r="AB177" i="356"/>
  <c r="AD177" i="356"/>
  <c r="AF177" i="356"/>
  <c r="AH177" i="356"/>
  <c r="AJ177" i="356"/>
  <c r="AA177" i="356"/>
  <c r="AC177" i="356"/>
  <c r="AE177" i="356"/>
  <c r="AG177" i="356"/>
  <c r="AI177" i="356"/>
  <c r="AK177" i="356"/>
  <c r="Z175" i="356"/>
  <c r="AB175" i="356"/>
  <c r="AD175" i="356"/>
  <c r="AF175" i="356"/>
  <c r="AH175" i="356"/>
  <c r="AJ175" i="356"/>
  <c r="AA175" i="356"/>
  <c r="AC175" i="356"/>
  <c r="AE175" i="356"/>
  <c r="AG175" i="356"/>
  <c r="AI175" i="356"/>
  <c r="AK175" i="356"/>
  <c r="Z173" i="356"/>
  <c r="AB173" i="356"/>
  <c r="AD173" i="356"/>
  <c r="AF173" i="356"/>
  <c r="AH173" i="356"/>
  <c r="AJ173" i="356"/>
  <c r="AA173" i="356"/>
  <c r="AC173" i="356"/>
  <c r="AE173" i="356"/>
  <c r="AG173" i="356"/>
  <c r="AI173" i="356"/>
  <c r="AK173" i="356"/>
  <c r="Z171" i="356"/>
  <c r="AB171" i="356"/>
  <c r="AD171" i="356"/>
  <c r="AF171" i="356"/>
  <c r="AH171" i="356"/>
  <c r="AJ171" i="356"/>
  <c r="AA171" i="356"/>
  <c r="AC171" i="356"/>
  <c r="AE171" i="356"/>
  <c r="AG171" i="356"/>
  <c r="AI171" i="356"/>
  <c r="AK171" i="356"/>
  <c r="Z169" i="356"/>
  <c r="AB169" i="356"/>
  <c r="AD169" i="356"/>
  <c r="AF169" i="356"/>
  <c r="AH169" i="356"/>
  <c r="AJ169" i="356"/>
  <c r="AA169" i="356"/>
  <c r="AC169" i="356"/>
  <c r="AE169" i="356"/>
  <c r="AG169" i="356"/>
  <c r="AI169" i="356"/>
  <c r="AK169" i="356"/>
  <c r="Z167" i="356"/>
  <c r="AB167" i="356"/>
  <c r="AD167" i="356"/>
  <c r="AF167" i="356"/>
  <c r="AH167" i="356"/>
  <c r="AJ167" i="356"/>
  <c r="AA167" i="356"/>
  <c r="AC167" i="356"/>
  <c r="AE167" i="356"/>
  <c r="AG167" i="356"/>
  <c r="AI167" i="356"/>
  <c r="AK167" i="356"/>
  <c r="Z165" i="356"/>
  <c r="AB165" i="356"/>
  <c r="AD165" i="356"/>
  <c r="AF165" i="356"/>
  <c r="AH165" i="356"/>
  <c r="AJ165" i="356"/>
  <c r="AA165" i="356"/>
  <c r="AC165" i="356"/>
  <c r="AE165" i="356"/>
  <c r="AG165" i="356"/>
  <c r="AI165" i="356"/>
  <c r="AK165" i="356"/>
  <c r="Z163" i="356"/>
  <c r="AB163" i="356"/>
  <c r="AD163" i="356"/>
  <c r="AF163" i="356"/>
  <c r="AH163" i="356"/>
  <c r="AJ163" i="356"/>
  <c r="AA163" i="356"/>
  <c r="AC163" i="356"/>
  <c r="AE163" i="356"/>
  <c r="AG163" i="356"/>
  <c r="AI163" i="356"/>
  <c r="AK163" i="356"/>
  <c r="Z161" i="356"/>
  <c r="AB161" i="356"/>
  <c r="AD161" i="356"/>
  <c r="AF161" i="356"/>
  <c r="AH161" i="356"/>
  <c r="AJ161" i="356"/>
  <c r="AA161" i="356"/>
  <c r="AC161" i="356"/>
  <c r="AE161" i="356"/>
  <c r="AG161" i="356"/>
  <c r="AI161" i="356"/>
  <c r="AK161" i="356"/>
  <c r="Z159" i="356"/>
  <c r="AB159" i="356"/>
  <c r="AD159" i="356"/>
  <c r="AF159" i="356"/>
  <c r="AH159" i="356"/>
  <c r="AJ159" i="356"/>
  <c r="AA159" i="356"/>
  <c r="AC159" i="356"/>
  <c r="AE159" i="356"/>
  <c r="AG159" i="356"/>
  <c r="AI159" i="356"/>
  <c r="AK159" i="356"/>
  <c r="Z157" i="356"/>
  <c r="AB157" i="356"/>
  <c r="AD157" i="356"/>
  <c r="AF157" i="356"/>
  <c r="AH157" i="356"/>
  <c r="AJ157" i="356"/>
  <c r="AA157" i="356"/>
  <c r="AC157" i="356"/>
  <c r="AE157" i="356"/>
  <c r="AG157" i="356"/>
  <c r="AI157" i="356"/>
  <c r="AK157" i="356"/>
  <c r="Z155" i="356"/>
  <c r="AB155" i="356"/>
  <c r="AD155" i="356"/>
  <c r="AF155" i="356"/>
  <c r="AH155" i="356"/>
  <c r="AJ155" i="356"/>
  <c r="AA155" i="356"/>
  <c r="AC155" i="356"/>
  <c r="AE155" i="356"/>
  <c r="AG155" i="356"/>
  <c r="AI155" i="356"/>
  <c r="AK155" i="356"/>
  <c r="Z153" i="356"/>
  <c r="AB153" i="356"/>
  <c r="AD153" i="356"/>
  <c r="AF153" i="356"/>
  <c r="AH153" i="356"/>
  <c r="AJ153" i="356"/>
  <c r="AA153" i="356"/>
  <c r="AC153" i="356"/>
  <c r="AE153" i="356"/>
  <c r="AG153" i="356"/>
  <c r="AI153" i="356"/>
  <c r="AK153" i="356"/>
  <c r="Z151" i="356"/>
  <c r="AB151" i="356"/>
  <c r="AD151" i="356"/>
  <c r="AF151" i="356"/>
  <c r="AH151" i="356"/>
  <c r="AJ151" i="356"/>
  <c r="AC151" i="356"/>
  <c r="AG151" i="356"/>
  <c r="AK151" i="356"/>
  <c r="AA151" i="356"/>
  <c r="AE151" i="356"/>
  <c r="AI151" i="356"/>
  <c r="Z149" i="356"/>
  <c r="AB149" i="356"/>
  <c r="AD149" i="356"/>
  <c r="AF149" i="356"/>
  <c r="AH149" i="356"/>
  <c r="AJ149" i="356"/>
  <c r="AA149" i="356"/>
  <c r="AC149" i="356"/>
  <c r="AG149" i="356"/>
  <c r="AK149" i="356"/>
  <c r="AE149" i="356"/>
  <c r="AI149" i="356"/>
  <c r="Z147" i="356"/>
  <c r="AB147" i="356"/>
  <c r="AD147" i="356"/>
  <c r="AF147" i="356"/>
  <c r="AH147" i="356"/>
  <c r="AJ147" i="356"/>
  <c r="AA147" i="356"/>
  <c r="AC147" i="356"/>
  <c r="AE147" i="356"/>
  <c r="AG147" i="356"/>
  <c r="AI147" i="356"/>
  <c r="AK147" i="356"/>
  <c r="Z145" i="356"/>
  <c r="AB145" i="356"/>
  <c r="AD145" i="356"/>
  <c r="AF145" i="356"/>
  <c r="AH145" i="356"/>
  <c r="AJ145" i="356"/>
  <c r="AA145" i="356"/>
  <c r="AC145" i="356"/>
  <c r="AE145" i="356"/>
  <c r="AG145" i="356"/>
  <c r="AI145" i="356"/>
  <c r="AK145" i="356"/>
  <c r="Z143" i="356"/>
  <c r="AB143" i="356"/>
  <c r="AD143" i="356"/>
  <c r="AF143" i="356"/>
  <c r="AH143" i="356"/>
  <c r="AJ143" i="356"/>
  <c r="AA143" i="356"/>
  <c r="AC143" i="356"/>
  <c r="AE143" i="356"/>
  <c r="AG143" i="356"/>
  <c r="AI143" i="356"/>
  <c r="AK143" i="356"/>
  <c r="Z141" i="356"/>
  <c r="AB141" i="356"/>
  <c r="AD141" i="356"/>
  <c r="AF141" i="356"/>
  <c r="AH141" i="356"/>
  <c r="AJ141" i="356"/>
  <c r="AA141" i="356"/>
  <c r="AC141" i="356"/>
  <c r="AE141" i="356"/>
  <c r="AG141" i="356"/>
  <c r="AI141" i="356"/>
  <c r="AK141" i="356"/>
  <c r="Z139" i="356"/>
  <c r="AB139" i="356"/>
  <c r="AD139" i="356"/>
  <c r="AF139" i="356"/>
  <c r="AH139" i="356"/>
  <c r="AJ139" i="356"/>
  <c r="AA139" i="356"/>
  <c r="AC139" i="356"/>
  <c r="AE139" i="356"/>
  <c r="AG139" i="356"/>
  <c r="AI139" i="356"/>
  <c r="AK139" i="356"/>
  <c r="Z137" i="356"/>
  <c r="AB137" i="356"/>
  <c r="AD137" i="356"/>
  <c r="AF137" i="356"/>
  <c r="AH137" i="356"/>
  <c r="AJ137" i="356"/>
  <c r="AA137" i="356"/>
  <c r="AC137" i="356"/>
  <c r="AE137" i="356"/>
  <c r="AG137" i="356"/>
  <c r="AI137" i="356"/>
  <c r="AK137" i="356"/>
  <c r="Z135" i="356"/>
  <c r="AB135" i="356"/>
  <c r="AD135" i="356"/>
  <c r="AF135" i="356"/>
  <c r="AH135" i="356"/>
  <c r="AJ135" i="356"/>
  <c r="AA135" i="356"/>
  <c r="AC135" i="356"/>
  <c r="AE135" i="356"/>
  <c r="AG135" i="356"/>
  <c r="AI135" i="356"/>
  <c r="AK135" i="356"/>
  <c r="Z133" i="356"/>
  <c r="AB133" i="356"/>
  <c r="AD133" i="356"/>
  <c r="AF133" i="356"/>
  <c r="AH133" i="356"/>
  <c r="AJ133" i="356"/>
  <c r="AA133" i="356"/>
  <c r="AC133" i="356"/>
  <c r="AE133" i="356"/>
  <c r="AG133" i="356"/>
  <c r="AI133" i="356"/>
  <c r="AK133" i="356"/>
  <c r="Z131" i="356"/>
  <c r="AB131" i="356"/>
  <c r="AD131" i="356"/>
  <c r="AF131" i="356"/>
  <c r="AH131" i="356"/>
  <c r="AJ131" i="356"/>
  <c r="AA131" i="356"/>
  <c r="AC131" i="356"/>
  <c r="AE131" i="356"/>
  <c r="AG131" i="356"/>
  <c r="AI131" i="356"/>
  <c r="AK131" i="356"/>
  <c r="Z129" i="356"/>
  <c r="AB129" i="356"/>
  <c r="AD129" i="356"/>
  <c r="AF129" i="356"/>
  <c r="AH129" i="356"/>
  <c r="AJ129" i="356"/>
  <c r="AA129" i="356"/>
  <c r="AC129" i="356"/>
  <c r="AE129" i="356"/>
  <c r="AG129" i="356"/>
  <c r="AI129" i="356"/>
  <c r="AK129" i="356"/>
  <c r="Z127" i="356"/>
  <c r="AB127" i="356"/>
  <c r="AD127" i="356"/>
  <c r="AF127" i="356"/>
  <c r="AH127" i="356"/>
  <c r="AJ127" i="356"/>
  <c r="AA127" i="356"/>
  <c r="AC127" i="356"/>
  <c r="AE127" i="356"/>
  <c r="AG127" i="356"/>
  <c r="AI127" i="356"/>
  <c r="AK127" i="356"/>
  <c r="Z125" i="356"/>
  <c r="AB125" i="356"/>
  <c r="AD125" i="356"/>
  <c r="AF125" i="356"/>
  <c r="AH125" i="356"/>
  <c r="AJ125" i="356"/>
  <c r="AA125" i="356"/>
  <c r="AC125" i="356"/>
  <c r="AE125" i="356"/>
  <c r="AG125" i="356"/>
  <c r="AI125" i="356"/>
  <c r="AK125" i="356"/>
  <c r="Z123" i="356"/>
  <c r="AB123" i="356"/>
  <c r="AD123" i="356"/>
  <c r="AF123" i="356"/>
  <c r="AH123" i="356"/>
  <c r="AJ123" i="356"/>
  <c r="AA123" i="356"/>
  <c r="AC123" i="356"/>
  <c r="AE123" i="356"/>
  <c r="AG123" i="356"/>
  <c r="AI123" i="356"/>
  <c r="AK123" i="356"/>
  <c r="Z121" i="356"/>
  <c r="AB121" i="356"/>
  <c r="AD121" i="356"/>
  <c r="AF121" i="356"/>
  <c r="AH121" i="356"/>
  <c r="AJ121" i="356"/>
  <c r="AA121" i="356"/>
  <c r="AC121" i="356"/>
  <c r="AE121" i="356"/>
  <c r="AG121" i="356"/>
  <c r="AI121" i="356"/>
  <c r="AK121" i="356"/>
  <c r="Z119" i="356"/>
  <c r="AB119" i="356"/>
  <c r="AD119" i="356"/>
  <c r="AF119" i="356"/>
  <c r="AH119" i="356"/>
  <c r="AJ119" i="356"/>
  <c r="AA119" i="356"/>
  <c r="AC119" i="356"/>
  <c r="AE119" i="356"/>
  <c r="AG119" i="356"/>
  <c r="AI119" i="356"/>
  <c r="AK119" i="356"/>
  <c r="Z117" i="356"/>
  <c r="AB117" i="356"/>
  <c r="AD117" i="356"/>
  <c r="AF117" i="356"/>
  <c r="AH117" i="356"/>
  <c r="AJ117" i="356"/>
  <c r="AA117" i="356"/>
  <c r="AC117" i="356"/>
  <c r="AE117" i="356"/>
  <c r="AG117" i="356"/>
  <c r="AI117" i="356"/>
  <c r="AK117" i="356"/>
  <c r="Z115" i="356"/>
  <c r="AB115" i="356"/>
  <c r="AD115" i="356"/>
  <c r="AF115" i="356"/>
  <c r="AH115" i="356"/>
  <c r="AJ115" i="356"/>
  <c r="AA115" i="356"/>
  <c r="AC115" i="356"/>
  <c r="AE115" i="356"/>
  <c r="AG115" i="356"/>
  <c r="AI115" i="356"/>
  <c r="AK115" i="356"/>
  <c r="Z113" i="356"/>
  <c r="AB113" i="356"/>
  <c r="AD113" i="356"/>
  <c r="AF113" i="356"/>
  <c r="AH113" i="356"/>
  <c r="AJ113" i="356"/>
  <c r="AA113" i="356"/>
  <c r="AC113" i="356"/>
  <c r="AE113" i="356"/>
  <c r="AG113" i="356"/>
  <c r="AI113" i="356"/>
  <c r="AK113" i="356"/>
  <c r="Z111" i="356"/>
  <c r="AB111" i="356"/>
  <c r="AD111" i="356"/>
  <c r="AF111" i="356"/>
  <c r="AH111" i="356"/>
  <c r="AJ111" i="356"/>
  <c r="AA111" i="356"/>
  <c r="AC111" i="356"/>
  <c r="AE111" i="356"/>
  <c r="AG111" i="356"/>
  <c r="AI111" i="356"/>
  <c r="AK111" i="356"/>
  <c r="Z109" i="356"/>
  <c r="AB109" i="356"/>
  <c r="AD109" i="356"/>
  <c r="AF109" i="356"/>
  <c r="AH109" i="356"/>
  <c r="AJ109" i="356"/>
  <c r="AA109" i="356"/>
  <c r="AC109" i="356"/>
  <c r="AE109" i="356"/>
  <c r="AG109" i="356"/>
  <c r="AI109" i="356"/>
  <c r="AK109" i="356"/>
  <c r="Z107" i="356"/>
  <c r="AB107" i="356"/>
  <c r="AD107" i="356"/>
  <c r="AF107" i="356"/>
  <c r="AH107" i="356"/>
  <c r="AJ107" i="356"/>
  <c r="AA107" i="356"/>
  <c r="AC107" i="356"/>
  <c r="AE107" i="356"/>
  <c r="AG107" i="356"/>
  <c r="AI107" i="356"/>
  <c r="AK107" i="356"/>
  <c r="Z105" i="356"/>
  <c r="AB105" i="356"/>
  <c r="AD105" i="356"/>
  <c r="AF105" i="356"/>
  <c r="AH105" i="356"/>
  <c r="AJ105" i="356"/>
  <c r="AA105" i="356"/>
  <c r="AC105" i="356"/>
  <c r="AE105" i="356"/>
  <c r="AG105" i="356"/>
  <c r="AI105" i="356"/>
  <c r="AK105" i="356"/>
  <c r="Z103" i="356"/>
  <c r="AB103" i="356"/>
  <c r="AD103" i="356"/>
  <c r="AF103" i="356"/>
  <c r="AH103" i="356"/>
  <c r="AJ103" i="356"/>
  <c r="AA103" i="356"/>
  <c r="AC103" i="356"/>
  <c r="AE103" i="356"/>
  <c r="AG103" i="356"/>
  <c r="AI103" i="356"/>
  <c r="AK103" i="356"/>
  <c r="Z101" i="356"/>
  <c r="AB101" i="356"/>
  <c r="AD101" i="356"/>
  <c r="AF101" i="356"/>
  <c r="AH101" i="356"/>
  <c r="AJ101" i="356"/>
  <c r="AA101" i="356"/>
  <c r="AC101" i="356"/>
  <c r="AE101" i="356"/>
  <c r="AG101" i="356"/>
  <c r="AI101" i="356"/>
  <c r="AK101" i="356"/>
  <c r="Z99" i="356"/>
  <c r="AB99" i="356"/>
  <c r="AD99" i="356"/>
  <c r="AF99" i="356"/>
  <c r="AH99" i="356"/>
  <c r="AJ99" i="356"/>
  <c r="AA99" i="356"/>
  <c r="AC99" i="356"/>
  <c r="AE99" i="356"/>
  <c r="AG99" i="356"/>
  <c r="AI99" i="356"/>
  <c r="AK99" i="356"/>
  <c r="Z97" i="356"/>
  <c r="AB97" i="356"/>
  <c r="AD97" i="356"/>
  <c r="AF97" i="356"/>
  <c r="AH97" i="356"/>
  <c r="AJ97" i="356"/>
  <c r="AA97" i="356"/>
  <c r="AC97" i="356"/>
  <c r="AE97" i="356"/>
  <c r="AG97" i="356"/>
  <c r="AI97" i="356"/>
  <c r="AK97" i="356"/>
  <c r="Z95" i="356"/>
  <c r="AB95" i="356"/>
  <c r="AD95" i="356"/>
  <c r="AF95" i="356"/>
  <c r="AH95" i="356"/>
  <c r="AJ95" i="356"/>
  <c r="AA95" i="356"/>
  <c r="AC95" i="356"/>
  <c r="AE95" i="356"/>
  <c r="AG95" i="356"/>
  <c r="AI95" i="356"/>
  <c r="AK95" i="356"/>
  <c r="Z93" i="356"/>
  <c r="AB93" i="356"/>
  <c r="AD93" i="356"/>
  <c r="AF93" i="356"/>
  <c r="AH93" i="356"/>
  <c r="J17" i="95" s="1"/>
  <c r="AJ93" i="356"/>
  <c r="AA93" i="356"/>
  <c r="AC93" i="356"/>
  <c r="AE93" i="356"/>
  <c r="AG93" i="356"/>
  <c r="AI93" i="356"/>
  <c r="AK93" i="356"/>
  <c r="Z91" i="356"/>
  <c r="AB91" i="356"/>
  <c r="AD91" i="356"/>
  <c r="AF91" i="356"/>
  <c r="AH91" i="356"/>
  <c r="AJ91" i="356"/>
  <c r="AA91" i="356"/>
  <c r="AC91" i="356"/>
  <c r="AE91" i="356"/>
  <c r="AG91" i="356"/>
  <c r="AI91" i="356"/>
  <c r="AK91" i="356"/>
  <c r="Z89" i="356"/>
  <c r="AB89" i="356"/>
  <c r="AD89" i="356"/>
  <c r="AF89" i="356"/>
  <c r="AH89" i="356"/>
  <c r="AJ89" i="356"/>
  <c r="AA89" i="356"/>
  <c r="AC89" i="356"/>
  <c r="AE89" i="356"/>
  <c r="AG89" i="356"/>
  <c r="AI89" i="356"/>
  <c r="AK89" i="356"/>
  <c r="Z87" i="356"/>
  <c r="AB87" i="356"/>
  <c r="AD87" i="356"/>
  <c r="AF87" i="356"/>
  <c r="AH87" i="356"/>
  <c r="AJ87" i="356"/>
  <c r="AA87" i="356"/>
  <c r="AC87" i="356"/>
  <c r="AE87" i="356"/>
  <c r="AG87" i="356"/>
  <c r="AI87" i="356"/>
  <c r="AK87" i="356"/>
  <c r="Z77" i="356"/>
  <c r="AB77" i="356"/>
  <c r="AD77" i="356"/>
  <c r="AF77" i="356"/>
  <c r="AH77" i="356"/>
  <c r="AJ77" i="356"/>
  <c r="AA77" i="356"/>
  <c r="AC77" i="356"/>
  <c r="AE77" i="356"/>
  <c r="AG77" i="356"/>
  <c r="AI77" i="356"/>
  <c r="AK77" i="356"/>
  <c r="Z75" i="356"/>
  <c r="AB75" i="356"/>
  <c r="AD75" i="356"/>
  <c r="AF75" i="356"/>
  <c r="AH75" i="356"/>
  <c r="AJ75" i="356"/>
  <c r="AA75" i="356"/>
  <c r="AC75" i="356"/>
  <c r="AE75" i="356"/>
  <c r="AG75" i="356"/>
  <c r="AI75" i="356"/>
  <c r="AK75" i="356"/>
  <c r="Z73" i="356"/>
  <c r="AB73" i="356"/>
  <c r="AD73" i="356"/>
  <c r="AF73" i="356"/>
  <c r="AH73" i="356"/>
  <c r="AJ73" i="356"/>
  <c r="AA73" i="356"/>
  <c r="AC73" i="356"/>
  <c r="AE73" i="356"/>
  <c r="AG73" i="356"/>
  <c r="AI73" i="356"/>
  <c r="AK73" i="356"/>
  <c r="Z71" i="356"/>
  <c r="AB71" i="356"/>
  <c r="AD71" i="356"/>
  <c r="AF71" i="356"/>
  <c r="AH71" i="356"/>
  <c r="AJ71" i="356"/>
  <c r="AA71" i="356"/>
  <c r="AC71" i="356"/>
  <c r="AE71" i="356"/>
  <c r="AG71" i="356"/>
  <c r="AI71" i="356"/>
  <c r="AK71" i="356"/>
  <c r="Z68" i="356"/>
  <c r="AB68" i="356"/>
  <c r="AD68" i="356"/>
  <c r="AF68" i="356"/>
  <c r="AH68" i="356"/>
  <c r="AJ68" i="356"/>
  <c r="AA68" i="356"/>
  <c r="AC68" i="356"/>
  <c r="AE68" i="356"/>
  <c r="AG68" i="356"/>
  <c r="AI68" i="356"/>
  <c r="AK68" i="356"/>
  <c r="AA66" i="356"/>
  <c r="AC66" i="356"/>
  <c r="AE66" i="356"/>
  <c r="AG66" i="356"/>
  <c r="AI66" i="356"/>
  <c r="AK66" i="356"/>
  <c r="Z66" i="356"/>
  <c r="AB66" i="356"/>
  <c r="AD66" i="356"/>
  <c r="AF66" i="356"/>
  <c r="AH66" i="356"/>
  <c r="AJ66" i="356"/>
  <c r="AA64" i="356"/>
  <c r="AC64" i="356"/>
  <c r="AE64" i="356"/>
  <c r="AG64" i="356"/>
  <c r="AI64" i="356"/>
  <c r="AK64" i="356"/>
  <c r="Z64" i="356"/>
  <c r="AB64" i="356"/>
  <c r="AD64" i="356"/>
  <c r="AF64" i="356"/>
  <c r="AH64" i="356"/>
  <c r="AJ64" i="356"/>
  <c r="AA62" i="356"/>
  <c r="AC62" i="356"/>
  <c r="AE62" i="356"/>
  <c r="AG62" i="356"/>
  <c r="AI62" i="356"/>
  <c r="AK62" i="356"/>
  <c r="Z62" i="356"/>
  <c r="AB62" i="356"/>
  <c r="AD62" i="356"/>
  <c r="AF62" i="356"/>
  <c r="AH62" i="356"/>
  <c r="AJ62" i="356"/>
  <c r="AA60" i="356"/>
  <c r="AC60" i="356"/>
  <c r="AE60" i="356"/>
  <c r="AG60" i="356"/>
  <c r="AI60" i="356"/>
  <c r="AK60" i="356"/>
  <c r="Z60" i="356"/>
  <c r="AB60" i="356"/>
  <c r="AD60" i="356"/>
  <c r="AF60" i="356"/>
  <c r="AH60" i="356"/>
  <c r="AJ60" i="356"/>
  <c r="AA58" i="356"/>
  <c r="AC58" i="356"/>
  <c r="AE58" i="356"/>
  <c r="AG58" i="356"/>
  <c r="AI58" i="356"/>
  <c r="AK58" i="356"/>
  <c r="Z58" i="356"/>
  <c r="AB58" i="356"/>
  <c r="AD58" i="356"/>
  <c r="AF58" i="356"/>
  <c r="AH58" i="356"/>
  <c r="AJ58" i="356"/>
  <c r="AA56" i="356"/>
  <c r="AC56" i="356"/>
  <c r="AE56" i="356"/>
  <c r="AG56" i="356"/>
  <c r="AI56" i="356"/>
  <c r="AK56" i="356"/>
  <c r="Z56" i="356"/>
  <c r="AB56" i="356"/>
  <c r="AD56" i="356"/>
  <c r="AF56" i="356"/>
  <c r="AH56" i="356"/>
  <c r="AJ56" i="356"/>
  <c r="AA54" i="356"/>
  <c r="AC54" i="356"/>
  <c r="AE54" i="356"/>
  <c r="AG54" i="356"/>
  <c r="AI54" i="356"/>
  <c r="AK54" i="356"/>
  <c r="Z54" i="356"/>
  <c r="AB54" i="356"/>
  <c r="AD54" i="356"/>
  <c r="AF54" i="356"/>
  <c r="AH54" i="356"/>
  <c r="AJ54" i="356"/>
  <c r="AA52" i="356"/>
  <c r="AC52" i="356"/>
  <c r="AE52" i="356"/>
  <c r="AG52" i="356"/>
  <c r="AI52" i="356"/>
  <c r="AK52" i="356"/>
  <c r="Z52" i="356"/>
  <c r="AB52" i="356"/>
  <c r="AD52" i="356"/>
  <c r="AF52" i="356"/>
  <c r="AH52" i="356"/>
  <c r="AJ52" i="356"/>
  <c r="AA50" i="356"/>
  <c r="AC50" i="356"/>
  <c r="AE50" i="356"/>
  <c r="AG50" i="356"/>
  <c r="AI50" i="356"/>
  <c r="AK50" i="356"/>
  <c r="Z50" i="356"/>
  <c r="AB50" i="356"/>
  <c r="AD50" i="356"/>
  <c r="AF50" i="356"/>
  <c r="AH50" i="356"/>
  <c r="AJ50" i="356"/>
  <c r="AA48" i="356"/>
  <c r="AC48" i="356"/>
  <c r="AE48" i="356"/>
  <c r="AG48" i="356"/>
  <c r="AI48" i="356"/>
  <c r="AK48" i="356"/>
  <c r="Z48" i="356"/>
  <c r="AB48" i="356"/>
  <c r="AD48" i="356"/>
  <c r="AF48" i="356"/>
  <c r="AH48" i="356"/>
  <c r="AJ48" i="356"/>
  <c r="AA46" i="356"/>
  <c r="AC46" i="356"/>
  <c r="AE46" i="356"/>
  <c r="AG46" i="356"/>
  <c r="AI46" i="356"/>
  <c r="AK46" i="356"/>
  <c r="Z46" i="356"/>
  <c r="AB46" i="356"/>
  <c r="AD46" i="356"/>
  <c r="AF46" i="356"/>
  <c r="AH46" i="356"/>
  <c r="AJ46" i="356"/>
  <c r="AA44" i="356"/>
  <c r="AC44" i="356"/>
  <c r="AE44" i="356"/>
  <c r="AG44" i="356"/>
  <c r="AI44" i="356"/>
  <c r="AK44" i="356"/>
  <c r="AB44" i="356"/>
  <c r="AF44" i="356"/>
  <c r="AJ44" i="356"/>
  <c r="Z44" i="356"/>
  <c r="AD44" i="356"/>
  <c r="AH44" i="356"/>
  <c r="AA42" i="356"/>
  <c r="AC42" i="356"/>
  <c r="AE42" i="356"/>
  <c r="AG42" i="356"/>
  <c r="AI42" i="356"/>
  <c r="AK42" i="356"/>
  <c r="AB42" i="356"/>
  <c r="AF42" i="356"/>
  <c r="AJ42" i="356"/>
  <c r="Z42" i="356"/>
  <c r="AD42" i="356"/>
  <c r="AH42" i="356"/>
  <c r="AA40" i="356"/>
  <c r="AC40" i="356"/>
  <c r="AE40" i="356"/>
  <c r="AG40" i="356"/>
  <c r="AI40" i="356"/>
  <c r="AK40" i="356"/>
  <c r="AB40" i="356"/>
  <c r="AF40" i="356"/>
  <c r="AJ40" i="356"/>
  <c r="Z40" i="356"/>
  <c r="AD40" i="356"/>
  <c r="AH40" i="356"/>
  <c r="AA38" i="356"/>
  <c r="AC38" i="356"/>
  <c r="AE38" i="356"/>
  <c r="AG38" i="356"/>
  <c r="AI38" i="356"/>
  <c r="AK38" i="356"/>
  <c r="AB38" i="356"/>
  <c r="AF38" i="356"/>
  <c r="AJ38" i="356"/>
  <c r="Z38" i="356"/>
  <c r="AD38" i="356"/>
  <c r="AH38" i="356"/>
  <c r="AA36" i="356"/>
  <c r="AC36" i="356"/>
  <c r="AE36" i="356"/>
  <c r="AG36" i="356"/>
  <c r="AI36" i="356"/>
  <c r="AK36" i="356"/>
  <c r="AB36" i="356"/>
  <c r="AF36" i="356"/>
  <c r="AJ36" i="356"/>
  <c r="Z36" i="356"/>
  <c r="AD36" i="356"/>
  <c r="AH36" i="356"/>
  <c r="AA34" i="356"/>
  <c r="AC34" i="356"/>
  <c r="AE34" i="356"/>
  <c r="AG34" i="356"/>
  <c r="AI34" i="356"/>
  <c r="AK34" i="356"/>
  <c r="AB34" i="356"/>
  <c r="AF34" i="356"/>
  <c r="AJ34" i="356"/>
  <c r="Z34" i="356"/>
  <c r="AD34" i="356"/>
  <c r="AH34" i="356"/>
  <c r="AA32" i="356"/>
  <c r="AC32" i="356"/>
  <c r="AE32" i="356"/>
  <c r="AG32" i="356"/>
  <c r="AI32" i="356"/>
  <c r="AK32" i="356"/>
  <c r="AB32" i="356"/>
  <c r="AF32" i="356"/>
  <c r="AJ32" i="356"/>
  <c r="Z32" i="356"/>
  <c r="AD32" i="356"/>
  <c r="AH32" i="356"/>
  <c r="AA30" i="356"/>
  <c r="AC30" i="356"/>
  <c r="AE30" i="356"/>
  <c r="AG30" i="356"/>
  <c r="AI30" i="356"/>
  <c r="AK30" i="356"/>
  <c r="AB30" i="356"/>
  <c r="AF30" i="356"/>
  <c r="AJ30" i="356"/>
  <c r="Z30" i="356"/>
  <c r="AD30" i="356"/>
  <c r="AH30" i="356"/>
  <c r="AA28" i="356"/>
  <c r="AC28" i="356"/>
  <c r="AE28" i="356"/>
  <c r="AG28" i="356"/>
  <c r="AI28" i="356"/>
  <c r="AK28" i="356"/>
  <c r="AB28" i="356"/>
  <c r="AF28" i="356"/>
  <c r="AJ28" i="356"/>
  <c r="Z28" i="356"/>
  <c r="AD28" i="356"/>
  <c r="AH28" i="356"/>
  <c r="AA26" i="356"/>
  <c r="AC26" i="356"/>
  <c r="AE26" i="356"/>
  <c r="AG26" i="356"/>
  <c r="AI26" i="356"/>
  <c r="AK26" i="356"/>
  <c r="AB26" i="356"/>
  <c r="AF26" i="356"/>
  <c r="AJ26" i="356"/>
  <c r="Z26" i="356"/>
  <c r="AD26" i="356"/>
  <c r="AH26" i="356"/>
  <c r="AA24" i="356"/>
  <c r="AC24" i="356"/>
  <c r="AE24" i="356"/>
  <c r="AG24" i="356"/>
  <c r="AI24" i="356"/>
  <c r="AK24" i="356"/>
  <c r="AB24" i="356"/>
  <c r="AF24" i="356"/>
  <c r="AJ24" i="356"/>
  <c r="Z24" i="356"/>
  <c r="AD24" i="356"/>
  <c r="AH24" i="356"/>
  <c r="AA22" i="356"/>
  <c r="AC22" i="356"/>
  <c r="AE22" i="356"/>
  <c r="AG22" i="356"/>
  <c r="AI22" i="356"/>
  <c r="AK22" i="356"/>
  <c r="AB22" i="356"/>
  <c r="AF22" i="356"/>
  <c r="AJ22" i="356"/>
  <c r="Z22" i="356"/>
  <c r="AD22" i="356"/>
  <c r="AH22" i="356"/>
  <c r="AA20" i="356"/>
  <c r="AC20" i="356"/>
  <c r="AE20" i="356"/>
  <c r="AG20" i="356"/>
  <c r="AI20" i="356"/>
  <c r="AK20" i="356"/>
  <c r="AB20" i="356"/>
  <c r="AF20" i="356"/>
  <c r="AJ20" i="356"/>
  <c r="Z20" i="356"/>
  <c r="AD20" i="356"/>
  <c r="AH20" i="356"/>
  <c r="AA18" i="356"/>
  <c r="AC18" i="356"/>
  <c r="AE18" i="356"/>
  <c r="AG18" i="356"/>
  <c r="AI18" i="356"/>
  <c r="AK18" i="356"/>
  <c r="AB18" i="356"/>
  <c r="AF18" i="356"/>
  <c r="AJ18" i="356"/>
  <c r="Z18" i="356"/>
  <c r="AD18" i="356"/>
  <c r="AH18" i="356"/>
  <c r="AA16" i="356"/>
  <c r="AC16" i="356"/>
  <c r="AE16" i="356"/>
  <c r="AG16" i="356"/>
  <c r="AI16" i="356"/>
  <c r="AK16" i="356"/>
  <c r="AB16" i="356"/>
  <c r="AF16" i="356"/>
  <c r="AJ16" i="356"/>
  <c r="Z16" i="356"/>
  <c r="AD16" i="356"/>
  <c r="AH16" i="356"/>
  <c r="AA14" i="356"/>
  <c r="AC14" i="356"/>
  <c r="AE14" i="356"/>
  <c r="AG14" i="356"/>
  <c r="AI14" i="356"/>
  <c r="AK14" i="356"/>
  <c r="AB14" i="356"/>
  <c r="AF14" i="356"/>
  <c r="AJ14" i="356"/>
  <c r="Z14" i="356"/>
  <c r="AD14" i="356"/>
  <c r="AH14" i="356"/>
  <c r="AA12" i="356"/>
  <c r="AC12" i="356"/>
  <c r="AE12" i="356"/>
  <c r="AG12" i="356"/>
  <c r="AI12" i="356"/>
  <c r="AK12" i="356"/>
  <c r="AB12" i="356"/>
  <c r="AF12" i="356"/>
  <c r="AJ12" i="356"/>
  <c r="Z12" i="356"/>
  <c r="AD12" i="356"/>
  <c r="AH12" i="356"/>
  <c r="AA10" i="356"/>
  <c r="AC10" i="356"/>
  <c r="AE10" i="356"/>
  <c r="AG10" i="356"/>
  <c r="AI10" i="356"/>
  <c r="AK10" i="356"/>
  <c r="AB10" i="356"/>
  <c r="AF10" i="356"/>
  <c r="AJ10" i="356"/>
  <c r="Z10" i="356"/>
  <c r="AD10" i="356"/>
  <c r="AH10" i="356"/>
  <c r="AA8" i="356"/>
  <c r="AC8" i="356"/>
  <c r="AE8" i="356"/>
  <c r="AG8" i="356"/>
  <c r="AI8" i="356"/>
  <c r="AK8" i="356"/>
  <c r="AB8" i="356"/>
  <c r="AF8" i="356"/>
  <c r="AJ8" i="356"/>
  <c r="Z8" i="356"/>
  <c r="AD8" i="356"/>
  <c r="AH8" i="356"/>
  <c r="AA6" i="356"/>
  <c r="AC6" i="356"/>
  <c r="AE6" i="356"/>
  <c r="AG6" i="356"/>
  <c r="AI6" i="356"/>
  <c r="AK6" i="356"/>
  <c r="AB6" i="356"/>
  <c r="AF6" i="356"/>
  <c r="AJ6" i="356"/>
  <c r="Z6" i="356"/>
  <c r="AD6" i="356"/>
  <c r="AH6" i="356"/>
  <c r="AA4" i="356"/>
  <c r="AC4" i="356"/>
  <c r="AE4" i="356"/>
  <c r="AG4" i="356"/>
  <c r="AI4" i="356"/>
  <c r="AK4" i="356"/>
  <c r="AB4" i="356"/>
  <c r="AF4" i="356"/>
  <c r="AJ4" i="356"/>
  <c r="Z4" i="356"/>
  <c r="AD4" i="356"/>
  <c r="AH4" i="356"/>
  <c r="Z223" i="356"/>
  <c r="AB223" i="356"/>
  <c r="AD223" i="356"/>
  <c r="AF223" i="356"/>
  <c r="AH223" i="356"/>
  <c r="AJ223" i="356"/>
  <c r="AA223" i="356"/>
  <c r="AC223" i="356"/>
  <c r="AE223" i="356"/>
  <c r="AG223" i="356"/>
  <c r="AI223" i="356"/>
  <c r="AK223" i="356"/>
  <c r="F24" i="338"/>
  <c r="I47" i="349"/>
  <c r="I78" i="248" s="1"/>
  <c r="U564" i="356"/>
  <c r="C28" i="246"/>
  <c r="H56" i="349"/>
  <c r="C20" i="246"/>
  <c r="F28" i="246"/>
  <c r="P5" i="299"/>
  <c r="AL2" i="356"/>
  <c r="AF2" i="356" s="1"/>
  <c r="K28" i="246"/>
  <c r="G28" i="246"/>
  <c r="N28" i="246"/>
  <c r="O28" i="246"/>
  <c r="C39" i="246"/>
  <c r="D34" i="246"/>
  <c r="K27" i="246"/>
  <c r="J28" i="305"/>
  <c r="F28" i="305"/>
  <c r="K28" i="305"/>
  <c r="G28" i="305"/>
  <c r="J24" i="298"/>
  <c r="I41" i="298"/>
  <c r="D18" i="298"/>
  <c r="G15" i="299"/>
  <c r="H15" i="299"/>
  <c r="H18" i="298"/>
  <c r="G16" i="299"/>
  <c r="I35" i="145"/>
  <c r="F57" i="145"/>
  <c r="G35" i="145"/>
  <c r="G57" i="145" s="1"/>
  <c r="I24" i="146" s="1"/>
  <c r="P23" i="299"/>
  <c r="Q33" i="299"/>
  <c r="J52" i="349"/>
  <c r="K60" i="349"/>
  <c r="P33" i="299"/>
  <c r="C34" i="298"/>
  <c r="J33" i="136"/>
  <c r="K25" i="316"/>
  <c r="I33" i="136"/>
  <c r="E18" i="298"/>
  <c r="F24" i="298"/>
  <c r="E34" i="298"/>
  <c r="H60" i="349"/>
  <c r="H11" i="146"/>
  <c r="H10" i="146"/>
  <c r="I12" i="349"/>
  <c r="I60" i="349"/>
  <c r="I63" i="349"/>
  <c r="O13" i="246"/>
  <c r="M19" i="246"/>
  <c r="I20" i="246"/>
  <c r="I29" i="246"/>
  <c r="K32" i="246"/>
  <c r="I34" i="246"/>
  <c r="K35" i="246"/>
  <c r="K17" i="349"/>
  <c r="K14" i="349" s="1"/>
  <c r="K72" i="248" s="1"/>
  <c r="K53" i="249"/>
  <c r="H17" i="349"/>
  <c r="M34" i="299"/>
  <c r="E34" i="299"/>
  <c r="F34" i="299"/>
  <c r="I45" i="298"/>
  <c r="J45" i="298"/>
  <c r="K34" i="299"/>
  <c r="G34" i="299"/>
  <c r="C34" i="299"/>
  <c r="L34" i="299"/>
  <c r="H34" i="299"/>
  <c r="D34" i="299"/>
  <c r="K34" i="298"/>
  <c r="K45" i="298"/>
  <c r="G45" i="298"/>
  <c r="C45" i="298"/>
  <c r="L45" i="298"/>
  <c r="H45" i="298"/>
  <c r="D45" i="298"/>
  <c r="I27" i="255"/>
  <c r="I30" i="255" s="1"/>
  <c r="J49" i="123" s="1"/>
  <c r="H34" i="298"/>
  <c r="H12" i="349"/>
  <c r="H48" i="255"/>
  <c r="H117" i="255"/>
  <c r="H52" i="349"/>
  <c r="H55" i="349"/>
  <c r="H61" i="349"/>
  <c r="F33" i="136"/>
  <c r="F52" i="136"/>
  <c r="I25" i="316"/>
  <c r="D53" i="316"/>
  <c r="F25" i="316"/>
  <c r="G55" i="249"/>
  <c r="E53" i="249"/>
  <c r="D51" i="136"/>
  <c r="D52" i="136" s="1"/>
  <c r="E25" i="316"/>
  <c r="E34" i="249"/>
  <c r="E55" i="249" s="1"/>
  <c r="D55" i="249"/>
  <c r="C53" i="316"/>
  <c r="AI499" i="356"/>
  <c r="F34" i="298"/>
  <c r="F18" i="95"/>
  <c r="K18" i="95"/>
  <c r="G34" i="298"/>
  <c r="L34" i="298"/>
  <c r="D34" i="298"/>
  <c r="J34" i="298"/>
  <c r="I34" i="298"/>
  <c r="H59" i="349"/>
  <c r="S564" i="356"/>
  <c r="H63" i="349"/>
  <c r="H44" i="255"/>
  <c r="H27" i="255"/>
  <c r="H30" i="255" s="1"/>
  <c r="I49" i="123" s="1"/>
  <c r="H19" i="349"/>
  <c r="H18" i="349" s="1"/>
  <c r="H73" i="248" s="1"/>
  <c r="I51" i="123"/>
  <c r="H8" i="349"/>
  <c r="H7" i="349" s="1"/>
  <c r="O31" i="299"/>
  <c r="I17" i="349"/>
  <c r="K8" i="246"/>
  <c r="K29" i="246"/>
  <c r="K34" i="246"/>
  <c r="M34" i="246"/>
  <c r="F37" i="95"/>
  <c r="H16" i="95"/>
  <c r="C18" i="95"/>
  <c r="O34" i="298"/>
  <c r="K20" i="246"/>
  <c r="D41" i="95"/>
  <c r="H41" i="95"/>
  <c r="L41" i="95"/>
  <c r="I37" i="146"/>
  <c r="H31" i="146"/>
  <c r="C34" i="249"/>
  <c r="H34" i="146"/>
  <c r="I36" i="146"/>
  <c r="H37" i="146"/>
  <c r="H36" i="146"/>
  <c r="H39" i="146"/>
  <c r="H33" i="146"/>
  <c r="H32" i="146"/>
  <c r="C25" i="246"/>
  <c r="K37" i="146"/>
  <c r="K36" i="146"/>
  <c r="K39" i="146"/>
  <c r="J32" i="146"/>
  <c r="J34" i="146"/>
  <c r="J36" i="146"/>
  <c r="J37" i="146"/>
  <c r="J39" i="146"/>
  <c r="H51" i="136"/>
  <c r="H52" i="136" s="1"/>
  <c r="K51" i="136"/>
  <c r="K33" i="136"/>
  <c r="J51" i="136"/>
  <c r="J52" i="136" s="1"/>
  <c r="I51" i="136"/>
  <c r="I52" i="136" s="1"/>
  <c r="G33" i="136"/>
  <c r="E51" i="136"/>
  <c r="E33" i="136"/>
  <c r="C33" i="136"/>
  <c r="C51" i="136"/>
  <c r="L40" i="95"/>
  <c r="J40" i="95"/>
  <c r="K40" i="95"/>
  <c r="E41" i="95"/>
  <c r="H47" i="298"/>
  <c r="K47" i="298"/>
  <c r="J47" i="298"/>
  <c r="E47" i="298"/>
  <c r="B41" i="95"/>
  <c r="G41" i="95"/>
  <c r="E40" i="95"/>
  <c r="K41" i="95"/>
  <c r="C41" i="95"/>
  <c r="M47" i="298"/>
  <c r="H37" i="148"/>
  <c r="I37" i="148"/>
  <c r="G37" i="148"/>
  <c r="E52" i="338"/>
  <c r="D52" i="338"/>
  <c r="D49" i="338" s="1"/>
  <c r="F52" i="338"/>
  <c r="H52" i="338"/>
  <c r="M126" i="123"/>
  <c r="I27" i="253"/>
  <c r="E27" i="253"/>
  <c r="K27" i="253"/>
  <c r="F27" i="253"/>
  <c r="C27" i="253"/>
  <c r="I45" i="337"/>
  <c r="I15" i="337"/>
  <c r="K43" i="128"/>
  <c r="C24" i="298"/>
  <c r="K16" i="299"/>
  <c r="K18" i="298"/>
  <c r="C18" i="298"/>
  <c r="C16" i="299"/>
  <c r="L18" i="298"/>
  <c r="L16" i="299"/>
  <c r="D15" i="299"/>
  <c r="D41" i="298"/>
  <c r="I40" i="95"/>
  <c r="AE79" i="356"/>
  <c r="AE81" i="356"/>
  <c r="AE83" i="356"/>
  <c r="AE85" i="356"/>
  <c r="H32" i="137" s="1"/>
  <c r="F16" i="95"/>
  <c r="J18" i="95"/>
  <c r="B18" i="95"/>
  <c r="G18" i="95"/>
  <c r="F17" i="95"/>
  <c r="F13" i="95"/>
  <c r="B13" i="95"/>
  <c r="C13" i="95"/>
  <c r="AI82" i="356"/>
  <c r="L17" i="95"/>
  <c r="L18" i="95"/>
  <c r="E18" i="95"/>
  <c r="D13" i="95"/>
  <c r="C40" i="95"/>
  <c r="F40" i="95"/>
  <c r="AF79" i="356"/>
  <c r="AC79" i="356"/>
  <c r="AK79" i="356"/>
  <c r="AE80" i="356"/>
  <c r="AF81" i="356"/>
  <c r="AC81" i="356"/>
  <c r="AK81" i="356"/>
  <c r="Z82" i="356"/>
  <c r="AF83" i="356"/>
  <c r="AC83" i="356"/>
  <c r="AK83" i="356"/>
  <c r="Z84" i="356"/>
  <c r="AE84" i="356"/>
  <c r="AF85" i="356"/>
  <c r="AC85" i="356"/>
  <c r="AK85" i="356"/>
  <c r="M34" i="298"/>
  <c r="I46" i="298"/>
  <c r="F45" i="298"/>
  <c r="J34" i="299"/>
  <c r="E24" i="298"/>
  <c r="M18" i="298"/>
  <c r="F18" i="298"/>
  <c r="G29" i="298"/>
  <c r="K29" i="298"/>
  <c r="J15" i="299"/>
  <c r="E15" i="299"/>
  <c r="I15" i="299"/>
  <c r="M15" i="299"/>
  <c r="J18" i="298"/>
  <c r="I18" i="298"/>
  <c r="K41" i="298"/>
  <c r="G41" i="298"/>
  <c r="C41" i="298"/>
  <c r="L41" i="298"/>
  <c r="H41" i="298"/>
  <c r="I77" i="255"/>
  <c r="H70" i="255"/>
  <c r="H7" i="146"/>
  <c r="H14" i="146" s="1"/>
  <c r="M41" i="298"/>
  <c r="E41" i="298"/>
  <c r="D40" i="95"/>
  <c r="G24" i="298"/>
  <c r="I24" i="298"/>
  <c r="B40" i="95"/>
  <c r="F41" i="95"/>
  <c r="J41" i="95"/>
  <c r="H24" i="298"/>
  <c r="D24" i="298"/>
  <c r="L15" i="299"/>
  <c r="P16" i="299"/>
  <c r="O11" i="299"/>
  <c r="K7" i="349"/>
  <c r="K70" i="248" s="1"/>
  <c r="P11" i="299"/>
  <c r="Q15" i="299"/>
  <c r="L117" i="255"/>
  <c r="P15" i="299"/>
  <c r="P29" i="299"/>
  <c r="P34" i="298"/>
  <c r="J14" i="128"/>
  <c r="L47" i="298"/>
  <c r="F47" i="298"/>
  <c r="I47" i="298"/>
  <c r="J37" i="95"/>
  <c r="K37" i="95"/>
  <c r="G47" i="298"/>
  <c r="J29" i="298"/>
  <c r="M29" i="298"/>
  <c r="E29" i="298"/>
  <c r="I46" i="255"/>
  <c r="I39" i="146"/>
  <c r="F29" i="298"/>
  <c r="G40" i="95"/>
  <c r="G37" i="95"/>
  <c r="H29" i="298"/>
  <c r="H28" i="298" s="1"/>
  <c r="A1" i="338"/>
  <c r="A1" i="250"/>
  <c r="A1" i="235"/>
  <c r="A1" i="337"/>
  <c r="A1" i="352"/>
  <c r="A1" i="145"/>
  <c r="A1" i="255"/>
  <c r="A2" i="338"/>
  <c r="A1" i="141"/>
  <c r="A1" i="233"/>
  <c r="A46" i="147"/>
  <c r="B4" i="355"/>
  <c r="B8" i="355" s="1"/>
  <c r="A1" i="296"/>
  <c r="A1" i="148"/>
  <c r="A1" i="315"/>
  <c r="A1" i="336"/>
  <c r="A1" i="142"/>
  <c r="A1" i="300"/>
  <c r="A1" i="249"/>
  <c r="A1" i="139"/>
  <c r="A57" i="335"/>
  <c r="A1" i="256"/>
  <c r="A1" i="95"/>
  <c r="A1" i="246"/>
  <c r="A1" i="237"/>
  <c r="A1" i="126"/>
  <c r="A1" i="342"/>
  <c r="P46" i="298"/>
  <c r="D20" i="95"/>
  <c r="H39" i="95"/>
  <c r="M44" i="298"/>
  <c r="E44" i="298"/>
  <c r="L8" i="95"/>
  <c r="D8" i="95"/>
  <c r="I8" i="95"/>
  <c r="P34" i="299"/>
  <c r="P32" i="299"/>
  <c r="Q28" i="299"/>
  <c r="D340" i="343"/>
  <c r="AC562" i="356"/>
  <c r="AK562" i="356"/>
  <c r="AF562" i="356"/>
  <c r="AC560" i="356"/>
  <c r="AK560" i="356"/>
  <c r="AF560" i="356"/>
  <c r="H8" i="95"/>
  <c r="AC558" i="356"/>
  <c r="AK558" i="356"/>
  <c r="AF558" i="356"/>
  <c r="AC556" i="356"/>
  <c r="AK556" i="356"/>
  <c r="AF556" i="356"/>
  <c r="AC554" i="356"/>
  <c r="AK554" i="356"/>
  <c r="AF554" i="356"/>
  <c r="AC552" i="356"/>
  <c r="AK552" i="356"/>
  <c r="AF552" i="356"/>
  <c r="AC550" i="356"/>
  <c r="AK550" i="356"/>
  <c r="AF550" i="356"/>
  <c r="AC548" i="356"/>
  <c r="AK548" i="356"/>
  <c r="AF548" i="356"/>
  <c r="AC546" i="356"/>
  <c r="AK546" i="356"/>
  <c r="AF546" i="356"/>
  <c r="AC544" i="356"/>
  <c r="AK544" i="356"/>
  <c r="AF544" i="356"/>
  <c r="AC542" i="356"/>
  <c r="AK542" i="356"/>
  <c r="AF542" i="356"/>
  <c r="AC540" i="356"/>
  <c r="AK540" i="356"/>
  <c r="AF540" i="356"/>
  <c r="AC538" i="356"/>
  <c r="AK538" i="356"/>
  <c r="AF538" i="356"/>
  <c r="AC536" i="356"/>
  <c r="AK536" i="356"/>
  <c r="AF536" i="356"/>
  <c r="AC534" i="356"/>
  <c r="AK534" i="356"/>
  <c r="AF534" i="356"/>
  <c r="AC532" i="356"/>
  <c r="AK532" i="356"/>
  <c r="AF532" i="356"/>
  <c r="AC530" i="356"/>
  <c r="AK530" i="356"/>
  <c r="AF530" i="356"/>
  <c r="AC528" i="356"/>
  <c r="AK528" i="356"/>
  <c r="AF528" i="356"/>
  <c r="AC526" i="356"/>
  <c r="AK526" i="356"/>
  <c r="AF526" i="356"/>
  <c r="AC524" i="356"/>
  <c r="AK524" i="356"/>
  <c r="AF524" i="356"/>
  <c r="AC522" i="356"/>
  <c r="AK522" i="356"/>
  <c r="AF522" i="356"/>
  <c r="AC520" i="356"/>
  <c r="AK520" i="356"/>
  <c r="AF520" i="356"/>
  <c r="AC518" i="356"/>
  <c r="AK518" i="356"/>
  <c r="AF518" i="356"/>
  <c r="AC516" i="356"/>
  <c r="AK516" i="356"/>
  <c r="AF516" i="356"/>
  <c r="AC514" i="356"/>
  <c r="AK514" i="356"/>
  <c r="AF514" i="356"/>
  <c r="AC512" i="356"/>
  <c r="E19" i="95" s="1"/>
  <c r="AK512" i="356"/>
  <c r="AF512" i="356"/>
  <c r="AC510" i="356"/>
  <c r="AK510" i="356"/>
  <c r="AF510" i="356"/>
  <c r="AC508" i="356"/>
  <c r="AK508" i="356"/>
  <c r="AF508" i="356"/>
  <c r="AC506" i="356"/>
  <c r="AK506" i="356"/>
  <c r="AF506" i="356"/>
  <c r="AC504" i="356"/>
  <c r="AK504" i="356"/>
  <c r="AF504" i="356"/>
  <c r="AC502" i="356"/>
  <c r="AK502" i="356"/>
  <c r="AF502" i="356"/>
  <c r="AC500" i="356"/>
  <c r="AK500" i="356"/>
  <c r="AF500" i="356"/>
  <c r="Z78" i="356"/>
  <c r="AH78" i="356"/>
  <c r="AE78" i="356"/>
  <c r="Z76" i="356"/>
  <c r="AH76" i="356"/>
  <c r="AE76" i="356"/>
  <c r="Z74" i="356"/>
  <c r="AH74" i="356"/>
  <c r="AE74" i="356"/>
  <c r="Z72" i="356"/>
  <c r="AH72" i="356"/>
  <c r="AE72" i="356"/>
  <c r="Z69" i="356"/>
  <c r="AH69" i="356"/>
  <c r="AE69" i="356"/>
  <c r="AA67" i="356"/>
  <c r="AH67" i="356"/>
  <c r="AE67" i="356"/>
  <c r="AA65" i="356"/>
  <c r="AI65" i="356"/>
  <c r="AD65" i="356"/>
  <c r="AA63" i="356"/>
  <c r="AI63" i="356"/>
  <c r="AD63" i="356"/>
  <c r="AA61" i="356"/>
  <c r="AI61" i="356"/>
  <c r="AD61" i="356"/>
  <c r="AH61" i="356"/>
  <c r="AA59" i="356"/>
  <c r="AE59" i="356"/>
  <c r="AI59" i="356"/>
  <c r="Z59" i="356"/>
  <c r="AD59" i="356"/>
  <c r="AH59" i="356"/>
  <c r="AA57" i="356"/>
  <c r="AE57" i="356"/>
  <c r="AI57" i="356"/>
  <c r="Z57" i="356"/>
  <c r="AD57" i="356"/>
  <c r="AH57" i="356"/>
  <c r="AA55" i="356"/>
  <c r="AE55" i="356"/>
  <c r="AI55" i="356"/>
  <c r="Z55" i="356"/>
  <c r="AD55" i="356"/>
  <c r="AH55" i="356"/>
  <c r="AA53" i="356"/>
  <c r="AE53" i="356"/>
  <c r="AI53" i="356"/>
  <c r="Z53" i="356"/>
  <c r="AD53" i="356"/>
  <c r="AH53" i="356"/>
  <c r="AA51" i="356"/>
  <c r="AE51" i="356"/>
  <c r="AI51" i="356"/>
  <c r="Z51" i="356"/>
  <c r="AD51" i="356"/>
  <c r="AH51" i="356"/>
  <c r="AA49" i="356"/>
  <c r="AE49" i="356"/>
  <c r="AI49" i="356"/>
  <c r="Z49" i="356"/>
  <c r="AD49" i="356"/>
  <c r="AH49" i="356"/>
  <c r="AA47" i="356"/>
  <c r="AE47" i="356"/>
  <c r="AI47" i="356"/>
  <c r="Z47" i="356"/>
  <c r="AD47" i="356"/>
  <c r="AH47" i="356"/>
  <c r="AA45" i="356"/>
  <c r="AE45" i="356"/>
  <c r="AB45" i="356"/>
  <c r="AI45" i="356"/>
  <c r="Z45" i="356"/>
  <c r="AH45" i="356"/>
  <c r="AA43" i="356"/>
  <c r="AE43" i="356"/>
  <c r="AI43" i="356"/>
  <c r="AB43" i="356"/>
  <c r="AJ43" i="356"/>
  <c r="AD43" i="356"/>
  <c r="AA41" i="356"/>
  <c r="AE41" i="356"/>
  <c r="AI41" i="356"/>
  <c r="AB41" i="356"/>
  <c r="AJ41" i="356"/>
  <c r="AD41" i="356"/>
  <c r="AA39" i="356"/>
  <c r="AE39" i="356"/>
  <c r="AI39" i="356"/>
  <c r="AB39" i="356"/>
  <c r="AJ39" i="356"/>
  <c r="AD39" i="356"/>
  <c r="AA37" i="356"/>
  <c r="AE37" i="356"/>
  <c r="AI37" i="356"/>
  <c r="AB37" i="356"/>
  <c r="AJ37" i="356"/>
  <c r="AD37" i="356"/>
  <c r="AA35" i="356"/>
  <c r="AE35" i="356"/>
  <c r="AI35" i="356"/>
  <c r="AB35" i="356"/>
  <c r="AJ35" i="356"/>
  <c r="AD35" i="356"/>
  <c r="AA33" i="356"/>
  <c r="AE33" i="356"/>
  <c r="AI33" i="356"/>
  <c r="AB33" i="356"/>
  <c r="AJ33" i="356"/>
  <c r="AD33" i="356"/>
  <c r="AA31" i="356"/>
  <c r="AE31" i="356"/>
  <c r="AI31" i="356"/>
  <c r="AB31" i="356"/>
  <c r="AJ31" i="356"/>
  <c r="AD31" i="356"/>
  <c r="AA29" i="356"/>
  <c r="AE29" i="356"/>
  <c r="AI29" i="356"/>
  <c r="AB29" i="356"/>
  <c r="AJ29" i="356"/>
  <c r="AD29" i="356"/>
  <c r="AA27" i="356"/>
  <c r="AE27" i="356"/>
  <c r="AI27" i="356"/>
  <c r="AB27" i="356"/>
  <c r="AJ27" i="356"/>
  <c r="AD27" i="356"/>
  <c r="AA25" i="356"/>
  <c r="AE25" i="356"/>
  <c r="AI25" i="356"/>
  <c r="AB25" i="356"/>
  <c r="AJ25" i="356"/>
  <c r="AD25" i="356"/>
  <c r="AA23" i="356"/>
  <c r="AE23" i="356"/>
  <c r="AI23" i="356"/>
  <c r="AB23" i="356"/>
  <c r="AJ23" i="356"/>
  <c r="AD23" i="356"/>
  <c r="AA21" i="356"/>
  <c r="AE21" i="356"/>
  <c r="AI21" i="356"/>
  <c r="AB21" i="356"/>
  <c r="AJ21" i="356"/>
  <c r="AD21" i="356"/>
  <c r="AA19" i="356"/>
  <c r="AE19" i="356"/>
  <c r="AI19" i="356"/>
  <c r="AB19" i="356"/>
  <c r="AJ19" i="356"/>
  <c r="AD19" i="356"/>
  <c r="AA17" i="356"/>
  <c r="AE17" i="356"/>
  <c r="J7" i="349"/>
  <c r="J70" i="248" s="1"/>
  <c r="E49" i="338"/>
  <c r="J49" i="338"/>
  <c r="G27" i="253"/>
  <c r="E15" i="253"/>
  <c r="J17" i="338"/>
  <c r="I43" i="131"/>
  <c r="J24" i="338"/>
  <c r="I24" i="338"/>
  <c r="H43" i="131"/>
  <c r="H45" i="131" s="1"/>
  <c r="H48" i="131" s="1"/>
  <c r="I44" i="131"/>
  <c r="I47" i="131"/>
  <c r="J65" i="338"/>
  <c r="G65" i="248"/>
  <c r="I64" i="248"/>
  <c r="J16" i="123"/>
  <c r="I60" i="248"/>
  <c r="H65" i="248"/>
  <c r="N31" i="95"/>
  <c r="L19" i="95"/>
  <c r="D19" i="95"/>
  <c r="AD81" i="356"/>
  <c r="D14" i="146"/>
  <c r="H14" i="349"/>
  <c r="H72" i="248" s="1"/>
  <c r="L16" i="95"/>
  <c r="E16" i="95"/>
  <c r="D16" i="95"/>
  <c r="E17" i="95"/>
  <c r="H17" i="95"/>
  <c r="I18" i="95"/>
  <c r="C12" i="95"/>
  <c r="J39" i="95"/>
  <c r="C39" i="95"/>
  <c r="J12" i="95"/>
  <c r="L39" i="95"/>
  <c r="D27" i="349"/>
  <c r="D76" i="248" s="1"/>
  <c r="C10" i="349"/>
  <c r="C71" i="248" s="1"/>
  <c r="F65" i="248"/>
  <c r="D36" i="255"/>
  <c r="D60" i="249"/>
  <c r="AA562" i="356"/>
  <c r="AE562" i="356"/>
  <c r="AI562" i="356"/>
  <c r="Z562" i="356"/>
  <c r="AD562" i="356"/>
  <c r="AH562" i="356"/>
  <c r="AA560" i="356"/>
  <c r="C8" i="95" s="1"/>
  <c r="AE560" i="356"/>
  <c r="G8" i="95" s="1"/>
  <c r="AI560" i="356"/>
  <c r="K8" i="95" s="1"/>
  <c r="Z560" i="356"/>
  <c r="B8" i="95" s="1"/>
  <c r="AD560" i="356"/>
  <c r="F8" i="95" s="1"/>
  <c r="AH560" i="356"/>
  <c r="J8" i="95" s="1"/>
  <c r="AA558" i="356"/>
  <c r="AE558" i="356"/>
  <c r="AI558" i="356"/>
  <c r="Z558" i="356"/>
  <c r="AD558" i="356"/>
  <c r="AH558" i="356"/>
  <c r="AA556" i="356"/>
  <c r="AE556" i="356"/>
  <c r="AI556" i="356"/>
  <c r="Z556" i="356"/>
  <c r="AD556" i="356"/>
  <c r="AH556" i="356"/>
  <c r="AA554" i="356"/>
  <c r="AE554" i="356"/>
  <c r="AI554" i="356"/>
  <c r="Z554" i="356"/>
  <c r="AD554" i="356"/>
  <c r="AH554" i="356"/>
  <c r="AA552" i="356"/>
  <c r="AE552" i="356"/>
  <c r="AI552" i="356"/>
  <c r="Z552" i="356"/>
  <c r="AD552" i="356"/>
  <c r="AH552" i="356"/>
  <c r="AA550" i="356"/>
  <c r="AE550" i="356"/>
  <c r="AI550" i="356"/>
  <c r="Z550" i="356"/>
  <c r="AD550" i="356"/>
  <c r="AH550" i="356"/>
  <c r="AA548" i="356"/>
  <c r="AE548" i="356"/>
  <c r="AI548" i="356"/>
  <c r="Z548" i="356"/>
  <c r="AD548" i="356"/>
  <c r="AH548" i="356"/>
  <c r="AA546" i="356"/>
  <c r="AE546" i="356"/>
  <c r="AI546" i="356"/>
  <c r="Z546" i="356"/>
  <c r="AD546" i="356"/>
  <c r="AH546" i="356"/>
  <c r="AA544" i="356"/>
  <c r="AE544" i="356"/>
  <c r="AI544" i="356"/>
  <c r="Z544" i="356"/>
  <c r="AD544" i="356"/>
  <c r="AH544" i="356"/>
  <c r="AA542" i="356"/>
  <c r="AE542" i="356"/>
  <c r="AI542" i="356"/>
  <c r="Z542" i="356"/>
  <c r="AD542" i="356"/>
  <c r="AH542" i="356"/>
  <c r="AA540" i="356"/>
  <c r="AE540" i="356"/>
  <c r="AI540" i="356"/>
  <c r="Z540" i="356"/>
  <c r="AD540" i="356"/>
  <c r="AH540" i="356"/>
  <c r="AA538" i="356"/>
  <c r="AE538" i="356"/>
  <c r="AI538" i="356"/>
  <c r="Z538" i="356"/>
  <c r="AD538" i="356"/>
  <c r="AH538" i="356"/>
  <c r="AA536" i="356"/>
  <c r="AE536" i="356"/>
  <c r="AI536" i="356"/>
  <c r="Z536" i="356"/>
  <c r="AD536" i="356"/>
  <c r="AH536" i="356"/>
  <c r="AA534" i="356"/>
  <c r="AE534" i="356"/>
  <c r="AI534" i="356"/>
  <c r="Z534" i="356"/>
  <c r="AD534" i="356"/>
  <c r="AH534" i="356"/>
  <c r="AA532" i="356"/>
  <c r="AE532" i="356"/>
  <c r="AI532" i="356"/>
  <c r="Z532" i="356"/>
  <c r="AD532" i="356"/>
  <c r="AH532" i="356"/>
  <c r="AA530" i="356"/>
  <c r="AE530" i="356"/>
  <c r="AI530" i="356"/>
  <c r="Z530" i="356"/>
  <c r="AD530" i="356"/>
  <c r="AH530" i="356"/>
  <c r="AA528" i="356"/>
  <c r="AE528" i="356"/>
  <c r="AI528" i="356"/>
  <c r="Z528" i="356"/>
  <c r="AD528" i="356"/>
  <c r="AH528" i="356"/>
  <c r="AA526" i="356"/>
  <c r="AE526" i="356"/>
  <c r="AI526" i="356"/>
  <c r="Z526" i="356"/>
  <c r="AD526" i="356"/>
  <c r="AH526" i="356"/>
  <c r="AA524" i="356"/>
  <c r="AE524" i="356"/>
  <c r="AI524" i="356"/>
  <c r="Z524" i="356"/>
  <c r="AD524" i="356"/>
  <c r="AH524" i="356"/>
  <c r="AA522" i="356"/>
  <c r="AE522" i="356"/>
  <c r="AI522" i="356"/>
  <c r="Z522" i="356"/>
  <c r="AD522" i="356"/>
  <c r="AH522" i="356"/>
  <c r="AA520" i="356"/>
  <c r="AE520" i="356"/>
  <c r="AI520" i="356"/>
  <c r="Z520" i="356"/>
  <c r="AD520" i="356"/>
  <c r="AH520" i="356"/>
  <c r="AA518" i="356"/>
  <c r="AE518" i="356"/>
  <c r="AI518" i="356"/>
  <c r="Z518" i="356"/>
  <c r="AD518" i="356"/>
  <c r="AH518" i="356"/>
  <c r="AA516" i="356"/>
  <c r="AE516" i="356"/>
  <c r="AI516" i="356"/>
  <c r="Z516" i="356"/>
  <c r="AD516" i="356"/>
  <c r="AH516" i="356"/>
  <c r="AA514" i="356"/>
  <c r="C7" i="95" s="1"/>
  <c r="AE514" i="356"/>
  <c r="AI514" i="356"/>
  <c r="Z514" i="356"/>
  <c r="B7" i="95" s="1"/>
  <c r="AD514" i="356"/>
  <c r="F7" i="95" s="1"/>
  <c r="AH514" i="356"/>
  <c r="AA512" i="356"/>
  <c r="AE512" i="356"/>
  <c r="AI512" i="356"/>
  <c r="Z512" i="356"/>
  <c r="AD512" i="356"/>
  <c r="AH512" i="356"/>
  <c r="AA510" i="356"/>
  <c r="AE510" i="356"/>
  <c r="AI510" i="356"/>
  <c r="Z510" i="356"/>
  <c r="AD510" i="356"/>
  <c r="AH510" i="356"/>
  <c r="AA508" i="356"/>
  <c r="AE508" i="356"/>
  <c r="AI508" i="356"/>
  <c r="Z508" i="356"/>
  <c r="AD508" i="356"/>
  <c r="AH508" i="356"/>
  <c r="AA506" i="356"/>
  <c r="AE506" i="356"/>
  <c r="AI506" i="356"/>
  <c r="Z506" i="356"/>
  <c r="AD506" i="356"/>
  <c r="AH506" i="356"/>
  <c r="AA504" i="356"/>
  <c r="AE504" i="356"/>
  <c r="AI504" i="356"/>
  <c r="Z504" i="356"/>
  <c r="AD504" i="356"/>
  <c r="AH504" i="356"/>
  <c r="AA502" i="356"/>
  <c r="AE502" i="356"/>
  <c r="AI502" i="356"/>
  <c r="Z502" i="356"/>
  <c r="AD502" i="356"/>
  <c r="AH502" i="356"/>
  <c r="AA500" i="356"/>
  <c r="AE500" i="356"/>
  <c r="AI500" i="356"/>
  <c r="L43" i="298" s="1"/>
  <c r="Z500" i="356"/>
  <c r="AD500" i="356"/>
  <c r="AH500" i="356"/>
  <c r="AB78" i="356"/>
  <c r="AF78" i="356"/>
  <c r="AJ78" i="356"/>
  <c r="AC78" i="356"/>
  <c r="AG78" i="356"/>
  <c r="AK78" i="356"/>
  <c r="AB76" i="356"/>
  <c r="AF76" i="356"/>
  <c r="AJ76" i="356"/>
  <c r="AC76" i="356"/>
  <c r="AG76" i="356"/>
  <c r="AK76" i="356"/>
  <c r="AB74" i="356"/>
  <c r="AF74" i="356"/>
  <c r="AJ74" i="356"/>
  <c r="AC74" i="356"/>
  <c r="AG74" i="356"/>
  <c r="AK74" i="356"/>
  <c r="AB72" i="356"/>
  <c r="AF72" i="356"/>
  <c r="AJ72" i="356"/>
  <c r="AC72" i="356"/>
  <c r="AG72" i="356"/>
  <c r="AK72" i="356"/>
  <c r="AB69" i="356"/>
  <c r="AF69" i="356"/>
  <c r="AJ69" i="356"/>
  <c r="AC69" i="356"/>
  <c r="AG69" i="356"/>
  <c r="AK69" i="356"/>
  <c r="AB67" i="356"/>
  <c r="AF67" i="356"/>
  <c r="AJ67" i="356"/>
  <c r="AC67" i="356"/>
  <c r="AG67" i="356"/>
  <c r="AK67" i="356"/>
  <c r="AC65" i="356"/>
  <c r="AG65" i="356"/>
  <c r="AK65" i="356"/>
  <c r="AB65" i="356"/>
  <c r="AF65" i="356"/>
  <c r="AJ65" i="356"/>
  <c r="AC63" i="356"/>
  <c r="AG63" i="356"/>
  <c r="AK63" i="356"/>
  <c r="AB63" i="356"/>
  <c r="AF63" i="356"/>
  <c r="AJ63" i="356"/>
  <c r="AC61" i="356"/>
  <c r="AG61" i="356"/>
  <c r="AK61" i="356"/>
  <c r="AB61" i="356"/>
  <c r="AA84" i="356"/>
  <c r="AI84" i="356"/>
  <c r="AB499" i="356"/>
  <c r="Z499" i="356"/>
  <c r="AC499" i="356"/>
  <c r="AD499" i="356"/>
  <c r="AA499" i="356"/>
  <c r="K107" i="123"/>
  <c r="AK499" i="356"/>
  <c r="K12" i="95"/>
  <c r="E12" i="95"/>
  <c r="J10" i="95"/>
  <c r="B10" i="95"/>
  <c r="K10" i="95"/>
  <c r="G10" i="95"/>
  <c r="G27" i="349"/>
  <c r="G76" i="248" s="1"/>
  <c r="I12" i="95"/>
  <c r="C27" i="349"/>
  <c r="C76" i="248" s="1"/>
  <c r="L12" i="95"/>
  <c r="H12" i="95"/>
  <c r="D12" i="95"/>
  <c r="F12" i="95"/>
  <c r="P12" i="137"/>
  <c r="O12" i="95" s="1"/>
  <c r="B17" i="95"/>
  <c r="K17" i="95"/>
  <c r="J14" i="95"/>
  <c r="F14" i="95"/>
  <c r="B14" i="95"/>
  <c r="G14" i="95"/>
  <c r="C14" i="95"/>
  <c r="L14" i="95"/>
  <c r="H14" i="95"/>
  <c r="D14" i="95"/>
  <c r="E14" i="95"/>
  <c r="C5" i="95"/>
  <c r="J13" i="95"/>
  <c r="K16" i="95"/>
  <c r="I39" i="95"/>
  <c r="E39" i="95"/>
  <c r="K35" i="298"/>
  <c r="G39" i="95"/>
  <c r="B39" i="95"/>
  <c r="D5" i="95"/>
  <c r="I35" i="298"/>
  <c r="F35" i="298"/>
  <c r="AG85" i="356"/>
  <c r="AJ85" i="356"/>
  <c r="AB85" i="356"/>
  <c r="AH84" i="356"/>
  <c r="AB84" i="356"/>
  <c r="AG83" i="356"/>
  <c r="AJ83" i="356"/>
  <c r="AB83" i="356"/>
  <c r="AH82" i="356"/>
  <c r="AB82" i="356"/>
  <c r="AG81" i="356"/>
  <c r="AJ81" i="356"/>
  <c r="AB81" i="356"/>
  <c r="AH80" i="356"/>
  <c r="AB80" i="356"/>
  <c r="AG79" i="356"/>
  <c r="AJ79" i="356"/>
  <c r="AB79" i="356"/>
  <c r="AH85" i="356"/>
  <c r="K32" i="137" s="1"/>
  <c r="AH83" i="356"/>
  <c r="AH81" i="356"/>
  <c r="AH79" i="356"/>
  <c r="I10" i="349"/>
  <c r="I71" i="248" s="1"/>
  <c r="AG84" i="356"/>
  <c r="O17" i="299"/>
  <c r="C14" i="146"/>
  <c r="C107" i="146" s="1"/>
  <c r="F39" i="95"/>
  <c r="K39" i="95"/>
  <c r="G36" i="255"/>
  <c r="E36" i="255"/>
  <c r="P26" i="137"/>
  <c r="O37" i="95" s="1"/>
  <c r="D59" i="249"/>
  <c r="P29" i="137"/>
  <c r="O39" i="95" s="1"/>
  <c r="J60" i="249"/>
  <c r="AD2" i="356"/>
  <c r="G37" i="298" s="1"/>
  <c r="AC82" i="356"/>
  <c r="AI79" i="356"/>
  <c r="I5" i="95"/>
  <c r="E5" i="95"/>
  <c r="L5" i="95"/>
  <c r="H5" i="95"/>
  <c r="M35" i="298"/>
  <c r="E35" i="298"/>
  <c r="F5" i="95"/>
  <c r="G35" i="298"/>
  <c r="L35" i="298"/>
  <c r="H35" i="298"/>
  <c r="AJ84" i="356"/>
  <c r="AF82" i="356"/>
  <c r="AK82" i="356"/>
  <c r="AG80" i="356"/>
  <c r="AI81" i="356"/>
  <c r="AD83" i="356"/>
  <c r="AD80" i="356"/>
  <c r="AA85" i="356"/>
  <c r="G10" i="349"/>
  <c r="G71" i="248" s="1"/>
  <c r="C18" i="349"/>
  <c r="C73" i="248" s="1"/>
  <c r="E51" i="349"/>
  <c r="E79" i="248" s="1"/>
  <c r="E14" i="146"/>
  <c r="E107" i="146" s="1"/>
  <c r="G14" i="146"/>
  <c r="G107" i="146" s="1"/>
  <c r="K60" i="249"/>
  <c r="O13" i="137"/>
  <c r="N13" i="95" s="1"/>
  <c r="D51" i="349"/>
  <c r="G51" i="349"/>
  <c r="G79" i="248" s="1"/>
  <c r="G7" i="349"/>
  <c r="G70" i="248" s="1"/>
  <c r="F14" i="146"/>
  <c r="F107" i="146" s="1"/>
  <c r="F51" i="349"/>
  <c r="F47" i="349"/>
  <c r="F78" i="248" s="1"/>
  <c r="F27" i="349"/>
  <c r="F76" i="248" s="1"/>
  <c r="F18" i="349"/>
  <c r="F73" i="248" s="1"/>
  <c r="F7" i="349"/>
  <c r="F70" i="248" s="1"/>
  <c r="C110" i="255"/>
  <c r="C59" i="249"/>
  <c r="E56" i="123"/>
  <c r="AH256" i="356"/>
  <c r="AD256" i="356"/>
  <c r="Z256" i="356"/>
  <c r="AI256" i="356"/>
  <c r="AE256" i="356"/>
  <c r="AH258" i="356"/>
  <c r="AD258" i="356"/>
  <c r="Z258" i="356"/>
  <c r="AI258" i="356"/>
  <c r="AE258" i="356"/>
  <c r="AH260" i="356"/>
  <c r="AD260" i="356"/>
  <c r="Z260" i="356"/>
  <c r="AI260" i="356"/>
  <c r="AE260" i="356"/>
  <c r="AH262" i="356"/>
  <c r="AD262" i="356"/>
  <c r="Z262" i="356"/>
  <c r="AI262" i="356"/>
  <c r="AE262" i="356"/>
  <c r="AH264" i="356"/>
  <c r="AD264" i="356"/>
  <c r="Z264" i="356"/>
  <c r="AI264" i="356"/>
  <c r="AE264" i="356"/>
  <c r="AH266" i="356"/>
  <c r="AD266" i="356"/>
  <c r="Z266" i="356"/>
  <c r="AI266" i="356"/>
  <c r="AE266" i="356"/>
  <c r="AH268" i="356"/>
  <c r="AD268" i="356"/>
  <c r="Z268" i="356"/>
  <c r="AI268" i="356"/>
  <c r="AE268" i="356"/>
  <c r="AH270" i="356"/>
  <c r="AD270" i="356"/>
  <c r="Z270" i="356"/>
  <c r="AI270" i="356"/>
  <c r="AE270" i="356"/>
  <c r="AH272" i="356"/>
  <c r="AD272" i="356"/>
  <c r="Z272" i="356"/>
  <c r="AI272" i="356"/>
  <c r="AE272" i="356"/>
  <c r="AH274" i="356"/>
  <c r="AD274" i="356"/>
  <c r="Z274" i="356"/>
  <c r="AI274" i="356"/>
  <c r="AE274" i="356"/>
  <c r="AH276" i="356"/>
  <c r="AD276" i="356"/>
  <c r="Z276" i="356"/>
  <c r="AI276" i="356"/>
  <c r="AE276" i="356"/>
  <c r="D7" i="349"/>
  <c r="D70" i="248" s="1"/>
  <c r="L46" i="298"/>
  <c r="E60" i="249"/>
  <c r="K51" i="123"/>
  <c r="F14" i="349"/>
  <c r="F72" i="248" s="1"/>
  <c r="M19" i="338"/>
  <c r="I12" i="338"/>
  <c r="F18" i="338"/>
  <c r="Q39" i="137"/>
  <c r="P24" i="95" s="1"/>
  <c r="J44" i="298"/>
  <c r="E7" i="349"/>
  <c r="E70" i="248" s="1"/>
  <c r="C14" i="349"/>
  <c r="C72" i="248" s="1"/>
  <c r="G14" i="349"/>
  <c r="G72" i="248" s="1"/>
  <c r="C51" i="349"/>
  <c r="E59" i="249"/>
  <c r="E59" i="316"/>
  <c r="H10" i="349"/>
  <c r="H71" i="248" s="1"/>
  <c r="O16" i="137"/>
  <c r="N16" i="95" s="1"/>
  <c r="O12" i="137"/>
  <c r="N12" i="95" s="1"/>
  <c r="G59" i="249"/>
  <c r="J51" i="123"/>
  <c r="P39" i="137"/>
  <c r="O24" i="95" s="1"/>
  <c r="F107" i="123"/>
  <c r="E44" i="131"/>
  <c r="G56" i="123"/>
  <c r="E5" i="298"/>
  <c r="L5" i="298"/>
  <c r="J107" i="123"/>
  <c r="J56" i="123"/>
  <c r="J46" i="298"/>
  <c r="E46" i="298"/>
  <c r="G46" i="298"/>
  <c r="D46" i="298"/>
  <c r="L10" i="95"/>
  <c r="H59" i="249"/>
  <c r="H56" i="123"/>
  <c r="C7" i="349"/>
  <c r="C70" i="248" s="1"/>
  <c r="I7" i="349"/>
  <c r="I70" i="248" s="1"/>
  <c r="E10" i="349"/>
  <c r="E71" i="248" s="1"/>
  <c r="D10" i="349"/>
  <c r="D71" i="248" s="1"/>
  <c r="E14" i="349"/>
  <c r="E72" i="248" s="1"/>
  <c r="D14" i="349"/>
  <c r="D72" i="248" s="1"/>
  <c r="E18" i="349"/>
  <c r="E73" i="248" s="1"/>
  <c r="D18" i="349"/>
  <c r="D73" i="248" s="1"/>
  <c r="G18" i="349"/>
  <c r="G73" i="248" s="1"/>
  <c r="I27" i="349"/>
  <c r="I76" i="248" s="1"/>
  <c r="E27" i="349"/>
  <c r="E76" i="248" s="1"/>
  <c r="H27" i="349"/>
  <c r="H76" i="248" s="1"/>
  <c r="F19" i="338"/>
  <c r="Q16" i="299"/>
  <c r="O23" i="299"/>
  <c r="M5" i="298"/>
  <c r="AG2" i="356"/>
  <c r="J37" i="298" s="1"/>
  <c r="Z2" i="356"/>
  <c r="C37" i="298" s="1"/>
  <c r="I59" i="316"/>
  <c r="L19" i="338"/>
  <c r="D44" i="131"/>
  <c r="AE2" i="356"/>
  <c r="F59" i="249"/>
  <c r="D24" i="338"/>
  <c r="P17" i="137"/>
  <c r="O17" i="95" s="1"/>
  <c r="G60" i="249"/>
  <c r="M46" i="298"/>
  <c r="F46" i="298"/>
  <c r="K5" i="95"/>
  <c r="G5" i="95"/>
  <c r="J5" i="95"/>
  <c r="C35" i="298"/>
  <c r="D35" i="298"/>
  <c r="K46" i="298"/>
  <c r="C46" i="298"/>
  <c r="H46" i="298"/>
  <c r="I10" i="95"/>
  <c r="E10" i="95"/>
  <c r="D110" i="255"/>
  <c r="F110" i="255"/>
  <c r="H36" i="255"/>
  <c r="J28" i="298"/>
  <c r="K28" i="298"/>
  <c r="F5" i="298"/>
  <c r="D5" i="298"/>
  <c r="AC2" i="356"/>
  <c r="AK2" i="356"/>
  <c r="AH2" i="356"/>
  <c r="K37" i="298" s="1"/>
  <c r="J9" i="95"/>
  <c r="E53" i="123"/>
  <c r="O39" i="137"/>
  <c r="N24" i="95" s="1"/>
  <c r="F56" i="123"/>
  <c r="AF84" i="356"/>
  <c r="AC84" i="356"/>
  <c r="AK84" i="356"/>
  <c r="AJ82" i="356"/>
  <c r="AG82" i="356"/>
  <c r="AF80" i="356"/>
  <c r="AC80" i="356"/>
  <c r="AK80" i="356"/>
  <c r="AJ2" i="356"/>
  <c r="M24" i="338"/>
  <c r="AA81" i="356"/>
  <c r="AI85" i="356"/>
  <c r="AD85" i="356"/>
  <c r="B5" i="95"/>
  <c r="AI80" i="356"/>
  <c r="AA82" i="356"/>
  <c r="AD84" i="356"/>
  <c r="O7" i="299"/>
  <c r="K12" i="338"/>
  <c r="O33" i="137"/>
  <c r="E24" i="338"/>
  <c r="H42" i="255"/>
  <c r="H40" i="255"/>
  <c r="H7" i="255"/>
  <c r="H8" i="255"/>
  <c r="K7" i="255"/>
  <c r="J47" i="255"/>
  <c r="J45" i="255"/>
  <c r="L43" i="255"/>
  <c r="E69" i="255"/>
  <c r="A19" i="255"/>
  <c r="E8" i="255"/>
  <c r="E9" i="255" s="1"/>
  <c r="D7" i="255"/>
  <c r="K47" i="255"/>
  <c r="K45" i="255"/>
  <c r="C44" i="255"/>
  <c r="C42" i="255"/>
  <c r="K70" i="255"/>
  <c r="E110" i="255"/>
  <c r="C36" i="255"/>
  <c r="E34" i="246"/>
  <c r="F49" i="338"/>
  <c r="F36" i="255"/>
  <c r="H63" i="255"/>
  <c r="H76" i="255"/>
  <c r="C44" i="131"/>
  <c r="O29" i="137"/>
  <c r="N39" i="95" s="1"/>
  <c r="J36" i="255"/>
  <c r="I7" i="255"/>
  <c r="H74" i="255"/>
  <c r="D8" i="255"/>
  <c r="G7" i="255"/>
  <c r="C8" i="255"/>
  <c r="F65" i="255"/>
  <c r="H64" i="255"/>
  <c r="J63" i="255"/>
  <c r="A66" i="255"/>
  <c r="G8" i="255"/>
  <c r="C7" i="255"/>
  <c r="G65" i="255"/>
  <c r="I64" i="255"/>
  <c r="K63" i="255"/>
  <c r="D76" i="255"/>
  <c r="C77" i="255"/>
  <c r="E76" i="255"/>
  <c r="C76" i="255"/>
  <c r="C78" i="255" s="1"/>
  <c r="C84" i="255" s="1"/>
  <c r="D40" i="338" s="1"/>
  <c r="K74" i="255"/>
  <c r="D77" i="255"/>
  <c r="J74" i="255"/>
  <c r="L76" i="255"/>
  <c r="A12" i="255"/>
  <c r="I12" i="255" s="1"/>
  <c r="I14" i="255" s="1"/>
  <c r="D107" i="146"/>
  <c r="L8" i="255"/>
  <c r="C17" i="255"/>
  <c r="C19" i="255" s="1"/>
  <c r="D47" i="123" s="1"/>
  <c r="L17" i="255"/>
  <c r="L19" i="255" s="1"/>
  <c r="M47" i="123" s="1"/>
  <c r="K17" i="255"/>
  <c r="K19" i="255" s="1"/>
  <c r="I17" i="255"/>
  <c r="I19" i="255" s="1"/>
  <c r="J47" i="123" s="1"/>
  <c r="H17" i="255"/>
  <c r="H19" i="255" s="1"/>
  <c r="I47" i="123" s="1"/>
  <c r="O40" i="137"/>
  <c r="H43" i="255"/>
  <c r="H41" i="255"/>
  <c r="I36" i="338" s="1"/>
  <c r="D48" i="255"/>
  <c r="D47" i="255"/>
  <c r="D46" i="255"/>
  <c r="J70" i="255"/>
  <c r="J71" i="255" s="1"/>
  <c r="K69" i="255"/>
  <c r="L98" i="123" s="1"/>
  <c r="G17" i="255"/>
  <c r="G19" i="255" s="1"/>
  <c r="H47" i="123" s="1"/>
  <c r="E48" i="255"/>
  <c r="E47" i="255"/>
  <c r="E46" i="255"/>
  <c r="G45" i="255"/>
  <c r="G44" i="255"/>
  <c r="G43" i="255"/>
  <c r="G42" i="255"/>
  <c r="K40" i="255"/>
  <c r="E70" i="255"/>
  <c r="D69" i="255"/>
  <c r="F34" i="246"/>
  <c r="H34" i="246"/>
  <c r="J110" i="255"/>
  <c r="O34" i="137" s="1"/>
  <c r="H38" i="144"/>
  <c r="C11" i="88"/>
  <c r="C38" i="144"/>
  <c r="C15" i="88"/>
  <c r="C65" i="248"/>
  <c r="I35" i="237"/>
  <c r="C35" i="237"/>
  <c r="H48" i="337"/>
  <c r="K48" i="337"/>
  <c r="J48" i="337"/>
  <c r="I47" i="337"/>
  <c r="H18" i="337"/>
  <c r="E53" i="316"/>
  <c r="I53" i="316"/>
  <c r="C59" i="316"/>
  <c r="F59" i="316"/>
  <c r="L38" i="128"/>
  <c r="L11" i="237"/>
  <c r="K38" i="128"/>
  <c r="K11" i="237"/>
  <c r="J38" i="128"/>
  <c r="J11" i="237"/>
  <c r="G28" i="146"/>
  <c r="K20" i="146"/>
  <c r="J33" i="146"/>
  <c r="F37" i="148"/>
  <c r="J37" i="148"/>
  <c r="K37" i="148"/>
  <c r="F77" i="134"/>
  <c r="D45" i="248"/>
  <c r="C45" i="248"/>
  <c r="D40" i="248"/>
  <c r="C38" i="248"/>
  <c r="C37" i="248"/>
  <c r="D37" i="248"/>
  <c r="C36" i="248"/>
  <c r="D77" i="350"/>
  <c r="C26" i="248"/>
  <c r="C20" i="248" s="1"/>
  <c r="K27" i="350"/>
  <c r="K27" i="248" s="1"/>
  <c r="G27" i="350"/>
  <c r="G27" i="248" s="1"/>
  <c r="G51" i="350"/>
  <c r="G30" i="248" s="1"/>
  <c r="E6" i="134"/>
  <c r="E77" i="134" s="1"/>
  <c r="I21" i="350"/>
  <c r="I25" i="248" s="1"/>
  <c r="I14" i="350"/>
  <c r="I14" i="134"/>
  <c r="I8" i="248" s="1"/>
  <c r="J12" i="338"/>
  <c r="C10" i="95"/>
  <c r="H10" i="95"/>
  <c r="D10" i="95"/>
  <c r="D7" i="95"/>
  <c r="I7" i="95"/>
  <c r="G28" i="298"/>
  <c r="I44" i="255"/>
  <c r="I42" i="255"/>
  <c r="I47" i="255"/>
  <c r="L7" i="95"/>
  <c r="H7" i="95"/>
  <c r="I26" i="338"/>
  <c r="I23" i="338" s="1"/>
  <c r="AB2" i="356"/>
  <c r="E37" i="298" s="1"/>
  <c r="J35" i="298"/>
  <c r="E7" i="95"/>
  <c r="G110" i="255"/>
  <c r="K56" i="123"/>
  <c r="K14" i="123" s="1"/>
  <c r="I56" i="123"/>
  <c r="E17" i="338"/>
  <c r="J5" i="298"/>
  <c r="G5" i="298"/>
  <c r="K5" i="298"/>
  <c r="I5" i="298"/>
  <c r="C5" i="298"/>
  <c r="M24" i="298"/>
  <c r="Z83" i="356"/>
  <c r="AA83" i="356"/>
  <c r="H69" i="255"/>
  <c r="H71" i="255" s="1"/>
  <c r="H75" i="255"/>
  <c r="J22" i="338"/>
  <c r="I22" i="338"/>
  <c r="H54" i="349"/>
  <c r="H51" i="349" s="1"/>
  <c r="I40" i="255"/>
  <c r="E28" i="298"/>
  <c r="H5" i="298"/>
  <c r="G22" i="141"/>
  <c r="I117" i="255"/>
  <c r="D17" i="95"/>
  <c r="L13" i="95"/>
  <c r="E13" i="95"/>
  <c r="Z79" i="356"/>
  <c r="AA79" i="356"/>
  <c r="G23" i="315"/>
  <c r="Q40" i="137"/>
  <c r="H18" i="95"/>
  <c r="F28" i="298"/>
  <c r="G43" i="95"/>
  <c r="K13" i="95"/>
  <c r="I29" i="298"/>
  <c r="I28" i="298" s="1"/>
  <c r="G13" i="95"/>
  <c r="L20" i="128"/>
  <c r="D47" i="298"/>
  <c r="D22" i="141"/>
  <c r="M40" i="95"/>
  <c r="I36" i="255"/>
  <c r="C47" i="298"/>
  <c r="K44" i="298"/>
  <c r="AA2" i="356"/>
  <c r="D37" i="298" s="1"/>
  <c r="AI2" i="356"/>
  <c r="L37" i="298" s="1"/>
  <c r="H110" i="255"/>
  <c r="E28" i="246"/>
  <c r="D20" i="246"/>
  <c r="D21" i="246"/>
  <c r="D28" i="246"/>
  <c r="D29" i="246"/>
  <c r="E23" i="315"/>
  <c r="E22" i="141"/>
  <c r="I51" i="134"/>
  <c r="I15" i="248" s="1"/>
  <c r="K55" i="338"/>
  <c r="J27" i="350"/>
  <c r="J27" i="248" s="1"/>
  <c r="J21" i="134"/>
  <c r="C28" i="140"/>
  <c r="F178" i="343"/>
  <c r="F95" i="343"/>
  <c r="F94" i="343" s="1"/>
  <c r="F51" i="343"/>
  <c r="F7" i="343"/>
  <c r="F177" i="343"/>
  <c r="P34" i="140"/>
  <c r="F286" i="343"/>
  <c r="F285" i="343" s="1"/>
  <c r="F243" i="343"/>
  <c r="F190" i="343"/>
  <c r="F29" i="343"/>
  <c r="F191" i="343"/>
  <c r="Q31" i="140"/>
  <c r="F222" i="343"/>
  <c r="A61" i="248"/>
  <c r="A79" i="248"/>
  <c r="A30" i="248"/>
  <c r="H8" i="339"/>
  <c r="A28" i="248"/>
  <c r="H6" i="339"/>
  <c r="A59" i="248"/>
  <c r="A77" i="248"/>
  <c r="C25" i="140"/>
  <c r="D65" i="248"/>
  <c r="D26" i="248"/>
  <c r="D20" i="248" s="1"/>
  <c r="D36" i="248"/>
  <c r="I14" i="88"/>
  <c r="M33" i="140"/>
  <c r="K33" i="140"/>
  <c r="I33" i="140"/>
  <c r="G33" i="140"/>
  <c r="E33" i="140"/>
  <c r="C33" i="140"/>
  <c r="J33" i="140"/>
  <c r="F33" i="140"/>
  <c r="L33" i="140"/>
  <c r="H33" i="140"/>
  <c r="D33" i="140"/>
  <c r="D38" i="248"/>
  <c r="C11" i="248"/>
  <c r="C5" i="248" s="1"/>
  <c r="C39" i="248"/>
  <c r="A78" i="248"/>
  <c r="A60" i="248"/>
  <c r="A29" i="248"/>
  <c r="H7" i="339"/>
  <c r="A27" i="248"/>
  <c r="H5" i="339"/>
  <c r="A76" i="248"/>
  <c r="A58" i="248"/>
  <c r="C27" i="140"/>
  <c r="M37" i="140"/>
  <c r="I37" i="140"/>
  <c r="G37" i="140"/>
  <c r="E37" i="140"/>
  <c r="C37" i="140"/>
  <c r="L37" i="140"/>
  <c r="H37" i="140"/>
  <c r="D37" i="140"/>
  <c r="J37" i="140"/>
  <c r="F37" i="140"/>
  <c r="L36" i="140"/>
  <c r="J36" i="140"/>
  <c r="H36" i="140"/>
  <c r="F36" i="140"/>
  <c r="D36" i="140"/>
  <c r="K36" i="140"/>
  <c r="G36" i="140"/>
  <c r="C36" i="140"/>
  <c r="M36" i="140"/>
  <c r="E36" i="140"/>
  <c r="I36" i="140"/>
  <c r="H95" i="248"/>
  <c r="E65" i="248"/>
  <c r="L15" i="300"/>
  <c r="H15" i="300"/>
  <c r="D15" i="300"/>
  <c r="G15" i="300"/>
  <c r="M15" i="300"/>
  <c r="I15" i="300"/>
  <c r="E15" i="300"/>
  <c r="L15" i="140"/>
  <c r="J15" i="140"/>
  <c r="H15" i="140"/>
  <c r="F15" i="140"/>
  <c r="D15" i="140"/>
  <c r="K15" i="140"/>
  <c r="G15" i="140"/>
  <c r="C15" i="140"/>
  <c r="M15" i="140"/>
  <c r="I15" i="140"/>
  <c r="E15" i="140"/>
  <c r="L9" i="140"/>
  <c r="J9" i="140"/>
  <c r="H9" i="140"/>
  <c r="F9" i="140"/>
  <c r="D9" i="140"/>
  <c r="M9" i="140"/>
  <c r="I9" i="140"/>
  <c r="E9" i="140"/>
  <c r="K9" i="140"/>
  <c r="G9" i="140"/>
  <c r="C9" i="140"/>
  <c r="M18" i="140"/>
  <c r="K18" i="140"/>
  <c r="I18" i="140"/>
  <c r="G18" i="140"/>
  <c r="E18" i="140"/>
  <c r="C18" i="140"/>
  <c r="J18" i="140"/>
  <c r="F18" i="140"/>
  <c r="L18" i="140"/>
  <c r="H18" i="140"/>
  <c r="D18" i="140"/>
  <c r="L52" i="298"/>
  <c r="J52" i="298"/>
  <c r="H52" i="298"/>
  <c r="F52" i="298"/>
  <c r="D52" i="298"/>
  <c r="K52" i="298"/>
  <c r="G52" i="298"/>
  <c r="C52" i="298"/>
  <c r="M52" i="298"/>
  <c r="E52" i="298"/>
  <c r="I52" i="298"/>
  <c r="L13" i="298"/>
  <c r="J13" i="298"/>
  <c r="H13" i="298"/>
  <c r="F13" i="298"/>
  <c r="D13" i="298"/>
  <c r="M13" i="298"/>
  <c r="I13" i="298"/>
  <c r="E13" i="298"/>
  <c r="G13" i="298"/>
  <c r="K13" i="298"/>
  <c r="C13" i="298"/>
  <c r="M39" i="298"/>
  <c r="M38" i="298" s="1"/>
  <c r="K39" i="298"/>
  <c r="I39" i="298"/>
  <c r="I38" i="298" s="1"/>
  <c r="G39" i="298"/>
  <c r="E39" i="298"/>
  <c r="E38" i="298" s="1"/>
  <c r="C39" i="298"/>
  <c r="J39" i="298"/>
  <c r="J38" i="298" s="1"/>
  <c r="F39" i="298"/>
  <c r="F38" i="298" s="1"/>
  <c r="H39" i="298"/>
  <c r="H38" i="298" s="1"/>
  <c r="L39" i="298"/>
  <c r="D39" i="298"/>
  <c r="D38" i="298" s="1"/>
  <c r="M44" i="299"/>
  <c r="K44" i="299"/>
  <c r="I44" i="299"/>
  <c r="G44" i="299"/>
  <c r="E44" i="299"/>
  <c r="C44" i="299"/>
  <c r="L44" i="299"/>
  <c r="H44" i="299"/>
  <c r="D44" i="299"/>
  <c r="J44" i="299"/>
  <c r="F44" i="299"/>
  <c r="L45" i="137"/>
  <c r="J45" i="137"/>
  <c r="H45" i="137"/>
  <c r="F45" i="137"/>
  <c r="D45" i="137"/>
  <c r="M45" i="137"/>
  <c r="I45" i="137"/>
  <c r="E45" i="137"/>
  <c r="G45" i="137"/>
  <c r="K45" i="137"/>
  <c r="C45" i="137"/>
  <c r="M41" i="137"/>
  <c r="K41" i="137"/>
  <c r="I41" i="137"/>
  <c r="G41" i="137"/>
  <c r="E41" i="137"/>
  <c r="C41" i="137"/>
  <c r="J41" i="137"/>
  <c r="F41" i="137"/>
  <c r="H41" i="137"/>
  <c r="L41" i="137"/>
  <c r="D41" i="137"/>
  <c r="C31" i="137"/>
  <c r="M44" i="137"/>
  <c r="K44" i="137"/>
  <c r="I44" i="137"/>
  <c r="G44" i="137"/>
  <c r="E44" i="137"/>
  <c r="C44" i="137"/>
  <c r="L44" i="137"/>
  <c r="H44" i="137"/>
  <c r="D44" i="137"/>
  <c r="J44" i="137"/>
  <c r="F44" i="137"/>
  <c r="N33" i="246"/>
  <c r="L33" i="246"/>
  <c r="J33" i="246"/>
  <c r="H33" i="246"/>
  <c r="E33" i="246"/>
  <c r="C33" i="246"/>
  <c r="N29" i="246"/>
  <c r="L29" i="246"/>
  <c r="H29" i="246"/>
  <c r="E29" i="246"/>
  <c r="N27" i="246"/>
  <c r="L27" i="246"/>
  <c r="N18" i="246"/>
  <c r="L18" i="246"/>
  <c r="J18" i="246"/>
  <c r="H18" i="246"/>
  <c r="E18" i="246"/>
  <c r="C18" i="246"/>
  <c r="N16" i="246"/>
  <c r="L16" i="246"/>
  <c r="J16" i="246"/>
  <c r="H16" i="246"/>
  <c r="E16" i="246"/>
  <c r="C16" i="246"/>
  <c r="N14" i="246"/>
  <c r="L14" i="246"/>
  <c r="J14" i="246"/>
  <c r="H14" i="246"/>
  <c r="C14" i="246"/>
  <c r="J8" i="246"/>
  <c r="H8" i="246"/>
  <c r="E8" i="246"/>
  <c r="C8" i="246"/>
  <c r="N6" i="246"/>
  <c r="L6" i="246"/>
  <c r="J6" i="246"/>
  <c r="H6" i="246"/>
  <c r="E6" i="246"/>
  <c r="C6" i="246"/>
  <c r="I70" i="255"/>
  <c r="I76" i="255"/>
  <c r="I69" i="255"/>
  <c r="I75" i="255"/>
  <c r="I74" i="255"/>
  <c r="C41" i="246"/>
  <c r="E41" i="246"/>
  <c r="G41" i="246"/>
  <c r="I33" i="246"/>
  <c r="K30" i="246"/>
  <c r="M35" i="246"/>
  <c r="O35" i="246"/>
  <c r="L17" i="140"/>
  <c r="J17" i="140"/>
  <c r="H17" i="140"/>
  <c r="F17" i="140"/>
  <c r="D17" i="140"/>
  <c r="M17" i="140"/>
  <c r="I17" i="140"/>
  <c r="E17" i="140"/>
  <c r="K17" i="140"/>
  <c r="G17" i="140"/>
  <c r="C17" i="140"/>
  <c r="L16" i="298"/>
  <c r="J16" i="298"/>
  <c r="H16" i="298"/>
  <c r="H15" i="298" s="1"/>
  <c r="F16" i="298"/>
  <c r="D16" i="298"/>
  <c r="K16" i="298"/>
  <c r="G16" i="298"/>
  <c r="G15" i="298" s="1"/>
  <c r="C16" i="298"/>
  <c r="C15" i="298" s="1"/>
  <c r="I16" i="298"/>
  <c r="M16" i="298"/>
  <c r="E16" i="298"/>
  <c r="E15" i="298" s="1"/>
  <c r="M14" i="298"/>
  <c r="K14" i="298"/>
  <c r="I14" i="298"/>
  <c r="G14" i="298"/>
  <c r="E14" i="298"/>
  <c r="C14" i="298"/>
  <c r="J14" i="298"/>
  <c r="F14" i="298"/>
  <c r="L14" i="298"/>
  <c r="D14" i="298"/>
  <c r="H14" i="298"/>
  <c r="M36" i="298"/>
  <c r="K36" i="298"/>
  <c r="I36" i="298"/>
  <c r="G36" i="298"/>
  <c r="E36" i="298"/>
  <c r="C36" i="298"/>
  <c r="L36" i="298"/>
  <c r="H36" i="298"/>
  <c r="D36" i="298"/>
  <c r="F36" i="298"/>
  <c r="J36" i="298"/>
  <c r="M42" i="299"/>
  <c r="K42" i="299"/>
  <c r="I42" i="299"/>
  <c r="G42" i="299"/>
  <c r="E42" i="299"/>
  <c r="C42" i="299"/>
  <c r="J42" i="299"/>
  <c r="F42" i="299"/>
  <c r="H42" i="299"/>
  <c r="L42" i="299"/>
  <c r="D42" i="299"/>
  <c r="L19" i="299"/>
  <c r="J19" i="299"/>
  <c r="H19" i="299"/>
  <c r="F19" i="299"/>
  <c r="D19" i="299"/>
  <c r="K19" i="299"/>
  <c r="G19" i="299"/>
  <c r="C19" i="299"/>
  <c r="I19" i="299"/>
  <c r="M19" i="299"/>
  <c r="E19" i="299"/>
  <c r="L40" i="137"/>
  <c r="J40" i="137"/>
  <c r="H40" i="137"/>
  <c r="F40" i="137"/>
  <c r="D40" i="137"/>
  <c r="M40" i="137"/>
  <c r="I40" i="137"/>
  <c r="E40" i="137"/>
  <c r="K40" i="137"/>
  <c r="C40" i="137"/>
  <c r="G40" i="137"/>
  <c r="L43" i="137"/>
  <c r="J43" i="137"/>
  <c r="H43" i="137"/>
  <c r="F43" i="137"/>
  <c r="D43" i="137"/>
  <c r="K43" i="137"/>
  <c r="G43" i="137"/>
  <c r="C43" i="137"/>
  <c r="M43" i="137"/>
  <c r="E43" i="137"/>
  <c r="I43" i="137"/>
  <c r="N35" i="246"/>
  <c r="L35" i="246"/>
  <c r="N32" i="246"/>
  <c r="L32" i="246"/>
  <c r="J30" i="246"/>
  <c r="H30" i="246"/>
  <c r="E30" i="246"/>
  <c r="C30" i="246"/>
  <c r="L19" i="246"/>
  <c r="C19" i="246"/>
  <c r="N17" i="246"/>
  <c r="L17" i="246"/>
  <c r="J17" i="246"/>
  <c r="H17" i="246"/>
  <c r="E17" i="246"/>
  <c r="C17" i="246"/>
  <c r="N15" i="246"/>
  <c r="L15" i="246"/>
  <c r="J15" i="246"/>
  <c r="H15" i="246"/>
  <c r="E15" i="246"/>
  <c r="C15" i="246"/>
  <c r="N7" i="246"/>
  <c r="L7" i="246"/>
  <c r="J7" i="246"/>
  <c r="H7" i="246"/>
  <c r="E7" i="246"/>
  <c r="C7" i="246"/>
  <c r="N5" i="246"/>
  <c r="L5" i="246"/>
  <c r="J5" i="246"/>
  <c r="H5" i="246"/>
  <c r="E5" i="246"/>
  <c r="C5" i="246"/>
  <c r="D57" i="123"/>
  <c r="C43" i="88"/>
  <c r="C8" i="88" s="1"/>
  <c r="F14" i="255"/>
  <c r="J17" i="255"/>
  <c r="J19" i="255" s="1"/>
  <c r="K47" i="123" s="1"/>
  <c r="F19" i="255"/>
  <c r="G47" i="123" s="1"/>
  <c r="D17" i="255"/>
  <c r="D19" i="255" s="1"/>
  <c r="E47" i="123" s="1"/>
  <c r="E39" i="123" s="1"/>
  <c r="J27" i="255"/>
  <c r="J30" i="255" s="1"/>
  <c r="O10" i="137" s="1"/>
  <c r="F27" i="255"/>
  <c r="F30" i="255" s="1"/>
  <c r="G49" i="123" s="1"/>
  <c r="D30" i="255"/>
  <c r="E49" i="123" s="1"/>
  <c r="L47" i="255"/>
  <c r="L46" i="255"/>
  <c r="H45" i="255"/>
  <c r="D45" i="255"/>
  <c r="J44" i="255"/>
  <c r="D44" i="255"/>
  <c r="J43" i="255"/>
  <c r="D43" i="255"/>
  <c r="J42" i="255"/>
  <c r="D42" i="255"/>
  <c r="J41" i="255"/>
  <c r="K36" i="338" s="1"/>
  <c r="F49" i="255"/>
  <c r="F51" i="255" s="1"/>
  <c r="D41" i="255"/>
  <c r="E36" i="338" s="1"/>
  <c r="J40" i="255"/>
  <c r="D40" i="255"/>
  <c r="H65" i="255"/>
  <c r="H66" i="255" s="1"/>
  <c r="D65" i="255"/>
  <c r="J64" i="255"/>
  <c r="J66" i="255" s="1"/>
  <c r="F64" i="255"/>
  <c r="F70" i="255"/>
  <c r="G69" i="255"/>
  <c r="A24" i="255"/>
  <c r="A51" i="255"/>
  <c r="G12" i="255"/>
  <c r="G14" i="255" s="1"/>
  <c r="C12" i="255"/>
  <c r="C14" i="255" s="1"/>
  <c r="E17" i="255"/>
  <c r="E19" i="255" s="1"/>
  <c r="F47" i="123" s="1"/>
  <c r="G27" i="255"/>
  <c r="G30" i="255" s="1"/>
  <c r="H49" i="123" s="1"/>
  <c r="E27" i="255"/>
  <c r="E30" i="255" s="1"/>
  <c r="F49" i="123" s="1"/>
  <c r="G48" i="255"/>
  <c r="C48" i="255"/>
  <c r="G47" i="255"/>
  <c r="C47" i="255"/>
  <c r="G46" i="255"/>
  <c r="C46" i="255"/>
  <c r="I45" i="255"/>
  <c r="E45" i="255"/>
  <c r="K44" i="255"/>
  <c r="E44" i="255"/>
  <c r="K43" i="255"/>
  <c r="E43" i="255"/>
  <c r="K42" i="255"/>
  <c r="E42" i="255"/>
  <c r="K41" i="255"/>
  <c r="L36" i="338" s="1"/>
  <c r="G41" i="255"/>
  <c r="H36" i="338" s="1"/>
  <c r="E41" i="255"/>
  <c r="C41" i="255"/>
  <c r="D36" i="338" s="1"/>
  <c r="G40" i="255"/>
  <c r="C40" i="255"/>
  <c r="I65" i="255"/>
  <c r="E65" i="255"/>
  <c r="E66" i="255" s="1"/>
  <c r="K64" i="255"/>
  <c r="G64" i="255"/>
  <c r="C64" i="255"/>
  <c r="G63" i="255"/>
  <c r="G70" i="255"/>
  <c r="L69" i="255"/>
  <c r="F69" i="255"/>
  <c r="C70" i="255"/>
  <c r="L12" i="255"/>
  <c r="L14" i="255" s="1"/>
  <c r="M46" i="123" s="1"/>
  <c r="J76" i="255"/>
  <c r="G75" i="255"/>
  <c r="F74" i="255"/>
  <c r="L77" i="255"/>
  <c r="K76" i="255"/>
  <c r="J75" i="255"/>
  <c r="G74" i="255"/>
  <c r="E74" i="255"/>
  <c r="G76" i="255"/>
  <c r="J77" i="255"/>
  <c r="D74" i="255"/>
  <c r="D78" i="255" s="1"/>
  <c r="D84" i="255" s="1"/>
  <c r="E75" i="255"/>
  <c r="G77" i="255"/>
  <c r="A1" i="343"/>
  <c r="A13" i="140"/>
  <c r="A7" i="294"/>
  <c r="A26" i="294" s="1"/>
  <c r="A9" i="294"/>
  <c r="A28" i="294" s="1"/>
  <c r="A13" i="294"/>
  <c r="A32" i="294" s="1"/>
  <c r="K3" i="237"/>
  <c r="I2" i="296"/>
  <c r="J2" i="315"/>
  <c r="I2" i="147"/>
  <c r="J2" i="88"/>
  <c r="J3" i="233"/>
  <c r="C2" i="294"/>
  <c r="I2" i="349"/>
  <c r="C18" i="294"/>
  <c r="L74" i="338"/>
  <c r="L26" i="338" s="1"/>
  <c r="A10" i="140"/>
  <c r="D2" i="350"/>
  <c r="D2" i="233"/>
  <c r="D2" i="248"/>
  <c r="D2" i="255"/>
  <c r="D2" i="336"/>
  <c r="E2" i="315"/>
  <c r="D2" i="146"/>
  <c r="D2" i="316"/>
  <c r="D2" i="342"/>
  <c r="M3" i="123"/>
  <c r="K3" i="349"/>
  <c r="L3" i="337"/>
  <c r="K3" i="144"/>
  <c r="M2" i="139"/>
  <c r="P3" i="127"/>
  <c r="O3" i="342"/>
  <c r="U3" i="127"/>
  <c r="R3" i="342"/>
  <c r="L3" i="342"/>
  <c r="E74" i="338"/>
  <c r="E26" i="338" s="1"/>
  <c r="E23" i="338" s="1"/>
  <c r="K3" i="86"/>
  <c r="L3" i="127"/>
  <c r="L3" i="131"/>
  <c r="L3" i="255"/>
  <c r="P3" i="95"/>
  <c r="E3" i="294"/>
  <c r="M3" i="314"/>
  <c r="M3" i="256"/>
  <c r="K3" i="316"/>
  <c r="K3" i="142"/>
  <c r="L3" i="343"/>
  <c r="K3" i="253"/>
  <c r="K3" i="147"/>
  <c r="K3" i="134"/>
  <c r="Q3" i="300"/>
  <c r="Q3" i="298"/>
  <c r="Q3" i="137"/>
  <c r="J2" i="129"/>
  <c r="I2" i="134"/>
  <c r="I2" i="253"/>
  <c r="I2" i="342"/>
  <c r="I2" i="142"/>
  <c r="I2" i="316"/>
  <c r="E2" i="139"/>
  <c r="K2" i="256"/>
  <c r="J2" i="235"/>
  <c r="K2" i="314"/>
  <c r="J2" i="128"/>
  <c r="J2" i="131"/>
  <c r="K3" i="337"/>
  <c r="J3" i="249"/>
  <c r="J3" i="349"/>
  <c r="J3" i="147"/>
  <c r="J3" i="296"/>
  <c r="J3" i="134"/>
  <c r="P3" i="300"/>
  <c r="P3" i="298"/>
  <c r="P3" i="137"/>
  <c r="J3" i="248"/>
  <c r="K3" i="126"/>
  <c r="J3" i="86"/>
  <c r="D171" i="343"/>
  <c r="D341" i="343" s="1"/>
  <c r="J2" i="237"/>
  <c r="D2" i="351"/>
  <c r="I2" i="133"/>
  <c r="J3" i="351"/>
  <c r="D2" i="133"/>
  <c r="C2" i="342"/>
  <c r="D2" i="127"/>
  <c r="K3" i="343"/>
  <c r="D2" i="129"/>
  <c r="D2" i="237"/>
  <c r="I2" i="336"/>
  <c r="C2" i="142"/>
  <c r="C2" i="144"/>
  <c r="C2" i="136"/>
  <c r="C2" i="249"/>
  <c r="C2" i="316"/>
  <c r="C2" i="305"/>
  <c r="C2" i="146"/>
  <c r="D2" i="128"/>
  <c r="C2" i="350"/>
  <c r="D2" i="147"/>
  <c r="D2" i="88"/>
  <c r="A64" i="248"/>
  <c r="C2" i="88"/>
  <c r="C2" i="147"/>
  <c r="D2" i="315"/>
  <c r="F3" i="294"/>
  <c r="O3" i="95"/>
  <c r="C2" i="128"/>
  <c r="D2" i="249"/>
  <c r="D2" i="144"/>
  <c r="C2" i="336"/>
  <c r="D2" i="123"/>
  <c r="C2" i="255"/>
  <c r="C2" i="248"/>
  <c r="C2" i="131"/>
  <c r="C2" i="126"/>
  <c r="C2" i="127"/>
  <c r="B2" i="86"/>
  <c r="C2" i="253"/>
  <c r="A18" i="294"/>
  <c r="A37" i="294" s="1"/>
  <c r="A18" i="299"/>
  <c r="A43" i="299"/>
  <c r="K77" i="255"/>
  <c r="L48" i="255"/>
  <c r="H46" i="255"/>
  <c r="D33" i="246"/>
  <c r="H41" i="246"/>
  <c r="J41" i="246"/>
  <c r="L41" i="246"/>
  <c r="N41" i="246"/>
  <c r="M8" i="246"/>
  <c r="O8" i="246"/>
  <c r="D9" i="246"/>
  <c r="F9" i="246"/>
  <c r="I9" i="246"/>
  <c r="K9" i="246"/>
  <c r="M9" i="246"/>
  <c r="O9" i="246"/>
  <c r="D10" i="246"/>
  <c r="F10" i="246"/>
  <c r="I10" i="246"/>
  <c r="K10" i="246"/>
  <c r="M10" i="246"/>
  <c r="O10" i="246"/>
  <c r="D11" i="246"/>
  <c r="F11" i="246"/>
  <c r="I11" i="246"/>
  <c r="K11" i="246"/>
  <c r="M11" i="246"/>
  <c r="O11" i="246"/>
  <c r="D12" i="246"/>
  <c r="F12" i="246"/>
  <c r="I12" i="246"/>
  <c r="K12" i="246"/>
  <c r="M12" i="246"/>
  <c r="O12" i="246"/>
  <c r="D13" i="246"/>
  <c r="F13" i="246"/>
  <c r="I13" i="246"/>
  <c r="K13" i="246"/>
  <c r="M13" i="246"/>
  <c r="F19" i="246"/>
  <c r="I19" i="246"/>
  <c r="O19" i="246"/>
  <c r="F20" i="246"/>
  <c r="M20" i="246"/>
  <c r="O20" i="246"/>
  <c r="F21" i="246"/>
  <c r="I21" i="246"/>
  <c r="K21" i="246"/>
  <c r="M21" i="246"/>
  <c r="O21" i="246"/>
  <c r="F25" i="246"/>
  <c r="I25" i="246"/>
  <c r="K25" i="246"/>
  <c r="M25" i="246"/>
  <c r="O25" i="246"/>
  <c r="D26" i="246"/>
  <c r="F26" i="246"/>
  <c r="I26" i="246"/>
  <c r="K26" i="246"/>
  <c r="M26" i="246"/>
  <c r="O26" i="246"/>
  <c r="D27" i="246"/>
  <c r="F27" i="246"/>
  <c r="I27" i="246"/>
  <c r="M30" i="246"/>
  <c r="O30" i="246"/>
  <c r="D31" i="246"/>
  <c r="F31" i="246"/>
  <c r="I31" i="246"/>
  <c r="K31" i="246"/>
  <c r="M31" i="246"/>
  <c r="O31" i="246"/>
  <c r="D32" i="246"/>
  <c r="F32" i="246"/>
  <c r="I32" i="246"/>
  <c r="O34" i="246"/>
  <c r="D35" i="246"/>
  <c r="F35" i="246"/>
  <c r="I35" i="246"/>
  <c r="D39" i="246"/>
  <c r="F39" i="246"/>
  <c r="I39" i="246"/>
  <c r="K39" i="246"/>
  <c r="M39" i="246"/>
  <c r="O39" i="246"/>
  <c r="D40" i="246"/>
  <c r="F40" i="246"/>
  <c r="I40" i="246"/>
  <c r="K40" i="246"/>
  <c r="M40" i="246"/>
  <c r="O40" i="246"/>
  <c r="D41" i="246"/>
  <c r="F41" i="246"/>
  <c r="I41" i="246"/>
  <c r="K41" i="246"/>
  <c r="M41" i="246"/>
  <c r="O41" i="246"/>
  <c r="D5" i="246"/>
  <c r="F5" i="246"/>
  <c r="I5" i="246"/>
  <c r="K5" i="246"/>
  <c r="M5" i="246"/>
  <c r="O5" i="246"/>
  <c r="D6" i="246"/>
  <c r="F6" i="246"/>
  <c r="I6" i="246"/>
  <c r="K6" i="246"/>
  <c r="M6" i="246"/>
  <c r="O6" i="246"/>
  <c r="D7" i="246"/>
  <c r="F7" i="246"/>
  <c r="I7" i="246"/>
  <c r="K7" i="246"/>
  <c r="M7" i="246"/>
  <c r="O7" i="246"/>
  <c r="D8" i="246"/>
  <c r="F8" i="246"/>
  <c r="I8" i="246"/>
  <c r="L8" i="246"/>
  <c r="N8" i="246"/>
  <c r="C9" i="246"/>
  <c r="E9" i="246"/>
  <c r="H9" i="246"/>
  <c r="J9" i="246"/>
  <c r="L9" i="246"/>
  <c r="N9" i="246"/>
  <c r="C10" i="246"/>
  <c r="E10" i="246"/>
  <c r="H10" i="246"/>
  <c r="J10" i="246"/>
  <c r="L10" i="246"/>
  <c r="N10" i="246"/>
  <c r="C11" i="246"/>
  <c r="E11" i="246"/>
  <c r="H11" i="246"/>
  <c r="J11" i="246"/>
  <c r="L11" i="246"/>
  <c r="N11" i="246"/>
  <c r="C12" i="246"/>
  <c r="E12" i="246"/>
  <c r="H12" i="246"/>
  <c r="J12" i="246"/>
  <c r="L12" i="246"/>
  <c r="N12" i="246"/>
  <c r="C13" i="246"/>
  <c r="E13" i="246"/>
  <c r="H13" i="246"/>
  <c r="J13" i="246"/>
  <c r="L13" i="246"/>
  <c r="N13" i="246"/>
  <c r="D14" i="246"/>
  <c r="F14" i="246"/>
  <c r="I14" i="246"/>
  <c r="K14" i="246"/>
  <c r="M14" i="246"/>
  <c r="O14" i="246"/>
  <c r="D15" i="246"/>
  <c r="F15" i="246"/>
  <c r="I15" i="246"/>
  <c r="K15" i="246"/>
  <c r="M15" i="246"/>
  <c r="O15" i="246"/>
  <c r="D16" i="246"/>
  <c r="F16" i="246"/>
  <c r="I16" i="246"/>
  <c r="K16" i="246"/>
  <c r="M16" i="246"/>
  <c r="O16" i="246"/>
  <c r="D17" i="246"/>
  <c r="F17" i="246"/>
  <c r="I17" i="246"/>
  <c r="K17" i="246"/>
  <c r="M17" i="246"/>
  <c r="O17" i="246"/>
  <c r="D18" i="246"/>
  <c r="F18" i="246"/>
  <c r="I18" i="246"/>
  <c r="K18" i="246"/>
  <c r="M18" i="246"/>
  <c r="O18" i="246"/>
  <c r="E19" i="246"/>
  <c r="E22" i="246" s="1"/>
  <c r="H19" i="246"/>
  <c r="J19" i="246"/>
  <c r="N19" i="246"/>
  <c r="E20" i="246"/>
  <c r="H20" i="246"/>
  <c r="L20" i="246"/>
  <c r="N20" i="246"/>
  <c r="E21" i="246"/>
  <c r="H21" i="246"/>
  <c r="J21" i="246"/>
  <c r="L21" i="246"/>
  <c r="N21" i="246"/>
  <c r="E25" i="246"/>
  <c r="H25" i="246"/>
  <c r="J25" i="246"/>
  <c r="L25" i="246"/>
  <c r="N25" i="246"/>
  <c r="C26" i="246"/>
  <c r="E26" i="246"/>
  <c r="H26" i="246"/>
  <c r="J26" i="246"/>
  <c r="L26" i="246"/>
  <c r="N26" i="246"/>
  <c r="C27" i="246"/>
  <c r="E27" i="246"/>
  <c r="H27" i="246"/>
  <c r="J27" i="246"/>
  <c r="M27" i="246"/>
  <c r="O27" i="246"/>
  <c r="F29" i="246"/>
  <c r="J29" i="246"/>
  <c r="M29" i="246"/>
  <c r="O29" i="246"/>
  <c r="D30" i="246"/>
  <c r="F30" i="246"/>
  <c r="I30" i="246"/>
  <c r="L30" i="246"/>
  <c r="N30" i="246"/>
  <c r="C31" i="246"/>
  <c r="E31" i="246"/>
  <c r="E36" i="246" s="1"/>
  <c r="H31" i="246"/>
  <c r="J31" i="246"/>
  <c r="J36" i="246" s="1"/>
  <c r="L31" i="246"/>
  <c r="N31" i="246"/>
  <c r="C32" i="246"/>
  <c r="E32" i="246"/>
  <c r="H32" i="246"/>
  <c r="J32" i="246"/>
  <c r="M32" i="246"/>
  <c r="O32" i="246"/>
  <c r="F33" i="246"/>
  <c r="K33" i="246"/>
  <c r="M33" i="246"/>
  <c r="O33" i="246"/>
  <c r="J34" i="246"/>
  <c r="N34" i="246"/>
  <c r="C35" i="246"/>
  <c r="E35" i="246"/>
  <c r="H35" i="246"/>
  <c r="J35" i="246"/>
  <c r="E39" i="246"/>
  <c r="H39" i="246"/>
  <c r="J39" i="246"/>
  <c r="L39" i="246"/>
  <c r="N39" i="246"/>
  <c r="C40" i="246"/>
  <c r="E40" i="246"/>
  <c r="H40" i="246"/>
  <c r="J40" i="246"/>
  <c r="L40" i="246"/>
  <c r="N40" i="246"/>
  <c r="O27" i="299"/>
  <c r="O32" i="299"/>
  <c r="F41" i="343"/>
  <c r="F53" i="343"/>
  <c r="F209" i="343"/>
  <c r="F208" i="343" s="1"/>
  <c r="F264" i="343"/>
  <c r="F263" i="343" s="1"/>
  <c r="F220" i="343"/>
  <c r="P32" i="140"/>
  <c r="F198" i="343"/>
  <c r="F297" i="343"/>
  <c r="F296" i="343" s="1"/>
  <c r="F19" i="343"/>
  <c r="F275" i="343"/>
  <c r="F274" i="343" s="1"/>
  <c r="F140" i="343"/>
  <c r="F30" i="343"/>
  <c r="F28" i="343" s="1"/>
  <c r="F9" i="343"/>
  <c r="F62" i="343"/>
  <c r="F199" i="343"/>
  <c r="Q32" i="140"/>
  <c r="F231" i="343"/>
  <c r="F187" i="343"/>
  <c r="Q17" i="140"/>
  <c r="P11" i="140"/>
  <c r="F43" i="343"/>
  <c r="P7" i="140"/>
  <c r="F52" i="343"/>
  <c r="P17" i="140"/>
  <c r="F189" i="343"/>
  <c r="Q30" i="140"/>
  <c r="F40" i="343"/>
  <c r="F232" i="343"/>
  <c r="F242" i="343"/>
  <c r="P33" i="140"/>
  <c r="F8" i="343"/>
  <c r="E7" i="343"/>
  <c r="E19" i="343"/>
  <c r="E29" i="343"/>
  <c r="E42" i="343"/>
  <c r="E53" i="343"/>
  <c r="E63" i="343"/>
  <c r="E84" i="343"/>
  <c r="E83" i="343" s="1"/>
  <c r="E139" i="343"/>
  <c r="E178" i="343"/>
  <c r="E190" i="343"/>
  <c r="E210" i="343"/>
  <c r="E221" i="343"/>
  <c r="E231" i="343"/>
  <c r="E253" i="343"/>
  <c r="E252" i="343" s="1"/>
  <c r="E297" i="343"/>
  <c r="E296" i="343" s="1"/>
  <c r="E18" i="343"/>
  <c r="E22" i="343"/>
  <c r="E41" i="343"/>
  <c r="E52" i="343"/>
  <c r="E62" i="343"/>
  <c r="E95" i="343"/>
  <c r="E94" i="343" s="1"/>
  <c r="E128" i="343"/>
  <c r="E127" i="343" s="1"/>
  <c r="E177" i="343"/>
  <c r="E189" i="343"/>
  <c r="E209" i="343"/>
  <c r="E220" i="343"/>
  <c r="E224" i="343"/>
  <c r="E243" i="343"/>
  <c r="E286" i="343"/>
  <c r="E285" i="343" s="1"/>
  <c r="F188" i="343"/>
  <c r="F74" i="343"/>
  <c r="F224" i="343"/>
  <c r="D14" i="294"/>
  <c r="P30" i="140"/>
  <c r="F139" i="343"/>
  <c r="F63" i="343"/>
  <c r="F42" i="343"/>
  <c r="Q28" i="140"/>
  <c r="F54" i="343"/>
  <c r="F55" i="343"/>
  <c r="Q15" i="140"/>
  <c r="F221" i="343"/>
  <c r="F84" i="343"/>
  <c r="F83" i="343" s="1"/>
  <c r="F117" i="343"/>
  <c r="F116" i="343" s="1"/>
  <c r="P28" i="140"/>
  <c r="F106" i="343"/>
  <c r="F105" i="343" s="1"/>
  <c r="F20" i="343"/>
  <c r="F22" i="343"/>
  <c r="F128" i="343"/>
  <c r="F127" i="343" s="1"/>
  <c r="O24" i="140"/>
  <c r="F223" i="343"/>
  <c r="F309" i="343"/>
  <c r="F253" i="343"/>
  <c r="F252" i="343" s="1"/>
  <c r="F211" i="343"/>
  <c r="E21" i="343"/>
  <c r="E51" i="343"/>
  <c r="E50" i="343" s="1"/>
  <c r="E73" i="343"/>
  <c r="E176" i="343"/>
  <c r="E199" i="343"/>
  <c r="E223" i="343"/>
  <c r="E275" i="343"/>
  <c r="E274" i="343" s="1"/>
  <c r="E8" i="343"/>
  <c r="E30" i="343"/>
  <c r="E54" i="343"/>
  <c r="E106" i="343"/>
  <c r="E105" i="343" s="1"/>
  <c r="E187" i="343"/>
  <c r="E211" i="343"/>
  <c r="E232" i="343"/>
  <c r="O5" i="140"/>
  <c r="F18" i="343"/>
  <c r="F308" i="343"/>
  <c r="F210" i="343"/>
  <c r="F73" i="343"/>
  <c r="F72" i="343" s="1"/>
  <c r="F212" i="343"/>
  <c r="F21" i="343"/>
  <c r="F176" i="343"/>
  <c r="F175" i="343" s="1"/>
  <c r="E309" i="343"/>
  <c r="E308" i="343"/>
  <c r="E9" i="343"/>
  <c r="E40" i="343"/>
  <c r="E55" i="343"/>
  <c r="E117" i="343"/>
  <c r="E116" i="343" s="1"/>
  <c r="E188" i="343"/>
  <c r="E212" i="343"/>
  <c r="E242" i="343"/>
  <c r="E20" i="343"/>
  <c r="E43" i="343"/>
  <c r="E74" i="343"/>
  <c r="E140" i="343"/>
  <c r="E198" i="343"/>
  <c r="E222" i="343"/>
  <c r="E264" i="343"/>
  <c r="E263" i="343" s="1"/>
  <c r="Q29" i="140"/>
  <c r="F241" i="343"/>
  <c r="O35" i="140"/>
  <c r="G43" i="298"/>
  <c r="G20" i="95"/>
  <c r="F19" i="95"/>
  <c r="L36" i="95"/>
  <c r="E36" i="95"/>
  <c r="K19" i="95"/>
  <c r="F44" i="298"/>
  <c r="E8" i="95"/>
  <c r="E20" i="95"/>
  <c r="H20" i="95"/>
  <c r="O24" i="299"/>
  <c r="N24" i="299" s="1"/>
  <c r="O28" i="299"/>
  <c r="B19" i="95"/>
  <c r="J19" i="95"/>
  <c r="C43" i="298"/>
  <c r="H49" i="131"/>
  <c r="G95" i="248"/>
  <c r="K64" i="248"/>
  <c r="J64" i="248"/>
  <c r="K16" i="123"/>
  <c r="K60" i="248"/>
  <c r="K65" i="248" s="1"/>
  <c r="J60" i="248"/>
  <c r="F20" i="95"/>
  <c r="K20" i="95"/>
  <c r="J20" i="95"/>
  <c r="B20" i="95"/>
  <c r="I36" i="95"/>
  <c r="D43" i="298"/>
  <c r="M37" i="298"/>
  <c r="F37" i="298"/>
  <c r="F32" i="298" s="1"/>
  <c r="D46" i="95"/>
  <c r="J46" i="95"/>
  <c r="G15" i="146"/>
  <c r="J19" i="298"/>
  <c r="M19" i="298"/>
  <c r="I46" i="95"/>
  <c r="G36" i="95"/>
  <c r="J36" i="95"/>
  <c r="B36" i="95"/>
  <c r="F15" i="146"/>
  <c r="F36" i="95"/>
  <c r="F17" i="338"/>
  <c r="F6" i="349"/>
  <c r="F77" i="349" s="1"/>
  <c r="F97" i="349" s="1"/>
  <c r="D18" i="338"/>
  <c r="D17" i="338" s="1"/>
  <c r="D53" i="123"/>
  <c r="E46" i="95"/>
  <c r="E19" i="298"/>
  <c r="E71" i="255"/>
  <c r="F38" i="338" s="1"/>
  <c r="F66" i="255"/>
  <c r="D49" i="255"/>
  <c r="D51" i="255" s="1"/>
  <c r="H37" i="298"/>
  <c r="H32" i="298" s="1"/>
  <c r="K38" i="298"/>
  <c r="G9" i="255"/>
  <c r="G66" i="255"/>
  <c r="D43" i="131"/>
  <c r="D45" i="131" s="1"/>
  <c r="D48" i="131" s="1"/>
  <c r="D9" i="255"/>
  <c r="F98" i="123"/>
  <c r="E44" i="338"/>
  <c r="E43" i="338" s="1"/>
  <c r="H46" i="95"/>
  <c r="C37" i="95"/>
  <c r="H9" i="255"/>
  <c r="E12" i="255"/>
  <c r="E14" i="255" s="1"/>
  <c r="K12" i="255"/>
  <c r="K14" i="255" s="1"/>
  <c r="P7" i="137" s="1"/>
  <c r="O7" i="95" s="1"/>
  <c r="D12" i="255"/>
  <c r="D14" i="255" s="1"/>
  <c r="H12" i="255"/>
  <c r="H14" i="255" s="1"/>
  <c r="J93" i="123" s="1"/>
  <c r="C95" i="248"/>
  <c r="C5" i="88"/>
  <c r="D119" i="123" s="1"/>
  <c r="I13" i="88"/>
  <c r="K33" i="146"/>
  <c r="D58" i="123"/>
  <c r="D18" i="123" s="1"/>
  <c r="D113" i="123"/>
  <c r="H24" i="95"/>
  <c r="I23" i="248"/>
  <c r="I26" i="248" s="1"/>
  <c r="I6" i="350"/>
  <c r="J15" i="300"/>
  <c r="N36" i="140"/>
  <c r="I43" i="255"/>
  <c r="I63" i="255"/>
  <c r="I66" i="255" s="1"/>
  <c r="D36" i="95"/>
  <c r="I41" i="255"/>
  <c r="J36" i="338" s="1"/>
  <c r="N13" i="137"/>
  <c r="H23" i="315"/>
  <c r="Q17" i="299"/>
  <c r="P17" i="299"/>
  <c r="I78" i="255"/>
  <c r="I84" i="255" s="1"/>
  <c r="C29" i="298"/>
  <c r="C28" i="298" s="1"/>
  <c r="I110" i="255"/>
  <c r="T564" i="356"/>
  <c r="L29" i="298"/>
  <c r="L28" i="298" s="1"/>
  <c r="O10" i="299"/>
  <c r="N10" i="299" s="1"/>
  <c r="J22" i="141"/>
  <c r="O35" i="299"/>
  <c r="D29" i="298"/>
  <c r="D28" i="298" s="1"/>
  <c r="N45" i="137"/>
  <c r="K9" i="298"/>
  <c r="M9" i="298"/>
  <c r="L43" i="299"/>
  <c r="J43" i="299"/>
  <c r="H43" i="299"/>
  <c r="F43" i="299"/>
  <c r="D43" i="299"/>
  <c r="K43" i="299"/>
  <c r="G43" i="299"/>
  <c r="C43" i="299"/>
  <c r="M43" i="299"/>
  <c r="E43" i="299"/>
  <c r="I43" i="299"/>
  <c r="F36" i="338"/>
  <c r="I98" i="123"/>
  <c r="K98" i="123"/>
  <c r="M15" i="298"/>
  <c r="K15" i="298"/>
  <c r="F15" i="298"/>
  <c r="J15" i="298"/>
  <c r="B42" i="95"/>
  <c r="F5" i="300"/>
  <c r="J5" i="300"/>
  <c r="G5" i="300"/>
  <c r="K5" i="300"/>
  <c r="I5" i="88"/>
  <c r="J119" i="123" s="1"/>
  <c r="J10" i="248"/>
  <c r="P51" i="95"/>
  <c r="L47" i="131"/>
  <c r="M65" i="338"/>
  <c r="L23" i="315"/>
  <c r="I23" i="315"/>
  <c r="G78" i="255"/>
  <c r="G84" i="255" s="1"/>
  <c r="H40" i="338" s="1"/>
  <c r="N44" i="137"/>
  <c r="K15" i="300"/>
  <c r="F15" i="300"/>
  <c r="Q27" i="140"/>
  <c r="M18" i="299"/>
  <c r="K18" i="299"/>
  <c r="I18" i="299"/>
  <c r="G18" i="299"/>
  <c r="E18" i="299"/>
  <c r="C18" i="299"/>
  <c r="J18" i="299"/>
  <c r="F18" i="299"/>
  <c r="L18" i="299"/>
  <c r="D18" i="299"/>
  <c r="H18" i="299"/>
  <c r="A36" i="299"/>
  <c r="K36" i="299" s="1"/>
  <c r="E70" i="338"/>
  <c r="M10" i="140"/>
  <c r="M9" i="300"/>
  <c r="K10" i="140"/>
  <c r="I10" i="140"/>
  <c r="I9" i="300"/>
  <c r="I25" i="300" s="1"/>
  <c r="H50" i="95" s="1"/>
  <c r="G10" i="140"/>
  <c r="G9" i="300"/>
  <c r="G25" i="300" s="1"/>
  <c r="F50" i="95" s="1"/>
  <c r="E10" i="140"/>
  <c r="C10" i="140"/>
  <c r="J10" i="140"/>
  <c r="J9" i="300"/>
  <c r="F10" i="140"/>
  <c r="L10" i="140"/>
  <c r="L9" i="300"/>
  <c r="H10" i="140"/>
  <c r="H9" i="300"/>
  <c r="D10" i="140"/>
  <c r="D9" i="300"/>
  <c r="L13" i="140"/>
  <c r="J13" i="140"/>
  <c r="H13" i="140"/>
  <c r="H19" i="300"/>
  <c r="F13" i="140"/>
  <c r="F19" i="300"/>
  <c r="D13" i="140"/>
  <c r="M13" i="140"/>
  <c r="I13" i="140"/>
  <c r="E13" i="140"/>
  <c r="K13" i="140"/>
  <c r="G13" i="140"/>
  <c r="G19" i="300"/>
  <c r="C13" i="140"/>
  <c r="C19" i="300"/>
  <c r="G36" i="338"/>
  <c r="N29" i="95"/>
  <c r="L29" i="95" s="1"/>
  <c r="K29" i="95" s="1"/>
  <c r="J29" i="95" s="1"/>
  <c r="I29" i="95" s="1"/>
  <c r="H29" i="95" s="1"/>
  <c r="G29" i="95" s="1"/>
  <c r="F29" i="95" s="1"/>
  <c r="E29" i="95" s="1"/>
  <c r="D29" i="95" s="1"/>
  <c r="C29" i="95" s="1"/>
  <c r="B29" i="95" s="1"/>
  <c r="K62" i="338"/>
  <c r="J46" i="131"/>
  <c r="I15" i="298"/>
  <c r="D15" i="298"/>
  <c r="L15" i="298"/>
  <c r="I71" i="255"/>
  <c r="J98" i="123"/>
  <c r="C38" i="298"/>
  <c r="D5" i="300"/>
  <c r="H5" i="300"/>
  <c r="L5" i="300"/>
  <c r="E5" i="300"/>
  <c r="I5" i="300"/>
  <c r="M5" i="300"/>
  <c r="L22" i="141"/>
  <c r="O34" i="299"/>
  <c r="N34" i="299" s="1"/>
  <c r="H49" i="255"/>
  <c r="H51" i="255" s="1"/>
  <c r="E9" i="300"/>
  <c r="F9" i="300"/>
  <c r="K9" i="300"/>
  <c r="D19" i="300"/>
  <c r="E19" i="300"/>
  <c r="I19" i="300"/>
  <c r="N44" i="299"/>
  <c r="L9" i="298"/>
  <c r="N52" i="298"/>
  <c r="F21" i="314"/>
  <c r="E21" i="314"/>
  <c r="C17" i="294"/>
  <c r="P24" i="140"/>
  <c r="E28" i="343"/>
  <c r="O25" i="140"/>
  <c r="P13" i="140"/>
  <c r="P5" i="140"/>
  <c r="E138" i="343"/>
  <c r="Q17" i="300"/>
  <c r="F197" i="343"/>
  <c r="L16" i="123"/>
  <c r="E43" i="131"/>
  <c r="E45" i="131" s="1"/>
  <c r="E48" i="131" s="1"/>
  <c r="F53" i="123"/>
  <c r="C43" i="131"/>
  <c r="C45" i="131" s="1"/>
  <c r="C48" i="131" s="1"/>
  <c r="C49" i="131" s="1"/>
  <c r="I24" i="95"/>
  <c r="K23" i="315"/>
  <c r="H22" i="141"/>
  <c r="F23" i="315"/>
  <c r="K22" i="141"/>
  <c r="D23" i="315"/>
  <c r="M36" i="299"/>
  <c r="F22" i="141"/>
  <c r="C15" i="300"/>
  <c r="O29" i="95"/>
  <c r="K46" i="131"/>
  <c r="L62" i="338"/>
  <c r="M62" i="338"/>
  <c r="J23" i="315"/>
  <c r="G21" i="314"/>
  <c r="C5" i="300"/>
  <c r="P31" i="95"/>
  <c r="M16" i="123"/>
  <c r="O31" i="95"/>
  <c r="L70" i="338"/>
  <c r="J24" i="95"/>
  <c r="I57" i="248"/>
  <c r="I65" i="248" s="1"/>
  <c r="H21" i="314"/>
  <c r="I22" i="141"/>
  <c r="C9" i="300"/>
  <c r="M21" i="314"/>
  <c r="P29" i="95"/>
  <c r="L46" i="131"/>
  <c r="K21" i="314"/>
  <c r="K19" i="300"/>
  <c r="J19" i="300"/>
  <c r="K24" i="95"/>
  <c r="I21" i="314"/>
  <c r="K57" i="248"/>
  <c r="J57" i="248"/>
  <c r="J65" i="248" s="1"/>
  <c r="J26" i="128"/>
  <c r="L21" i="314"/>
  <c r="J21" i="314"/>
  <c r="L24" i="95"/>
  <c r="D56" i="128"/>
  <c r="M19" i="300"/>
  <c r="M25" i="300" s="1"/>
  <c r="L50" i="95" s="1"/>
  <c r="L19" i="300"/>
  <c r="M105" i="123"/>
  <c r="E56" i="128"/>
  <c r="G56" i="128"/>
  <c r="H56" i="128"/>
  <c r="I56" i="128"/>
  <c r="J56" i="128"/>
  <c r="K56" i="128"/>
  <c r="L56" i="128"/>
  <c r="I37" i="298"/>
  <c r="I32" i="298" s="1"/>
  <c r="H36" i="95"/>
  <c r="F78" i="255"/>
  <c r="F84" i="255" s="1"/>
  <c r="E78" i="255"/>
  <c r="E84" i="255" s="1"/>
  <c r="G19" i="95"/>
  <c r="B12" i="95"/>
  <c r="D39" i="95"/>
  <c r="M39" i="95" s="1"/>
  <c r="K14" i="95"/>
  <c r="N14" i="137"/>
  <c r="I16" i="95"/>
  <c r="G44" i="298"/>
  <c r="C16" i="95"/>
  <c r="J16" i="95"/>
  <c r="B16" i="95"/>
  <c r="G17" i="95"/>
  <c r="C17" i="95"/>
  <c r="G12" i="95"/>
  <c r="M12" i="95" s="1"/>
  <c r="K46" i="95"/>
  <c r="C21" i="349"/>
  <c r="C74" i="248" s="1"/>
  <c r="E21" i="349"/>
  <c r="E6" i="349" s="1"/>
  <c r="C47" i="349"/>
  <c r="C78" i="248" s="1"/>
  <c r="E47" i="349"/>
  <c r="E78" i="248" s="1"/>
  <c r="G46" i="123"/>
  <c r="I107" i="123"/>
  <c r="L44" i="298"/>
  <c r="L42" i="298" s="1"/>
  <c r="C44" i="298"/>
  <c r="H44" i="298"/>
  <c r="AJ80" i="356"/>
  <c r="L46" i="95" s="1"/>
  <c r="F9" i="95"/>
  <c r="B9" i="95"/>
  <c r="D21" i="349"/>
  <c r="D6" i="349" s="1"/>
  <c r="I19" i="298"/>
  <c r="I20" i="95"/>
  <c r="L20" i="95"/>
  <c r="I17" i="95"/>
  <c r="F10" i="95"/>
  <c r="F11" i="88"/>
  <c r="F38" i="144"/>
  <c r="F95" i="248"/>
  <c r="N40" i="137"/>
  <c r="F43" i="298"/>
  <c r="AE82" i="356"/>
  <c r="G46" i="95" s="1"/>
  <c r="Z80" i="356"/>
  <c r="AE499" i="356"/>
  <c r="H43" i="298" s="1"/>
  <c r="AG499" i="356"/>
  <c r="J43" i="298" s="1"/>
  <c r="J42" i="298" s="1"/>
  <c r="AH499" i="356"/>
  <c r="K43" i="298" s="1"/>
  <c r="K42" i="298" s="1"/>
  <c r="AJ499" i="356"/>
  <c r="M43" i="298" s="1"/>
  <c r="M42" i="298" s="1"/>
  <c r="K10" i="349"/>
  <c r="K71" i="248" s="1"/>
  <c r="G21" i="349"/>
  <c r="G6" i="349" s="1"/>
  <c r="C43" i="349"/>
  <c r="C77" i="248" s="1"/>
  <c r="H43" i="349"/>
  <c r="H77" i="248" s="1"/>
  <c r="D47" i="349"/>
  <c r="D78" i="248" s="1"/>
  <c r="G47" i="349"/>
  <c r="G78" i="248" s="1"/>
  <c r="M14" i="95"/>
  <c r="E113" i="123"/>
  <c r="E58" i="123"/>
  <c r="E175" i="343"/>
  <c r="O9" i="140"/>
  <c r="N9" i="140" s="1"/>
  <c r="O16" i="140"/>
  <c r="M33" i="299"/>
  <c r="L33" i="299"/>
  <c r="C33" i="299"/>
  <c r="I33" i="299"/>
  <c r="H33" i="299"/>
  <c r="J33" i="299"/>
  <c r="E33" i="299"/>
  <c r="D33" i="299"/>
  <c r="K33" i="299"/>
  <c r="F33" i="299"/>
  <c r="G33" i="299"/>
  <c r="A22" i="255"/>
  <c r="F22" i="255" s="1"/>
  <c r="F24" i="255" s="1"/>
  <c r="B145" i="100"/>
  <c r="A1" i="350" s="1"/>
  <c r="D25" i="246"/>
  <c r="F7" i="255"/>
  <c r="J8" i="255"/>
  <c r="J9" i="255" s="1"/>
  <c r="K45" i="123" s="1"/>
  <c r="I8" i="255"/>
  <c r="I9" i="255" s="1"/>
  <c r="H74" i="338"/>
  <c r="H70" i="338" s="1"/>
  <c r="G74" i="338"/>
  <c r="G70" i="338" s="1"/>
  <c r="B141" i="100"/>
  <c r="A1" i="301" s="1"/>
  <c r="B146" i="100"/>
  <c r="A1" i="349" s="1"/>
  <c r="B144" i="100"/>
  <c r="A1" i="134" s="1"/>
  <c r="G7" i="350"/>
  <c r="G21" i="248" s="1"/>
  <c r="G36" i="248" s="1"/>
  <c r="G10" i="350"/>
  <c r="G22" i="248" s="1"/>
  <c r="Q3" i="127"/>
  <c r="L22" i="255"/>
  <c r="L24" i="255" s="1"/>
  <c r="Q9" i="137" s="1"/>
  <c r="P9" i="95" s="1"/>
  <c r="J54" i="348"/>
  <c r="N12" i="299"/>
  <c r="I43" i="349"/>
  <c r="I77" i="248" s="1"/>
  <c r="C27" i="255"/>
  <c r="C30" i="255" s="1"/>
  <c r="D49" i="123" s="1"/>
  <c r="D63" i="255"/>
  <c r="D66" i="255" s="1"/>
  <c r="N46" i="298"/>
  <c r="N14" i="299"/>
  <c r="G18" i="338"/>
  <c r="G17" i="338" s="1"/>
  <c r="O32" i="140"/>
  <c r="O31" i="140"/>
  <c r="N31" i="140" s="1"/>
  <c r="O29" i="140"/>
  <c r="N29" i="140" s="1"/>
  <c r="D11" i="88"/>
  <c r="D38" i="144"/>
  <c r="E38" i="144"/>
  <c r="E11" i="88"/>
  <c r="E95" i="248"/>
  <c r="E35" i="237"/>
  <c r="J55" i="123"/>
  <c r="G84" i="123" s="1"/>
  <c r="E36" i="142"/>
  <c r="H22" i="255"/>
  <c r="H24" i="255" s="1"/>
  <c r="I48" i="123" s="1"/>
  <c r="O50" i="95"/>
  <c r="P50" i="95"/>
  <c r="E42" i="123"/>
  <c r="G42" i="123"/>
  <c r="I42" i="123"/>
  <c r="D44" i="298"/>
  <c r="D42" i="298" s="1"/>
  <c r="I22" i="246"/>
  <c r="C22" i="246"/>
  <c r="O36" i="246"/>
  <c r="E15" i="146"/>
  <c r="N6" i="137"/>
  <c r="D43" i="349"/>
  <c r="D77" i="248" s="1"/>
  <c r="I14" i="146"/>
  <c r="I107" i="146" s="1"/>
  <c r="N11" i="299"/>
  <c r="G22" i="246"/>
  <c r="G36" i="246"/>
  <c r="D41" i="146"/>
  <c r="D91" i="146" s="1"/>
  <c r="E28" i="146"/>
  <c r="D15" i="146"/>
  <c r="D25" i="316"/>
  <c r="D59" i="316" s="1"/>
  <c r="F26" i="338"/>
  <c r="F23" i="338" s="1"/>
  <c r="F22" i="246"/>
  <c r="O19" i="137"/>
  <c r="N19" i="95" s="1"/>
  <c r="O29" i="299"/>
  <c r="O11" i="137"/>
  <c r="N11" i="95" s="1"/>
  <c r="I59" i="249"/>
  <c r="K100" i="123"/>
  <c r="I14" i="349"/>
  <c r="I72" i="248" s="1"/>
  <c r="O7" i="298"/>
  <c r="N7" i="298" s="1"/>
  <c r="E107" i="123"/>
  <c r="L19" i="298"/>
  <c r="F71" i="255"/>
  <c r="H12" i="338"/>
  <c r="H19" i="95"/>
  <c r="H70" i="248"/>
  <c r="H6" i="349"/>
  <c r="G9" i="95"/>
  <c r="C79" i="248"/>
  <c r="D79" i="248"/>
  <c r="K9" i="95"/>
  <c r="I21" i="349"/>
  <c r="I74" i="248" s="1"/>
  <c r="E43" i="349"/>
  <c r="E77" i="248" s="1"/>
  <c r="H107" i="123"/>
  <c r="N19" i="299"/>
  <c r="C9" i="255"/>
  <c r="C19" i="95"/>
  <c r="I44" i="298"/>
  <c r="N34" i="298"/>
  <c r="I19" i="95"/>
  <c r="H47" i="349"/>
  <c r="H78" i="248" s="1"/>
  <c r="E68" i="248"/>
  <c r="F39" i="123"/>
  <c r="I38" i="338"/>
  <c r="J39" i="123"/>
  <c r="I41" i="123"/>
  <c r="N10" i="95"/>
  <c r="O8" i="137"/>
  <c r="N8" i="137" s="1"/>
  <c r="K39" i="123"/>
  <c r="O20" i="137"/>
  <c r="N20" i="95" s="1"/>
  <c r="J32" i="237"/>
  <c r="J14" i="237" s="1"/>
  <c r="K38" i="338"/>
  <c r="N18" i="95"/>
  <c r="M18" i="95" s="1"/>
  <c r="N18" i="137"/>
  <c r="N46" i="95"/>
  <c r="K42" i="123"/>
  <c r="O23" i="298"/>
  <c r="N23" i="298" s="1"/>
  <c r="I18" i="349"/>
  <c r="I73" i="248" s="1"/>
  <c r="B37" i="95"/>
  <c r="K32" i="298"/>
  <c r="J7" i="95"/>
  <c r="L9" i="95"/>
  <c r="D9" i="95"/>
  <c r="H79" i="248"/>
  <c r="E32" i="298"/>
  <c r="J32" i="298"/>
  <c r="H42" i="123"/>
  <c r="F92" i="123"/>
  <c r="J41" i="123"/>
  <c r="K44" i="338"/>
  <c r="K43" i="338" s="1"/>
  <c r="L31" i="95"/>
  <c r="K31" i="95" s="1"/>
  <c r="J31" i="95" s="1"/>
  <c r="I31" i="95" s="1"/>
  <c r="H31" i="95" s="1"/>
  <c r="G31" i="95" s="1"/>
  <c r="F31" i="95" s="1"/>
  <c r="E31" i="95" s="1"/>
  <c r="D31" i="95" s="1"/>
  <c r="C31" i="95" s="1"/>
  <c r="B31" i="95" s="1"/>
  <c r="M31" i="95" s="1"/>
  <c r="J35" i="237"/>
  <c r="G38" i="144"/>
  <c r="E15" i="88"/>
  <c r="H44" i="338"/>
  <c r="H43" i="338" s="1"/>
  <c r="G20" i="128"/>
  <c r="J17" i="128" s="1"/>
  <c r="J20" i="128" s="1"/>
  <c r="D95" i="248"/>
  <c r="G11" i="88"/>
  <c r="G44" i="338"/>
  <c r="G43" i="338" s="1"/>
  <c r="H19" i="338"/>
  <c r="H17" i="338" s="1"/>
  <c r="H11" i="88"/>
  <c r="I55" i="237"/>
  <c r="I67" i="237" s="1"/>
  <c r="I17" i="237" s="1"/>
  <c r="I72" i="128"/>
  <c r="J65" i="128"/>
  <c r="K65" i="128" s="1"/>
  <c r="D44" i="146"/>
  <c r="D89" i="146" s="1"/>
  <c r="H9" i="128"/>
  <c r="J55" i="237"/>
  <c r="J67" i="237" s="1"/>
  <c r="J17" i="237" s="1"/>
  <c r="L107" i="123"/>
  <c r="N39" i="137"/>
  <c r="I60" i="316"/>
  <c r="K17" i="338"/>
  <c r="J36" i="142"/>
  <c r="I43" i="298"/>
  <c r="G24" i="338"/>
  <c r="F43" i="131"/>
  <c r="N42" i="95"/>
  <c r="F79" i="248"/>
  <c r="L7" i="255"/>
  <c r="G107" i="123"/>
  <c r="D19" i="298"/>
  <c r="M36" i="246"/>
  <c r="F42" i="123"/>
  <c r="K36" i="95"/>
  <c r="I93" i="123"/>
  <c r="G16" i="95"/>
  <c r="G68" i="248"/>
  <c r="L22" i="246"/>
  <c r="J78" i="255"/>
  <c r="J84" i="255" s="1"/>
  <c r="H98" i="123"/>
  <c r="G98" i="123"/>
  <c r="G49" i="255"/>
  <c r="G51" i="255" s="1"/>
  <c r="H35" i="338" s="1"/>
  <c r="H34" i="338" s="1"/>
  <c r="O45" i="298"/>
  <c r="N45" i="298" s="1"/>
  <c r="Q36" i="298"/>
  <c r="O36" i="298"/>
  <c r="N36" i="298" s="1"/>
  <c r="Q13" i="298"/>
  <c r="O47" i="298"/>
  <c r="N47" i="298" s="1"/>
  <c r="O37" i="298"/>
  <c r="P36" i="298"/>
  <c r="O29" i="298"/>
  <c r="O17" i="298"/>
  <c r="N17" i="298" s="1"/>
  <c r="P13" i="298"/>
  <c r="O13" i="298"/>
  <c r="N13" i="298" s="1"/>
  <c r="O44" i="298"/>
  <c r="Q5" i="140"/>
  <c r="O10" i="140"/>
  <c r="Q11" i="140"/>
  <c r="E11" i="294"/>
  <c r="Q18" i="300"/>
  <c r="Q16" i="140"/>
  <c r="O12" i="140"/>
  <c r="C12" i="294"/>
  <c r="O15" i="140"/>
  <c r="N15" i="140" s="1"/>
  <c r="C15" i="294"/>
  <c r="J8" i="248"/>
  <c r="J24" i="248"/>
  <c r="I36" i="248"/>
  <c r="C7" i="294"/>
  <c r="O7" i="140"/>
  <c r="O24" i="300"/>
  <c r="N24" i="300" s="1"/>
  <c r="O17" i="140"/>
  <c r="N17" i="140" s="1"/>
  <c r="H10" i="134"/>
  <c r="H7" i="248" s="1"/>
  <c r="P22" i="300"/>
  <c r="P14" i="140"/>
  <c r="E11" i="248"/>
  <c r="E36" i="248"/>
  <c r="D15" i="294"/>
  <c r="I40" i="248"/>
  <c r="H10" i="350"/>
  <c r="H22" i="248" s="1"/>
  <c r="K43" i="248"/>
  <c r="J43" i="248"/>
  <c r="H21" i="134"/>
  <c r="H10" i="248" s="1"/>
  <c r="H40" i="248" s="1"/>
  <c r="H27" i="134"/>
  <c r="H12" i="248" s="1"/>
  <c r="H18" i="134"/>
  <c r="H9" i="248" s="1"/>
  <c r="L32" i="237"/>
  <c r="L14" i="237" s="1"/>
  <c r="M107" i="123"/>
  <c r="M108" i="123"/>
  <c r="L65" i="338"/>
  <c r="K47" i="131"/>
  <c r="O51" i="95"/>
  <c r="M109" i="123"/>
  <c r="K20" i="128"/>
  <c r="L25" i="128"/>
  <c r="L26" i="128" s="1"/>
  <c r="K26" i="128"/>
  <c r="D74" i="248" l="1"/>
  <c r="D36" i="299"/>
  <c r="H25" i="300"/>
  <c r="G50" i="95" s="1"/>
  <c r="M25" i="298"/>
  <c r="M26" i="298" s="1"/>
  <c r="E197" i="343"/>
  <c r="E17" i="343"/>
  <c r="F39" i="343"/>
  <c r="F50" i="343"/>
  <c r="C52" i="136"/>
  <c r="E52" i="136"/>
  <c r="K52" i="136"/>
  <c r="C55" i="249"/>
  <c r="H16" i="134"/>
  <c r="G47" i="350"/>
  <c r="G29" i="248" s="1"/>
  <c r="K47" i="350"/>
  <c r="K29" i="248" s="1"/>
  <c r="J18" i="134"/>
  <c r="C2" i="148"/>
  <c r="E2" i="349"/>
  <c r="E2" i="88"/>
  <c r="J3" i="136"/>
  <c r="J40" i="248"/>
  <c r="I2" i="139"/>
  <c r="M3" i="342"/>
  <c r="V3" i="127"/>
  <c r="U3" i="342"/>
  <c r="K3" i="131"/>
  <c r="J3" i="316"/>
  <c r="J3" i="142"/>
  <c r="L4" i="338"/>
  <c r="D3" i="294"/>
  <c r="J3" i="144"/>
  <c r="J3" i="350"/>
  <c r="J3" i="301"/>
  <c r="D2" i="301"/>
  <c r="D2" i="136"/>
  <c r="D47" i="147"/>
  <c r="D2" i="126"/>
  <c r="G2" i="235"/>
  <c r="D2" i="343"/>
  <c r="D20" i="301"/>
  <c r="H58" i="146"/>
  <c r="L23" i="139"/>
  <c r="H23" i="139"/>
  <c r="D23" i="139"/>
  <c r="E23" i="139"/>
  <c r="M23" i="139"/>
  <c r="E58" i="146"/>
  <c r="F71" i="146"/>
  <c r="E28" i="305"/>
  <c r="F53" i="316"/>
  <c r="C53" i="249"/>
  <c r="C60" i="249" s="1"/>
  <c r="C32" i="142"/>
  <c r="H77" i="255"/>
  <c r="H78" i="255" s="1"/>
  <c r="H84" i="255" s="1"/>
  <c r="M340" i="342"/>
  <c r="N340" i="342"/>
  <c r="U340" i="342"/>
  <c r="V340" i="342"/>
  <c r="H15" i="253"/>
  <c r="H36" i="253"/>
  <c r="G46" i="253"/>
  <c r="I32" i="237"/>
  <c r="I14" i="237" s="1"/>
  <c r="H107" i="146"/>
  <c r="H15" i="146"/>
  <c r="F25" i="300"/>
  <c r="E50" i="95" s="1"/>
  <c r="N10" i="140"/>
  <c r="N29" i="298"/>
  <c r="L25" i="298"/>
  <c r="L26" i="298" s="1"/>
  <c r="H26" i="338"/>
  <c r="H23" i="338" s="1"/>
  <c r="D22" i="255"/>
  <c r="D24" i="255" s="1"/>
  <c r="E48" i="123" s="1"/>
  <c r="F42" i="298"/>
  <c r="L25" i="300"/>
  <c r="K50" i="95" s="1"/>
  <c r="C41" i="248"/>
  <c r="A1" i="136"/>
  <c r="A1" i="305"/>
  <c r="A1" i="146"/>
  <c r="A1" i="144"/>
  <c r="A1" i="127"/>
  <c r="A1" i="123"/>
  <c r="A1" i="335"/>
  <c r="A1" i="137"/>
  <c r="H55" i="249"/>
  <c r="A1" i="140"/>
  <c r="A1" i="299"/>
  <c r="A1" i="253"/>
  <c r="O9" i="139"/>
  <c r="O21" i="139"/>
  <c r="O15" i="139"/>
  <c r="E20" i="301"/>
  <c r="C20" i="301"/>
  <c r="A1" i="129"/>
  <c r="C57" i="145"/>
  <c r="H57" i="145"/>
  <c r="D28" i="146"/>
  <c r="G58" i="146"/>
  <c r="J87" i="146"/>
  <c r="J53" i="316"/>
  <c r="K34" i="249"/>
  <c r="H53" i="249"/>
  <c r="H60" i="249" s="1"/>
  <c r="G51" i="136"/>
  <c r="G52" i="136" s="1"/>
  <c r="E49" i="316"/>
  <c r="F24" i="143"/>
  <c r="G18" i="337"/>
  <c r="F18" i="337"/>
  <c r="F33" i="337"/>
  <c r="G34" i="337" s="1"/>
  <c r="L340" i="342"/>
  <c r="P340" i="342"/>
  <c r="T340" i="342"/>
  <c r="D30" i="237"/>
  <c r="G15" i="253"/>
  <c r="C36" i="253"/>
  <c r="G36" i="253"/>
  <c r="F46" i="253"/>
  <c r="G7" i="128"/>
  <c r="G9" i="128" s="1"/>
  <c r="A1" i="86"/>
  <c r="O30" i="139"/>
  <c r="G71" i="146"/>
  <c r="J34" i="249"/>
  <c r="J25" i="316"/>
  <c r="I52" i="316"/>
  <c r="G25" i="316"/>
  <c r="G59" i="316" s="1"/>
  <c r="D33" i="337"/>
  <c r="D48" i="337"/>
  <c r="G48" i="337"/>
  <c r="L76" i="348"/>
  <c r="I77" i="348"/>
  <c r="B101" i="100"/>
  <c r="C28" i="305"/>
  <c r="K72" i="128"/>
  <c r="K55" i="237"/>
  <c r="K67" i="237" s="1"/>
  <c r="K17" i="237" s="1"/>
  <c r="L65" i="128"/>
  <c r="D67" i="338"/>
  <c r="D35" i="237"/>
  <c r="E55" i="123"/>
  <c r="E84" i="123" s="1"/>
  <c r="F55" i="123"/>
  <c r="F84" i="123" s="1"/>
  <c r="E15" i="123"/>
  <c r="F15" i="123"/>
  <c r="F36" i="142"/>
  <c r="G36" i="142"/>
  <c r="F35" i="237"/>
  <c r="G15" i="123"/>
  <c r="G55" i="123"/>
  <c r="K55" i="123"/>
  <c r="H84" i="123" s="1"/>
  <c r="D36" i="142"/>
  <c r="D15" i="88"/>
  <c r="H15" i="123"/>
  <c r="G35" i="237"/>
  <c r="K15" i="123"/>
  <c r="H55" i="123"/>
  <c r="H35" i="237"/>
  <c r="I55" i="123"/>
  <c r="I15" i="123"/>
  <c r="J72" i="128"/>
  <c r="D15" i="253"/>
  <c r="E36" i="253"/>
  <c r="D46" i="253"/>
  <c r="H46" i="253"/>
  <c r="J9" i="128"/>
  <c r="F30" i="143" s="1"/>
  <c r="F44" i="131"/>
  <c r="F45" i="131" s="1"/>
  <c r="F48" i="131" s="1"/>
  <c r="G67" i="338"/>
  <c r="M31" i="137"/>
  <c r="L42" i="95" s="1"/>
  <c r="K31" i="137"/>
  <c r="J42" i="95" s="1"/>
  <c r="I31" i="137"/>
  <c r="H42" i="95" s="1"/>
  <c r="G31" i="137"/>
  <c r="F42" i="95" s="1"/>
  <c r="E31" i="137"/>
  <c r="D42" i="95" s="1"/>
  <c r="L31" i="137"/>
  <c r="K42" i="95" s="1"/>
  <c r="J31" i="137"/>
  <c r="I42" i="95" s="1"/>
  <c r="H31" i="137"/>
  <c r="G42" i="95" s="1"/>
  <c r="F31" i="137"/>
  <c r="E42" i="95" s="1"/>
  <c r="D31" i="137"/>
  <c r="M27" i="140"/>
  <c r="K27" i="140"/>
  <c r="I27" i="140"/>
  <c r="G27" i="140"/>
  <c r="E27" i="140"/>
  <c r="L27" i="140"/>
  <c r="J27" i="140"/>
  <c r="H27" i="140"/>
  <c r="F27" i="140"/>
  <c r="D27" i="140"/>
  <c r="M25" i="140"/>
  <c r="K25" i="140"/>
  <c r="I25" i="140"/>
  <c r="G25" i="140"/>
  <c r="E25" i="140"/>
  <c r="L25" i="140"/>
  <c r="J25" i="140"/>
  <c r="H25" i="140"/>
  <c r="F25" i="140"/>
  <c r="D25" i="140"/>
  <c r="I11" i="88"/>
  <c r="G22" i="255"/>
  <c r="G24" i="255" s="1"/>
  <c r="J22" i="255"/>
  <c r="J24" i="255" s="1"/>
  <c r="C6" i="349"/>
  <c r="N25" i="140"/>
  <c r="E307" i="343"/>
  <c r="F307" i="343"/>
  <c r="E230" i="343"/>
  <c r="E186" i="343"/>
  <c r="E6" i="343"/>
  <c r="F61" i="343"/>
  <c r="E208" i="343"/>
  <c r="E219" i="343"/>
  <c r="F230" i="343"/>
  <c r="F17" i="343"/>
  <c r="J12" i="255"/>
  <c r="J14" i="255" s="1"/>
  <c r="E2" i="255"/>
  <c r="O8" i="299"/>
  <c r="N8" i="299" s="1"/>
  <c r="L63" i="255"/>
  <c r="M28" i="140"/>
  <c r="K28" i="140"/>
  <c r="I28" i="140"/>
  <c r="G28" i="140"/>
  <c r="E28" i="140"/>
  <c r="L28" i="140"/>
  <c r="J28" i="140"/>
  <c r="H28" i="140"/>
  <c r="F28" i="140"/>
  <c r="D28" i="140"/>
  <c r="C15" i="137"/>
  <c r="E15" i="137"/>
  <c r="D15" i="95" s="1"/>
  <c r="G15" i="137"/>
  <c r="F15" i="95" s="1"/>
  <c r="I15" i="137"/>
  <c r="H15" i="95" s="1"/>
  <c r="K15" i="137"/>
  <c r="J15" i="95" s="1"/>
  <c r="M15" i="137"/>
  <c r="L15" i="95" s="1"/>
  <c r="D15" i="137"/>
  <c r="C15" i="95" s="1"/>
  <c r="F15" i="137"/>
  <c r="E15" i="95" s="1"/>
  <c r="H15" i="137"/>
  <c r="G15" i="95" s="1"/>
  <c r="J15" i="137"/>
  <c r="I15" i="95" s="1"/>
  <c r="L15" i="137"/>
  <c r="K15" i="95" s="1"/>
  <c r="D11" i="137"/>
  <c r="C11" i="95" s="1"/>
  <c r="F11" i="137"/>
  <c r="E11" i="95" s="1"/>
  <c r="H11" i="137"/>
  <c r="G11" i="95" s="1"/>
  <c r="J11" i="137"/>
  <c r="I11" i="95" s="1"/>
  <c r="L11" i="137"/>
  <c r="K11" i="95" s="1"/>
  <c r="C11" i="137"/>
  <c r="B11" i="95" s="1"/>
  <c r="E11" i="137"/>
  <c r="D11" i="95" s="1"/>
  <c r="G11" i="137"/>
  <c r="F11" i="95" s="1"/>
  <c r="I11" i="137"/>
  <c r="H11" i="95" s="1"/>
  <c r="K11" i="137"/>
  <c r="J11" i="95" s="1"/>
  <c r="M11" i="137"/>
  <c r="L11" i="95" s="1"/>
  <c r="M24" i="140"/>
  <c r="K24" i="140"/>
  <c r="I24" i="140"/>
  <c r="G24" i="140"/>
  <c r="E24" i="140"/>
  <c r="L24" i="140"/>
  <c r="J24" i="140"/>
  <c r="H24" i="140"/>
  <c r="F24" i="140"/>
  <c r="D24" i="140"/>
  <c r="E42" i="248"/>
  <c r="E40" i="248"/>
  <c r="K18" i="134"/>
  <c r="K9" i="248" s="1"/>
  <c r="K10" i="134"/>
  <c r="K7" i="248" s="1"/>
  <c r="G51" i="134"/>
  <c r="G15" i="248" s="1"/>
  <c r="K51" i="134"/>
  <c r="K15" i="248" s="1"/>
  <c r="I18" i="134"/>
  <c r="I9" i="248" s="1"/>
  <c r="I39" i="248" s="1"/>
  <c r="K10" i="350"/>
  <c r="K22" i="248" s="1"/>
  <c r="E51" i="350"/>
  <c r="E30" i="248" s="1"/>
  <c r="L3" i="123"/>
  <c r="A7" i="140"/>
  <c r="N18" i="140"/>
  <c r="L42" i="255"/>
  <c r="M51" i="123"/>
  <c r="L27" i="255"/>
  <c r="L30" i="255" s="1"/>
  <c r="Q23" i="298"/>
  <c r="Q27" i="299"/>
  <c r="L40" i="255"/>
  <c r="O6" i="299"/>
  <c r="N6" i="299" s="1"/>
  <c r="G32" i="137"/>
  <c r="F43" i="95" s="1"/>
  <c r="M32" i="137"/>
  <c r="L43" i="95" s="1"/>
  <c r="I32" i="137"/>
  <c r="H43" i="95" s="1"/>
  <c r="L32" i="137"/>
  <c r="K43" i="95" s="1"/>
  <c r="K47" i="95" s="1"/>
  <c r="D32" i="137"/>
  <c r="C43" i="95" s="1"/>
  <c r="E32" i="137"/>
  <c r="D43" i="95" s="1"/>
  <c r="D47" i="95" s="1"/>
  <c r="J32" i="137"/>
  <c r="I43" i="95" s="1"/>
  <c r="I47" i="95" s="1"/>
  <c r="F32" i="137"/>
  <c r="E43" i="95" s="1"/>
  <c r="E47" i="95" s="1"/>
  <c r="E57" i="145"/>
  <c r="I57" i="145"/>
  <c r="K25" i="300"/>
  <c r="J50" i="95" s="1"/>
  <c r="E25" i="300"/>
  <c r="D50" i="95" s="1"/>
  <c r="D25" i="300"/>
  <c r="C50" i="95" s="1"/>
  <c r="J25" i="300"/>
  <c r="I50" i="95" s="1"/>
  <c r="C25" i="300"/>
  <c r="B50" i="95" s="1"/>
  <c r="K92" i="123"/>
  <c r="G74" i="248"/>
  <c r="M11" i="95"/>
  <c r="I53" i="249"/>
  <c r="L33" i="337"/>
  <c r="L18" i="337"/>
  <c r="J33" i="337"/>
  <c r="K33" i="337"/>
  <c r="I32" i="337"/>
  <c r="J18" i="337"/>
  <c r="K18" i="337"/>
  <c r="I17" i="337"/>
  <c r="E17" i="88"/>
  <c r="E74" i="248"/>
  <c r="E75" i="248" s="1"/>
  <c r="N41" i="137"/>
  <c r="J46" i="253"/>
  <c r="K36" i="253"/>
  <c r="I36" i="253"/>
  <c r="K15" i="253"/>
  <c r="I15" i="253"/>
  <c r="N44" i="298"/>
  <c r="N18" i="299"/>
  <c r="L36" i="246"/>
  <c r="N36" i="246"/>
  <c r="J22" i="246"/>
  <c r="J38" i="246" s="1"/>
  <c r="J42" i="246" s="1"/>
  <c r="N22" i="246"/>
  <c r="M22" i="246"/>
  <c r="M38" i="246" s="1"/>
  <c r="M42" i="246" s="1"/>
  <c r="D22" i="246"/>
  <c r="K22" i="246"/>
  <c r="O22" i="246"/>
  <c r="H22" i="246"/>
  <c r="C36" i="246"/>
  <c r="N43" i="137"/>
  <c r="N42" i="299"/>
  <c r="K36" i="246"/>
  <c r="M41" i="95"/>
  <c r="O28" i="137"/>
  <c r="N28" i="137" s="1"/>
  <c r="I68" i="248"/>
  <c r="N12" i="137"/>
  <c r="M22" i="137"/>
  <c r="K49" i="123"/>
  <c r="N11" i="137"/>
  <c r="N29" i="137"/>
  <c r="M32" i="298"/>
  <c r="L38" i="298"/>
  <c r="G38" i="298"/>
  <c r="M28" i="298"/>
  <c r="G9" i="298"/>
  <c r="C9" i="298"/>
  <c r="H9" i="298"/>
  <c r="D9" i="298"/>
  <c r="I42" i="298"/>
  <c r="H19" i="298"/>
  <c r="N21" i="137"/>
  <c r="G32" i="298"/>
  <c r="I9" i="298"/>
  <c r="E9" i="298"/>
  <c r="E25" i="298" s="1"/>
  <c r="E26" i="298" s="1"/>
  <c r="J9" i="298"/>
  <c r="F9" i="298"/>
  <c r="L41" i="255"/>
  <c r="M36" i="338" s="1"/>
  <c r="E35" i="338"/>
  <c r="E34" i="338" s="1"/>
  <c r="F68" i="248"/>
  <c r="L106" i="255"/>
  <c r="C36" i="95"/>
  <c r="L38" i="246"/>
  <c r="L42" i="246" s="1"/>
  <c r="E38" i="246"/>
  <c r="E42" i="246" s="1"/>
  <c r="K19" i="298"/>
  <c r="G71" i="255"/>
  <c r="G7" i="88" s="1"/>
  <c r="H121" i="123" s="1"/>
  <c r="K106" i="255"/>
  <c r="K110" i="255" s="1"/>
  <c r="P34" i="137" s="1"/>
  <c r="O46" i="95" s="1"/>
  <c r="C22" i="137"/>
  <c r="Q8" i="299"/>
  <c r="K40" i="338"/>
  <c r="K37" i="338" s="1"/>
  <c r="O40" i="298"/>
  <c r="N40" i="298" s="1"/>
  <c r="E22" i="137"/>
  <c r="C19" i="298"/>
  <c r="M16" i="95"/>
  <c r="H36" i="246"/>
  <c r="J30" i="88"/>
  <c r="O32" i="137"/>
  <c r="O18" i="298"/>
  <c r="N18" i="298" s="1"/>
  <c r="O22" i="298"/>
  <c r="N22" i="298" s="1"/>
  <c r="N37" i="298"/>
  <c r="O39" i="298"/>
  <c r="N39" i="298" s="1"/>
  <c r="O41" i="298"/>
  <c r="N41" i="298" s="1"/>
  <c r="O24" i="298"/>
  <c r="N24" i="298" s="1"/>
  <c r="K22" i="137"/>
  <c r="O38" i="246"/>
  <c r="O42" i="246" s="1"/>
  <c r="H22" i="137"/>
  <c r="N10" i="137"/>
  <c r="J22" i="137"/>
  <c r="C36" i="137"/>
  <c r="J25" i="298"/>
  <c r="J26" i="298" s="1"/>
  <c r="C42" i="298"/>
  <c r="G42" i="298"/>
  <c r="N43" i="299"/>
  <c r="L36" i="137"/>
  <c r="E36" i="137"/>
  <c r="Q29" i="298"/>
  <c r="Q7" i="298"/>
  <c r="Q30" i="299"/>
  <c r="Q12" i="298"/>
  <c r="P26" i="299"/>
  <c r="J9" i="248"/>
  <c r="J6" i="134"/>
  <c r="C24" i="140"/>
  <c r="K12" i="140"/>
  <c r="G12" i="140"/>
  <c r="C12" i="140"/>
  <c r="H12" i="140"/>
  <c r="J12" i="140"/>
  <c r="M12" i="140"/>
  <c r="I12" i="140"/>
  <c r="E12" i="140"/>
  <c r="L12" i="140"/>
  <c r="D12" i="140"/>
  <c r="F12" i="140"/>
  <c r="A27" i="299"/>
  <c r="A31" i="299"/>
  <c r="A35" i="299"/>
  <c r="F17" i="299"/>
  <c r="L17" i="299"/>
  <c r="L20" i="299" s="1"/>
  <c r="H17" i="299"/>
  <c r="I17" i="299"/>
  <c r="C17" i="299"/>
  <c r="K17" i="299"/>
  <c r="K20" i="299" s="1"/>
  <c r="J17" i="299"/>
  <c r="J20" i="299" s="1"/>
  <c r="G17" i="299"/>
  <c r="G20" i="299" s="1"/>
  <c r="D17" i="299"/>
  <c r="D20" i="299" s="1"/>
  <c r="E17" i="299"/>
  <c r="E20" i="299" s="1"/>
  <c r="M17" i="299"/>
  <c r="M20" i="299" s="1"/>
  <c r="J39" i="248"/>
  <c r="N24" i="140"/>
  <c r="N35" i="137"/>
  <c r="I36" i="137"/>
  <c r="E5" i="248"/>
  <c r="O14" i="298"/>
  <c r="N14" i="298" s="1"/>
  <c r="H45" i="123"/>
  <c r="K37" i="123" s="1"/>
  <c r="N16" i="137"/>
  <c r="N17" i="137"/>
  <c r="J92" i="123"/>
  <c r="B46" i="95"/>
  <c r="B47" i="95" s="1"/>
  <c r="H10" i="88"/>
  <c r="I22" i="137"/>
  <c r="H42" i="298"/>
  <c r="H48" i="298" s="1"/>
  <c r="N8" i="95"/>
  <c r="M8" i="95" s="1"/>
  <c r="M20" i="95"/>
  <c r="I46" i="123"/>
  <c r="I92" i="123"/>
  <c r="H48" i="123"/>
  <c r="G22" i="137"/>
  <c r="G19" i="298"/>
  <c r="I49" i="255"/>
  <c r="I51" i="255" s="1"/>
  <c r="N29" i="299"/>
  <c r="D13" i="88"/>
  <c r="C22" i="255"/>
  <c r="C24" i="255" s="1"/>
  <c r="D48" i="123" s="1"/>
  <c r="E40" i="123" s="1"/>
  <c r="K22" i="255"/>
  <c r="K24" i="255" s="1"/>
  <c r="L48" i="123" s="1"/>
  <c r="E22" i="255"/>
  <c r="E24" i="255" s="1"/>
  <c r="F48" i="123" s="1"/>
  <c r="F40" i="123" s="1"/>
  <c r="I22" i="255"/>
  <c r="I24" i="255" s="1"/>
  <c r="J48" i="123" s="1"/>
  <c r="D14" i="88"/>
  <c r="G47" i="95"/>
  <c r="K25" i="298"/>
  <c r="K26" i="298" s="1"/>
  <c r="E36" i="299"/>
  <c r="H20" i="299"/>
  <c r="I20" i="299"/>
  <c r="E72" i="343"/>
  <c r="F138" i="343"/>
  <c r="E61" i="343"/>
  <c r="I36" i="246"/>
  <c r="I38" i="246" s="1"/>
  <c r="I42" i="246" s="1"/>
  <c r="K9" i="255"/>
  <c r="L92" i="123" s="1"/>
  <c r="L21" i="95"/>
  <c r="F20" i="299"/>
  <c r="M13" i="95"/>
  <c r="H55" i="338"/>
  <c r="H54" i="338" s="1"/>
  <c r="H53" i="338" s="1"/>
  <c r="E26" i="248"/>
  <c r="E45" i="248"/>
  <c r="J47" i="134"/>
  <c r="J14" i="248" s="1"/>
  <c r="I43" i="134"/>
  <c r="I13" i="248" s="1"/>
  <c r="I43" i="248" s="1"/>
  <c r="I51" i="350"/>
  <c r="I47" i="350"/>
  <c r="I29" i="248" s="1"/>
  <c r="I44" i="248" s="1"/>
  <c r="E39" i="248"/>
  <c r="K21" i="350"/>
  <c r="K25" i="248" s="1"/>
  <c r="M55" i="338"/>
  <c r="M54" i="338" s="1"/>
  <c r="M53" i="338" s="1"/>
  <c r="I10" i="134"/>
  <c r="J44" i="248"/>
  <c r="K18" i="350"/>
  <c r="J14" i="350"/>
  <c r="J23" i="248" s="1"/>
  <c r="K7" i="350"/>
  <c r="K21" i="248" s="1"/>
  <c r="C6" i="134"/>
  <c r="C77" i="134" s="1"/>
  <c r="F8" i="255"/>
  <c r="F9" i="255" s="1"/>
  <c r="J48" i="255"/>
  <c r="J49" i="255" s="1"/>
  <c r="J51" i="255" s="1"/>
  <c r="L44" i="255"/>
  <c r="K48" i="255"/>
  <c r="K49" i="255" s="1"/>
  <c r="K51" i="255" s="1"/>
  <c r="L35" i="338" s="1"/>
  <c r="L34" i="338" s="1"/>
  <c r="C45" i="255"/>
  <c r="C49" i="255" s="1"/>
  <c r="C51" i="255" s="1"/>
  <c r="E40" i="255"/>
  <c r="E49" i="255" s="1"/>
  <c r="E51" i="255" s="1"/>
  <c r="C340" i="343"/>
  <c r="C341" i="343" s="1"/>
  <c r="A11" i="140"/>
  <c r="E18" i="294"/>
  <c r="F2" i="248"/>
  <c r="F2" i="316"/>
  <c r="F2" i="131"/>
  <c r="F2" i="342"/>
  <c r="G2" i="141"/>
  <c r="F2" i="351"/>
  <c r="F2" i="349"/>
  <c r="J2" i="126"/>
  <c r="A6" i="140"/>
  <c r="A31" i="126"/>
  <c r="A30" i="140" s="1"/>
  <c r="D18" i="294"/>
  <c r="A63" i="248"/>
  <c r="D2" i="139"/>
  <c r="G3" i="338"/>
  <c r="L3" i="315"/>
  <c r="M3" i="127"/>
  <c r="K3" i="248"/>
  <c r="K3" i="342"/>
  <c r="K3" i="338"/>
  <c r="I47" i="147"/>
  <c r="A8" i="294"/>
  <c r="A27" i="294" s="1"/>
  <c r="A8" i="140"/>
  <c r="A19" i="140"/>
  <c r="A14" i="140"/>
  <c r="I17" i="338"/>
  <c r="J74" i="338"/>
  <c r="J70" i="338" s="1"/>
  <c r="O14" i="140"/>
  <c r="C14" i="294"/>
  <c r="O22" i="300"/>
  <c r="N22" i="300" s="1"/>
  <c r="Q35" i="246"/>
  <c r="Q32" i="246"/>
  <c r="Q28" i="246"/>
  <c r="Q18" i="246"/>
  <c r="Q16" i="246"/>
  <c r="Q14" i="246"/>
  <c r="Q7" i="246"/>
  <c r="Q5" i="246"/>
  <c r="Q40" i="246"/>
  <c r="Q34" i="246"/>
  <c r="Q30" i="246"/>
  <c r="Q25" i="246"/>
  <c r="Q20" i="246"/>
  <c r="Q12" i="246"/>
  <c r="Q10" i="246"/>
  <c r="Q8" i="246"/>
  <c r="Q33" i="246"/>
  <c r="Q29" i="246"/>
  <c r="Q27" i="246"/>
  <c r="Q17" i="246"/>
  <c r="Q15" i="246"/>
  <c r="Q13" i="246"/>
  <c r="Q6" i="246"/>
  <c r="Q41" i="246"/>
  <c r="Q39" i="246"/>
  <c r="Q31" i="246"/>
  <c r="Q26" i="246"/>
  <c r="Q21" i="246"/>
  <c r="Q19" i="246"/>
  <c r="Q11" i="246"/>
  <c r="Q9" i="246"/>
  <c r="G37" i="248"/>
  <c r="P31" i="140"/>
  <c r="P21" i="300"/>
  <c r="D13" i="294"/>
  <c r="I30" i="248"/>
  <c r="I45" i="248" s="1"/>
  <c r="I77" i="350"/>
  <c r="I7" i="248"/>
  <c r="I6" i="134"/>
  <c r="I77" i="134" s="1"/>
  <c r="K24" i="248"/>
  <c r="K6" i="350"/>
  <c r="I57" i="338"/>
  <c r="H51" i="134"/>
  <c r="H15" i="248" s="1"/>
  <c r="P40" i="246"/>
  <c r="R40" i="246" s="1"/>
  <c r="P34" i="246"/>
  <c r="R34" i="246" s="1"/>
  <c r="P30" i="246"/>
  <c r="R30" i="246" s="1"/>
  <c r="P25" i="246"/>
  <c r="P20" i="246"/>
  <c r="R20" i="246" s="1"/>
  <c r="P12" i="246"/>
  <c r="R12" i="246" s="1"/>
  <c r="P10" i="246"/>
  <c r="R10" i="246" s="1"/>
  <c r="P8" i="246"/>
  <c r="R8" i="246" s="1"/>
  <c r="P33" i="246"/>
  <c r="R33" i="246" s="1"/>
  <c r="P29" i="246"/>
  <c r="R29" i="246" s="1"/>
  <c r="P27" i="246"/>
  <c r="R27" i="246" s="1"/>
  <c r="P17" i="246"/>
  <c r="R17" i="246" s="1"/>
  <c r="P15" i="246"/>
  <c r="R15" i="246" s="1"/>
  <c r="P13" i="246"/>
  <c r="P6" i="246"/>
  <c r="R6" i="246" s="1"/>
  <c r="P41" i="246"/>
  <c r="P39" i="246"/>
  <c r="R39" i="246" s="1"/>
  <c r="P31" i="246"/>
  <c r="P26" i="246"/>
  <c r="R26" i="246" s="1"/>
  <c r="P21" i="246"/>
  <c r="P19" i="246"/>
  <c r="R19" i="246" s="1"/>
  <c r="P11" i="246"/>
  <c r="P9" i="246"/>
  <c r="R9" i="246" s="1"/>
  <c r="P35" i="246"/>
  <c r="R35" i="246" s="1"/>
  <c r="P32" i="246"/>
  <c r="R32" i="246" s="1"/>
  <c r="P28" i="246"/>
  <c r="R28" i="246" s="1"/>
  <c r="P18" i="246"/>
  <c r="R18" i="246" s="1"/>
  <c r="P16" i="246"/>
  <c r="R16" i="246" s="1"/>
  <c r="P14" i="246"/>
  <c r="R14" i="246" s="1"/>
  <c r="P7" i="246"/>
  <c r="R7" i="246" s="1"/>
  <c r="P5" i="246"/>
  <c r="K39" i="248"/>
  <c r="G41" i="88"/>
  <c r="M110" i="123"/>
  <c r="J38" i="248"/>
  <c r="D21" i="95"/>
  <c r="F119" i="255"/>
  <c r="K11" i="88"/>
  <c r="I75" i="248"/>
  <c r="J54" i="123"/>
  <c r="R25" i="246"/>
  <c r="E39" i="343"/>
  <c r="N37" i="140"/>
  <c r="C13" i="88"/>
  <c r="G18" i="350"/>
  <c r="K40" i="248"/>
  <c r="K38" i="248"/>
  <c r="K57" i="338"/>
  <c r="G21" i="134"/>
  <c r="H47" i="350"/>
  <c r="H29" i="248" s="1"/>
  <c r="J10" i="350"/>
  <c r="H7" i="350"/>
  <c r="H21" i="248" s="1"/>
  <c r="J55" i="338"/>
  <c r="J54" i="338" s="1"/>
  <c r="J53" i="338" s="1"/>
  <c r="H49" i="316"/>
  <c r="H60" i="316" s="1"/>
  <c r="K30" i="237"/>
  <c r="K32" i="237" s="1"/>
  <c r="K14" i="237" s="1"/>
  <c r="K18" i="237" s="1"/>
  <c r="L45" i="255"/>
  <c r="C38" i="137"/>
  <c r="C42" i="137" s="1"/>
  <c r="C46" i="137" s="1"/>
  <c r="H75" i="248"/>
  <c r="H25" i="298"/>
  <c r="H26" i="298" s="1"/>
  <c r="N32" i="140"/>
  <c r="I20" i="248"/>
  <c r="I83" i="248" s="1"/>
  <c r="E44" i="248"/>
  <c r="H7" i="134"/>
  <c r="H6" i="248" s="1"/>
  <c r="C48" i="248"/>
  <c r="D56" i="338" s="1"/>
  <c r="J14" i="146"/>
  <c r="J107" i="146" s="1"/>
  <c r="P29" i="298"/>
  <c r="P16" i="137"/>
  <c r="O16" i="95" s="1"/>
  <c r="P33" i="137"/>
  <c r="P6" i="299"/>
  <c r="K27" i="349"/>
  <c r="K76" i="248" s="1"/>
  <c r="K36" i="255"/>
  <c r="P8" i="298"/>
  <c r="L12" i="338"/>
  <c r="P7" i="299"/>
  <c r="P24" i="299"/>
  <c r="J27" i="349"/>
  <c r="J76" i="248" s="1"/>
  <c r="L56" i="123"/>
  <c r="L14" i="123" s="1"/>
  <c r="P6" i="298"/>
  <c r="P45" i="298"/>
  <c r="P21" i="298"/>
  <c r="P43" i="298"/>
  <c r="P19" i="137"/>
  <c r="O19" i="95" s="1"/>
  <c r="P8" i="299"/>
  <c r="L50" i="123"/>
  <c r="L42" i="123" s="1"/>
  <c r="J51" i="349"/>
  <c r="J79" i="248" s="1"/>
  <c r="Q33" i="137"/>
  <c r="K59" i="316"/>
  <c r="Q11" i="298"/>
  <c r="K14" i="146"/>
  <c r="K107" i="146" s="1"/>
  <c r="Q13" i="137"/>
  <c r="P13" i="95" s="1"/>
  <c r="M56" i="123"/>
  <c r="M14" i="123" s="1"/>
  <c r="M17" i="338"/>
  <c r="Q19" i="137"/>
  <c r="P19" i="95" s="1"/>
  <c r="Q12" i="137"/>
  <c r="P12" i="95" s="1"/>
  <c r="P37" i="298"/>
  <c r="M98" i="123"/>
  <c r="W564" i="356"/>
  <c r="J59" i="316"/>
  <c r="O20" i="298"/>
  <c r="N20" i="298" s="1"/>
  <c r="M17" i="123"/>
  <c r="O43" i="298"/>
  <c r="O42" i="298"/>
  <c r="H50" i="298"/>
  <c r="H53" i="298" s="1"/>
  <c r="I95" i="248"/>
  <c r="Q14" i="140"/>
  <c r="Q22" i="300"/>
  <c r="E14" i="294"/>
  <c r="O28" i="140"/>
  <c r="N28" i="140" s="1"/>
  <c r="C10" i="294"/>
  <c r="O12" i="300"/>
  <c r="N12" i="300" s="1"/>
  <c r="P8" i="140"/>
  <c r="D84" i="123"/>
  <c r="D55" i="123" s="1"/>
  <c r="H36" i="142"/>
  <c r="H15" i="88"/>
  <c r="I40" i="123"/>
  <c r="J40" i="123"/>
  <c r="D68" i="248"/>
  <c r="O6" i="140"/>
  <c r="O7" i="300"/>
  <c r="N7" i="300" s="1"/>
  <c r="C6" i="294"/>
  <c r="O18" i="300"/>
  <c r="N18" i="300" s="1"/>
  <c r="O34" i="140"/>
  <c r="C16" i="294"/>
  <c r="J24" i="146"/>
  <c r="I27" i="146"/>
  <c r="D35" i="299"/>
  <c r="E35" i="299"/>
  <c r="K55" i="249"/>
  <c r="K59" i="249"/>
  <c r="H59" i="316"/>
  <c r="H52" i="316"/>
  <c r="D18" i="337"/>
  <c r="E18" i="337"/>
  <c r="Q15" i="300"/>
  <c r="J11" i="248"/>
  <c r="O12" i="298"/>
  <c r="N12" i="298" s="1"/>
  <c r="P22" i="298"/>
  <c r="D77" i="349"/>
  <c r="M17" i="95"/>
  <c r="J48" i="298"/>
  <c r="J50" i="298" s="1"/>
  <c r="J53" i="298" s="1"/>
  <c r="D25" i="298"/>
  <c r="D26" i="298" s="1"/>
  <c r="G5" i="88"/>
  <c r="H119" i="123" s="1"/>
  <c r="E69" i="248"/>
  <c r="F17" i="123" s="1"/>
  <c r="H36" i="137"/>
  <c r="H38" i="137" s="1"/>
  <c r="H42" i="137" s="1"/>
  <c r="H46" i="137" s="1"/>
  <c r="D36" i="246"/>
  <c r="D38" i="246" s="1"/>
  <c r="D42" i="246" s="1"/>
  <c r="M10" i="95"/>
  <c r="N33" i="137"/>
  <c r="G25" i="298"/>
  <c r="G26" i="298" s="1"/>
  <c r="G38" i="246"/>
  <c r="G42" i="246" s="1"/>
  <c r="D10" i="88"/>
  <c r="G26" i="338"/>
  <c r="F5" i="88"/>
  <c r="G119" i="123" s="1"/>
  <c r="C77" i="349"/>
  <c r="C119" i="255" s="1"/>
  <c r="I21" i="95"/>
  <c r="I33" i="95" s="1"/>
  <c r="O8" i="300"/>
  <c r="N8" i="300" s="1"/>
  <c r="M19" i="95"/>
  <c r="E241" i="343"/>
  <c r="C9" i="294"/>
  <c r="Q26" i="140"/>
  <c r="E43" i="248"/>
  <c r="O23" i="139"/>
  <c r="C49" i="316"/>
  <c r="K49" i="316"/>
  <c r="J49" i="316"/>
  <c r="K35" i="140"/>
  <c r="J35" i="140"/>
  <c r="E35" i="140"/>
  <c r="H35" i="140"/>
  <c r="L35" i="140"/>
  <c r="M35" i="140"/>
  <c r="I35" i="140"/>
  <c r="G35" i="140"/>
  <c r="C35" i="140"/>
  <c r="D35" i="140"/>
  <c r="F35" i="140"/>
  <c r="L37" i="299"/>
  <c r="H37" i="299"/>
  <c r="D37" i="299"/>
  <c r="I37" i="299"/>
  <c r="K37" i="299"/>
  <c r="G37" i="299"/>
  <c r="J37" i="299"/>
  <c r="F37" i="299"/>
  <c r="M37" i="299"/>
  <c r="E37" i="299"/>
  <c r="C37" i="299"/>
  <c r="J55" i="249"/>
  <c r="J59" i="249"/>
  <c r="I55" i="249"/>
  <c r="I60" i="249"/>
  <c r="J95" i="248"/>
  <c r="H69" i="248"/>
  <c r="J10" i="123"/>
  <c r="N33" i="299"/>
  <c r="F21" i="95"/>
  <c r="F219" i="343"/>
  <c r="F75" i="350"/>
  <c r="F71" i="350"/>
  <c r="F67" i="350"/>
  <c r="F63" i="350"/>
  <c r="F61" i="350"/>
  <c r="F59" i="350"/>
  <c r="F57" i="350"/>
  <c r="F55" i="350"/>
  <c r="F53" i="350"/>
  <c r="F49" i="350"/>
  <c r="F45" i="350"/>
  <c r="F41" i="350"/>
  <c r="F39" i="350"/>
  <c r="F37" i="350"/>
  <c r="F35" i="350"/>
  <c r="F33" i="350"/>
  <c r="F31" i="350"/>
  <c r="F29" i="350"/>
  <c r="F25" i="350"/>
  <c r="F23" i="350"/>
  <c r="F20" i="350"/>
  <c r="F17" i="350"/>
  <c r="F15" i="350"/>
  <c r="F12" i="350"/>
  <c r="F9" i="350"/>
  <c r="F74" i="350"/>
  <c r="F70" i="350"/>
  <c r="F69" i="350" s="1"/>
  <c r="F32" i="248" s="1"/>
  <c r="F47" i="248" s="1"/>
  <c r="F66" i="350"/>
  <c r="F62" i="350"/>
  <c r="F60" i="350"/>
  <c r="F58" i="350"/>
  <c r="F56" i="350"/>
  <c r="F54" i="350"/>
  <c r="F52" i="350"/>
  <c r="F48" i="350"/>
  <c r="F47" i="350" s="1"/>
  <c r="F29" i="248" s="1"/>
  <c r="F44" i="350"/>
  <c r="F40" i="350"/>
  <c r="F38" i="350"/>
  <c r="F36" i="350"/>
  <c r="F34" i="350"/>
  <c r="F32" i="350"/>
  <c r="F30" i="350"/>
  <c r="F28" i="350"/>
  <c r="F24" i="350"/>
  <c r="F22" i="350"/>
  <c r="F19" i="350"/>
  <c r="F16" i="350"/>
  <c r="F13" i="350"/>
  <c r="F11" i="350"/>
  <c r="F8" i="350"/>
  <c r="K40" i="146"/>
  <c r="I40" i="146"/>
  <c r="I41" i="146" s="1"/>
  <c r="G40" i="146"/>
  <c r="E40" i="146"/>
  <c r="C40" i="146"/>
  <c r="J40" i="146"/>
  <c r="H40" i="146"/>
  <c r="H41" i="146" s="1"/>
  <c r="H108" i="146" s="1"/>
  <c r="F40" i="146"/>
  <c r="K34" i="146"/>
  <c r="F34" i="146"/>
  <c r="G34" i="146"/>
  <c r="E34" i="146"/>
  <c r="C34" i="146"/>
  <c r="F39" i="146"/>
  <c r="G39" i="146"/>
  <c r="E39" i="146"/>
  <c r="C39" i="146"/>
  <c r="C69" i="255"/>
  <c r="L70" i="255"/>
  <c r="L71" i="255" s="1"/>
  <c r="M38" i="338" s="1"/>
  <c r="L12" i="128"/>
  <c r="L14" i="128" s="1"/>
  <c r="K12" i="128"/>
  <c r="K14" i="128" s="1"/>
  <c r="I45" i="131"/>
  <c r="I48" i="131" s="1"/>
  <c r="I49" i="131" s="1"/>
  <c r="E20" i="248"/>
  <c r="D49" i="316"/>
  <c r="D52" i="316" s="1"/>
  <c r="F49" i="316"/>
  <c r="H33" i="337"/>
  <c r="H34" i="337" s="1"/>
  <c r="D48" i="248"/>
  <c r="E56" i="338" s="1"/>
  <c r="E54" i="338" s="1"/>
  <c r="E53" i="338" s="1"/>
  <c r="F36" i="146"/>
  <c r="G36" i="146"/>
  <c r="E36" i="146"/>
  <c r="C36" i="146"/>
  <c r="C63" i="255"/>
  <c r="C66" i="255" s="1"/>
  <c r="L65" i="255"/>
  <c r="L66" i="255" s="1"/>
  <c r="Q28" i="137" s="1"/>
  <c r="Q31" i="298"/>
  <c r="K7" i="237"/>
  <c r="N32" i="299"/>
  <c r="I55" i="129"/>
  <c r="E43" i="298"/>
  <c r="E42" i="298" s="1"/>
  <c r="E48" i="298" s="1"/>
  <c r="E50" i="298" s="1"/>
  <c r="E53" i="298" s="1"/>
  <c r="E6" i="350"/>
  <c r="E77" i="350" s="1"/>
  <c r="H44" i="248"/>
  <c r="E38" i="248"/>
  <c r="E41" i="248" s="1"/>
  <c r="H14" i="350"/>
  <c r="H23" i="248" s="1"/>
  <c r="E2" i="127"/>
  <c r="E2" i="142"/>
  <c r="J2" i="127"/>
  <c r="E2" i="128"/>
  <c r="E2" i="146"/>
  <c r="E2" i="249"/>
  <c r="F2" i="141"/>
  <c r="K3" i="351"/>
  <c r="J2" i="139"/>
  <c r="E2" i="233"/>
  <c r="G2" i="314"/>
  <c r="E2" i="144"/>
  <c r="K3" i="133"/>
  <c r="K3" i="301"/>
  <c r="K3" i="136"/>
  <c r="K3" i="296"/>
  <c r="M4" i="338"/>
  <c r="I2" i="351"/>
  <c r="I2" i="350"/>
  <c r="J2" i="255"/>
  <c r="E2" i="134"/>
  <c r="I2" i="301"/>
  <c r="L3" i="237"/>
  <c r="K61" i="350"/>
  <c r="K51" i="350" s="1"/>
  <c r="E33" i="337"/>
  <c r="E48" i="337"/>
  <c r="L48" i="337"/>
  <c r="E48" i="248"/>
  <c r="F56" i="338" s="1"/>
  <c r="F54" i="338" s="1"/>
  <c r="F53" i="338" s="1"/>
  <c r="G18" i="237"/>
  <c r="F18" i="237"/>
  <c r="N15" i="299"/>
  <c r="D54" i="338"/>
  <c r="D53" i="338" s="1"/>
  <c r="M74" i="338"/>
  <c r="M70" i="338" s="1"/>
  <c r="F44" i="248"/>
  <c r="H18" i="237"/>
  <c r="N16" i="299"/>
  <c r="K34" i="144"/>
  <c r="K38" i="144" s="1"/>
  <c r="O30" i="299"/>
  <c r="N30" i="299" s="1"/>
  <c r="Q46" i="298"/>
  <c r="I34" i="144"/>
  <c r="I38" i="144" s="1"/>
  <c r="J42" i="123"/>
  <c r="J34" i="144"/>
  <c r="J38" i="144" s="1"/>
  <c r="O31" i="298"/>
  <c r="N31" i="298" s="1"/>
  <c r="P30" i="299"/>
  <c r="O21" i="298"/>
  <c r="N21" i="298" s="1"/>
  <c r="O19" i="298"/>
  <c r="O15" i="298"/>
  <c r="N15" i="298" s="1"/>
  <c r="E7" i="294"/>
  <c r="Q7" i="140"/>
  <c r="G40" i="338"/>
  <c r="D49" i="131"/>
  <c r="E67" i="338"/>
  <c r="E171" i="343"/>
  <c r="P29" i="140"/>
  <c r="D11" i="294"/>
  <c r="O11" i="140"/>
  <c r="C11" i="294"/>
  <c r="P15" i="140"/>
  <c r="P23" i="300"/>
  <c r="K95" i="248"/>
  <c r="H14" i="88"/>
  <c r="H13" i="88"/>
  <c r="F46" i="123"/>
  <c r="G38" i="123" s="1"/>
  <c r="F54" i="123"/>
  <c r="F10" i="123" s="1"/>
  <c r="F17" i="88"/>
  <c r="E33" i="88"/>
  <c r="G93" i="123"/>
  <c r="F76" i="338"/>
  <c r="F71" i="338" s="1"/>
  <c r="P12" i="300"/>
  <c r="P10" i="140"/>
  <c r="D10" i="294"/>
  <c r="P35" i="140"/>
  <c r="P24" i="300"/>
  <c r="D17" i="294"/>
  <c r="P18" i="300"/>
  <c r="P16" i="140"/>
  <c r="D16" i="294"/>
  <c r="O30" i="140"/>
  <c r="O20" i="300"/>
  <c r="N20" i="300" s="1"/>
  <c r="G35" i="338"/>
  <c r="G34" i="338" s="1"/>
  <c r="F49" i="131"/>
  <c r="K6" i="248"/>
  <c r="K6" i="134"/>
  <c r="F11" i="248"/>
  <c r="F5" i="248" s="1"/>
  <c r="C38" i="246"/>
  <c r="C42" i="246" s="1"/>
  <c r="C97" i="349"/>
  <c r="G33" i="88"/>
  <c r="I6" i="349"/>
  <c r="M48" i="123"/>
  <c r="I48" i="298"/>
  <c r="G23" i="338"/>
  <c r="D76" i="338"/>
  <c r="H9" i="95"/>
  <c r="H21" i="95" s="1"/>
  <c r="H33" i="95" s="1"/>
  <c r="E14" i="88"/>
  <c r="E10" i="88"/>
  <c r="G77" i="349"/>
  <c r="J36" i="299"/>
  <c r="L36" i="299"/>
  <c r="I36" i="299"/>
  <c r="E49" i="131"/>
  <c r="D112" i="123"/>
  <c r="Q9" i="140"/>
  <c r="P27" i="140"/>
  <c r="F186" i="343"/>
  <c r="F41" i="123"/>
  <c r="C60" i="316"/>
  <c r="C52" i="316"/>
  <c r="D39" i="248"/>
  <c r="D41" i="248" s="1"/>
  <c r="D49" i="248" s="1"/>
  <c r="D82" i="248" s="1"/>
  <c r="D11" i="248"/>
  <c r="D5" i="248" s="1"/>
  <c r="J21" i="95"/>
  <c r="J33" i="95" s="1"/>
  <c r="F41" i="88"/>
  <c r="F48" i="298"/>
  <c r="G42" i="248"/>
  <c r="N7" i="299"/>
  <c r="I51" i="349"/>
  <c r="I79" i="248" s="1"/>
  <c r="I69" i="248" s="1"/>
  <c r="K27" i="134"/>
  <c r="K12" i="248" s="1"/>
  <c r="K42" i="248" s="1"/>
  <c r="G49" i="316"/>
  <c r="J15" i="123"/>
  <c r="K49" i="338"/>
  <c r="C10" i="88"/>
  <c r="D60" i="316"/>
  <c r="Q26" i="299"/>
  <c r="J36" i="248"/>
  <c r="H18" i="350"/>
  <c r="H24" i="248" s="1"/>
  <c r="J51" i="134"/>
  <c r="J15" i="248" s="1"/>
  <c r="J45" i="248" s="1"/>
  <c r="I55" i="338"/>
  <c r="F2" i="126"/>
  <c r="E2" i="316"/>
  <c r="F2" i="129"/>
  <c r="F2" i="301"/>
  <c r="F2" i="123"/>
  <c r="E2" i="351"/>
  <c r="E2" i="237"/>
  <c r="F2" i="142"/>
  <c r="F2" i="336"/>
  <c r="F2" i="255"/>
  <c r="I2" i="235"/>
  <c r="F2" i="128"/>
  <c r="K3" i="141"/>
  <c r="J48" i="147"/>
  <c r="F2" i="146"/>
  <c r="F2" i="127"/>
  <c r="F2" i="148"/>
  <c r="F2" i="249"/>
  <c r="F2" i="350"/>
  <c r="F2" i="237"/>
  <c r="F2" i="147"/>
  <c r="F2" i="233"/>
  <c r="W3" i="127"/>
  <c r="L3" i="256"/>
  <c r="D2" i="86"/>
  <c r="F3" i="338"/>
  <c r="F2" i="315"/>
  <c r="E2" i="350"/>
  <c r="E2" i="136"/>
  <c r="E2" i="343"/>
  <c r="E2" i="133"/>
  <c r="E47" i="147"/>
  <c r="E2" i="337"/>
  <c r="E2" i="126"/>
  <c r="J3" i="256"/>
  <c r="F47" i="147"/>
  <c r="A59" i="335"/>
  <c r="F2" i="88"/>
  <c r="D2" i="253"/>
  <c r="E3" i="338"/>
  <c r="E2" i="141"/>
  <c r="D2" i="305"/>
  <c r="K3" i="233"/>
  <c r="K3" i="350"/>
  <c r="X3" i="127"/>
  <c r="T3" i="127"/>
  <c r="H3" i="294"/>
  <c r="N3" i="342"/>
  <c r="D2" i="134"/>
  <c r="E2" i="131"/>
  <c r="E2" i="301"/>
  <c r="H2" i="235"/>
  <c r="E2" i="305"/>
  <c r="L3" i="126"/>
  <c r="L3" i="128"/>
  <c r="L3" i="141"/>
  <c r="K3" i="146"/>
  <c r="K3" i="336"/>
  <c r="K3" i="305"/>
  <c r="G3" i="139"/>
  <c r="Q3" i="299"/>
  <c r="I2" i="86"/>
  <c r="I2" i="337"/>
  <c r="J2" i="343"/>
  <c r="I2" i="146"/>
  <c r="B50" i="100"/>
  <c r="J2" i="141"/>
  <c r="J3" i="336"/>
  <c r="J3" i="305"/>
  <c r="K3" i="315"/>
  <c r="F3" i="139"/>
  <c r="P3" i="299"/>
  <c r="K3" i="129"/>
  <c r="J3" i="253"/>
  <c r="F2" i="253"/>
  <c r="I2" i="233"/>
  <c r="D2" i="349"/>
  <c r="C2" i="86"/>
  <c r="J3" i="342"/>
  <c r="D2" i="131"/>
  <c r="I2" i="144"/>
  <c r="I2" i="249"/>
  <c r="I2" i="305"/>
  <c r="F2" i="314"/>
  <c r="L3" i="88"/>
  <c r="K3" i="249"/>
  <c r="D2" i="142"/>
  <c r="K3" i="255"/>
  <c r="C73" i="338"/>
  <c r="D74" i="338" s="1"/>
  <c r="K74" i="338"/>
  <c r="K27" i="255"/>
  <c r="K30" i="255" s="1"/>
  <c r="J76" i="348"/>
  <c r="J20" i="348"/>
  <c r="G49" i="338"/>
  <c r="O35" i="298"/>
  <c r="N35" i="298" s="1"/>
  <c r="O6" i="298"/>
  <c r="N6" i="298" s="1"/>
  <c r="I10" i="88"/>
  <c r="K48" i="123"/>
  <c r="O9" i="137"/>
  <c r="K54" i="123"/>
  <c r="K76" i="338"/>
  <c r="Q25" i="140"/>
  <c r="Q8" i="300"/>
  <c r="H41" i="88"/>
  <c r="I35" i="338"/>
  <c r="I34" i="338" s="1"/>
  <c r="P23" i="140"/>
  <c r="D5" i="294"/>
  <c r="Q24" i="140"/>
  <c r="Q10" i="140"/>
  <c r="Q12" i="300"/>
  <c r="E10" i="294"/>
  <c r="O27" i="140"/>
  <c r="N27" i="140" s="1"/>
  <c r="O11" i="300"/>
  <c r="N11" i="300" s="1"/>
  <c r="P26" i="140"/>
  <c r="D8" i="294"/>
  <c r="P6" i="140"/>
  <c r="D6" i="294"/>
  <c r="P7" i="300"/>
  <c r="O33" i="140"/>
  <c r="N33" i="140" s="1"/>
  <c r="O23" i="300"/>
  <c r="N23" i="300" s="1"/>
  <c r="D33" i="95"/>
  <c r="J11" i="88"/>
  <c r="L33" i="95"/>
  <c r="J18" i="237"/>
  <c r="H53" i="123"/>
  <c r="G43" i="131"/>
  <c r="H37" i="95"/>
  <c r="N26" i="137"/>
  <c r="J35" i="338"/>
  <c r="J34" i="338" s="1"/>
  <c r="G48" i="123"/>
  <c r="H40" i="123" s="1"/>
  <c r="E5" i="88"/>
  <c r="F119" i="123" s="1"/>
  <c r="E55" i="129"/>
  <c r="J45" i="123"/>
  <c r="J76" i="338"/>
  <c r="J71" i="338" s="1"/>
  <c r="I33" i="88"/>
  <c r="O8" i="140"/>
  <c r="C8" i="294"/>
  <c r="P9" i="140"/>
  <c r="D9" i="294"/>
  <c r="K113" i="123"/>
  <c r="J113" i="123"/>
  <c r="J58" i="123"/>
  <c r="Q35" i="140"/>
  <c r="Q24" i="300"/>
  <c r="E17" i="294"/>
  <c r="E340" i="343"/>
  <c r="E341" i="343" s="1"/>
  <c r="C13" i="294"/>
  <c r="O13" i="140"/>
  <c r="N13" i="140" s="1"/>
  <c r="C5" i="294"/>
  <c r="O23" i="140"/>
  <c r="Q12" i="140"/>
  <c r="E12" i="294"/>
  <c r="Q34" i="140"/>
  <c r="E16" i="294"/>
  <c r="Q33" i="140"/>
  <c r="Q23" i="300"/>
  <c r="E15" i="294"/>
  <c r="P12" i="140"/>
  <c r="D12" i="294"/>
  <c r="Q13" i="140"/>
  <c r="Q21" i="300"/>
  <c r="E13" i="294"/>
  <c r="O38" i="298"/>
  <c r="N38" i="298" s="1"/>
  <c r="H37" i="248"/>
  <c r="E84" i="248"/>
  <c r="F101" i="123" s="1"/>
  <c r="E85" i="248"/>
  <c r="F102" i="123" s="1"/>
  <c r="G7" i="95"/>
  <c r="G21" i="95" s="1"/>
  <c r="G33" i="95" s="1"/>
  <c r="N38" i="246"/>
  <c r="N42" i="246" s="1"/>
  <c r="J17" i="88"/>
  <c r="N19" i="137"/>
  <c r="H77" i="349"/>
  <c r="I25" i="298"/>
  <c r="I26" i="298" s="1"/>
  <c r="E13" i="88"/>
  <c r="M29" i="95"/>
  <c r="F36" i="299"/>
  <c r="H36" i="299"/>
  <c r="C36" i="299"/>
  <c r="G36" i="299"/>
  <c r="J67" i="338"/>
  <c r="I67" i="338"/>
  <c r="F6" i="343"/>
  <c r="I38" i="248"/>
  <c r="M24" i="95"/>
  <c r="G44" i="248"/>
  <c r="K26" i="248"/>
  <c r="J42" i="248"/>
  <c r="G45" i="248"/>
  <c r="H51" i="350"/>
  <c r="H30" i="248" s="1"/>
  <c r="H45" i="248" s="1"/>
  <c r="K48" i="298"/>
  <c r="K50" i="298" s="1"/>
  <c r="K53" i="298" s="1"/>
  <c r="F33" i="95"/>
  <c r="H38" i="246"/>
  <c r="H42" i="246" s="1"/>
  <c r="F93" i="123"/>
  <c r="N28" i="299"/>
  <c r="F19" i="298"/>
  <c r="N19" i="298" s="1"/>
  <c r="I42" i="248"/>
  <c r="G43" i="248"/>
  <c r="H27" i="350"/>
  <c r="H27" i="248" s="1"/>
  <c r="I54" i="338"/>
  <c r="I53" i="338" s="1"/>
  <c r="H41" i="123"/>
  <c r="G39" i="123"/>
  <c r="C14" i="88"/>
  <c r="I15" i="88"/>
  <c r="L32" i="298"/>
  <c r="L48" i="298" s="1"/>
  <c r="L50" i="298" s="1"/>
  <c r="L53" i="298" s="1"/>
  <c r="K44" i="248"/>
  <c r="I18" i="237"/>
  <c r="N13" i="299"/>
  <c r="F36" i="246"/>
  <c r="F38" i="246" s="1"/>
  <c r="F42" i="246" s="1"/>
  <c r="D32" i="298"/>
  <c r="H39" i="123"/>
  <c r="C32" i="298"/>
  <c r="C48" i="298" s="1"/>
  <c r="C75" i="248"/>
  <c r="L55" i="338"/>
  <c r="L54" i="338" s="1"/>
  <c r="L53" i="338" s="1"/>
  <c r="H14" i="134"/>
  <c r="H43" i="134"/>
  <c r="H13" i="248" s="1"/>
  <c r="H43" i="248" s="1"/>
  <c r="H49" i="338"/>
  <c r="M49" i="338"/>
  <c r="D6" i="134"/>
  <c r="D77" i="134" s="1"/>
  <c r="D70" i="255"/>
  <c r="D71" i="255" s="1"/>
  <c r="S3" i="127"/>
  <c r="A16" i="140"/>
  <c r="A35" i="126"/>
  <c r="A34" i="140" s="1"/>
  <c r="A5" i="140"/>
  <c r="A24" i="126"/>
  <c r="A23" i="140" s="1"/>
  <c r="D19" i="294"/>
  <c r="A32" i="248"/>
  <c r="A47" i="248" s="1"/>
  <c r="E12" i="338"/>
  <c r="L49" i="338"/>
  <c r="N11" i="298"/>
  <c r="Q8" i="298"/>
  <c r="Q37" i="298"/>
  <c r="Q35" i="298"/>
  <c r="Q20" i="298"/>
  <c r="Q18" i="298"/>
  <c r="Q24" i="298"/>
  <c r="Q47" i="298"/>
  <c r="Q16" i="298"/>
  <c r="Q22" i="298"/>
  <c r="Q41" i="298"/>
  <c r="Q44" i="298"/>
  <c r="L9" i="255"/>
  <c r="Q5" i="137" s="1"/>
  <c r="P5" i="95" s="1"/>
  <c r="L78" i="255"/>
  <c r="L84" i="255" s="1"/>
  <c r="M40" i="338" s="1"/>
  <c r="L93" i="123"/>
  <c r="Q40" i="298"/>
  <c r="Q24" i="299"/>
  <c r="K51" i="349"/>
  <c r="K79" i="248" s="1"/>
  <c r="L36" i="255"/>
  <c r="Q20" i="137" s="1"/>
  <c r="P20" i="95" s="1"/>
  <c r="L110" i="255"/>
  <c r="Q34" i="137" s="1"/>
  <c r="P46" i="95" s="1"/>
  <c r="Q14" i="298"/>
  <c r="P12" i="298"/>
  <c r="P14" i="298"/>
  <c r="P16" i="298"/>
  <c r="Q17" i="298"/>
  <c r="Q21" i="298"/>
  <c r="M44" i="338"/>
  <c r="M43" i="338" s="1"/>
  <c r="Q8" i="137"/>
  <c r="P8" i="95" s="1"/>
  <c r="M12" i="338"/>
  <c r="Q45" i="298"/>
  <c r="M26" i="338"/>
  <c r="M23" i="338" s="1"/>
  <c r="Q26" i="137"/>
  <c r="P37" i="95" s="1"/>
  <c r="Q11" i="137"/>
  <c r="P11" i="95" s="1"/>
  <c r="Q16" i="137"/>
  <c r="P16" i="95" s="1"/>
  <c r="Q9" i="299"/>
  <c r="Q12" i="299"/>
  <c r="P40" i="298"/>
  <c r="P47" i="298"/>
  <c r="Q23" i="299"/>
  <c r="K75" i="248"/>
  <c r="K78" i="255"/>
  <c r="K84" i="255" s="1"/>
  <c r="L40" i="338" s="1"/>
  <c r="K66" i="255"/>
  <c r="P28" i="137" s="1"/>
  <c r="P24" i="298"/>
  <c r="P35" i="298"/>
  <c r="P17" i="298"/>
  <c r="P18" i="298"/>
  <c r="P41" i="298"/>
  <c r="P35" i="299"/>
  <c r="L18" i="338"/>
  <c r="L17" i="338" s="1"/>
  <c r="J6" i="349"/>
  <c r="J71" i="248"/>
  <c r="J75" i="248" s="1"/>
  <c r="P27" i="299"/>
  <c r="L47" i="123"/>
  <c r="L39" i="123" s="1"/>
  <c r="P8" i="137"/>
  <c r="O8" i="95" s="1"/>
  <c r="L46" i="123"/>
  <c r="K71" i="255"/>
  <c r="M93" i="123"/>
  <c r="O8" i="298"/>
  <c r="N8" i="298" s="1"/>
  <c r="E9" i="95"/>
  <c r="F22" i="137"/>
  <c r="G38" i="338"/>
  <c r="I15" i="146"/>
  <c r="I44" i="146"/>
  <c r="O5" i="137"/>
  <c r="J33" i="88"/>
  <c r="J40" i="338"/>
  <c r="E45" i="123"/>
  <c r="E54" i="123"/>
  <c r="E10" i="123" s="1"/>
  <c r="E76" i="338"/>
  <c r="E71" i="338" s="1"/>
  <c r="D33" i="88"/>
  <c r="E92" i="123"/>
  <c r="H76" i="338"/>
  <c r="H71" i="338" s="1"/>
  <c r="Q10" i="137"/>
  <c r="P10" i="95" s="1"/>
  <c r="M49" i="123"/>
  <c r="H93" i="123"/>
  <c r="H46" i="123"/>
  <c r="O30" i="137"/>
  <c r="L45" i="123"/>
  <c r="D48" i="298"/>
  <c r="D50" i="298" s="1"/>
  <c r="D53" i="298" s="1"/>
  <c r="E41" i="123"/>
  <c r="I39" i="123"/>
  <c r="D75" i="248"/>
  <c r="D69" i="248" s="1"/>
  <c r="F75" i="248"/>
  <c r="F69" i="248" s="1"/>
  <c r="G75" i="248"/>
  <c r="G69" i="248" s="1"/>
  <c r="C21" i="95"/>
  <c r="C33" i="95" s="1"/>
  <c r="L37" i="95"/>
  <c r="M36" i="137"/>
  <c r="M38" i="137" s="1"/>
  <c r="M42" i="137" s="1"/>
  <c r="M46" i="137" s="1"/>
  <c r="K41" i="123"/>
  <c r="E83" i="248"/>
  <c r="E80" i="248"/>
  <c r="D45" i="123"/>
  <c r="D54" i="123"/>
  <c r="D10" i="123" s="1"/>
  <c r="C33" i="88"/>
  <c r="F40" i="338"/>
  <c r="J38" i="338"/>
  <c r="E46" i="123"/>
  <c r="E93" i="123"/>
  <c r="H27" i="88"/>
  <c r="I45" i="123"/>
  <c r="H33" i="88"/>
  <c r="I76" i="338"/>
  <c r="I71" i="338" s="1"/>
  <c r="I54" i="123"/>
  <c r="I10" i="123" s="1"/>
  <c r="I40" i="338"/>
  <c r="E40" i="338"/>
  <c r="Q7" i="137"/>
  <c r="D46" i="123"/>
  <c r="H68" i="248"/>
  <c r="J46" i="123"/>
  <c r="F45" i="123"/>
  <c r="O5" i="299"/>
  <c r="J43" i="95"/>
  <c r="K36" i="137"/>
  <c r="K38" i="137" s="1"/>
  <c r="K42" i="137" s="1"/>
  <c r="K46" i="137" s="1"/>
  <c r="E77" i="349"/>
  <c r="N20" i="137"/>
  <c r="D22" i="137"/>
  <c r="G41" i="123"/>
  <c r="K93" i="123"/>
  <c r="C69" i="248"/>
  <c r="K6" i="349"/>
  <c r="K31" i="128"/>
  <c r="J32" i="128"/>
  <c r="D36" i="137"/>
  <c r="N27" i="137"/>
  <c r="H36" i="248" l="1"/>
  <c r="R11" i="246"/>
  <c r="R21" i="246"/>
  <c r="R31" i="246"/>
  <c r="R36" i="246" s="1"/>
  <c r="R41" i="246"/>
  <c r="R13" i="246"/>
  <c r="N12" i="140"/>
  <c r="A1" i="133"/>
  <c r="A1" i="351"/>
  <c r="E52" i="316"/>
  <c r="E60" i="316"/>
  <c r="L72" i="128"/>
  <c r="L55" i="237"/>
  <c r="L67" i="237" s="1"/>
  <c r="L17" i="237" s="1"/>
  <c r="L18" i="237" s="1"/>
  <c r="I36" i="142"/>
  <c r="D5" i="123"/>
  <c r="C5" i="237"/>
  <c r="M30" i="140"/>
  <c r="K30" i="140"/>
  <c r="I30" i="140"/>
  <c r="G30" i="140"/>
  <c r="E30" i="140"/>
  <c r="L30" i="140"/>
  <c r="J30" i="140"/>
  <c r="H30" i="140"/>
  <c r="F30" i="140"/>
  <c r="D30" i="140"/>
  <c r="C30" i="140"/>
  <c r="N15" i="137"/>
  <c r="B15" i="95"/>
  <c r="N42" i="298"/>
  <c r="C21" i="294"/>
  <c r="P11" i="300"/>
  <c r="H26" i="248"/>
  <c r="E49" i="248"/>
  <c r="E82" i="248" s="1"/>
  <c r="C25" i="298"/>
  <c r="K37" i="248"/>
  <c r="M7" i="140"/>
  <c r="I7" i="140"/>
  <c r="E7" i="140"/>
  <c r="L7" i="140"/>
  <c r="H7" i="140"/>
  <c r="D7" i="140"/>
  <c r="K7" i="140"/>
  <c r="G7" i="140"/>
  <c r="C7" i="140"/>
  <c r="J7" i="140"/>
  <c r="F7" i="140"/>
  <c r="K46" i="123"/>
  <c r="K38" i="123" s="1"/>
  <c r="O7" i="137"/>
  <c r="N7" i="95" s="1"/>
  <c r="H54" i="123"/>
  <c r="C42" i="95"/>
  <c r="M42" i="95" s="1"/>
  <c r="N31" i="137"/>
  <c r="H10" i="123"/>
  <c r="M48" i="298"/>
  <c r="M50" i="298" s="1"/>
  <c r="M53" i="298" s="1"/>
  <c r="G48" i="298"/>
  <c r="K38" i="246"/>
  <c r="K42" i="246" s="1"/>
  <c r="C50" i="298"/>
  <c r="C53" i="298" s="1"/>
  <c r="F36" i="137"/>
  <c r="F38" i="137" s="1"/>
  <c r="F42" i="137" s="1"/>
  <c r="F46" i="137" s="1"/>
  <c r="J36" i="137"/>
  <c r="J38" i="137" s="1"/>
  <c r="J42" i="137" s="1"/>
  <c r="J46" i="137" s="1"/>
  <c r="H47" i="95"/>
  <c r="G50" i="298"/>
  <c r="G53" i="298" s="1"/>
  <c r="E38" i="137"/>
  <c r="E42" i="137" s="1"/>
  <c r="E46" i="137" s="1"/>
  <c r="O16" i="298"/>
  <c r="N16" i="298" s="1"/>
  <c r="J60" i="127"/>
  <c r="K29" i="88"/>
  <c r="J18" i="88"/>
  <c r="H26" i="315"/>
  <c r="H38" i="338"/>
  <c r="H37" i="338" s="1"/>
  <c r="H58" i="338" s="1"/>
  <c r="D108" i="146"/>
  <c r="D17" i="88"/>
  <c r="J15" i="146"/>
  <c r="P42" i="298"/>
  <c r="P9" i="137"/>
  <c r="O9" i="95" s="1"/>
  <c r="P5" i="137"/>
  <c r="O5" i="95" s="1"/>
  <c r="P20" i="137"/>
  <c r="O20" i="95" s="1"/>
  <c r="O33" i="298"/>
  <c r="N33" i="298" s="1"/>
  <c r="N43" i="95"/>
  <c r="M43" i="95" s="1"/>
  <c r="N32" i="137"/>
  <c r="L40" i="123"/>
  <c r="N37" i="299"/>
  <c r="N23" i="299"/>
  <c r="L76" i="338"/>
  <c r="L71" i="338" s="1"/>
  <c r="L72" i="338" s="1"/>
  <c r="L13" i="338" s="1"/>
  <c r="L49" i="255"/>
  <c r="L51" i="255" s="1"/>
  <c r="M35" i="338" s="1"/>
  <c r="M34" i="338" s="1"/>
  <c r="H92" i="123"/>
  <c r="G76" i="338"/>
  <c r="G71" i="338" s="1"/>
  <c r="F33" i="88"/>
  <c r="G45" i="123"/>
  <c r="H37" i="123" s="1"/>
  <c r="G92" i="123"/>
  <c r="G54" i="123"/>
  <c r="G10" i="123" s="1"/>
  <c r="I14" i="140"/>
  <c r="E14" i="140"/>
  <c r="F14" i="140"/>
  <c r="D14" i="140"/>
  <c r="J14" i="140"/>
  <c r="L14" i="140"/>
  <c r="M14" i="140"/>
  <c r="G14" i="140"/>
  <c r="C14" i="140"/>
  <c r="H14" i="140"/>
  <c r="K14" i="140"/>
  <c r="M8" i="140"/>
  <c r="I8" i="140"/>
  <c r="H8" i="140"/>
  <c r="D8" i="140"/>
  <c r="G8" i="140"/>
  <c r="C8" i="140"/>
  <c r="K8" i="140"/>
  <c r="L8" i="140"/>
  <c r="F8" i="140"/>
  <c r="J8" i="140"/>
  <c r="E8" i="140"/>
  <c r="D35" i="338"/>
  <c r="D34" i="338" s="1"/>
  <c r="H35" i="299"/>
  <c r="G35" i="299"/>
  <c r="M35" i="299"/>
  <c r="F35" i="299"/>
  <c r="C35" i="299"/>
  <c r="L35" i="299"/>
  <c r="I35" i="299"/>
  <c r="K35" i="299"/>
  <c r="C20" i="299"/>
  <c r="N9" i="299"/>
  <c r="L38" i="299"/>
  <c r="L40" i="299" s="1"/>
  <c r="L45" i="299" s="1"/>
  <c r="L56" i="298" s="1"/>
  <c r="K38" i="299"/>
  <c r="K40" i="299" s="1"/>
  <c r="K45" i="299" s="1"/>
  <c r="K56" i="298" s="1"/>
  <c r="F38" i="299"/>
  <c r="F40" i="299" s="1"/>
  <c r="F45" i="299" s="1"/>
  <c r="M38" i="299"/>
  <c r="M40" i="299" s="1"/>
  <c r="M45" i="299" s="1"/>
  <c r="O5" i="298"/>
  <c r="Q11" i="300"/>
  <c r="J38" i="299"/>
  <c r="J40" i="299" s="1"/>
  <c r="J45" i="299" s="1"/>
  <c r="F7" i="350"/>
  <c r="F18" i="350"/>
  <c r="F24" i="248" s="1"/>
  <c r="F39" i="248" s="1"/>
  <c r="F43" i="350"/>
  <c r="F28" i="248" s="1"/>
  <c r="F43" i="248" s="1"/>
  <c r="F65" i="350"/>
  <c r="F31" i="248" s="1"/>
  <c r="F46" i="248" s="1"/>
  <c r="F73" i="350"/>
  <c r="F33" i="248" s="1"/>
  <c r="F48" i="248" s="1"/>
  <c r="G56" i="338" s="1"/>
  <c r="G54" i="338" s="1"/>
  <c r="G53" i="338" s="1"/>
  <c r="J26" i="338"/>
  <c r="J23" i="338" s="1"/>
  <c r="I38" i="137"/>
  <c r="I42" i="137" s="1"/>
  <c r="I46" i="137" s="1"/>
  <c r="J19" i="140"/>
  <c r="F19" i="140"/>
  <c r="K19" i="140"/>
  <c r="C19" i="140"/>
  <c r="I19" i="140"/>
  <c r="L19" i="140"/>
  <c r="H19" i="140"/>
  <c r="D19" i="140"/>
  <c r="G19" i="140"/>
  <c r="M19" i="140"/>
  <c r="E19" i="140"/>
  <c r="C6" i="140"/>
  <c r="J6" i="140"/>
  <c r="F6" i="140"/>
  <c r="M6" i="140"/>
  <c r="I6" i="140"/>
  <c r="E6" i="140"/>
  <c r="L6" i="140"/>
  <c r="H6" i="140"/>
  <c r="D6" i="140"/>
  <c r="K6" i="140"/>
  <c r="G6" i="140"/>
  <c r="L11" i="140"/>
  <c r="J11" i="140"/>
  <c r="D11" i="140"/>
  <c r="K11" i="140"/>
  <c r="M11" i="140"/>
  <c r="I11" i="140"/>
  <c r="E11" i="140"/>
  <c r="H11" i="140"/>
  <c r="F11" i="140"/>
  <c r="G11" i="140"/>
  <c r="C11" i="140"/>
  <c r="F35" i="338"/>
  <c r="F34" i="338" s="1"/>
  <c r="F42" i="338" s="1"/>
  <c r="K35" i="338"/>
  <c r="K34" i="338" s="1"/>
  <c r="H38" i="299"/>
  <c r="H40" i="299" s="1"/>
  <c r="H45" i="299" s="1"/>
  <c r="H49" i="137" s="1"/>
  <c r="N6" i="140"/>
  <c r="N17" i="299"/>
  <c r="N35" i="140"/>
  <c r="P36" i="246"/>
  <c r="J22" i="248"/>
  <c r="J6" i="350"/>
  <c r="J77" i="350" s="1"/>
  <c r="G10" i="248"/>
  <c r="G6" i="134"/>
  <c r="G77" i="134" s="1"/>
  <c r="G24" i="248"/>
  <c r="G6" i="350"/>
  <c r="G77" i="350" s="1"/>
  <c r="P22" i="246"/>
  <c r="R5" i="246"/>
  <c r="R22" i="246" s="1"/>
  <c r="R38" i="246" s="1"/>
  <c r="R42" i="246" s="1"/>
  <c r="E57" i="123"/>
  <c r="E18" i="123" s="1"/>
  <c r="D43" i="88"/>
  <c r="D8" i="88" s="1"/>
  <c r="I11" i="248"/>
  <c r="I5" i="248" s="1"/>
  <c r="I37" i="248"/>
  <c r="I41" i="248" s="1"/>
  <c r="I49" i="248" s="1"/>
  <c r="I82" i="248" s="1"/>
  <c r="F340" i="343"/>
  <c r="I149" i="351"/>
  <c r="F51" i="350"/>
  <c r="F30" i="248" s="1"/>
  <c r="F45" i="248" s="1"/>
  <c r="C49" i="248"/>
  <c r="C82" i="248" s="1"/>
  <c r="Q36" i="246"/>
  <c r="Q22" i="246"/>
  <c r="P31" i="298"/>
  <c r="K15" i="146"/>
  <c r="M42" i="123"/>
  <c r="J77" i="349"/>
  <c r="J97" i="349" s="1"/>
  <c r="J69" i="248"/>
  <c r="K18" i="88"/>
  <c r="K33" i="88"/>
  <c r="L54" i="123"/>
  <c r="P44" i="298"/>
  <c r="Q32" i="137"/>
  <c r="P43" i="95" s="1"/>
  <c r="Q30" i="137"/>
  <c r="Q30" i="298"/>
  <c r="Q25" i="299"/>
  <c r="Q38" i="299" s="1"/>
  <c r="J68" i="248"/>
  <c r="K68" i="248"/>
  <c r="K30" i="248"/>
  <c r="K45" i="248" s="1"/>
  <c r="K77" i="350"/>
  <c r="G13" i="88"/>
  <c r="G14" i="88"/>
  <c r="G15" i="88"/>
  <c r="L7" i="237"/>
  <c r="K36" i="142"/>
  <c r="C68" i="248"/>
  <c r="C80" i="248" s="1"/>
  <c r="F113" i="123"/>
  <c r="F58" i="123"/>
  <c r="L35" i="237"/>
  <c r="M55" i="123"/>
  <c r="J84" i="123" s="1"/>
  <c r="M15" i="123"/>
  <c r="E98" i="123"/>
  <c r="C71" i="255"/>
  <c r="F21" i="248"/>
  <c r="I36" i="237"/>
  <c r="J116" i="123"/>
  <c r="K52" i="316"/>
  <c r="K60" i="316"/>
  <c r="I28" i="146"/>
  <c r="I91" i="146"/>
  <c r="D83" i="248"/>
  <c r="E41" i="146"/>
  <c r="F41" i="146"/>
  <c r="I42" i="146"/>
  <c r="N43" i="298"/>
  <c r="E34" i="337"/>
  <c r="F34" i="337"/>
  <c r="F52" i="316"/>
  <c r="F60" i="316"/>
  <c r="L15" i="123"/>
  <c r="K35" i="237"/>
  <c r="L55" i="123"/>
  <c r="I84" i="123" s="1"/>
  <c r="H44" i="146"/>
  <c r="H91" i="146"/>
  <c r="I17" i="123"/>
  <c r="H84" i="248"/>
  <c r="I101" i="123" s="1"/>
  <c r="J52" i="316"/>
  <c r="J60" i="316"/>
  <c r="D119" i="255"/>
  <c r="D97" i="349"/>
  <c r="J27" i="146"/>
  <c r="J31" i="146"/>
  <c r="J41" i="146" s="1"/>
  <c r="K24" i="146"/>
  <c r="K20" i="248"/>
  <c r="K77" i="349"/>
  <c r="K97" i="349" s="1"/>
  <c r="M45" i="123"/>
  <c r="M43" i="123" s="1"/>
  <c r="M11" i="123" s="1"/>
  <c r="M103" i="123" s="1"/>
  <c r="L30" i="88"/>
  <c r="L33" i="88"/>
  <c r="Q19" i="298"/>
  <c r="F67" i="338"/>
  <c r="G127" i="123"/>
  <c r="E9" i="294"/>
  <c r="J77" i="348"/>
  <c r="C41" i="146"/>
  <c r="G41" i="146"/>
  <c r="F10" i="350"/>
  <c r="F22" i="248" s="1"/>
  <c r="F37" i="248" s="1"/>
  <c r="F21" i="350"/>
  <c r="F25" i="248" s="1"/>
  <c r="F40" i="248" s="1"/>
  <c r="F27" i="350"/>
  <c r="F27" i="248" s="1"/>
  <c r="F42" i="248" s="1"/>
  <c r="F14" i="350"/>
  <c r="F23" i="248" s="1"/>
  <c r="F38" i="248" s="1"/>
  <c r="I84" i="248"/>
  <c r="K101" i="123" s="1"/>
  <c r="I85" i="248"/>
  <c r="K102" i="123" s="1"/>
  <c r="J17" i="123"/>
  <c r="I80" i="248"/>
  <c r="L49" i="123"/>
  <c r="L41" i="123" s="1"/>
  <c r="P10" i="137"/>
  <c r="O10" i="95" s="1"/>
  <c r="D26" i="338"/>
  <c r="D23" i="338" s="1"/>
  <c r="D70" i="338"/>
  <c r="D71" i="338" s="1"/>
  <c r="F15" i="88"/>
  <c r="G52" i="316"/>
  <c r="G60" i="316"/>
  <c r="D12" i="123"/>
  <c r="D52" i="123"/>
  <c r="D13" i="123" s="1"/>
  <c r="D122" i="123" s="1"/>
  <c r="C97" i="134"/>
  <c r="E25" i="314"/>
  <c r="C97" i="350"/>
  <c r="G97" i="349"/>
  <c r="G119" i="255"/>
  <c r="C32" i="88"/>
  <c r="C60" i="127"/>
  <c r="C18" i="88"/>
  <c r="C29" i="88"/>
  <c r="C30" i="88"/>
  <c r="C27" i="88"/>
  <c r="K11" i="248"/>
  <c r="K5" i="248" s="1"/>
  <c r="K36" i="248"/>
  <c r="K41" i="248" s="1"/>
  <c r="K49" i="248" s="1"/>
  <c r="P25" i="140"/>
  <c r="D7" i="294"/>
  <c r="P8" i="300"/>
  <c r="E60" i="127"/>
  <c r="E18" i="88"/>
  <c r="E32" i="88"/>
  <c r="E30" i="88"/>
  <c r="E29" i="88"/>
  <c r="E27" i="88"/>
  <c r="F116" i="123"/>
  <c r="E36" i="237"/>
  <c r="E29" i="237" s="1"/>
  <c r="E32" i="237" s="1"/>
  <c r="E14" i="237" s="1"/>
  <c r="E18" i="237" s="1"/>
  <c r="H5" i="88"/>
  <c r="I119" i="123" s="1"/>
  <c r="H55" i="129"/>
  <c r="C55" i="129"/>
  <c r="N30" i="140"/>
  <c r="J77" i="134"/>
  <c r="J5" i="248"/>
  <c r="K26" i="338"/>
  <c r="K23" i="338" s="1"/>
  <c r="K70" i="338"/>
  <c r="K71" i="338" s="1"/>
  <c r="D55" i="129"/>
  <c r="D5" i="88"/>
  <c r="E119" i="123" s="1"/>
  <c r="F108" i="146"/>
  <c r="F9" i="338"/>
  <c r="F8" i="338" s="1"/>
  <c r="F72" i="338"/>
  <c r="F13" i="338" s="1"/>
  <c r="G17" i="88"/>
  <c r="H17" i="88" s="1"/>
  <c r="I17" i="88"/>
  <c r="O17" i="300"/>
  <c r="N17" i="300" s="1"/>
  <c r="O15" i="300"/>
  <c r="N15" i="300" s="1"/>
  <c r="P15" i="300"/>
  <c r="P17" i="300"/>
  <c r="O26" i="140"/>
  <c r="E5" i="123"/>
  <c r="J47" i="95"/>
  <c r="P32" i="137"/>
  <c r="O43" i="95" s="1"/>
  <c r="P15" i="298"/>
  <c r="K69" i="248"/>
  <c r="K84" i="248" s="1"/>
  <c r="M101" i="123" s="1"/>
  <c r="H20" i="248"/>
  <c r="I113" i="123" s="1"/>
  <c r="F14" i="88"/>
  <c r="I77" i="349"/>
  <c r="K77" i="134"/>
  <c r="F13" i="88"/>
  <c r="H39" i="248"/>
  <c r="H6" i="350"/>
  <c r="M5" i="140"/>
  <c r="I5" i="140"/>
  <c r="E5" i="140"/>
  <c r="L5" i="140"/>
  <c r="H5" i="140"/>
  <c r="D5" i="140"/>
  <c r="K5" i="140"/>
  <c r="G5" i="140"/>
  <c r="C5" i="140"/>
  <c r="J5" i="140"/>
  <c r="F5" i="140"/>
  <c r="K16" i="140"/>
  <c r="G16" i="140"/>
  <c r="C16" i="140"/>
  <c r="H16" i="140"/>
  <c r="J16" i="140"/>
  <c r="M16" i="140"/>
  <c r="I16" i="140"/>
  <c r="E16" i="140"/>
  <c r="L16" i="140"/>
  <c r="D16" i="140"/>
  <c r="F16" i="140"/>
  <c r="E38" i="338"/>
  <c r="E42" i="338" s="1"/>
  <c r="D41" i="88"/>
  <c r="D34" i="88" s="1"/>
  <c r="E7" i="123" s="1"/>
  <c r="E117" i="123" s="1"/>
  <c r="L24" i="338"/>
  <c r="L23" i="338" s="1"/>
  <c r="J32" i="88"/>
  <c r="H8" i="248"/>
  <c r="H6" i="134"/>
  <c r="H77" i="134" s="1"/>
  <c r="M113" i="123"/>
  <c r="L58" i="123"/>
  <c r="F171" i="343"/>
  <c r="F341" i="343" s="1"/>
  <c r="I25" i="314"/>
  <c r="H52" i="123"/>
  <c r="H13" i="123" s="1"/>
  <c r="H122" i="123" s="1"/>
  <c r="H12" i="123"/>
  <c r="G97" i="134"/>
  <c r="G97" i="350"/>
  <c r="P20" i="300"/>
  <c r="P19" i="300"/>
  <c r="Q20" i="300"/>
  <c r="Q19" i="300"/>
  <c r="O6" i="300"/>
  <c r="N6" i="300" s="1"/>
  <c r="C54" i="294"/>
  <c r="C60" i="294"/>
  <c r="H57" i="123"/>
  <c r="G43" i="88"/>
  <c r="G8" i="88" s="1"/>
  <c r="N8" i="140"/>
  <c r="O20" i="140"/>
  <c r="O26" i="299"/>
  <c r="G9" i="338"/>
  <c r="G8" i="338" s="1"/>
  <c r="G72" i="338"/>
  <c r="G13" i="338" s="1"/>
  <c r="G86" i="123"/>
  <c r="G130" i="123" s="1"/>
  <c r="G36" i="237"/>
  <c r="H116" i="123"/>
  <c r="L57" i="123"/>
  <c r="K43" i="88"/>
  <c r="K8" i="88" s="1"/>
  <c r="E127" i="123"/>
  <c r="E86" i="123"/>
  <c r="E130" i="123" s="1"/>
  <c r="P6" i="300"/>
  <c r="N9" i="95"/>
  <c r="M9" i="95" s="1"/>
  <c r="N9" i="137"/>
  <c r="O32" i="298"/>
  <c r="O10" i="298"/>
  <c r="N10" i="298" s="1"/>
  <c r="O9" i="298"/>
  <c r="N9" i="298" s="1"/>
  <c r="F25" i="298"/>
  <c r="I50" i="298"/>
  <c r="I53" i="298" s="1"/>
  <c r="D21" i="294"/>
  <c r="H42" i="248"/>
  <c r="J34" i="140"/>
  <c r="F34" i="140"/>
  <c r="K34" i="140"/>
  <c r="C34" i="140"/>
  <c r="I34" i="140"/>
  <c r="L34" i="140"/>
  <c r="H34" i="140"/>
  <c r="D34" i="140"/>
  <c r="G34" i="140"/>
  <c r="M34" i="140"/>
  <c r="E34" i="140"/>
  <c r="D97" i="134"/>
  <c r="D97" i="350"/>
  <c r="Q8" i="140"/>
  <c r="E8" i="294"/>
  <c r="N36" i="299"/>
  <c r="C38" i="299"/>
  <c r="C40" i="299" s="1"/>
  <c r="C45" i="299" s="1"/>
  <c r="C56" i="298" s="1"/>
  <c r="H43" i="88"/>
  <c r="H8" i="88" s="1"/>
  <c r="I57" i="123"/>
  <c r="H119" i="255"/>
  <c r="H97" i="349"/>
  <c r="H87" i="123"/>
  <c r="H131" i="123" s="1"/>
  <c r="H97" i="123"/>
  <c r="N23" i="140"/>
  <c r="O38" i="140"/>
  <c r="O21" i="300"/>
  <c r="N21" i="300" s="1"/>
  <c r="O19" i="300"/>
  <c r="N19" i="300" s="1"/>
  <c r="J43" i="88"/>
  <c r="J8" i="88" s="1"/>
  <c r="K57" i="123"/>
  <c r="O10" i="300"/>
  <c r="N10" i="300" s="1"/>
  <c r="O9" i="300"/>
  <c r="N9" i="300" s="1"/>
  <c r="I60" i="127"/>
  <c r="I30" i="88"/>
  <c r="I18" i="88"/>
  <c r="J29" i="88"/>
  <c r="J72" i="338"/>
  <c r="J13" i="338" s="1"/>
  <c r="J9" i="338"/>
  <c r="J8" i="338" s="1"/>
  <c r="J78" i="338"/>
  <c r="F36" i="237"/>
  <c r="G116" i="123"/>
  <c r="G40" i="123"/>
  <c r="G44" i="123"/>
  <c r="G43" i="123"/>
  <c r="G11" i="123" s="1"/>
  <c r="G103" i="123" s="1"/>
  <c r="I7" i="88"/>
  <c r="J121" i="123" s="1"/>
  <c r="J87" i="123"/>
  <c r="J131" i="123" s="1"/>
  <c r="I41" i="88"/>
  <c r="I108" i="146"/>
  <c r="I27" i="88"/>
  <c r="G10" i="88"/>
  <c r="G55" i="129"/>
  <c r="E6" i="294"/>
  <c r="Q6" i="140"/>
  <c r="P10" i="300"/>
  <c r="P9" i="300"/>
  <c r="D27" i="88"/>
  <c r="D18" i="88"/>
  <c r="D32" i="88"/>
  <c r="D30" i="88"/>
  <c r="D60" i="127"/>
  <c r="D29" i="88"/>
  <c r="D28" i="88"/>
  <c r="C85" i="126"/>
  <c r="K44" i="123"/>
  <c r="K43" i="123"/>
  <c r="K11" i="123" s="1"/>
  <c r="K103" i="123" s="1"/>
  <c r="K40" i="123"/>
  <c r="J37" i="338"/>
  <c r="J58" i="338" s="1"/>
  <c r="J80" i="338" s="1"/>
  <c r="P33" i="298"/>
  <c r="H48" i="299"/>
  <c r="P20" i="140"/>
  <c r="P38" i="140"/>
  <c r="H77" i="350"/>
  <c r="H97" i="350" s="1"/>
  <c r="Q15" i="298"/>
  <c r="M92" i="123"/>
  <c r="M54" i="123"/>
  <c r="M76" i="338"/>
  <c r="M71" i="338" s="1"/>
  <c r="M72" i="338" s="1"/>
  <c r="M37" i="338"/>
  <c r="Q39" i="298"/>
  <c r="Q38" i="298"/>
  <c r="Q6" i="298"/>
  <c r="Q5" i="298"/>
  <c r="Q43" i="298"/>
  <c r="Q42" i="298"/>
  <c r="M40" i="123"/>
  <c r="L38" i="123"/>
  <c r="M38" i="123"/>
  <c r="P39" i="298"/>
  <c r="P38" i="298"/>
  <c r="P10" i="298"/>
  <c r="P9" i="298"/>
  <c r="P7" i="298"/>
  <c r="P5" i="298"/>
  <c r="M39" i="123"/>
  <c r="L38" i="338"/>
  <c r="L37" i="338" s="1"/>
  <c r="L58" i="338" s="1"/>
  <c r="P30" i="137"/>
  <c r="P13" i="299"/>
  <c r="P20" i="299" s="1"/>
  <c r="K48" i="299"/>
  <c r="F46" i="95"/>
  <c r="F47" i="95" s="1"/>
  <c r="G36" i="137"/>
  <c r="G38" i="137" s="1"/>
  <c r="G42" i="137" s="1"/>
  <c r="G46" i="137" s="1"/>
  <c r="L31" i="128"/>
  <c r="L32" i="128" s="1"/>
  <c r="K32" i="128"/>
  <c r="D17" i="123"/>
  <c r="C84" i="248"/>
  <c r="D101" i="123" s="1"/>
  <c r="C85" i="248"/>
  <c r="D102" i="123" s="1"/>
  <c r="E119" i="255"/>
  <c r="E97" i="349"/>
  <c r="N5" i="299"/>
  <c r="O20" i="299"/>
  <c r="G94" i="123"/>
  <c r="F94" i="123"/>
  <c r="J43" i="123"/>
  <c r="J11" i="123" s="1"/>
  <c r="J103" i="123" s="1"/>
  <c r="J38" i="123"/>
  <c r="J44" i="123"/>
  <c r="H80" i="248"/>
  <c r="H83" i="248"/>
  <c r="P7" i="95"/>
  <c r="P21" i="95" s="1"/>
  <c r="P33" i="95" s="1"/>
  <c r="Q22" i="137"/>
  <c r="I9" i="338"/>
  <c r="I8" i="338" s="1"/>
  <c r="I72" i="338"/>
  <c r="I13" i="338" s="1"/>
  <c r="I43" i="123"/>
  <c r="I11" i="123" s="1"/>
  <c r="I103" i="123" s="1"/>
  <c r="I44" i="123"/>
  <c r="I37" i="123"/>
  <c r="E94" i="123"/>
  <c r="M37" i="95"/>
  <c r="L47" i="95"/>
  <c r="G84" i="248"/>
  <c r="H101" i="123" s="1"/>
  <c r="H17" i="123"/>
  <c r="G80" i="248"/>
  <c r="I94" i="123"/>
  <c r="N30" i="137"/>
  <c r="H38" i="123"/>
  <c r="I38" i="123"/>
  <c r="H44" i="123"/>
  <c r="H43" i="123"/>
  <c r="H11" i="123" s="1"/>
  <c r="H103" i="123" s="1"/>
  <c r="H72" i="338"/>
  <c r="H13" i="338" s="1"/>
  <c r="E116" i="123"/>
  <c r="D36" i="237"/>
  <c r="D29" i="237" s="1"/>
  <c r="D32" i="237" s="1"/>
  <c r="D14" i="237" s="1"/>
  <c r="D18" i="237" s="1"/>
  <c r="C57" i="133"/>
  <c r="D38" i="137"/>
  <c r="D42" i="137" s="1"/>
  <c r="D46" i="137" s="1"/>
  <c r="J37" i="123"/>
  <c r="C46" i="95"/>
  <c r="N34" i="137"/>
  <c r="K7" i="95"/>
  <c r="L22" i="137"/>
  <c r="L38" i="137" s="1"/>
  <c r="L42" i="137" s="1"/>
  <c r="L46" i="137" s="1"/>
  <c r="N7" i="137"/>
  <c r="F18" i="88"/>
  <c r="F32" i="88"/>
  <c r="G32" i="88" s="1"/>
  <c r="H32" i="88" s="1"/>
  <c r="F60" i="127"/>
  <c r="F30" i="88"/>
  <c r="F27" i="88"/>
  <c r="F29" i="88"/>
  <c r="F37" i="123"/>
  <c r="F43" i="123"/>
  <c r="F11" i="123" s="1"/>
  <c r="F103" i="123" s="1"/>
  <c r="G37" i="123"/>
  <c r="F44" i="123"/>
  <c r="J94" i="123"/>
  <c r="E37" i="338"/>
  <c r="E58" i="338" s="1"/>
  <c r="E80" i="338" s="1"/>
  <c r="I37" i="338"/>
  <c r="I58" i="338" s="1"/>
  <c r="I80" i="338" s="1"/>
  <c r="I42" i="338"/>
  <c r="I116" i="123"/>
  <c r="H36" i="237"/>
  <c r="H30" i="88"/>
  <c r="H29" i="88"/>
  <c r="H60" i="127"/>
  <c r="H57" i="133" s="1"/>
  <c r="H18" i="88"/>
  <c r="E38" i="123"/>
  <c r="F38" i="123"/>
  <c r="C36" i="237"/>
  <c r="C29" i="237" s="1"/>
  <c r="C32" i="237" s="1"/>
  <c r="C14" i="237" s="1"/>
  <c r="C18" i="237" s="1"/>
  <c r="D116" i="123"/>
  <c r="D43" i="123"/>
  <c r="D11" i="123" s="1"/>
  <c r="D103" i="123" s="1"/>
  <c r="D44" i="123"/>
  <c r="F84" i="248"/>
  <c r="G101" i="123" s="1"/>
  <c r="G17" i="123"/>
  <c r="F80" i="248"/>
  <c r="E17" i="123"/>
  <c r="D84" i="248"/>
  <c r="E101" i="123" s="1"/>
  <c r="D85" i="248"/>
  <c r="E102" i="123" s="1"/>
  <c r="D80" i="248"/>
  <c r="L37" i="123"/>
  <c r="H94" i="123"/>
  <c r="K94" i="123"/>
  <c r="E9" i="338"/>
  <c r="E8" i="338" s="1"/>
  <c r="E72" i="338"/>
  <c r="E13" i="338" s="1"/>
  <c r="E37" i="123"/>
  <c r="E44" i="123"/>
  <c r="E43" i="123"/>
  <c r="E11" i="123" s="1"/>
  <c r="E103" i="123" s="1"/>
  <c r="N5" i="95"/>
  <c r="O22" i="137"/>
  <c r="N5" i="137"/>
  <c r="I45" i="146"/>
  <c r="I89" i="146"/>
  <c r="G37" i="338"/>
  <c r="G58" i="338" s="1"/>
  <c r="G42" i="338"/>
  <c r="H7" i="88"/>
  <c r="I121" i="123" s="1"/>
  <c r="I26" i="315"/>
  <c r="I97" i="123"/>
  <c r="E21" i="95"/>
  <c r="E33" i="95" s="1"/>
  <c r="E57" i="133"/>
  <c r="J42" i="338"/>
  <c r="F37" i="338"/>
  <c r="F58" i="338" s="1"/>
  <c r="F80" i="338" s="1"/>
  <c r="H9" i="338"/>
  <c r="H8" i="338" s="1"/>
  <c r="K82" i="248" l="1"/>
  <c r="D5" i="237"/>
  <c r="D6" i="237" s="1"/>
  <c r="D8" i="237" s="1"/>
  <c r="J5" i="88"/>
  <c r="K119" i="123" s="1"/>
  <c r="L11" i="88"/>
  <c r="C6" i="237"/>
  <c r="C8" i="237" s="1"/>
  <c r="M15" i="95"/>
  <c r="B21" i="95"/>
  <c r="B33" i="95" s="1"/>
  <c r="N7" i="140"/>
  <c r="G18" i="88"/>
  <c r="G30" i="88"/>
  <c r="G27" i="88"/>
  <c r="G29" i="88"/>
  <c r="G60" i="127"/>
  <c r="K86" i="123"/>
  <c r="K130" i="123" s="1"/>
  <c r="K127" i="123"/>
  <c r="Q20" i="140"/>
  <c r="N11" i="140"/>
  <c r="J49" i="137"/>
  <c r="F49" i="137"/>
  <c r="J48" i="299"/>
  <c r="J56" i="298"/>
  <c r="J97" i="123"/>
  <c r="E36" i="123"/>
  <c r="E9" i="123" s="1"/>
  <c r="N20" i="299"/>
  <c r="D38" i="299"/>
  <c r="D40" i="299" s="1"/>
  <c r="D45" i="299" s="1"/>
  <c r="D56" i="298" s="1"/>
  <c r="I38" i="299"/>
  <c r="I40" i="299" s="1"/>
  <c r="I45" i="299" s="1"/>
  <c r="N31" i="299"/>
  <c r="E97" i="123"/>
  <c r="M56" i="298"/>
  <c r="M48" i="299"/>
  <c r="Q38" i="246"/>
  <c r="Q42" i="246" s="1"/>
  <c r="P38" i="246"/>
  <c r="P42" i="246" s="1"/>
  <c r="E87" i="123"/>
  <c r="K17" i="88"/>
  <c r="K53" i="123"/>
  <c r="K10" i="123" s="1"/>
  <c r="J43" i="131"/>
  <c r="J25" i="141"/>
  <c r="I346" i="342"/>
  <c r="G44" i="131"/>
  <c r="G45" i="131" s="1"/>
  <c r="G48" i="131" s="1"/>
  <c r="H42" i="338"/>
  <c r="H8" i="123"/>
  <c r="H80" i="338"/>
  <c r="L78" i="338"/>
  <c r="M58" i="338"/>
  <c r="M97" i="123"/>
  <c r="K41" i="88"/>
  <c r="G38" i="299"/>
  <c r="G40" i="299" s="1"/>
  <c r="G45" i="299" s="1"/>
  <c r="G56" i="298" s="1"/>
  <c r="N35" i="299"/>
  <c r="I56" i="298"/>
  <c r="L49" i="137"/>
  <c r="I49" i="137"/>
  <c r="F48" i="299"/>
  <c r="M49" i="137"/>
  <c r="K49" i="137"/>
  <c r="H56" i="298"/>
  <c r="E38" i="299"/>
  <c r="E40" i="299" s="1"/>
  <c r="E45" i="299" s="1"/>
  <c r="O21" i="95"/>
  <c r="O33" i="95" s="1"/>
  <c r="K60" i="127"/>
  <c r="K25" i="141" s="1"/>
  <c r="M94" i="123"/>
  <c r="K32" i="88"/>
  <c r="L9" i="338"/>
  <c r="L8" i="338" s="1"/>
  <c r="L31" i="338" s="1"/>
  <c r="K27" i="88"/>
  <c r="P25" i="137"/>
  <c r="P36" i="137" s="1"/>
  <c r="K30" i="88"/>
  <c r="L94" i="123"/>
  <c r="L119" i="255"/>
  <c r="M44" i="123"/>
  <c r="L60" i="127"/>
  <c r="K346" i="342" s="1"/>
  <c r="J27" i="88"/>
  <c r="O25" i="137"/>
  <c r="J41" i="88"/>
  <c r="L97" i="123"/>
  <c r="N19" i="140"/>
  <c r="N27" i="299"/>
  <c r="N14" i="140"/>
  <c r="K58" i="338"/>
  <c r="K42" i="338"/>
  <c r="E41" i="88"/>
  <c r="E112" i="123"/>
  <c r="I58" i="123"/>
  <c r="F78" i="338"/>
  <c r="I48" i="299"/>
  <c r="E52" i="123"/>
  <c r="E13" i="123" s="1"/>
  <c r="E122" i="123" s="1"/>
  <c r="F25" i="314"/>
  <c r="E12" i="123"/>
  <c r="G39" i="248"/>
  <c r="G26" i="248"/>
  <c r="G20" i="248" s="1"/>
  <c r="G40" i="248"/>
  <c r="G11" i="248"/>
  <c r="G5" i="248" s="1"/>
  <c r="J37" i="248"/>
  <c r="J41" i="248" s="1"/>
  <c r="J49" i="248" s="1"/>
  <c r="J26" i="248"/>
  <c r="J20" i="248" s="1"/>
  <c r="J85" i="248" s="1"/>
  <c r="L102" i="123" s="1"/>
  <c r="N22" i="137"/>
  <c r="K83" i="248"/>
  <c r="P28" i="298"/>
  <c r="K80" i="248"/>
  <c r="P22" i="137"/>
  <c r="L18" i="88"/>
  <c r="M37" i="123"/>
  <c r="L17" i="123"/>
  <c r="Q28" i="298"/>
  <c r="M127" i="123"/>
  <c r="L32" i="88"/>
  <c r="K85" i="248"/>
  <c r="M102" i="123" s="1"/>
  <c r="J84" i="248"/>
  <c r="L101" i="123" s="1"/>
  <c r="K17" i="123"/>
  <c r="L59" i="338"/>
  <c r="L66" i="338" s="1"/>
  <c r="K119" i="255"/>
  <c r="P30" i="298"/>
  <c r="L44" i="123"/>
  <c r="L36" i="123" s="1"/>
  <c r="L9" i="123" s="1"/>
  <c r="L29" i="88"/>
  <c r="P32" i="298"/>
  <c r="J150" i="351"/>
  <c r="J80" i="248"/>
  <c r="L43" i="123"/>
  <c r="L11" i="123" s="1"/>
  <c r="L103" i="123" s="1"/>
  <c r="J83" i="248"/>
  <c r="G91" i="146"/>
  <c r="G44" i="146"/>
  <c r="G42" i="146"/>
  <c r="G108" i="146"/>
  <c r="E150" i="351"/>
  <c r="G150" i="351"/>
  <c r="K31" i="146"/>
  <c r="K41" i="146" s="1"/>
  <c r="K27" i="146"/>
  <c r="J28" i="146"/>
  <c r="J44" i="146"/>
  <c r="E91" i="146"/>
  <c r="E44" i="146"/>
  <c r="E42" i="146"/>
  <c r="E108" i="146"/>
  <c r="Q23" i="140"/>
  <c r="Q38" i="140" s="1"/>
  <c r="Q39" i="140" s="1"/>
  <c r="Q6" i="300"/>
  <c r="E5" i="294"/>
  <c r="E21" i="294" s="1"/>
  <c r="F36" i="248"/>
  <c r="F41" i="248" s="1"/>
  <c r="F49" i="248" s="1"/>
  <c r="F26" i="248"/>
  <c r="F20" i="248" s="1"/>
  <c r="M25" i="314"/>
  <c r="H85" i="248"/>
  <c r="I102" i="123" s="1"/>
  <c r="M41" i="123"/>
  <c r="H42" i="146"/>
  <c r="C91" i="146"/>
  <c r="C44" i="146"/>
  <c r="C108" i="146"/>
  <c r="D42" i="146"/>
  <c r="J91" i="146"/>
  <c r="J42" i="146"/>
  <c r="J108" i="146"/>
  <c r="H89" i="146"/>
  <c r="I90" i="146" s="1"/>
  <c r="H45" i="146"/>
  <c r="K5" i="88"/>
  <c r="L119" i="123" s="1"/>
  <c r="F91" i="146"/>
  <c r="F42" i="146"/>
  <c r="F44" i="146"/>
  <c r="D38" i="338"/>
  <c r="C41" i="88"/>
  <c r="C34" i="88" s="1"/>
  <c r="D7" i="123" s="1"/>
  <c r="D117" i="123" s="1"/>
  <c r="L5" i="88"/>
  <c r="M119" i="123" s="1"/>
  <c r="C83" i="248"/>
  <c r="F6" i="350"/>
  <c r="F77" i="350" s="1"/>
  <c r="K9" i="338"/>
  <c r="K8" i="338" s="1"/>
  <c r="K31" i="338" s="1"/>
  <c r="K72" i="338"/>
  <c r="K13" i="338" s="1"/>
  <c r="I97" i="349"/>
  <c r="J119" i="255"/>
  <c r="F57" i="123"/>
  <c r="F18" i="123" s="1"/>
  <c r="E43" i="88"/>
  <c r="E8" i="88" s="1"/>
  <c r="F31" i="338"/>
  <c r="F77" i="338" s="1"/>
  <c r="F15" i="338"/>
  <c r="F14" i="338" s="1"/>
  <c r="F11" i="338" s="1"/>
  <c r="F7" i="88"/>
  <c r="G121" i="123" s="1"/>
  <c r="G26" i="315"/>
  <c r="F25" i="141"/>
  <c r="E346" i="342"/>
  <c r="D9" i="338"/>
  <c r="D8" i="338" s="1"/>
  <c r="F5" i="123"/>
  <c r="E34" i="88"/>
  <c r="F7" i="123" s="1"/>
  <c r="F117" i="123" s="1"/>
  <c r="E5" i="237"/>
  <c r="E6" i="237" s="1"/>
  <c r="E8" i="237" s="1"/>
  <c r="F6" i="123" s="1"/>
  <c r="G99" i="123"/>
  <c r="D25" i="141"/>
  <c r="C346" i="342"/>
  <c r="C149" i="351"/>
  <c r="D72" i="338"/>
  <c r="D13" i="338" s="1"/>
  <c r="I112" i="123"/>
  <c r="E149" i="351"/>
  <c r="H112" i="123"/>
  <c r="D105" i="123"/>
  <c r="D108" i="123"/>
  <c r="E8" i="123"/>
  <c r="E25" i="141"/>
  <c r="D346" i="342"/>
  <c r="Q45" i="140"/>
  <c r="K25" i="314"/>
  <c r="I97" i="350"/>
  <c r="K52" i="123"/>
  <c r="K13" i="123" s="1"/>
  <c r="K122" i="123" s="1"/>
  <c r="I97" i="134"/>
  <c r="Q10" i="300"/>
  <c r="Q9" i="300"/>
  <c r="F50" i="298"/>
  <c r="F53" i="298" s="1"/>
  <c r="F56" i="298" s="1"/>
  <c r="F26" i="298"/>
  <c r="N32" i="298"/>
  <c r="P5" i="300"/>
  <c r="P25" i="300" s="1"/>
  <c r="P29" i="300" s="1"/>
  <c r="O39" i="140"/>
  <c r="O45" i="140"/>
  <c r="H38" i="248"/>
  <c r="H41" i="248" s="1"/>
  <c r="H49" i="248" s="1"/>
  <c r="H82" i="248" s="1"/>
  <c r="H11" i="248"/>
  <c r="H5" i="248" s="1"/>
  <c r="C20" i="140"/>
  <c r="N5" i="140"/>
  <c r="D38" i="140"/>
  <c r="E38" i="140"/>
  <c r="M38" i="140"/>
  <c r="H38" i="140"/>
  <c r="G38" i="140"/>
  <c r="D149" i="351"/>
  <c r="F20" i="140"/>
  <c r="K20" i="140"/>
  <c r="H20" i="140"/>
  <c r="E20" i="140"/>
  <c r="M20" i="140"/>
  <c r="D57" i="133"/>
  <c r="G149" i="351"/>
  <c r="L25" i="314"/>
  <c r="L12" i="123"/>
  <c r="L52" i="123"/>
  <c r="L13" i="123" s="1"/>
  <c r="L122" i="123" s="1"/>
  <c r="J97" i="350"/>
  <c r="J97" i="134"/>
  <c r="P39" i="140"/>
  <c r="P45" i="140"/>
  <c r="J25" i="314"/>
  <c r="I12" i="123"/>
  <c r="I52" i="123"/>
  <c r="I13" i="123" s="1"/>
  <c r="I122" i="123" s="1"/>
  <c r="M57" i="123"/>
  <c r="M18" i="123" s="1"/>
  <c r="L85" i="126"/>
  <c r="L43" i="88"/>
  <c r="L8" i="88" s="1"/>
  <c r="Q7" i="300"/>
  <c r="J15" i="338"/>
  <c r="J14" i="338" s="1"/>
  <c r="J11" i="338" s="1"/>
  <c r="J31" i="338"/>
  <c r="C49" i="137"/>
  <c r="C48" i="299"/>
  <c r="D60" i="294"/>
  <c r="D54" i="294"/>
  <c r="F112" i="123"/>
  <c r="G31" i="338"/>
  <c r="G77" i="338" s="1"/>
  <c r="G15" i="338"/>
  <c r="G14" i="338" s="1"/>
  <c r="G11" i="338" s="1"/>
  <c r="N26" i="299"/>
  <c r="O5" i="300"/>
  <c r="E26" i="315"/>
  <c r="D347" i="342"/>
  <c r="D7" i="88"/>
  <c r="E121" i="123" s="1"/>
  <c r="N34" i="140"/>
  <c r="F38" i="140"/>
  <c r="L38" i="140"/>
  <c r="I38" i="140"/>
  <c r="J38" i="140"/>
  <c r="K38" i="140"/>
  <c r="G78" i="338"/>
  <c r="L18" i="123"/>
  <c r="H97" i="134"/>
  <c r="N16" i="140"/>
  <c r="J20" i="140"/>
  <c r="G20" i="140"/>
  <c r="D20" i="140"/>
  <c r="L20" i="140"/>
  <c r="I20" i="140"/>
  <c r="I39" i="140" s="1"/>
  <c r="I18" i="123"/>
  <c r="M9" i="338"/>
  <c r="M8" i="338" s="1"/>
  <c r="M31" i="338" s="1"/>
  <c r="M13" i="338"/>
  <c r="M78" i="338"/>
  <c r="Q33" i="298"/>
  <c r="Q10" i="298"/>
  <c r="P20" i="298"/>
  <c r="L86" i="123"/>
  <c r="L130" i="123" s="1"/>
  <c r="L127" i="123"/>
  <c r="L91" i="123"/>
  <c r="I87" i="123"/>
  <c r="I131" i="123" s="1"/>
  <c r="I96" i="123"/>
  <c r="J28" i="88"/>
  <c r="E15" i="338"/>
  <c r="E14" i="338" s="1"/>
  <c r="E11" i="338" s="1"/>
  <c r="E31" i="338"/>
  <c r="H86" i="123"/>
  <c r="H91" i="123"/>
  <c r="K91" i="123"/>
  <c r="H127" i="123"/>
  <c r="F36" i="123"/>
  <c r="F9" i="123" s="1"/>
  <c r="G36" i="123"/>
  <c r="G9" i="123" s="1"/>
  <c r="G8" i="123"/>
  <c r="K21" i="95"/>
  <c r="K33" i="95" s="1"/>
  <c r="M7" i="95"/>
  <c r="J47" i="131"/>
  <c r="N51" i="95"/>
  <c r="K65" i="338"/>
  <c r="I32" i="88"/>
  <c r="J7" i="88"/>
  <c r="K121" i="123" s="1"/>
  <c r="M46" i="95"/>
  <c r="C47" i="95"/>
  <c r="N5" i="298"/>
  <c r="N25" i="298" s="1"/>
  <c r="O25" i="298"/>
  <c r="K36" i="123"/>
  <c r="K9" i="123" s="1"/>
  <c r="H36" i="123"/>
  <c r="H9" i="123" s="1"/>
  <c r="I91" i="123"/>
  <c r="I127" i="123"/>
  <c r="I86" i="123"/>
  <c r="G91" i="123"/>
  <c r="F127" i="123"/>
  <c r="F91" i="123"/>
  <c r="F86" i="123"/>
  <c r="K15" i="88"/>
  <c r="K13" i="88"/>
  <c r="K14" i="88"/>
  <c r="G48" i="299"/>
  <c r="J96" i="123"/>
  <c r="L48" i="299"/>
  <c r="H31" i="338"/>
  <c r="H15" i="338"/>
  <c r="H14" i="338" s="1"/>
  <c r="H11" i="338" s="1"/>
  <c r="G80" i="338"/>
  <c r="M5" i="95"/>
  <c r="N21" i="95"/>
  <c r="N33" i="95" s="1"/>
  <c r="I25" i="141"/>
  <c r="H346" i="342"/>
  <c r="H149" i="351"/>
  <c r="I8" i="123"/>
  <c r="J91" i="123"/>
  <c r="J86" i="123"/>
  <c r="G25" i="141"/>
  <c r="F149" i="351"/>
  <c r="F346" i="342"/>
  <c r="F57" i="133"/>
  <c r="J13" i="88"/>
  <c r="J14" i="88"/>
  <c r="J15" i="88"/>
  <c r="D49" i="137"/>
  <c r="D48" i="299"/>
  <c r="I57" i="133"/>
  <c r="D19" i="237"/>
  <c r="E124" i="123" s="1"/>
  <c r="E6" i="123"/>
  <c r="D127" i="123"/>
  <c r="D86" i="123"/>
  <c r="E91" i="123"/>
  <c r="I15" i="338"/>
  <c r="I14" i="338" s="1"/>
  <c r="I11" i="338" s="1"/>
  <c r="I31" i="338"/>
  <c r="E131" i="123"/>
  <c r="E88" i="123"/>
  <c r="E132" i="123" s="1"/>
  <c r="L25" i="141"/>
  <c r="Q7" i="299"/>
  <c r="Q20" i="299" s="1"/>
  <c r="Q40" i="299" s="1"/>
  <c r="Q45" i="299" s="1"/>
  <c r="L14" i="88"/>
  <c r="L15" i="88"/>
  <c r="L13" i="88"/>
  <c r="E78" i="338"/>
  <c r="H78" i="338"/>
  <c r="I36" i="123"/>
  <c r="I9" i="123" s="1"/>
  <c r="I78" i="338"/>
  <c r="J36" i="123"/>
  <c r="J9" i="123" s="1"/>
  <c r="C19" i="237" l="1"/>
  <c r="D124" i="123" s="1"/>
  <c r="D6" i="123"/>
  <c r="H39" i="140"/>
  <c r="F82" i="248"/>
  <c r="L39" i="140"/>
  <c r="G39" i="140"/>
  <c r="E19" i="237"/>
  <c r="F124" i="123" s="1"/>
  <c r="G346" i="342"/>
  <c r="G57" i="133"/>
  <c r="H25" i="141"/>
  <c r="G59" i="338"/>
  <c r="G66" i="338" s="1"/>
  <c r="G68" i="338" s="1"/>
  <c r="F59" i="338"/>
  <c r="F66" i="338" s="1"/>
  <c r="F68" i="338" s="1"/>
  <c r="O36" i="95"/>
  <c r="O47" i="95" s="1"/>
  <c r="O53" i="95" s="1"/>
  <c r="O55" i="95" s="1"/>
  <c r="G49" i="137"/>
  <c r="M87" i="123"/>
  <c r="M131" i="123" s="1"/>
  <c r="K43" i="131"/>
  <c r="L17" i="88"/>
  <c r="L53" i="123"/>
  <c r="L10" i="123" s="1"/>
  <c r="K116" i="123"/>
  <c r="J36" i="237"/>
  <c r="L77" i="338"/>
  <c r="G57" i="128"/>
  <c r="G62" i="128" s="1"/>
  <c r="G73" i="128" s="1"/>
  <c r="G84" i="128" s="1"/>
  <c r="G64" i="127"/>
  <c r="D45" i="233"/>
  <c r="P48" i="298"/>
  <c r="L27" i="88"/>
  <c r="M86" i="123"/>
  <c r="M88" i="123" s="1"/>
  <c r="M132" i="123" s="1"/>
  <c r="Q25" i="137"/>
  <c r="P36" i="95" s="1"/>
  <c r="P47" i="95" s="1"/>
  <c r="P53" i="95" s="1"/>
  <c r="P55" i="95" s="1"/>
  <c r="L41" i="88"/>
  <c r="J346" i="342"/>
  <c r="K26" i="315"/>
  <c r="L15" i="338"/>
  <c r="L14" i="338" s="1"/>
  <c r="L11" i="338" s="1"/>
  <c r="J149" i="351"/>
  <c r="E48" i="299"/>
  <c r="E56" i="298"/>
  <c r="E49" i="137"/>
  <c r="K15" i="338"/>
  <c r="K14" i="338" s="1"/>
  <c r="K11" i="338" s="1"/>
  <c r="M36" i="123"/>
  <c r="M9" i="123" s="1"/>
  <c r="J58" i="133"/>
  <c r="P38" i="137"/>
  <c r="P42" i="137" s="1"/>
  <c r="P46" i="137" s="1"/>
  <c r="K7" i="88"/>
  <c r="L121" i="123" s="1"/>
  <c r="J347" i="342"/>
  <c r="K45" i="233"/>
  <c r="D85" i="126"/>
  <c r="G97" i="123"/>
  <c r="F97" i="123"/>
  <c r="F99" i="123"/>
  <c r="K99" i="123"/>
  <c r="K97" i="123"/>
  <c r="L96" i="123"/>
  <c r="J26" i="315"/>
  <c r="E7" i="88"/>
  <c r="F121" i="123" s="1"/>
  <c r="F26" i="315"/>
  <c r="N36" i="95"/>
  <c r="N25" i="137"/>
  <c r="N36" i="137" s="1"/>
  <c r="N38" i="137" s="1"/>
  <c r="N42" i="137" s="1"/>
  <c r="N46" i="137" s="1"/>
  <c r="O36" i="137"/>
  <c r="O38" i="137" s="1"/>
  <c r="O42" i="137" s="1"/>
  <c r="O46" i="137" s="1"/>
  <c r="E39" i="140"/>
  <c r="M52" i="123"/>
  <c r="M13" i="123" s="1"/>
  <c r="M122" i="123" s="1"/>
  <c r="K58" i="123"/>
  <c r="K18" i="123" s="1"/>
  <c r="L113" i="123"/>
  <c r="H113" i="123"/>
  <c r="G83" i="248"/>
  <c r="H58" i="123"/>
  <c r="H18" i="123" s="1"/>
  <c r="G85" i="248"/>
  <c r="H102" i="123" s="1"/>
  <c r="M21" i="95"/>
  <c r="M33" i="95" s="1"/>
  <c r="D58" i="133"/>
  <c r="M39" i="140"/>
  <c r="M12" i="123"/>
  <c r="J82" i="248"/>
  <c r="G41" i="248"/>
  <c r="G49" i="248" s="1"/>
  <c r="G82" i="248" s="1"/>
  <c r="M91" i="123"/>
  <c r="M15" i="338"/>
  <c r="M14" i="338" s="1"/>
  <c r="M11" i="338" s="1"/>
  <c r="K149" i="351"/>
  <c r="E54" i="294"/>
  <c r="E60" i="294"/>
  <c r="D37" i="338"/>
  <c r="D58" i="338" s="1"/>
  <c r="D80" i="338" s="1"/>
  <c r="D42" i="338"/>
  <c r="C7" i="88"/>
  <c r="D121" i="123" s="1"/>
  <c r="D26" i="315"/>
  <c r="C58" i="133"/>
  <c r="F58" i="133"/>
  <c r="O30" i="298"/>
  <c r="N30" i="298" s="1"/>
  <c r="G58" i="127"/>
  <c r="K91" i="146"/>
  <c r="K42" i="146"/>
  <c r="K108" i="146"/>
  <c r="O25" i="299"/>
  <c r="P25" i="299"/>
  <c r="P38" i="299" s="1"/>
  <c r="P40" i="299" s="1"/>
  <c r="P45" i="299" s="1"/>
  <c r="J45" i="233"/>
  <c r="G58" i="133"/>
  <c r="E58" i="133"/>
  <c r="H58" i="133"/>
  <c r="D87" i="123"/>
  <c r="D131" i="123" s="1"/>
  <c r="E96" i="123"/>
  <c r="C347" i="342"/>
  <c r="C45" i="233"/>
  <c r="C150" i="351"/>
  <c r="F89" i="146"/>
  <c r="F45" i="146"/>
  <c r="H28" i="88"/>
  <c r="E347" i="342"/>
  <c r="E45" i="233"/>
  <c r="F45" i="233"/>
  <c r="F347" i="342"/>
  <c r="F150" i="351"/>
  <c r="I150" i="351"/>
  <c r="C89" i="146"/>
  <c r="D45" i="146"/>
  <c r="G58" i="123"/>
  <c r="G113" i="123"/>
  <c r="F83" i="248"/>
  <c r="F85" i="248"/>
  <c r="G102" i="123" s="1"/>
  <c r="G347" i="342"/>
  <c r="G45" i="233"/>
  <c r="H45" i="233"/>
  <c r="H347" i="342"/>
  <c r="D150" i="351"/>
  <c r="E89" i="146"/>
  <c r="E45" i="146"/>
  <c r="J89" i="146"/>
  <c r="J45" i="146"/>
  <c r="K28" i="146"/>
  <c r="K44" i="146"/>
  <c r="I347" i="342"/>
  <c r="H150" i="351"/>
  <c r="G89" i="146"/>
  <c r="G45" i="146"/>
  <c r="D39" i="140"/>
  <c r="K97" i="350"/>
  <c r="K97" i="134"/>
  <c r="K78" i="338"/>
  <c r="G87" i="123"/>
  <c r="H96" i="123"/>
  <c r="G5" i="123"/>
  <c r="F34" i="88"/>
  <c r="G7" i="123" s="1"/>
  <c r="G117" i="123" s="1"/>
  <c r="F5" i="237"/>
  <c r="F6" i="237" s="1"/>
  <c r="F8" i="237" s="1"/>
  <c r="F19" i="237" s="1"/>
  <c r="G124" i="123" s="1"/>
  <c r="F52" i="123"/>
  <c r="F13" i="123" s="1"/>
  <c r="F122" i="123" s="1"/>
  <c r="E97" i="134"/>
  <c r="G25" i="314"/>
  <c r="F12" i="123"/>
  <c r="E97" i="350"/>
  <c r="D78" i="338"/>
  <c r="B56" i="95"/>
  <c r="N56" i="95" s="1"/>
  <c r="D15" i="338"/>
  <c r="D14" i="338" s="1"/>
  <c r="D11" i="338" s="1"/>
  <c r="D31" i="338"/>
  <c r="G96" i="123"/>
  <c r="G6" i="123"/>
  <c r="L29" i="300"/>
  <c r="L45" i="140"/>
  <c r="G29" i="300"/>
  <c r="G45" i="140"/>
  <c r="G112" i="123"/>
  <c r="J112" i="123"/>
  <c r="N5" i="300"/>
  <c r="N25" i="300" s="1"/>
  <c r="O25" i="300"/>
  <c r="O29" i="300" s="1"/>
  <c r="E85" i="126"/>
  <c r="J77" i="338"/>
  <c r="J59" i="338"/>
  <c r="J66" i="338" s="1"/>
  <c r="J68" i="338" s="1"/>
  <c r="Q5" i="300"/>
  <c r="Q25" i="300" s="1"/>
  <c r="Q29" i="300" s="1"/>
  <c r="M112" i="123"/>
  <c r="M45" i="140"/>
  <c r="M29" i="300"/>
  <c r="H29" i="300"/>
  <c r="H45" i="140"/>
  <c r="G85" i="126"/>
  <c r="H85" i="126"/>
  <c r="F39" i="140"/>
  <c r="I29" i="300"/>
  <c r="I45" i="140"/>
  <c r="D29" i="300"/>
  <c r="D45" i="140"/>
  <c r="G57" i="123"/>
  <c r="G18" i="123" s="1"/>
  <c r="F43" i="88"/>
  <c r="F8" i="88" s="1"/>
  <c r="J57" i="123"/>
  <c r="J18" i="123" s="1"/>
  <c r="I43" i="88"/>
  <c r="I8" i="88" s="1"/>
  <c r="K112" i="123"/>
  <c r="K59" i="338"/>
  <c r="K66" i="338" s="1"/>
  <c r="K77" i="338"/>
  <c r="H5" i="123"/>
  <c r="G34" i="88"/>
  <c r="H7" i="123" s="1"/>
  <c r="H117" i="123" s="1"/>
  <c r="G5" i="237"/>
  <c r="G6" i="237" s="1"/>
  <c r="G8" i="237" s="1"/>
  <c r="E45" i="140"/>
  <c r="E29" i="300"/>
  <c r="J8" i="123"/>
  <c r="L112" i="123"/>
  <c r="K54" i="338"/>
  <c r="K53" i="338" s="1"/>
  <c r="K12" i="123"/>
  <c r="N50" i="95"/>
  <c r="M50" i="95" s="1"/>
  <c r="J44" i="131"/>
  <c r="D57" i="128"/>
  <c r="D62" i="128" s="1"/>
  <c r="D73" i="128" s="1"/>
  <c r="D84" i="128" s="1"/>
  <c r="D58" i="127"/>
  <c r="D64" i="127"/>
  <c r="D109" i="123"/>
  <c r="D110" i="123"/>
  <c r="J39" i="140"/>
  <c r="K39" i="140"/>
  <c r="N20" i="140"/>
  <c r="M59" i="338"/>
  <c r="M66" i="338" s="1"/>
  <c r="Q9" i="298"/>
  <c r="Q25" i="298" s="1"/>
  <c r="Q32" i="298"/>
  <c r="Q48" i="298" s="1"/>
  <c r="K58" i="133"/>
  <c r="P19" i="298"/>
  <c r="P25" i="298" s="1"/>
  <c r="P50" i="298" s="1"/>
  <c r="P53" i="298" s="1"/>
  <c r="L10" i="88"/>
  <c r="L55" i="129"/>
  <c r="H57" i="128"/>
  <c r="H62" i="128" s="1"/>
  <c r="H73" i="128" s="1"/>
  <c r="H84" i="128" s="1"/>
  <c r="H58" i="127"/>
  <c r="H64" i="127"/>
  <c r="I88" i="123"/>
  <c r="I132" i="123" s="1"/>
  <c r="I130" i="123"/>
  <c r="L51" i="95"/>
  <c r="E77" i="338"/>
  <c r="E59" i="338"/>
  <c r="E66" i="338" s="1"/>
  <c r="E68" i="338" s="1"/>
  <c r="I77" i="338"/>
  <c r="I59" i="338"/>
  <c r="I66" i="338" s="1"/>
  <c r="I68" i="338" s="1"/>
  <c r="D88" i="123"/>
  <c r="D132" i="123" s="1"/>
  <c r="D133" i="123" s="1"/>
  <c r="D134" i="123" s="1"/>
  <c r="D135" i="123" s="1"/>
  <c r="D130" i="123"/>
  <c r="J10" i="88"/>
  <c r="J55" i="129"/>
  <c r="J130" i="123"/>
  <c r="J88" i="123"/>
  <c r="J132" i="123" s="1"/>
  <c r="L87" i="123"/>
  <c r="M96" i="123"/>
  <c r="M130" i="123"/>
  <c r="H59" i="338"/>
  <c r="H66" i="338" s="1"/>
  <c r="H77" i="338"/>
  <c r="K10" i="88"/>
  <c r="K55" i="129"/>
  <c r="F130" i="123"/>
  <c r="F64" i="127"/>
  <c r="F57" i="128"/>
  <c r="F62" i="128" s="1"/>
  <c r="F58" i="127"/>
  <c r="L8" i="123"/>
  <c r="H130" i="123"/>
  <c r="H88" i="123"/>
  <c r="H132" i="123" s="1"/>
  <c r="E133" i="123"/>
  <c r="E134" i="123" s="1"/>
  <c r="E135" i="123" s="1"/>
  <c r="L116" i="123" l="1"/>
  <c r="K36" i="237"/>
  <c r="L43" i="131"/>
  <c r="M77" i="338" s="1"/>
  <c r="M53" i="123"/>
  <c r="M10" i="123" s="1"/>
  <c r="G49" i="131"/>
  <c r="H67" i="338"/>
  <c r="H68" i="338" s="1"/>
  <c r="K44" i="131"/>
  <c r="K45" i="131" s="1"/>
  <c r="K48" i="131" s="1"/>
  <c r="K150" i="351"/>
  <c r="Q36" i="137"/>
  <c r="Q38" i="137" s="1"/>
  <c r="Q42" i="137" s="1"/>
  <c r="Q46" i="137" s="1"/>
  <c r="K347" i="342"/>
  <c r="L26" i="315"/>
  <c r="L7" i="88"/>
  <c r="M121" i="123" s="1"/>
  <c r="M8" i="123"/>
  <c r="L42" i="338"/>
  <c r="N47" i="95"/>
  <c r="N53" i="95" s="1"/>
  <c r="N55" i="95" s="1"/>
  <c r="N57" i="95" s="1"/>
  <c r="M36" i="95"/>
  <c r="M47" i="95" s="1"/>
  <c r="K87" i="123"/>
  <c r="K96" i="123"/>
  <c r="F87" i="123"/>
  <c r="F96" i="123"/>
  <c r="E105" i="123"/>
  <c r="F8" i="123"/>
  <c r="J58" i="127"/>
  <c r="K8" i="123"/>
  <c r="K89" i="146"/>
  <c r="K45" i="146"/>
  <c r="I45" i="233"/>
  <c r="O28" i="298"/>
  <c r="G90" i="146"/>
  <c r="G28" i="88"/>
  <c r="K28" i="88"/>
  <c r="J90" i="146"/>
  <c r="E90" i="146"/>
  <c r="E28" i="88"/>
  <c r="D90" i="146"/>
  <c r="C28" i="88"/>
  <c r="F90" i="146"/>
  <c r="F28" i="88"/>
  <c r="N25" i="299"/>
  <c r="N38" i="299" s="1"/>
  <c r="N40" i="299" s="1"/>
  <c r="N45" i="299" s="1"/>
  <c r="O38" i="299"/>
  <c r="O40" i="299" s="1"/>
  <c r="O45" i="299" s="1"/>
  <c r="D8" i="123"/>
  <c r="H90" i="146"/>
  <c r="G88" i="123"/>
  <c r="G132" i="123" s="1"/>
  <c r="G133" i="123" s="1"/>
  <c r="G134" i="123" s="1"/>
  <c r="G135" i="123" s="1"/>
  <c r="G131" i="123"/>
  <c r="D59" i="338"/>
  <c r="D66" i="338" s="1"/>
  <c r="D68" i="338" s="1"/>
  <c r="D77" i="338"/>
  <c r="J5" i="123"/>
  <c r="I34" i="88"/>
  <c r="J7" i="123" s="1"/>
  <c r="J117" i="123" s="1"/>
  <c r="I5" i="237"/>
  <c r="I6" i="237" s="1"/>
  <c r="I8" i="237" s="1"/>
  <c r="J6" i="123" s="1"/>
  <c r="J52" i="123"/>
  <c r="J13" i="123" s="1"/>
  <c r="J122" i="123" s="1"/>
  <c r="J12" i="123"/>
  <c r="K29" i="300"/>
  <c r="K45" i="140"/>
  <c r="K85" i="126"/>
  <c r="G19" i="237"/>
  <c r="H124" i="123" s="1"/>
  <c r="H6" i="123"/>
  <c r="I5" i="123"/>
  <c r="H34" i="88"/>
  <c r="I7" i="123" s="1"/>
  <c r="I117" i="123" s="1"/>
  <c r="H5" i="237"/>
  <c r="H105" i="123"/>
  <c r="F105" i="123"/>
  <c r="I85" i="126"/>
  <c r="F85" i="126"/>
  <c r="J45" i="140"/>
  <c r="J29" i="300"/>
  <c r="J45" i="131"/>
  <c r="J48" i="131" s="1"/>
  <c r="J49" i="131" s="1"/>
  <c r="K80" i="338"/>
  <c r="I57" i="128"/>
  <c r="I62" i="128" s="1"/>
  <c r="I73" i="128" s="1"/>
  <c r="I84" i="128" s="1"/>
  <c r="I64" i="127"/>
  <c r="I58" i="127"/>
  <c r="J85" i="126"/>
  <c r="F97" i="134"/>
  <c r="G52" i="123"/>
  <c r="G13" i="123" s="1"/>
  <c r="G122" i="123" s="1"/>
  <c r="G12" i="123"/>
  <c r="H25" i="314"/>
  <c r="F97" i="350"/>
  <c r="F29" i="300"/>
  <c r="F45" i="140"/>
  <c r="I105" i="123"/>
  <c r="H133" i="123"/>
  <c r="H134" i="123" s="1"/>
  <c r="H135" i="123" s="1"/>
  <c r="Q50" i="298"/>
  <c r="Q53" i="298" s="1"/>
  <c r="K57" i="133"/>
  <c r="J57" i="133"/>
  <c r="K58" i="127"/>
  <c r="K57" i="128"/>
  <c r="K62" i="128" s="1"/>
  <c r="K73" i="128" s="1"/>
  <c r="K84" i="128" s="1"/>
  <c r="F73" i="128"/>
  <c r="O56" i="95"/>
  <c r="O57" i="95" s="1"/>
  <c r="L44" i="131"/>
  <c r="M42" i="338"/>
  <c r="K67" i="338"/>
  <c r="K68" i="338" s="1"/>
  <c r="L131" i="123"/>
  <c r="L88" i="123"/>
  <c r="L132" i="123" s="1"/>
  <c r="L80" i="338"/>
  <c r="K51" i="95"/>
  <c r="L53" i="95"/>
  <c r="L55" i="95" s="1"/>
  <c r="N61" i="95" l="1"/>
  <c r="L36" i="237"/>
  <c r="M116" i="123"/>
  <c r="Q56" i="298"/>
  <c r="L57" i="128"/>
  <c r="L62" i="128" s="1"/>
  <c r="L73" i="128" s="1"/>
  <c r="L84" i="128" s="1"/>
  <c r="L58" i="127"/>
  <c r="F131" i="123"/>
  <c r="F88" i="123"/>
  <c r="F132" i="123" s="1"/>
  <c r="F133" i="123" s="1"/>
  <c r="F134" i="123" s="1"/>
  <c r="F135" i="123" s="1"/>
  <c r="K131" i="123"/>
  <c r="K88" i="123"/>
  <c r="K132" i="123" s="1"/>
  <c r="J57" i="128"/>
  <c r="J62" i="128" s="1"/>
  <c r="J73" i="128" s="1"/>
  <c r="J84" i="128" s="1"/>
  <c r="O48" i="299"/>
  <c r="E57" i="128"/>
  <c r="E62" i="128" s="1"/>
  <c r="E73" i="128" s="1"/>
  <c r="E84" i="128" s="1"/>
  <c r="E58" i="127"/>
  <c r="E64" i="127"/>
  <c r="E108" i="123"/>
  <c r="E110" i="123"/>
  <c r="E109" i="123"/>
  <c r="I19" i="237"/>
  <c r="J124" i="123" s="1"/>
  <c r="N49" i="137"/>
  <c r="N48" i="299"/>
  <c r="N28" i="298"/>
  <c r="N48" i="298" s="1"/>
  <c r="N50" i="298" s="1"/>
  <c r="N53" i="298" s="1"/>
  <c r="N56" i="298" s="1"/>
  <c r="O48" i="298"/>
  <c r="O50" i="298" s="1"/>
  <c r="O53" i="298" s="1"/>
  <c r="L28" i="88"/>
  <c r="K90" i="146"/>
  <c r="C58" i="127"/>
  <c r="C64" i="127"/>
  <c r="C57" i="128"/>
  <c r="C62" i="128" s="1"/>
  <c r="C73" i="128" s="1"/>
  <c r="C84" i="128" s="1"/>
  <c r="I58" i="133"/>
  <c r="F84" i="128"/>
  <c r="I108" i="123"/>
  <c r="I110" i="123"/>
  <c r="I109" i="123"/>
  <c r="K105" i="123"/>
  <c r="K108" i="123"/>
  <c r="G105" i="123"/>
  <c r="J108" i="123"/>
  <c r="J105" i="123"/>
  <c r="F109" i="123"/>
  <c r="F110" i="123"/>
  <c r="H6" i="237"/>
  <c r="H8" i="237" s="1"/>
  <c r="L105" i="123"/>
  <c r="L108" i="123"/>
  <c r="H108" i="123"/>
  <c r="H109" i="123"/>
  <c r="H110" i="123"/>
  <c r="J133" i="123"/>
  <c r="J134" i="123" s="1"/>
  <c r="J135" i="123" s="1"/>
  <c r="F108" i="123"/>
  <c r="J51" i="95"/>
  <c r="K53" i="95"/>
  <c r="K55" i="95" s="1"/>
  <c r="L67" i="338"/>
  <c r="L68" i="338" s="1"/>
  <c r="K49" i="131"/>
  <c r="K64" i="127"/>
  <c r="P48" i="299"/>
  <c r="P56" i="298"/>
  <c r="P49" i="137"/>
  <c r="J5" i="237"/>
  <c r="J34" i="88"/>
  <c r="K7" i="123" s="1"/>
  <c r="K117" i="123" s="1"/>
  <c r="K5" i="123"/>
  <c r="K89" i="123"/>
  <c r="L45" i="131"/>
  <c r="L48" i="131" s="1"/>
  <c r="M80" i="338"/>
  <c r="P56" i="95"/>
  <c r="P57" i="95" s="1"/>
  <c r="F55" i="129"/>
  <c r="F10" i="88"/>
  <c r="O56" i="298" l="1"/>
  <c r="Q48" i="299"/>
  <c r="Q49" i="137"/>
  <c r="L64" i="127"/>
  <c r="J64" i="127"/>
  <c r="R45" i="246"/>
  <c r="O49" i="137"/>
  <c r="I6" i="123"/>
  <c r="H19" i="237"/>
  <c r="G109" i="123"/>
  <c r="G110" i="123"/>
  <c r="G108" i="123"/>
  <c r="L110" i="123"/>
  <c r="L109" i="123"/>
  <c r="J109" i="123"/>
  <c r="J110" i="123"/>
  <c r="K109" i="123"/>
  <c r="K110" i="123"/>
  <c r="L5" i="123"/>
  <c r="P61" i="95"/>
  <c r="K5" i="237"/>
  <c r="K34" i="88"/>
  <c r="L7" i="123" s="1"/>
  <c r="L117" i="123" s="1"/>
  <c r="O61" i="95"/>
  <c r="M67" i="338"/>
  <c r="M68" i="338" s="1"/>
  <c r="L49" i="131"/>
  <c r="I51" i="95"/>
  <c r="J53" i="95"/>
  <c r="J55" i="95" s="1"/>
  <c r="J6" i="237"/>
  <c r="J8" i="237" s="1"/>
  <c r="I124" i="123" l="1"/>
  <c r="I133" i="123"/>
  <c r="I134" i="123" s="1"/>
  <c r="I135" i="123" s="1"/>
  <c r="K6" i="123"/>
  <c r="J19" i="237"/>
  <c r="L34" i="88"/>
  <c r="M7" i="123" s="1"/>
  <c r="M117" i="123" s="1"/>
  <c r="L5" i="237"/>
  <c r="M5" i="123"/>
  <c r="K6" i="237"/>
  <c r="K8" i="237" s="1"/>
  <c r="H51" i="95"/>
  <c r="I53" i="95"/>
  <c r="I55" i="95" s="1"/>
  <c r="L6" i="123" l="1"/>
  <c r="K19" i="237"/>
  <c r="L6" i="237"/>
  <c r="L8" i="237" s="1"/>
  <c r="K124" i="123"/>
  <c r="K133" i="123"/>
  <c r="K134" i="123" s="1"/>
  <c r="K135" i="123" s="1"/>
  <c r="G51" i="95"/>
  <c r="H53" i="95"/>
  <c r="H55" i="95" s="1"/>
  <c r="L19" i="237" l="1"/>
  <c r="M6" i="123"/>
  <c r="L124" i="123"/>
  <c r="L133" i="123"/>
  <c r="L134" i="123" s="1"/>
  <c r="L135" i="123" s="1"/>
  <c r="F51" i="95"/>
  <c r="G53" i="95"/>
  <c r="G55" i="95" s="1"/>
  <c r="M124" i="123" l="1"/>
  <c r="M133" i="123"/>
  <c r="M134" i="123" s="1"/>
  <c r="M135" i="123" s="1"/>
  <c r="E51" i="95"/>
  <c r="F53" i="95"/>
  <c r="F55" i="95" s="1"/>
  <c r="D51" i="95" l="1"/>
  <c r="E53" i="95"/>
  <c r="E55" i="95" s="1"/>
  <c r="C51" i="95" l="1"/>
  <c r="D53" i="95"/>
  <c r="D55" i="95" s="1"/>
  <c r="B51" i="95" l="1"/>
  <c r="C53" i="95"/>
  <c r="C55" i="95" s="1"/>
  <c r="B53" i="95" l="1"/>
  <c r="B55" i="95" s="1"/>
  <c r="B57" i="95" s="1"/>
  <c r="C56" i="95" s="1"/>
  <c r="C57" i="95" s="1"/>
  <c r="D56" i="95" s="1"/>
  <c r="D57" i="95" s="1"/>
  <c r="E56" i="95" s="1"/>
  <c r="E57" i="95" s="1"/>
  <c r="F56" i="95" s="1"/>
  <c r="F57" i="95" s="1"/>
  <c r="G56" i="95" s="1"/>
  <c r="G57" i="95" s="1"/>
  <c r="H56" i="95" s="1"/>
  <c r="H57" i="95" s="1"/>
  <c r="I56" i="95" s="1"/>
  <c r="I57" i="95" s="1"/>
  <c r="J56" i="95" s="1"/>
  <c r="J57" i="95" s="1"/>
  <c r="K56" i="95" s="1"/>
  <c r="K57" i="95" s="1"/>
  <c r="L56" i="95" s="1"/>
  <c r="L57" i="95" s="1"/>
  <c r="M56" i="95" s="1"/>
  <c r="M51" i="95"/>
  <c r="M53" i="95" s="1"/>
  <c r="M55" i="95" s="1"/>
  <c r="M57" i="95" l="1"/>
  <c r="C38" i="140" l="1"/>
  <c r="C39" i="140" s="1"/>
  <c r="N26" i="140"/>
  <c r="N38" i="140" s="1"/>
  <c r="N39" i="140" s="1"/>
  <c r="N29" i="300" l="1"/>
  <c r="N45" i="140"/>
  <c r="C29" i="300"/>
  <c r="C45" i="140"/>
</calcChain>
</file>

<file path=xl/sharedStrings.xml><?xml version="1.0" encoding="utf-8"?>
<sst xmlns="http://schemas.openxmlformats.org/spreadsheetml/2006/main" count="9225" uniqueCount="3101">
  <si>
    <t>Recreational facilities</t>
  </si>
  <si>
    <t>Community halls</t>
  </si>
  <si>
    <t>Parks &amp; gardens</t>
  </si>
  <si>
    <t>Debt impairment provision</t>
  </si>
  <si>
    <t>Balance at the beginning of the year</t>
  </si>
  <si>
    <t>Contributions to the provision</t>
  </si>
  <si>
    <t>Bad debts written off</t>
  </si>
  <si>
    <t>Balance at end of year</t>
  </si>
  <si>
    <t>Total revenue</t>
  </si>
  <si>
    <t>Supporting benchmarks</t>
  </si>
  <si>
    <t>Average annual collection rate (arrears inclusive)</t>
  </si>
  <si>
    <t>check revenue</t>
  </si>
  <si>
    <t>check expenditure</t>
  </si>
  <si>
    <t>Borrowing receipts % of capital expenditure (excl. transfers)</t>
  </si>
  <si>
    <t>Total future operational costs</t>
  </si>
  <si>
    <t>Total Parent Expenditure Implication</t>
  </si>
  <si>
    <t>Entities:</t>
  </si>
  <si>
    <t>Total Entity Expenditure Implication</t>
  </si>
  <si>
    <t>1. Total implication for all preceding years to be summed and total stated in 'Preceding Years' column</t>
  </si>
  <si>
    <t>1. Summarise the total capital cost until capital project is operational (MFMA s19(2)(a))</t>
  </si>
  <si>
    <t>2. Summary of future operational costs from when projects operational (present value until the end of each asset's useful life) (MFMA s19(2)(b))</t>
  </si>
  <si>
    <t>Infrastructure - Electricity</t>
  </si>
  <si>
    <t>Generation</t>
  </si>
  <si>
    <t>Transmission &amp; Reticulation</t>
  </si>
  <si>
    <t>Infrastructure - Water</t>
  </si>
  <si>
    <t>Dams &amp; Reservoirs</t>
  </si>
  <si>
    <t>Water purification</t>
  </si>
  <si>
    <t>Reticulation</t>
  </si>
  <si>
    <t>Infrastructure - Sanitation</t>
  </si>
  <si>
    <t>Sewerage purification</t>
  </si>
  <si>
    <t>Infrastructure - Other</t>
  </si>
  <si>
    <t>Social rental housing</t>
  </si>
  <si>
    <t>Specialised vehicles</t>
  </si>
  <si>
    <t>7. Busses used to provide a service to the community</t>
  </si>
  <si>
    <t>R thousands</t>
  </si>
  <si>
    <t>Transfers recognised - operational</t>
  </si>
  <si>
    <t>Contributions recognised - capital &amp; contributed assets</t>
  </si>
  <si>
    <t>Community wealth/Equity</t>
  </si>
  <si>
    <t xml:space="preserve">Total Capital Expenditure </t>
  </si>
  <si>
    <t>Contributed assets</t>
  </si>
  <si>
    <t>Other Expenditure By Type</t>
  </si>
  <si>
    <t xml:space="preserve">Supporting Table SA5 </t>
  </si>
  <si>
    <t xml:space="preserve">Supporting Table SA6 </t>
  </si>
  <si>
    <t>Supporting Table SA7</t>
  </si>
  <si>
    <t>Supporting Table SA8</t>
  </si>
  <si>
    <t>Supporting Table SA9</t>
  </si>
  <si>
    <t>KZN263 Abaqulusi</t>
  </si>
  <si>
    <t>KZN265 Nongoma</t>
  </si>
  <si>
    <t>KZN266 Ulundi</t>
  </si>
  <si>
    <t>KZN271 Umhlabuyalingana</t>
  </si>
  <si>
    <t>KZN272 Jozini</t>
  </si>
  <si>
    <t>KZN274 Hlabisa</t>
  </si>
  <si>
    <t>KZN275 Mtubatuba</t>
  </si>
  <si>
    <t>KZN282 uMhlathuze</t>
  </si>
  <si>
    <t>KZN283 Ntambanana</t>
  </si>
  <si>
    <t>KZN285 Mthonjaneni</t>
  </si>
  <si>
    <t>KZN286 Nkandla</t>
  </si>
  <si>
    <t>KZN291 Mandeni</t>
  </si>
  <si>
    <t>KZN292 KwaDukuza</t>
  </si>
  <si>
    <t>KZN293 Ndwedwe</t>
  </si>
  <si>
    <t>KZN294 Maphumulo</t>
  </si>
  <si>
    <t>KZN431 Ingwe</t>
  </si>
  <si>
    <t>KZN432 Kwa Sani</t>
  </si>
  <si>
    <t>KZN433 Greater Kokstad</t>
  </si>
  <si>
    <t>KZN434 Ubuhlebezwe</t>
  </si>
  <si>
    <t>KZN435 Umzimkhulu</t>
  </si>
  <si>
    <t>LIM331 Greater Giyani</t>
  </si>
  <si>
    <t>LIM332 Greater Letaba</t>
  </si>
  <si>
    <t>LIM333 Greater Tzaneen</t>
  </si>
  <si>
    <t>LIM334 Ba-Phalaborwa</t>
  </si>
  <si>
    <t>LIM335 Maruleng</t>
  </si>
  <si>
    <t>LIM341 Musina</t>
  </si>
  <si>
    <t>LIM342 Mutale</t>
  </si>
  <si>
    <t>LIM343 Thulamela</t>
  </si>
  <si>
    <t>LIM344 Makhado</t>
  </si>
  <si>
    <t>LIM351 Blouberg</t>
  </si>
  <si>
    <t>LIM352 Aganang</t>
  </si>
  <si>
    <t>LIM353 Molemole</t>
  </si>
  <si>
    <t>LIM354 Polokwane</t>
  </si>
  <si>
    <t>LIM355 Lepelle-Nkumpi</t>
  </si>
  <si>
    <t>LIM361 Thabazimbi</t>
  </si>
  <si>
    <t>LIM362 Lephalale</t>
  </si>
  <si>
    <t>LIM364 Mookgopong</t>
  </si>
  <si>
    <t>LIM365 Modimolle</t>
  </si>
  <si>
    <t>LIM366 Bela Bela</t>
  </si>
  <si>
    <t>LIM367 Mogalakwena</t>
  </si>
  <si>
    <t>LIM472 Elias Motsoaledi</t>
  </si>
  <si>
    <t>LIM474 Fetakgomo</t>
  </si>
  <si>
    <t>LIM475 Greater Tubatse</t>
  </si>
  <si>
    <t>MP316 Dr J.S. Moroka</t>
  </si>
  <si>
    <t>NW403 City Of Matlosana</t>
  </si>
  <si>
    <t>Choose name from list</t>
  </si>
  <si>
    <t>Name of Muni</t>
  </si>
  <si>
    <t>Name link</t>
  </si>
  <si>
    <t>Electricity Generation</t>
  </si>
  <si>
    <t>Air Transport</t>
  </si>
  <si>
    <t>Forestry</t>
  </si>
  <si>
    <t>Licensing &amp; Regulation</t>
  </si>
  <si>
    <t>YTD budget</t>
  </si>
  <si>
    <t>Head43</t>
  </si>
  <si>
    <t>YTD variance</t>
  </si>
  <si>
    <t>R&amp;M % of Property Plant &amp; Equipment</t>
  </si>
  <si>
    <t>Cash receipts % of Ratepayer &amp; Other revenue</t>
  </si>
  <si>
    <t>Long-Term Loans (annuity/reducing balance)</t>
  </si>
  <si>
    <t>Local registered stock</t>
  </si>
  <si>
    <t>Housing Development Fund</t>
  </si>
  <si>
    <t>Finance Granted By Cap Equipment Supplier</t>
  </si>
  <si>
    <t>Marketable Bonds</t>
  </si>
  <si>
    <t>Non-Marketable Bonds</t>
  </si>
  <si>
    <t>Bankers Acceptances</t>
  </si>
  <si>
    <t>Other Securities</t>
  </si>
  <si>
    <t>Councillors</t>
  </si>
  <si>
    <t>Salary</t>
  </si>
  <si>
    <t>Allowances</t>
  </si>
  <si>
    <t>List each member of board by designation</t>
  </si>
  <si>
    <t>EC EASTERN CAPE</t>
  </si>
  <si>
    <t>Grade</t>
  </si>
  <si>
    <t>1 Grade in terms of the Remuneration of Public Office Bearers Act.</t>
  </si>
  <si>
    <t>Province</t>
  </si>
  <si>
    <t>Web Address</t>
  </si>
  <si>
    <t>Loans, Creditors, Overdraft &amp; Tax Provision/ Funds &amp; Reserves</t>
  </si>
  <si>
    <t>12. Indicative of realistic long term arrear debtor collection targets (prior to 2003/04 revenue not available for high capacity municipalities and later for other capacity classifications)</t>
  </si>
  <si>
    <t>7. Special consideration may have to be given to including 'goodwill arising' or 'joint venture' budgets where circumstances require this (include separately under relevant notes)</t>
  </si>
  <si>
    <t>Total future revenue</t>
  </si>
  <si>
    <t>Prior year -1</t>
  </si>
  <si>
    <t>Prior year -2</t>
  </si>
  <si>
    <t>Prior year -3</t>
  </si>
  <si>
    <t>3. If benefits in kind are provided (e.g. provision of living quarters) the full market value must be shown as the cost to the municipality</t>
  </si>
  <si>
    <t>5. Must agree to the sub-total appearing on Table A1 (Employee costs)</t>
  </si>
  <si>
    <t>Males aged 15 - 34</t>
  </si>
  <si>
    <t>Using public tap (at least min.service level)</t>
  </si>
  <si>
    <t>Other water supply (at least min.service level)</t>
  </si>
  <si>
    <t>5. Infrastructure includes 'land and buildings required' by that infrastructure and vehicles/plant &amp; equipment used by the service generated by that infrastructure</t>
  </si>
  <si>
    <t>% increase/-decrease</t>
  </si>
  <si>
    <t>5. Net assets must balance with Total Community Wealth/Equity</t>
  </si>
  <si>
    <t>Biological assets</t>
  </si>
  <si>
    <t>Street Lighting</t>
  </si>
  <si>
    <t>Gas</t>
  </si>
  <si>
    <t>sub-total</t>
  </si>
  <si>
    <t>4. All amounts must be classified under a Standard (modified GFS) classification. The GFS function 'Other' is only for Abbatoirs, Air Transport, Markets and Tourism - and if used must be supported by footnotes. Nothing else may be placed under 'Other'. Assign associate share to relevant classification</t>
  </si>
  <si>
    <t>Municipal governance and administration</t>
  </si>
  <si>
    <t>Executive and council</t>
  </si>
  <si>
    <t>Budget and treasury office</t>
  </si>
  <si>
    <t>Corporate services</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</si>
  <si>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</si>
  <si>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</si>
  <si>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</si>
  <si>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</si>
  <si>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</si>
  <si>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</si>
  <si>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</si>
  <si>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</si>
  <si>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</si>
  <si>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7. List each entity where municipality has an interest and state percentage ownership and control</t>
  </si>
  <si>
    <t>check oprev balance</t>
  </si>
  <si>
    <t>Minorities' interests</t>
  </si>
  <si>
    <t>Unspent borrowing</t>
  </si>
  <si>
    <t>Lists</t>
  </si>
  <si>
    <t>&lt;1</t>
  </si>
  <si>
    <t>&lt;4</t>
  </si>
  <si>
    <t>&gt;10</t>
  </si>
  <si>
    <t>Market</t>
  </si>
  <si>
    <t>Dep.Replace</t>
  </si>
  <si>
    <t>Land only</t>
  </si>
  <si>
    <t>Phasing-in properties s21 (number)</t>
  </si>
  <si>
    <t>Land &amp; impr.</t>
  </si>
  <si>
    <t>D. The original budget approved by council for the budget year.</t>
  </si>
  <si>
    <t>E. The budget for the budget year as adjusted by council resolution in terms of section 28 of the MFMA.</t>
  </si>
  <si>
    <t>F. An estimate of final actual amounts (pre audit) for the current year at the point in time of preparing the budget for the budget year. This may differ from E.</t>
  </si>
  <si>
    <t>G. The amount to be appropriated for the budget year.</t>
  </si>
  <si>
    <t>H and I. The indicative projection</t>
  </si>
  <si>
    <t>10. Must reconcile to totals shown for the budget year of Table A22</t>
  </si>
  <si>
    <t>9. Must reconcile to relevant section of Table A24</t>
  </si>
  <si>
    <t>2. Total Capital Expenditure must reconcile to Budgeted Capital Expenditure</t>
  </si>
  <si>
    <t>1. Include a measurable performance objective for each revenue source (within a relevant function) and each vote (MFMA s17(3)(b))</t>
  </si>
  <si>
    <t>1. Include a measurable performance objective as agreed with the parent municipality (MFMA s87(5)(d))</t>
  </si>
  <si>
    <t>Debt impairment expense as a % of total billable revenue</t>
  </si>
  <si>
    <t>Consolidated total:</t>
  </si>
  <si>
    <t>Entities sub-total</t>
  </si>
  <si>
    <t>Municipality sub-total</t>
  </si>
  <si>
    <t>Parent municipality</t>
  </si>
  <si>
    <t>Total Expenditure by Vote</t>
  </si>
  <si>
    <t>Total Revenue by Vote</t>
  </si>
  <si>
    <t>EC134 Lukhanji</t>
  </si>
  <si>
    <t>EC135 Intsika Yethu</t>
  </si>
  <si>
    <t>EC136 Emalahleni (Ec)</t>
  </si>
  <si>
    <t>EC137 Engcobo</t>
  </si>
  <si>
    <t>EC138 Sakhisizwe</t>
  </si>
  <si>
    <t>EC141 Elundini</t>
  </si>
  <si>
    <t>EC142 Senqu</t>
  </si>
  <si>
    <t>EC143 Maletswai</t>
  </si>
  <si>
    <t>2. Must reconcile to Budgeted Financial Performance (revenue and expenditure)</t>
  </si>
  <si>
    <t>1. Insert 'Vote'; e.g. department, if different to standard classification structure</t>
  </si>
  <si>
    <t>Surplus/(Deficit) attributable to municipality</t>
  </si>
  <si>
    <t>1. Classifications are revenue sources and expenditure type</t>
  </si>
  <si>
    <t>6. Contributions are funds provided by external organisations to assist with infrastructure development; e.g. developer contributions (detail to be provided in Table SA1)</t>
  </si>
  <si>
    <t>1. Municipalities may choose to appropriate for capital expenditure for three years or for one year (if one year appropriation projected expenditure required for yr2 and yr3).</t>
  </si>
  <si>
    <t>5. Must reconcile to Budgeted Financial Performance (revenue and expenditure)</t>
  </si>
  <si>
    <t>7. Total Capital Funding must balance with Total Capital Expenditure</t>
  </si>
  <si>
    <t>Capital multi-year expenditure sub-total</t>
  </si>
  <si>
    <t>Add single year stuff</t>
  </si>
  <si>
    <t>No rubbish disposal</t>
  </si>
  <si>
    <t>Households receiving Free Basic Service</t>
  </si>
  <si>
    <t>Household service targets (000)</t>
  </si>
  <si>
    <t>2007 Survey</t>
  </si>
  <si>
    <t>Financial position</t>
  </si>
  <si>
    <t>Cash flows</t>
  </si>
  <si>
    <t>Other own revenue</t>
  </si>
  <si>
    <t>NW375 Moses Kotane</t>
  </si>
  <si>
    <t>NW381 Ratlou</t>
  </si>
  <si>
    <t>NW382 Tswaing</t>
  </si>
  <si>
    <t>NW383 Mafikeng</t>
  </si>
  <si>
    <t>NW384 Ditsobotla</t>
  </si>
  <si>
    <t>NW385 Ramotshere Moiloa</t>
  </si>
  <si>
    <t>NW391 Kagisano</t>
  </si>
  <si>
    <t>NW392 Naledi (Nw)</t>
  </si>
  <si>
    <t>NW393 Mamusa</t>
  </si>
  <si>
    <t>NW394 Greater Taung</t>
  </si>
  <si>
    <t>NW395 Molopo</t>
  </si>
  <si>
    <t>NW396 Lekwa-Teemane</t>
  </si>
  <si>
    <t>NW401 Ventersdorp</t>
  </si>
  <si>
    <t>NW402 Tlokwe</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</si>
  <si>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</si>
  <si>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</si>
  <si>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</si>
  <si>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</si>
  <si>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</si>
  <si>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</si>
  <si>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</si>
  <si>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</si>
  <si>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</si>
  <si>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</si>
  <si>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</si>
  <si>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</si>
  <si>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</si>
  <si>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</si>
  <si>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</si>
  <si>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</si>
  <si>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</si>
  <si>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</si>
  <si>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</si>
  <si>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</si>
  <si>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</si>
  <si>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</si>
  <si>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</si>
  <si>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</si>
  <si>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Pit toilet (ventilated)</t>
  </si>
  <si>
    <t>Bucket toilet</t>
  </si>
  <si>
    <t>Other toilet provisions (&gt; min.service level)</t>
  </si>
  <si>
    <t>GT423 Lesedi</t>
  </si>
  <si>
    <t>NC077 Siyathemba</t>
  </si>
  <si>
    <t>NC078 Siyancuma</t>
  </si>
  <si>
    <t>NC081 Mier</t>
  </si>
  <si>
    <t>NC082 !Kai! Garib</t>
  </si>
  <si>
    <t>NC083 //Khara Hais</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</si>
  <si>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</si>
  <si>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</si>
  <si>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</si>
  <si>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</si>
  <si>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</si>
  <si>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</si>
  <si>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</si>
  <si>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</si>
  <si>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</si>
  <si>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</si>
  <si>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</si>
  <si>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</si>
  <si>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</si>
  <si>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Parent Municipality</t>
  </si>
  <si>
    <t>Other governmental units - capital</t>
  </si>
  <si>
    <t>Total payments</t>
  </si>
  <si>
    <t>Increase/(decrease) in tax/consumer debtors</t>
  </si>
  <si>
    <t>Increase/(decrease) in other debtors</t>
  </si>
  <si>
    <t>Salaries &amp; Wages</t>
  </si>
  <si>
    <t>Social contributions</t>
  </si>
  <si>
    <t>Unauthorised expenditure</t>
  </si>
  <si>
    <t>Municipal agencies and accounts</t>
  </si>
  <si>
    <t>Households - social benefits</t>
  </si>
  <si>
    <t>Payment for capital assets</t>
  </si>
  <si>
    <t>Machinery and equipment</t>
  </si>
  <si>
    <t>Software and other intangible assets</t>
  </si>
  <si>
    <t>Receipts less payments</t>
  </si>
  <si>
    <t>Net increase/(decrease) in cash held</t>
  </si>
  <si>
    <t>Buildings and other fixed structures</t>
  </si>
  <si>
    <t>Sales of capital assets</t>
  </si>
  <si>
    <t>Refuse landfill site rehabilitation</t>
  </si>
  <si>
    <t>Deputy Executive Mayor</t>
  </si>
  <si>
    <t>TOTAL COST OF COUNCILLOR, DIRECTOR and EXECUTIVE REMUNERATION</t>
  </si>
  <si>
    <t>DoRA capital</t>
  </si>
  <si>
    <t>Cash year end/monthly employee/supplier payments</t>
  </si>
  <si>
    <t>Senior Managers of Entities</t>
  </si>
  <si>
    <t>Sub Total - Senior Managers of Entities</t>
  </si>
  <si>
    <t>Other Staff of Entities</t>
  </si>
  <si>
    <t>Cash backing/surplus reconciliation</t>
  </si>
  <si>
    <t>2. CTBM = conditions to be met</t>
  </si>
  <si>
    <t>TOTAL TRANSFERS AND GRANTS REVENUE</t>
  </si>
  <si>
    <t>Surplus(shortfall)</t>
  </si>
  <si>
    <t>Other</t>
  </si>
  <si>
    <t>Long-Term Loans (non-annuity)</t>
  </si>
  <si>
    <t>Long Term Borrowing/ Funds &amp; Reserves</t>
  </si>
  <si>
    <t>check balance</t>
  </si>
  <si>
    <t>CASH FLOWS FROM INVESTING ACTIVITIES</t>
  </si>
  <si>
    <t>3. Council approval for policy required - include sufficient working capital (e.g. allowing for a % of current debtors &gt; 90 days as uncollectable)</t>
  </si>
  <si>
    <t>Example supporting calculations only below (municipalities to adjust to suit their circumstances)</t>
  </si>
  <si>
    <t>List other revenues sources if applicable</t>
  </si>
  <si>
    <t>5. Council approval required for each reserve created and basis of cash backing of reserves</t>
  </si>
  <si>
    <t>4. For example: sinking fund requirements for borrowing</t>
  </si>
  <si>
    <t>Debtors collection assumptions</t>
  </si>
  <si>
    <t>Definition of poor household (R per month)</t>
  </si>
  <si>
    <t>Total new housing dwellings</t>
  </si>
  <si>
    <t>Other Cash Flows/Payments by Type</t>
  </si>
  <si>
    <t>5. Total transfers and grants must reconcile to Budgeted Cash Flows</t>
  </si>
  <si>
    <t>Year</t>
  </si>
  <si>
    <t>1. Each transfer/grant is listed by name as gazetted together with the name of the transferring department or municipality, donor or other organisation</t>
  </si>
  <si>
    <t>EXPENDITURE:</t>
  </si>
  <si>
    <t>Capital transfers and grants:</t>
  </si>
  <si>
    <t>Operating transfers and grants:</t>
  </si>
  <si>
    <t>TOTAL TRANSFERS AND GRANTS</t>
  </si>
  <si>
    <t>Average rate</t>
  </si>
  <si>
    <t>Is balance rated by uniform rate/variable rate?</t>
  </si>
  <si>
    <t>Table A4</t>
  </si>
  <si>
    <t>Table A5</t>
  </si>
  <si>
    <t>Table A6</t>
  </si>
  <si>
    <t>Table A8</t>
  </si>
  <si>
    <t>Check balance to SFPos</t>
  </si>
  <si>
    <t>Head5A</t>
  </si>
  <si>
    <t>Outcome</t>
  </si>
  <si>
    <t>2. Airports, Car Parks, Bus Terminals and Taxi Ranks</t>
  </si>
  <si>
    <t>Transportation</t>
  </si>
  <si>
    <t>Other Land</t>
  </si>
  <si>
    <t>Other Buildings</t>
  </si>
  <si>
    <t>4. Work-in-progress/under construction to be budgeted under the respective item</t>
  </si>
  <si>
    <t>List of each offical with packages &gt;= senior manager</t>
  </si>
  <si>
    <t>Total for municipal entities</t>
  </si>
  <si>
    <t>External mechanism</t>
  </si>
  <si>
    <t>Name of organisation</t>
  </si>
  <si>
    <t>Expiry date of service delivery agreement or contract</t>
  </si>
  <si>
    <t>Period of agreement 1.</t>
  </si>
  <si>
    <t>Service provided</t>
  </si>
  <si>
    <t>Monetary value of agreement 2.</t>
  </si>
  <si>
    <t>2. Annual value</t>
  </si>
  <si>
    <t>Disclosure of Salaries, Allowances &amp; Benefits 1.</t>
  </si>
  <si>
    <t>Mayor and Council</t>
  </si>
  <si>
    <t>Municipal Manager</t>
  </si>
  <si>
    <t>Human Resources</t>
  </si>
  <si>
    <t>Information Technology</t>
  </si>
  <si>
    <t>% of Creditors Paid Within Terms (within`MFMA' s 65(e))</t>
  </si>
  <si>
    <t>Libraries</t>
  </si>
  <si>
    <t>Description of financial indicator</t>
  </si>
  <si>
    <t>Electricity Distribution Losses (2)</t>
  </si>
  <si>
    <t>Vote11</t>
  </si>
  <si>
    <t>Vote12</t>
  </si>
  <si>
    <t>Vote13</t>
  </si>
  <si>
    <t>Vote14</t>
  </si>
  <si>
    <t>Vote15</t>
  </si>
  <si>
    <t>Example 15</t>
  </si>
  <si>
    <t>Investment payments</t>
  </si>
  <si>
    <t>Borrowings &amp; investments &amp; c.deposits</t>
  </si>
  <si>
    <t>Interest</t>
  </si>
  <si>
    <t>10. Substantiation of National/Province allocations included in budget</t>
  </si>
  <si>
    <t>Gearing</t>
  </si>
  <si>
    <t>Safety of Capital</t>
  </si>
  <si>
    <t>Liquidity</t>
  </si>
  <si>
    <t>Liquidity Ratio</t>
  </si>
  <si>
    <t>Head36</t>
  </si>
  <si>
    <t>Head37</t>
  </si>
  <si>
    <t>Head38</t>
  </si>
  <si>
    <r>
      <t>Multi-year expenditure</t>
    </r>
    <r>
      <rPr>
        <b/>
        <i/>
        <sz val="8"/>
        <rFont val="Arial Narrow"/>
        <family val="2"/>
      </rPr>
      <t xml:space="preserve"> to be appropriated</t>
    </r>
  </si>
  <si>
    <t>Total operating transfers and grants revenue</t>
  </si>
  <si>
    <t>Total operating transfers and grants - CTBM</t>
  </si>
  <si>
    <t>Total capital transfers and grants - CTBM</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</si>
  <si>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</si>
  <si>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</si>
  <si>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</si>
  <si>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</si>
  <si>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</si>
  <si>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</si>
  <si>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</si>
  <si>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</si>
  <si>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</si>
  <si>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1. Total investments must reconcile to all items in Table SA15 for the Current Year (30 June)</t>
  </si>
  <si>
    <t>No. of objections by rate-payers</t>
  </si>
  <si>
    <t>No. of appeals by rate-payers</t>
  </si>
  <si>
    <t>No. of appeals by rate-payers finalised</t>
  </si>
  <si>
    <t>No. of objections by rate payers</t>
  </si>
  <si>
    <t>No. of appeals by rate payers</t>
  </si>
  <si>
    <t>Poverty profiles (2.)</t>
  </si>
  <si>
    <t>Borrowing/Capital expenditure excl. transfers and grants and contributions</t>
  </si>
  <si>
    <t>% Volume (units purchased and generated less units sold)/units purchased and generated</t>
  </si>
  <si>
    <t>% Volume (units purchased and own source less units sold)/Total units purchased and own source</t>
  </si>
  <si>
    <t>Less: Provision for debt impairment</t>
  </si>
  <si>
    <t>Other Revenue by source</t>
  </si>
  <si>
    <t>Minimum Service Level and Above sub-total</t>
  </si>
  <si>
    <t>Sanitation (free minimum level service)</t>
  </si>
  <si>
    <t>Refuse (removed at least once a week)</t>
  </si>
  <si>
    <t>Electricity (kwh per household per month)</t>
  </si>
  <si>
    <t>Revenue cost of free services provided (R'000)</t>
  </si>
  <si>
    <t>Property rates (R15 000 threshold rebate)</t>
  </si>
  <si>
    <t>Municipal Housing - rental rebates</t>
  </si>
  <si>
    <t>Housing - top structure subsidies</t>
  </si>
  <si>
    <t>Total revenue cost of free services provided (total social package)</t>
  </si>
  <si>
    <t>Increase (decrease) in consumer deposits</t>
  </si>
  <si>
    <t>Multi-year expenditure appropriation</t>
  </si>
  <si>
    <t>10. Ambulances, fire engines, refuse vehicles - but not vehicles that would normally be classified as 'Plant and equipment'</t>
  </si>
  <si>
    <t xml:space="preserve">  Infrastructure - Road transport</t>
  </si>
  <si>
    <t xml:space="preserve">  Infrastructure - Water</t>
  </si>
  <si>
    <t xml:space="preserve">  Infrastructure - Sanitation</t>
  </si>
  <si>
    <t>Repairs and Maintenance by Asset Class</t>
  </si>
  <si>
    <t>Cost of Free Basic Services provided (R'000)</t>
  </si>
  <si>
    <t>1. Total agreement period from commencement until end</t>
  </si>
  <si>
    <t>Total sources of capital funds</t>
  </si>
  <si>
    <t>Other working capital requirements</t>
  </si>
  <si>
    <t>Long term investments committed</t>
  </si>
  <si>
    <t>Head48</t>
  </si>
  <si>
    <t>NET INCREASE/(DECREASE) IN CASH HELD</t>
  </si>
  <si>
    <t>Estimate</t>
  </si>
  <si>
    <t>Contract 1</t>
  </si>
  <si>
    <t>Contract 2</t>
  </si>
  <si>
    <t>Contract 3 etc</t>
  </si>
  <si>
    <t>Repairs and maintenance</t>
  </si>
  <si>
    <t>Loss on disposal of PPE</t>
  </si>
  <si>
    <t>Current Year 2006/07</t>
  </si>
  <si>
    <t>Head1A</t>
  </si>
  <si>
    <t>A</t>
  </si>
  <si>
    <t>Implementation time of new valuation roll (mths)</t>
  </si>
  <si>
    <t>Rates policy accompanying budget? (Y/N)</t>
  </si>
  <si>
    <t>Municipal by-laws s6 in place? (Y/N)</t>
  </si>
  <si>
    <t>No. of properties</t>
  </si>
  <si>
    <t>No. of sectional title values</t>
  </si>
  <si>
    <t>No. of unreasonably difficult properties s7(2)</t>
  </si>
  <si>
    <t>Formal &amp; Informal Settle.</t>
  </si>
  <si>
    <t>State trust land</t>
  </si>
  <si>
    <t>National Monum/ts</t>
  </si>
  <si>
    <t>Fixed amount minimum value (R'000)</t>
  </si>
  <si>
    <t>Rebates, exemptions - indigent (R'000)</t>
  </si>
  <si>
    <t>MONTHLY CASH FLOWS</t>
  </si>
  <si>
    <t>3. Total package must equal the total cost to the municipality</t>
  </si>
  <si>
    <t>Unit of measurement</t>
  </si>
  <si>
    <t>Nov.</t>
  </si>
  <si>
    <t>Dec.</t>
  </si>
  <si>
    <t>Feb.</t>
  </si>
  <si>
    <t>check capital balance</t>
  </si>
  <si>
    <t>Accumulated Surplus/(Deficit)</t>
  </si>
  <si>
    <t>Yes</t>
  </si>
  <si>
    <t>Ref</t>
  </si>
  <si>
    <t>Preceding Years</t>
  </si>
  <si>
    <t>Expenditure by Vote</t>
  </si>
  <si>
    <t>Revenue - Standard</t>
  </si>
  <si>
    <t>Expenditure - Standard</t>
  </si>
  <si>
    <t>Standard nomenclature</t>
  </si>
  <si>
    <t>MFMA section</t>
  </si>
  <si>
    <t>18(1)a</t>
  </si>
  <si>
    <t>18(1)c</t>
  </si>
  <si>
    <t>Surplus/(Deficit) after capital transfers &amp; contributions</t>
  </si>
  <si>
    <t>3. Assign share in 'associate' to relevant Vote</t>
  </si>
  <si>
    <t>1. Government Finance Statistics Functions and Sub-functions are standardised to assist national and international accounts and comparison</t>
  </si>
  <si>
    <t>2. Must reconcile to Financial Performance ('Revenue and Expenditure by Standard Classification' and 'Revenue and Expenditure')</t>
  </si>
  <si>
    <t>Total Long-Term Borrowing/Total Assets</t>
  </si>
  <si>
    <t>Total Renewal of Existing Assets</t>
  </si>
  <si>
    <t>Total Property Rates</t>
  </si>
  <si>
    <t>less Revenue Foregone</t>
  </si>
  <si>
    <t>Net Property Rates</t>
  </si>
  <si>
    <t>Fuel levy</t>
  </si>
  <si>
    <t>Renewal of Existing Assets</t>
  </si>
  <si>
    <t>Repairs and Maintenance</t>
  </si>
  <si>
    <t>Positions</t>
  </si>
  <si>
    <t>Contract employees</t>
  </si>
  <si>
    <t>Municipal Council and Boards of Municipal Entities</t>
  </si>
  <si>
    <t>2. Total Revenue by standard classification must reconcile to Total Operating Revenue shown in Budgeted Financial Performance (revenue and expenditure)</t>
  </si>
  <si>
    <t>3. Total Expenditure by Standard Classification must reconcile to Total Operating Expenditure shown in Budgeted Financial Performance (revenue and expenditure)</t>
  </si>
  <si>
    <t>4. Detail to be provided in Table SA3. Includes reserves to be funded by statute.</t>
  </si>
  <si>
    <t>1. Detail of new assets provided in Table SA34a</t>
  </si>
  <si>
    <t>2. Detail of renewal of existing assets provided in Table SA34b</t>
  </si>
  <si>
    <t>3. Detail of Repairs and Maintenance by Asset Class provided in Table SA34c</t>
  </si>
  <si>
    <t>4. Must reconcile to total capital expenditure on Budgeted Capital Expenditure</t>
  </si>
  <si>
    <t>5. Must reconcile to 'Budgeted Financial Position' (written down value)</t>
  </si>
  <si>
    <t>6. Donated/contributed and assets funded by finance leases to be allocated to the respective category</t>
  </si>
  <si>
    <t>Public contributions &amp; donations</t>
  </si>
  <si>
    <t>Share of surplus/ (deficit) of associate</t>
  </si>
  <si>
    <t xml:space="preserve">    mayor, deputy mayor, member of mayoral committee, the councillor designated to exercise powers and duties of mayor (MSA s 57)</t>
  </si>
  <si>
    <r>
      <t xml:space="preserve">No. </t>
    </r>
    <r>
      <rPr>
        <sz val="8"/>
        <rFont val="Arial"/>
        <family val="2"/>
      </rPr>
      <t>10</t>
    </r>
  </si>
  <si>
    <t>Executive Committee</t>
  </si>
  <si>
    <t>Total for all other councillors</t>
  </si>
  <si>
    <t>Nat. or Prov. Govt</t>
  </si>
  <si>
    <t>Multi-year capital</t>
  </si>
  <si>
    <t>Original Budget</t>
  </si>
  <si>
    <t>Growth guideline maximum</t>
  </si>
  <si>
    <t>CPIX guideline</t>
  </si>
  <si>
    <t>Conditions still to be met - transferred to liabilities</t>
  </si>
  <si>
    <t>Check opex</t>
  </si>
  <si>
    <t>Check capex</t>
  </si>
  <si>
    <t>Prior Adjusted</t>
  </si>
  <si>
    <t>Interest earned - external investments</t>
  </si>
  <si>
    <t>Interest earned - outstanding debtors</t>
  </si>
  <si>
    <t>Fines</t>
  </si>
  <si>
    <t>Licences and permits</t>
  </si>
  <si>
    <t>Gains on disposal of PPE</t>
  </si>
  <si>
    <t>Employee related costs</t>
  </si>
  <si>
    <t>Collection costs</t>
  </si>
  <si>
    <t>Interest paid</t>
  </si>
  <si>
    <t>Bulk purchases</t>
  </si>
  <si>
    <t>Contracted services</t>
  </si>
  <si>
    <t>General expenses</t>
  </si>
  <si>
    <t>1. Positive cash balances indicative of minimum compliance - subject to 2</t>
  </si>
  <si>
    <t>Budgeted Financial Performance</t>
  </si>
  <si>
    <t>Forecast Financial Performance</t>
  </si>
  <si>
    <t>SFPerf1</t>
  </si>
  <si>
    <t>SFPerf2</t>
  </si>
  <si>
    <t>SFPos1</t>
  </si>
  <si>
    <t>SFPos2</t>
  </si>
  <si>
    <t>Budgeted Financial Position</t>
  </si>
  <si>
    <t>DC44 Alfred Nzo</t>
  </si>
  <si>
    <t>DC46 Metsweding</t>
  </si>
  <si>
    <t>DC47 Greater Sekhukhune</t>
  </si>
  <si>
    <t>Outstanding Debtors to Revenue</t>
  </si>
  <si>
    <t>Funded by:</t>
  </si>
  <si>
    <t>Internally generated funds</t>
  </si>
  <si>
    <t>Employee costs</t>
  </si>
  <si>
    <t>Choose</t>
  </si>
  <si>
    <t>ACT</t>
  </si>
  <si>
    <t>C</t>
  </si>
  <si>
    <t>Revenue cost of free services provided</t>
  </si>
  <si>
    <r>
      <t>Less</t>
    </r>
    <r>
      <rPr>
        <u/>
        <sz val="8"/>
        <rFont val="Arial"/>
        <family val="2"/>
      </rPr>
      <t>: Employees costs capitalised to PPE</t>
    </r>
  </si>
  <si>
    <t>7. Including repairs and maintenance to agricultural, biological and intangible assets</t>
  </si>
  <si>
    <t>Materials and bulk purchases</t>
  </si>
  <si>
    <t>Investment revenue</t>
  </si>
  <si>
    <t>Cemeteries</t>
  </si>
  <si>
    <t>Housing development</t>
  </si>
  <si>
    <t>Swimming pools</t>
  </si>
  <si>
    <t>Using public tap (&lt; min.service level)</t>
  </si>
  <si>
    <t>Other water supply (&lt; min.service level)</t>
  </si>
  <si>
    <t>Electricity - prepaid (min.service level)</t>
  </si>
  <si>
    <t>Electricity (&lt; min.service level)</t>
  </si>
  <si>
    <t>Electricity - prepaid (&lt; min. service level)</t>
  </si>
  <si>
    <t>1. Include services provided by another entity; e.g. Eskom</t>
  </si>
  <si>
    <t>2. Stand distance &lt;= 200m from dwelling</t>
  </si>
  <si>
    <t>3. Stand distance &gt; 200m from dwelling</t>
  </si>
  <si>
    <t>4. Borehole, spring, rain-water tank etc.</t>
  </si>
  <si>
    <t>5. Must agree to total number of households in municipal area</t>
  </si>
  <si>
    <t>6. Include value of subsidy provided by municipality above provincial subsidy level</t>
  </si>
  <si>
    <t>Capital expenditure - Vote</t>
  </si>
  <si>
    <t>Dwellings provided by province/s</t>
  </si>
  <si>
    <t>Household income (households) (1.)</t>
  </si>
  <si>
    <t>1,3</t>
  </si>
  <si>
    <t>Rebates, exemptions - pensioners (R'000)</t>
  </si>
  <si>
    <t>Rebates, exemptions - bona fide farm. (R'000)</t>
  </si>
  <si>
    <t>Rebates, exemptions - other (R'000)</t>
  </si>
  <si>
    <t>Public service infrastructure value (Rm)</t>
  </si>
  <si>
    <t>Valuation reductions-public infrastructure (Rm)</t>
  </si>
  <si>
    <t>Valuation reductions-nature reserves/park (Rm)</t>
  </si>
  <si>
    <t>Valuation reductions-mineral rights (Rm)</t>
  </si>
  <si>
    <t>Valuation reductions-R15,000 threshold (Rm)</t>
  </si>
  <si>
    <t>Valuation reductions-public worship (Rm)</t>
  </si>
  <si>
    <t>Valuation reductions-other (Rm)</t>
  </si>
  <si>
    <t>Non-residential prescribed ratio s19? (%)</t>
  </si>
  <si>
    <t>Remuneration of councillors</t>
  </si>
  <si>
    <t>1. Land &amp; Assistance Act, Restitution of Land Rights, Communual Property Associations</t>
  </si>
  <si>
    <t>2. Include value of additional reductions is 'free' value greater than MPRA minimum.</t>
  </si>
  <si>
    <t>3. Average rate - cents in  the Rand. Eg 10.26 cents in the Rand is 0.1026, expressed to 6 decimal places maximum</t>
  </si>
  <si>
    <t>4. Include arrears collections</t>
  </si>
  <si>
    <t>Infrastructure - Road transport</t>
  </si>
  <si>
    <t>Roads, Pavements &amp; Bridges</t>
  </si>
  <si>
    <t>Storm water</t>
  </si>
  <si>
    <t>Renewal and R&amp;M as a % of PPE</t>
  </si>
  <si>
    <t>EXPENDITURE ITEMS:</t>
  </si>
  <si>
    <t>REVENUE ITEMS:</t>
  </si>
  <si>
    <t>Property rates</t>
  </si>
  <si>
    <t>NOTE: This sheet should not be directly amended - select headings from sheet 'S'</t>
  </si>
  <si>
    <t>Provincial Government</t>
  </si>
  <si>
    <t>District Municipality</t>
  </si>
  <si>
    <t>Column Definitions:</t>
  </si>
  <si>
    <t>D</t>
  </si>
  <si>
    <t>LTFS</t>
  </si>
  <si>
    <t>Check</t>
  </si>
  <si>
    <t>check investment balance</t>
  </si>
  <si>
    <t>Investments by Maturity</t>
  </si>
  <si>
    <t>Name of institution &amp; investment ID</t>
  </si>
  <si>
    <t>Period of Investment</t>
  </si>
  <si>
    <t>Type of Investment</t>
  </si>
  <si>
    <t>Expiry date of investment</t>
  </si>
  <si>
    <t>Monetary value</t>
  </si>
  <si>
    <t>Interest to be realised</t>
  </si>
  <si>
    <t>check borrowing balance</t>
  </si>
  <si>
    <t>Instalment Credit</t>
  </si>
  <si>
    <t>Financial Leases</t>
  </si>
  <si>
    <t>H</t>
  </si>
  <si>
    <t>I</t>
  </si>
  <si>
    <t>Other Managers</t>
  </si>
  <si>
    <t>Debt to Equity</t>
  </si>
  <si>
    <t>Debtors &gt; 12 Mths Recovered/Total Debtors &gt; 12 Months Old</t>
  </si>
  <si>
    <t>TOTAL INVESTMENTS AND INTEREST</t>
  </si>
  <si>
    <t>TOTAL EXPENDITURE OF TRANSFERS AND GRANTS</t>
  </si>
  <si>
    <t>TOTAL SALARY, ALLOWANCES &amp; BENEFITS</t>
  </si>
  <si>
    <t>Transfer receipts - capital</t>
  </si>
  <si>
    <t>Transfer receipts - operational</t>
  </si>
  <si>
    <t xml:space="preserve">Economic Development/Planning </t>
  </si>
  <si>
    <t>Non current assets</t>
  </si>
  <si>
    <t>LIABILITIES</t>
  </si>
  <si>
    <t>Non current liabilities</t>
  </si>
  <si>
    <t>Total non current liabilities</t>
  </si>
  <si>
    <t>Total current liabilities</t>
  </si>
  <si>
    <t>Total non current assets</t>
  </si>
  <si>
    <t>Total current assets</t>
  </si>
  <si>
    <t>COMMUNITY WEALTH/EQUITY</t>
  </si>
  <si>
    <t>NET ASSETS</t>
  </si>
  <si>
    <t>TOTAL ASSETS</t>
  </si>
  <si>
    <t>3. Previously described as 'bad or doubtful debts' - amounts shown should reflect the change in the provision for debt impairment</t>
  </si>
  <si>
    <t>4. Expenditure type components previously shown under repairs and maintenance should be allocated back to the originating expenditure group/item; e.g. employee costs</t>
  </si>
  <si>
    <t>Interest - external investments</t>
  </si>
  <si>
    <t>Interest - debtors</t>
  </si>
  <si>
    <t>Revenue from agency services</t>
  </si>
  <si>
    <t>Other provisions</t>
  </si>
  <si>
    <t>Investment type</t>
  </si>
  <si>
    <t>3. Replacement of RSC levies</t>
  </si>
  <si>
    <t>Other grant providers:</t>
  </si>
  <si>
    <t>Borrowing to Asset Ratio</t>
  </si>
  <si>
    <t>Capital Charges to Operating Expenditure</t>
  </si>
  <si>
    <t>Current Ratio</t>
  </si>
  <si>
    <t>Head51</t>
  </si>
  <si>
    <t>Head52</t>
  </si>
  <si>
    <t>Head53</t>
  </si>
  <si>
    <t>Head54</t>
  </si>
  <si>
    <t>Accum. Funds</t>
  </si>
  <si>
    <t>Other Adjusts.</t>
  </si>
  <si>
    <t>Unfore. Unavoid.</t>
  </si>
  <si>
    <t>Repairs &amp; Maintenance</t>
  </si>
  <si>
    <t>R&amp;M/(Total Revenue excluding capital revenue)</t>
  </si>
  <si>
    <t>FC&amp;D/(Total Revenue - capital revenue)</t>
  </si>
  <si>
    <t>Total Capital Expenditure</t>
  </si>
  <si>
    <t>Transfers received</t>
  </si>
  <si>
    <t xml:space="preserve">Compensation of employees </t>
  </si>
  <si>
    <t xml:space="preserve">Goods and services </t>
  </si>
  <si>
    <t>Interest, dividends and rent on land</t>
  </si>
  <si>
    <t>Dividends</t>
  </si>
  <si>
    <t>Rent on land</t>
  </si>
  <si>
    <t>Transfers and subsidies</t>
  </si>
  <si>
    <t>Administrative fees</t>
  </si>
  <si>
    <t>International organisations</t>
  </si>
  <si>
    <t>Public corporations and private enterprises</t>
  </si>
  <si>
    <t>Fines, penalties and forfeits</t>
  </si>
  <si>
    <t>Land and subsoil assets</t>
  </si>
  <si>
    <t>Equity</t>
  </si>
  <si>
    <r>
      <t xml:space="preserve">Other </t>
    </r>
    <r>
      <rPr>
        <i/>
        <sz val="8"/>
        <rFont val="Arial Narrow"/>
        <family val="2"/>
      </rPr>
      <t>(list sub-class)</t>
    </r>
  </si>
  <si>
    <t>Other capital assets</t>
  </si>
  <si>
    <t>Financial transactions in assets and liabilities</t>
  </si>
  <si>
    <t>Tax receipts</t>
  </si>
  <si>
    <t>Sale of goods &amp; services (excl. capital assets)</t>
  </si>
  <si>
    <t>Total receipts</t>
  </si>
  <si>
    <t>2. Show the poverty analysis the municipality uses to determine its indigents policy and the provision of services</t>
  </si>
  <si>
    <t>3. Include total of all housing units within the municipality</t>
  </si>
  <si>
    <t>4. Number of subsidised dwellings to be constructed by the municipality under agency agreement with province</t>
  </si>
  <si>
    <t>5. Provide estimate based on building approval information. Include any non-subsidised dwellings constructed by the municipality</t>
  </si>
  <si>
    <t>TOTAL TRANSFERS TO OTHER ORGANS OF STATE:</t>
  </si>
  <si>
    <t>1. Total capital transfers and grants revenue must reconcile to Budgeted Financial Performance and Financial Position; total recurrent grants revenue must reconcile to Budgeted Financial Performance</t>
  </si>
  <si>
    <t>Total capital transfers and grants revenue</t>
  </si>
  <si>
    <t>Transfers to other municipalities</t>
  </si>
  <si>
    <t>TOTAL TRANSFERS TO MUNICIPALITIES:</t>
  </si>
  <si>
    <t xml:space="preserve">Town Planning/Building enforcement </t>
  </si>
  <si>
    <t>Tourism</t>
  </si>
  <si>
    <t>Ambulance</t>
  </si>
  <si>
    <t xml:space="preserve">Other   </t>
  </si>
  <si>
    <t>General vehicles</t>
  </si>
  <si>
    <t>Computers - hardware/equipment</t>
  </si>
  <si>
    <t>Furniture and other office equipment</t>
  </si>
  <si>
    <t>Surplus Assets - (Investment or Inventory)</t>
  </si>
  <si>
    <t>Table A10</t>
  </si>
  <si>
    <t>Other working capital estimate</t>
  </si>
  <si>
    <t>Charts 1, 2, 3, 4</t>
  </si>
  <si>
    <t>Charts 5, 6</t>
  </si>
  <si>
    <t>Chts 15-19</t>
  </si>
  <si>
    <t>Charts 7, 8, 9, 10, 20</t>
  </si>
  <si>
    <t>Quarter ended 30 June</t>
  </si>
  <si>
    <t>Head35</t>
  </si>
  <si>
    <t>Quarter ended 30 September</t>
  </si>
  <si>
    <t>Quarter ended 31 December</t>
  </si>
  <si>
    <t>Quarter ended 31 March</t>
  </si>
  <si>
    <t>Description of economic indicator</t>
  </si>
  <si>
    <t>Head44</t>
  </si>
  <si>
    <t>Head45</t>
  </si>
  <si>
    <t>2001 Census</t>
  </si>
  <si>
    <t>1996 Census</t>
  </si>
  <si>
    <t>Demographics</t>
  </si>
  <si>
    <t>1. Insert 'Vote'; e.g. Department, if different to standard structure</t>
  </si>
  <si>
    <t>4, 5</t>
  </si>
  <si>
    <t>Electricity</t>
  </si>
  <si>
    <t>Year10</t>
  </si>
  <si>
    <t>Year11</t>
  </si>
  <si>
    <t>Year12</t>
  </si>
  <si>
    <t>Year13</t>
  </si>
  <si>
    <t>Year14</t>
  </si>
  <si>
    <t>Year15</t>
  </si>
  <si>
    <t>Financial year valuation used</t>
  </si>
  <si>
    <t>Valuation appeal board established? (Y/N)</t>
  </si>
  <si>
    <t>Total rebates,exemptns,reductns,discs (R'000)</t>
  </si>
  <si>
    <t>7. Included in rate revenue budget</t>
  </si>
  <si>
    <t>Rate revenue:</t>
  </si>
  <si>
    <t>R million</t>
  </si>
  <si>
    <t>R thousand</t>
  </si>
  <si>
    <t>Refuse removal</t>
  </si>
  <si>
    <t>Revenue By Source</t>
  </si>
  <si>
    <t>1.</t>
  </si>
  <si>
    <t>Change in consumer debtors (current and non-current)</t>
  </si>
  <si>
    <t>Head5B</t>
  </si>
  <si>
    <t>Pre-audit outcome</t>
  </si>
  <si>
    <t>Trend</t>
  </si>
  <si>
    <t>7. Realistic average increase in debt impairment (doubtful debt) provision</t>
  </si>
  <si>
    <t>13. Indicative of a credible allowance for repairs &amp; maintenance of assets - functioning assets revenue protection</t>
  </si>
  <si>
    <t>14. Indicative of a credible allowance for asset renewal (requires analysis of asset renewal projects as % of total capital projects - detailed capital plan) - functioning assets revenue protection</t>
  </si>
  <si>
    <t>2 = partial compliance (schedule/table presented with approximately 50% of information displayed)</t>
  </si>
  <si>
    <t>Combination of rating types used? (Y/N)</t>
  </si>
  <si>
    <t>Flat rate used? (Y/N)</t>
  </si>
  <si>
    <t>Entities</t>
  </si>
  <si>
    <t>TOTAL PERSONNEL NUMBERS</t>
  </si>
  <si>
    <t>2. s57 of the Systems Act</t>
  </si>
  <si>
    <t>Summary of Personnel Numbers</t>
  </si>
  <si>
    <t>Total Contract Value</t>
  </si>
  <si>
    <t>3. Indicative of sufficient liquidity to meet average monthly operating payments</t>
  </si>
  <si>
    <t>4. Indicative of funded operational requirements</t>
  </si>
  <si>
    <t>3. For municipalities with approved total revenue not exceeding R250 m - all contracts with an annual cost greater than R500 000. For municipalities with approved total revenue greater than R250 m - all contracts with an annual cost greater than R1million. For municipalities with approved total revenue greater than R500 m - all contracts with an annual cost greater than R5 million</t>
  </si>
  <si>
    <t>5. Projects that fall above the threshold values applicable to the municipality as identified in regulation 13 of the Municipal Budget and Reporting Regulations must be listed individually. Other projects by programme by Vote</t>
  </si>
  <si>
    <t>Sanitation (Rand per household per month)</t>
  </si>
  <si>
    <t>Energy:</t>
  </si>
  <si>
    <t>Other energy sources</t>
  </si>
  <si>
    <t xml:space="preserve">  Infrastructure - Other</t>
  </si>
  <si>
    <t>Refuse (average litres per week)</t>
  </si>
  <si>
    <t>Refuse:</t>
  </si>
  <si>
    <t>Removed less frequently than once a week</t>
  </si>
  <si>
    <t>Using communal refuse dump</t>
  </si>
  <si>
    <t>Decrease (increase) other non-current receivables</t>
  </si>
  <si>
    <t>Decrease (increase) in non-current investments</t>
  </si>
  <si>
    <t>NET CASH FROM/(USED) OPERATING ACTIVITIES</t>
  </si>
  <si>
    <t>NET CASH FROM/(USED) INVESTING ACTIVITIES</t>
  </si>
  <si>
    <t>Consultant fees</t>
  </si>
  <si>
    <t>Cash</t>
  </si>
  <si>
    <t>Current portion of long-term receivables</t>
  </si>
  <si>
    <t>Trade and other payables</t>
  </si>
  <si>
    <t>Short term loans (other than bank overdraft)</t>
  </si>
  <si>
    <t>Provisions not funded - %</t>
  </si>
  <si>
    <t>November</t>
  </si>
  <si>
    <t>December</t>
  </si>
  <si>
    <t>January</t>
  </si>
  <si>
    <t>February</t>
  </si>
  <si>
    <t>March</t>
  </si>
  <si>
    <t>April</t>
  </si>
  <si>
    <t>May</t>
  </si>
  <si>
    <t>June</t>
  </si>
  <si>
    <t>Bulk purchases - Electricity</t>
  </si>
  <si>
    <t>Total Cash Receipts by Source</t>
  </si>
  <si>
    <t>Total Cash Payments by Type</t>
  </si>
  <si>
    <t>Bulk purchases - Water &amp; Sewer</t>
  </si>
  <si>
    <t>Grants % of Govt. legislated/gazetted allocations</t>
  </si>
  <si>
    <t>Current consumer debtors % change - incr(decr)</t>
  </si>
  <si>
    <t>APP</t>
  </si>
  <si>
    <t>ADJ</t>
  </si>
  <si>
    <t>6. Also list each senior manager reporting to MM by designation and each official with package &gt;= senior manager by designation</t>
  </si>
  <si>
    <t>Speaker</t>
  </si>
  <si>
    <t>Executive Mayor</t>
  </si>
  <si>
    <t>Museums &amp; Art Galleries</t>
  </si>
  <si>
    <t>July</t>
  </si>
  <si>
    <t>Remuneration</t>
  </si>
  <si>
    <t>Total remuneration/(Total Revenue - capital revenue)</t>
  </si>
  <si>
    <t>Consumption growth (electricity)</t>
  </si>
  <si>
    <t>Consumption growth (water)</t>
  </si>
  <si>
    <t>7, 8</t>
  </si>
  <si>
    <t>8. List each senior manager reporting to the CEO of an Entity by designation</t>
  </si>
  <si>
    <t>Pollution Control</t>
  </si>
  <si>
    <t>Biodiversity &amp; Landscape</t>
  </si>
  <si>
    <t>Solid Waste</t>
  </si>
  <si>
    <t>Sewerage</t>
  </si>
  <si>
    <t>Storm Water Management</t>
  </si>
  <si>
    <t>Public Toilets</t>
  </si>
  <si>
    <t>Roads</t>
  </si>
  <si>
    <t>Public Buses</t>
  </si>
  <si>
    <t>Parking Garages</t>
  </si>
  <si>
    <t>Water Distribution</t>
  </si>
  <si>
    <t>Water Storage</t>
  </si>
  <si>
    <t>Electricity Distribution</t>
  </si>
  <si>
    <t>Set name on 'Instructions' sheet</t>
  </si>
  <si>
    <t>Highest level of free service provided</t>
  </si>
  <si>
    <t>Property rates (other exemptions, reductions and rebates)</t>
  </si>
  <si>
    <t>Removed at least once a week</t>
  </si>
  <si>
    <t xml:space="preserve">Total cost of FBS provided (minimum social package) </t>
  </si>
  <si>
    <t>7. Show number of households receiving at least these levels of services completely free</t>
  </si>
  <si>
    <t>Total outstanding service debtors/annual revenue received for services</t>
  </si>
  <si>
    <t>No. of successful objections &gt; 10%</t>
  </si>
  <si>
    <t>No. of supplementary valuations</t>
  </si>
  <si>
    <t>No. of valuation roll amendments</t>
  </si>
  <si>
    <t xml:space="preserve">  Infrastructure - Electricity</t>
  </si>
  <si>
    <t>Reserves</t>
  </si>
  <si>
    <t>Head1</t>
  </si>
  <si>
    <t>Differential rates used? (Y/N)</t>
  </si>
  <si>
    <t>Limit on annual rate increase (s20)? (Y/N)</t>
  </si>
  <si>
    <t>Special rating area used? (Y/N)</t>
  </si>
  <si>
    <t>Date of valuation:</t>
  </si>
  <si>
    <t>Valuation:</t>
  </si>
  <si>
    <t>Municipal partnership s38 used? (Y/N)</t>
  </si>
  <si>
    <t>No. of successful objections</t>
  </si>
  <si>
    <t>Performance  Bonuses</t>
  </si>
  <si>
    <t>A Heading for Each Entity</t>
  </si>
  <si>
    <t>Councillors (Political Office Bearers plus Other)</t>
  </si>
  <si>
    <t>Pension Contributions</t>
  </si>
  <si>
    <t>Medical Aid Contributions</t>
  </si>
  <si>
    <t>Sub Total - Councillors</t>
  </si>
  <si>
    <t>Performance Bonus</t>
  </si>
  <si>
    <t>Sub Total - Senior Managers of Municipality</t>
  </si>
  <si>
    <t>Other Municipal Staff</t>
  </si>
  <si>
    <t>Monthly Account for Household - 'Small' Household</t>
  </si>
  <si>
    <t>Housing benefits and allowances</t>
  </si>
  <si>
    <t>Total 'Other' Expenditure</t>
  </si>
  <si>
    <t>1. Must reconcile with 'Budgeted Financial Performance (Revenue and Expenditure)</t>
  </si>
  <si>
    <t>4. Expenditure to meet any 'unfunded obligations'</t>
  </si>
  <si>
    <t>3. Insert other categories where revenue or expenditure is of a material nature (list separate items until 'General expenses' is not &gt; 10% of Total Expenditure)</t>
  </si>
  <si>
    <t>4. Borrowing must reconcile to Table A17</t>
  </si>
  <si>
    <t>2. If benefits in kind are provided (e.g. provision of living quarters) the full market value must be shown as the cost to the municipality</t>
  </si>
  <si>
    <t>Description</t>
  </si>
  <si>
    <t>Total</t>
  </si>
  <si>
    <t>YTD  Actual 31 Dec</t>
  </si>
  <si>
    <t>YTD  Budget 31 Dec</t>
  </si>
  <si>
    <t>Total billable revenue</t>
  </si>
  <si>
    <t>Rand per annum</t>
  </si>
  <si>
    <t>2</t>
  </si>
  <si>
    <t>Head2A</t>
  </si>
  <si>
    <t>Total Capital Funding</t>
  </si>
  <si>
    <t>Subvote example 1</t>
  </si>
  <si>
    <t>Subvote example 2</t>
  </si>
  <si>
    <t>Subvote example 3</t>
  </si>
  <si>
    <t>Subvote example 4</t>
  </si>
  <si>
    <t>Subvote example 5</t>
  </si>
  <si>
    <t>Subvote example 6</t>
  </si>
  <si>
    <t>Subvote example 7</t>
  </si>
  <si>
    <t>Subvote example 8</t>
  </si>
  <si>
    <t>Subvote example 9</t>
  </si>
  <si>
    <t>Subvote example 10</t>
  </si>
  <si>
    <t>PPP liabilities</t>
  </si>
  <si>
    <t>Financial derivatives</t>
  </si>
  <si>
    <t>Investment in Associate</t>
  </si>
  <si>
    <t>Calculation data</t>
  </si>
  <si>
    <t>5. Indicative of adherence to macro-economic targets (prior to 2003/04 revenue not available for high capacity municipalities and later for other capacity classifications)</t>
  </si>
  <si>
    <t>Transfers and grants</t>
  </si>
  <si>
    <t>2. Detail to be provided in Table SA1</t>
  </si>
  <si>
    <t>Creditors Management</t>
  </si>
  <si>
    <t>Creditors System Efficiency</t>
  </si>
  <si>
    <t>Funding of Provisions</t>
  </si>
  <si>
    <t>Other Indicators</t>
  </si>
  <si>
    <t>Borrowing Management</t>
  </si>
  <si>
    <t>1. Table should be completed as either Multi-Year expenditure appropriation or Budget Year and Forward Year estimates</t>
  </si>
  <si>
    <t>Civil Defence</t>
  </si>
  <si>
    <t>VAT on Services</t>
  </si>
  <si>
    <t>Rates and services charges:</t>
  </si>
  <si>
    <t>Borrowing long term/refinancing</t>
  </si>
  <si>
    <t>2007/08 Medium Term Revenue &amp; Expenditure Framework</t>
  </si>
  <si>
    <t>2008/09 Medium Term Revenue &amp; Expenditure Framework</t>
  </si>
  <si>
    <t>2009/10 Medium Term Revenue &amp; Expenditure Framework</t>
  </si>
  <si>
    <t>Forecast Financial Position</t>
  </si>
  <si>
    <t>Cash1</t>
  </si>
  <si>
    <t>Cash2</t>
  </si>
  <si>
    <t>Muni</t>
  </si>
  <si>
    <t>Head1B</t>
  </si>
  <si>
    <t>Head26</t>
  </si>
  <si>
    <t>Vote Description</t>
  </si>
  <si>
    <t>Head27</t>
  </si>
  <si>
    <t>Free services</t>
  </si>
  <si>
    <t>Households below minimum service level</t>
  </si>
  <si>
    <t>Cost of Free Basic Services provided</t>
  </si>
  <si>
    <t>Skilled agricultural and fishery workers</t>
  </si>
  <si>
    <t>Museums &amp; Art Galleries etc</t>
  </si>
  <si>
    <t>Community halls and Facilities</t>
  </si>
  <si>
    <t>Cemeteries &amp; Crematoriums</t>
  </si>
  <si>
    <t>Vehicle Licensing and Testing</t>
  </si>
  <si>
    <t>Contributions recognised - capital</t>
  </si>
  <si>
    <t>List contributions by contract</t>
  </si>
  <si>
    <t>Call deposits &lt; 90 days</t>
  </si>
  <si>
    <t>Less: Accumulated depreciation</t>
  </si>
  <si>
    <t>8. Must reflect the cost to the municipality of providing the Free Basic Service</t>
  </si>
  <si>
    <t xml:space="preserve">1. Note that this section of Table SA 30 is deliberately not linked to Table A4 because timing differences between the invoicing of clients and receiving the cash means that the cashflow will differ from budgeted revenue, and similarly for budgeted expenditure. </t>
  </si>
  <si>
    <t>Water: Consumption</t>
  </si>
  <si>
    <t>Total large household bill:</t>
  </si>
  <si>
    <t>Total small household bill:</t>
  </si>
  <si>
    <t>% incr.</t>
  </si>
  <si>
    <t>No</t>
  </si>
  <si>
    <t>Borrowing - Categorised by type</t>
  </si>
  <si>
    <t>NET CASH FROM/(USED) FINANCING ACTIVITIES</t>
  </si>
  <si>
    <t>Receipts</t>
  </si>
  <si>
    <t>Payments</t>
  </si>
  <si>
    <t>Repayment of borrowing</t>
  </si>
  <si>
    <t>Short term loans</t>
  </si>
  <si>
    <t>2 Use as basis 300m² erf, 48m² improvements, 498 units electricity and 25kl water.</t>
  </si>
  <si>
    <t>GT481 Mogale City</t>
  </si>
  <si>
    <t>GT482 Randfontein</t>
  </si>
  <si>
    <t>GT483 Westonaria</t>
  </si>
  <si>
    <t>MP301 Albert Luthuli</t>
  </si>
  <si>
    <t>MP302 Msukaligwa</t>
  </si>
  <si>
    <t>MP303 Mkhondo</t>
  </si>
  <si>
    <t>MP305 Lekwa</t>
  </si>
  <si>
    <t>MP306 Dipaleseng</t>
  </si>
  <si>
    <t>MP307 Govan Mbeki</t>
  </si>
  <si>
    <t>MP313 Steve Tshwete</t>
  </si>
  <si>
    <t>MP314 Emakhazeni</t>
  </si>
  <si>
    <t>MP315 Thembisile</t>
  </si>
  <si>
    <t>MP321 Thaba Chweu</t>
  </si>
  <si>
    <t>MP322 Mbombela</t>
  </si>
  <si>
    <t>MP323 Umjindi</t>
  </si>
  <si>
    <t>MP324 Nkomazi</t>
  </si>
  <si>
    <t>MP325 Bushbuckridge</t>
  </si>
  <si>
    <t>NC061 Richtersveld</t>
  </si>
  <si>
    <t>NC062 Nama Khoi</t>
  </si>
  <si>
    <t>NC064 Kamiesberg</t>
  </si>
  <si>
    <t>NC065 Hantam</t>
  </si>
  <si>
    <t>NC066 Karoo Hoogland</t>
  </si>
  <si>
    <t>NC067 Khai-Ma</t>
  </si>
  <si>
    <t>EC144 Gariep</t>
  </si>
  <si>
    <t>EC151 Mbizana</t>
  </si>
  <si>
    <t>EC152 Ntabankulu</t>
  </si>
  <si>
    <t>EC154 Port St Johns</t>
  </si>
  <si>
    <t>EC155 Nyandeni</t>
  </si>
  <si>
    <t>EC156 Mhlontlo</t>
  </si>
  <si>
    <t>EC157 King Sabata Dalindyebo</t>
  </si>
  <si>
    <t>FS161 Letsemeng</t>
  </si>
  <si>
    <t>FS162 Kopanong</t>
  </si>
  <si>
    <t>FS163 Mohokare</t>
  </si>
  <si>
    <t>FS171 Naledi (Fs)</t>
  </si>
  <si>
    <t>FS172 Mangaung</t>
  </si>
  <si>
    <t>FS173 Mantsopa</t>
  </si>
  <si>
    <t>FS181 Masilonyana</t>
  </si>
  <si>
    <t>FS182 Tokologo</t>
  </si>
  <si>
    <t>FS183 Tswelopele</t>
  </si>
  <si>
    <t>FS184 Matjhabeng</t>
  </si>
  <si>
    <t>FS185 Nala</t>
  </si>
  <si>
    <t>FS191 Setsoto</t>
  </si>
  <si>
    <t>FS192 Dihlabeng</t>
  </si>
  <si>
    <t>FS193 Nketoana</t>
  </si>
  <si>
    <t>FS195 Phumelela</t>
  </si>
  <si>
    <t>FS201 Moqhaka</t>
  </si>
  <si>
    <t>FS203 Ngwathe</t>
  </si>
  <si>
    <t>check opexp balance</t>
  </si>
  <si>
    <t>2. Refer MFMA s30</t>
  </si>
  <si>
    <t>Present value</t>
  </si>
  <si>
    <t>Forecasts</t>
  </si>
  <si>
    <t>Future operational costs by vote</t>
  </si>
  <si>
    <t>Future revenue by source</t>
  </si>
  <si>
    <t>Net Financial Implications</t>
  </si>
  <si>
    <t>Intangibles</t>
  </si>
  <si>
    <t>Using own refuse dump</t>
  </si>
  <si>
    <t>Other rubbish disposal</t>
  </si>
  <si>
    <t>Municipal Entities</t>
  </si>
  <si>
    <t>Type of report:</t>
  </si>
  <si>
    <t>MTREF Range:</t>
  </si>
  <si>
    <t>Type of Entities Range:</t>
  </si>
  <si>
    <t>3. National Treasury database will require this reconciliation for each transfer/grant</t>
  </si>
  <si>
    <t xml:space="preserve">  Other capital transfers/grants [insert desc]</t>
  </si>
  <si>
    <t>Year in which budget is being prepared</t>
  </si>
  <si>
    <t>MTREF name</t>
  </si>
  <si>
    <t>Long term financial strategy</t>
  </si>
  <si>
    <t>1st year of MTREF</t>
  </si>
  <si>
    <t>2nd year of MTREF</t>
  </si>
  <si>
    <t>3rd year of MTREF</t>
  </si>
  <si>
    <t>Surplus/(Deficit) for the year</t>
  </si>
  <si>
    <t>Monetary Assets/Current Liabilities</t>
  </si>
  <si>
    <t>Revenue Management</t>
  </si>
  <si>
    <t>Annual Debtors Collection Rate (Payment Level %)</t>
  </si>
  <si>
    <t>FS204 Metsimaholo</t>
  </si>
  <si>
    <t>FS205 Mafube</t>
  </si>
  <si>
    <t>GT000 Ekurhuleni Metro</t>
  </si>
  <si>
    <t>GT001 City Of Johannesburg</t>
  </si>
  <si>
    <t>GT002 City Of Tshwane</t>
  </si>
  <si>
    <t>GT421 Emfuleni</t>
  </si>
  <si>
    <t>GT422 Midvaal</t>
  </si>
  <si>
    <t>8. All materials not part of 'bulk' e.g  road making materials, pipe, cable etc.</t>
  </si>
  <si>
    <t>6. Motor vehicle licensing refunds to be included under 'agency' services (Not Grant Receipts)</t>
  </si>
  <si>
    <r>
      <t xml:space="preserve">% incr </t>
    </r>
    <r>
      <rPr>
        <i/>
        <sz val="8"/>
        <rFont val="Arial"/>
        <family val="2"/>
      </rPr>
      <t>total service charges (incl prop rates)</t>
    </r>
  </si>
  <si>
    <t>% incr Property Tax</t>
  </si>
  <si>
    <t>Borrowed funding of 'own' capital expenditure</t>
  </si>
  <si>
    <t>Own capex</t>
  </si>
  <si>
    <t>Councillors (Political Office Bearers plus Other Councillors)</t>
  </si>
  <si>
    <t>Cash Receipts By Source</t>
  </si>
  <si>
    <t>3. For example - technology backbones (e.g. fibre optic, WIFI infrastructure) for economic development purposes</t>
  </si>
  <si>
    <t>Board Members of Entities</t>
  </si>
  <si>
    <t>Board Fees</t>
  </si>
  <si>
    <t>Forecast 2014/15</t>
  </si>
  <si>
    <t>Forecast 2015/16</t>
  </si>
  <si>
    <t>Forecast 2016/17</t>
  </si>
  <si>
    <t>Forecast 2017/18</t>
  </si>
  <si>
    <t>Forecast 2020/21</t>
  </si>
  <si>
    <t>Formal</t>
  </si>
  <si>
    <t>Informal</t>
  </si>
  <si>
    <t>Head28</t>
  </si>
  <si>
    <t>Result</t>
  </si>
  <si>
    <t>Total Capital expenditure</t>
  </si>
  <si>
    <t>2. List investments in expiry date order</t>
  </si>
  <si>
    <t>% increase</t>
  </si>
  <si>
    <t>R&amp;M as a % of PPE</t>
  </si>
  <si>
    <r>
      <t>Single-year expenditure</t>
    </r>
    <r>
      <rPr>
        <b/>
        <i/>
        <sz val="8"/>
        <rFont val="Arial Narrow"/>
        <family val="2"/>
      </rPr>
      <t xml:space="preserve"> to be appropriated</t>
    </r>
  </si>
  <si>
    <t>Other Cash Flows by Source</t>
  </si>
  <si>
    <t>Total sources</t>
  </si>
  <si>
    <t>Budget Cash Flow</t>
  </si>
  <si>
    <t>Service charges - sanitation revenue</t>
  </si>
  <si>
    <t>Service charges - refuse removal</t>
  </si>
  <si>
    <t>Service charges - other</t>
  </si>
  <si>
    <t>CASH FLOW FROM OPERATING ACTIVITIES</t>
  </si>
  <si>
    <t>Cash/cash equivalents at the year begin:</t>
  </si>
  <si>
    <t>2. Cash equivalents includes investments with maturities of 3 months or less</t>
  </si>
  <si>
    <t>Asset Class     4.</t>
  </si>
  <si>
    <t>Asset Sub-Class 4.</t>
  </si>
  <si>
    <t>4. As per Table 34</t>
  </si>
  <si>
    <t>IDP Goal code 3.</t>
  </si>
  <si>
    <t>Goal Code</t>
  </si>
  <si>
    <t>2. Goal code must be used on Table A36</t>
  </si>
  <si>
    <t>Agricultural</t>
  </si>
  <si>
    <t>Biological</t>
  </si>
  <si>
    <t>Intangible</t>
  </si>
  <si>
    <r>
      <t>Expenditure by Vote</t>
    </r>
    <r>
      <rPr>
        <b/>
        <sz val="8"/>
        <rFont val="Arial Narrow"/>
        <family val="2"/>
      </rPr>
      <t xml:space="preserve"> </t>
    </r>
    <r>
      <rPr>
        <b/>
        <i/>
        <sz val="8"/>
        <rFont val="Arial Narrow"/>
        <family val="2"/>
      </rPr>
      <t>to be appropriated</t>
    </r>
  </si>
  <si>
    <t>Permanent employees</t>
  </si>
  <si>
    <r>
      <t>Balance (</t>
    </r>
    <r>
      <rPr>
        <i/>
        <sz val="8"/>
        <rFont val="Arial Narrow"/>
        <family val="2"/>
      </rPr>
      <t>Insert description; eg sinking fund)</t>
    </r>
  </si>
  <si>
    <t>Estimate of other debtors &gt; 90 days</t>
  </si>
  <si>
    <t>Current debtors collected in 30 days</t>
  </si>
  <si>
    <t>Other debtors collected in 30 days</t>
  </si>
  <si>
    <t>Credit Rating</t>
  </si>
  <si>
    <t>Remuneration of Board Members</t>
  </si>
  <si>
    <t>Water</t>
  </si>
  <si>
    <t>Sanitation</t>
  </si>
  <si>
    <t>Other expenditure</t>
  </si>
  <si>
    <t>Lease amortisation</t>
  </si>
  <si>
    <t>Trade and other creditors</t>
  </si>
  <si>
    <t>Asset register summary (WDV)</t>
  </si>
  <si>
    <t>Security and policing</t>
  </si>
  <si>
    <t>Cash/cash equivalents at the month/year end:</t>
  </si>
  <si>
    <t>Cash/cash equivalents at the month/year begin:</t>
  </si>
  <si>
    <t>Heritage assets</t>
  </si>
  <si>
    <t>Investment properties</t>
  </si>
  <si>
    <t>Other assets</t>
  </si>
  <si>
    <t>Municipal Vote/Capital project</t>
  </si>
  <si>
    <t>Examples</t>
  </si>
  <si>
    <t>1. Pension and medical aid</t>
  </si>
  <si>
    <t>In-kind benefits</t>
  </si>
  <si>
    <t>Total Package</t>
  </si>
  <si>
    <t>Housing allowance</t>
  </si>
  <si>
    <t>Computers - software &amp; programming</t>
  </si>
  <si>
    <t>No water supply</t>
  </si>
  <si>
    <t>Common sheet headings</t>
  </si>
  <si>
    <t>Strategic Objective</t>
  </si>
  <si>
    <t>Infrastructure</t>
  </si>
  <si>
    <t>Head47</t>
  </si>
  <si>
    <t>check op revenue balance</t>
  </si>
  <si>
    <t>check op expenditure balance</t>
  </si>
  <si>
    <t>Cash receipts from ratepayers</t>
  </si>
  <si>
    <t>Capital expenditure excluding capital grant funding</t>
  </si>
  <si>
    <t>Head27a</t>
  </si>
  <si>
    <t>References</t>
  </si>
  <si>
    <t>Net cash from (used) financing</t>
  </si>
  <si>
    <t>Net cash from (used) operating</t>
  </si>
  <si>
    <t>Net cash from (used) investing</t>
  </si>
  <si>
    <t>Asset renewal % of capital budget</t>
  </si>
  <si>
    <t>Parent Municipality:</t>
  </si>
  <si>
    <t>Expenditure Obligation By Contract</t>
  </si>
  <si>
    <t>Capital Expenditure Obligation By Contract</t>
  </si>
  <si>
    <t>Total Operating Expenditure Implication</t>
  </si>
  <si>
    <t>Investment receipts</t>
  </si>
  <si>
    <t>Supporting Table SA10</t>
  </si>
  <si>
    <t>Supporting Table SA11</t>
  </si>
  <si>
    <t>Supporting Table SA12</t>
  </si>
  <si>
    <t>Supporting Table SA13</t>
  </si>
  <si>
    <t>Supporting Table SA14</t>
  </si>
  <si>
    <t>Supporting Table SA15</t>
  </si>
  <si>
    <t>Supporting Table SA16</t>
  </si>
  <si>
    <t>Supporting Table SA17</t>
  </si>
  <si>
    <t>Supporting Table SA18</t>
  </si>
  <si>
    <t>Supporting Table SA19</t>
  </si>
  <si>
    <t>Supporting Table SA20</t>
  </si>
  <si>
    <t>Supporting Table SA21</t>
  </si>
  <si>
    <t>Supporting Table SA22</t>
  </si>
  <si>
    <t>Supporting Table SA23</t>
  </si>
  <si>
    <t>Supporting Table SA24</t>
  </si>
  <si>
    <t>Supporting Table SA25</t>
  </si>
  <si>
    <t>Supporting Table SA26</t>
  </si>
  <si>
    <t>Supporting Table SA27</t>
  </si>
  <si>
    <t>Supporting Table SA28</t>
  </si>
  <si>
    <t>Supporting Table SA29</t>
  </si>
  <si>
    <t>Supporting Table SA30</t>
  </si>
  <si>
    <t>Supporting Table SA31</t>
  </si>
  <si>
    <t>Supporting Table SA32</t>
  </si>
  <si>
    <t>Supporting Table SA33</t>
  </si>
  <si>
    <t>Supporting Table SA35</t>
  </si>
  <si>
    <t>Supporting Table SA36</t>
  </si>
  <si>
    <t>Supporting Table SA37</t>
  </si>
  <si>
    <t>R'000</t>
  </si>
  <si>
    <t>ASSETS</t>
  </si>
  <si>
    <t>Current assets</t>
  </si>
  <si>
    <t>Investments</t>
  </si>
  <si>
    <t>Current liabilities</t>
  </si>
  <si>
    <t>Provisions</t>
  </si>
  <si>
    <t>Head25</t>
  </si>
  <si>
    <t>National Government:</t>
  </si>
  <si>
    <t>Provincial Government:</t>
  </si>
  <si>
    <t>Does this municipality have entities (consolidated budget and entity budgets required)? YES/NO</t>
  </si>
  <si>
    <t>NOT REQUIRED - municipality does not have entities</t>
  </si>
  <si>
    <t>A. GENERAL INFORMATION</t>
  </si>
  <si>
    <t>Municipality</t>
  </si>
  <si>
    <t>DC1 West Coast</t>
  </si>
  <si>
    <t>WC WESTERN CAPE</t>
  </si>
  <si>
    <t>DC10 Cacadu</t>
  </si>
  <si>
    <t>Single-year expenditure appropriation</t>
  </si>
  <si>
    <r>
      <t xml:space="preserve">Multi-year expenditure </t>
    </r>
    <r>
      <rPr>
        <b/>
        <sz val="8"/>
        <rFont val="Arial Narrow"/>
        <family val="2"/>
      </rPr>
      <t xml:space="preserve"> </t>
    </r>
    <r>
      <rPr>
        <b/>
        <i/>
        <sz val="8"/>
        <rFont val="Arial Narrow"/>
        <family val="2"/>
      </rPr>
      <t>to be appropriated</t>
    </r>
  </si>
  <si>
    <r>
      <t>Single-year expenditure</t>
    </r>
    <r>
      <rPr>
        <b/>
        <sz val="8"/>
        <rFont val="Arial Narrow"/>
        <family val="2"/>
      </rPr>
      <t xml:space="preserve"> </t>
    </r>
    <r>
      <rPr>
        <b/>
        <i/>
        <sz val="8"/>
        <rFont val="Arial Narrow"/>
        <family val="2"/>
      </rPr>
      <t>to be appropriated</t>
    </r>
  </si>
  <si>
    <t>Total Capital Expenditure - Vote</t>
  </si>
  <si>
    <t>Other transfers and grants</t>
  </si>
  <si>
    <t>2. Include capital component of PPP unitary payment. Note that capital transfers are only appropriated to municipalities for the budget year</t>
  </si>
  <si>
    <t>3. Capital expenditure by standard classification must reconcile to the appropriations by vote</t>
  </si>
  <si>
    <t>4. Must reconcile to supporting table SA20 and to Budgeted Financial Performance (revenue and expenditure)</t>
  </si>
  <si>
    <t>6. Include finance leases and PPP capital funding component of unitary payment - total borrowing/repayments to reconcile to changes in Table SA17</t>
  </si>
  <si>
    <t>Service charges - refuse revenue</t>
  </si>
  <si>
    <t>Total Revenue (excluding capital transfers and contributions)</t>
  </si>
  <si>
    <t>3. Leases treated as assets to be depreciated as the same as purchased/constructed assets.  Includes PPP asset element accounted for as finance leases</t>
  </si>
  <si>
    <t>Finance leases (including PPP asset element)</t>
  </si>
  <si>
    <t>Inflation/inflation outlook (CPIX)</t>
  </si>
  <si>
    <t>Taxation</t>
  </si>
  <si>
    <t>Surplus/(Deficit) after taxation</t>
  </si>
  <si>
    <t>8. Indicative of planned capital expenditure level &amp; cash payment timing</t>
  </si>
  <si>
    <t>6. Realistic average cash collection forecasts as % of annual billed revenue</t>
  </si>
  <si>
    <t xml:space="preserve">Department 10 - </t>
  </si>
  <si>
    <t xml:space="preserve">Department 11 - </t>
  </si>
  <si>
    <t xml:space="preserve">Department 12 - </t>
  </si>
  <si>
    <t xml:space="preserve">Department 13 - </t>
  </si>
  <si>
    <t>Leases recognised as PPE</t>
  </si>
  <si>
    <t>2. Include completed low cost housing to be transferred to beneficiaries within 12 months</t>
  </si>
  <si>
    <t>2005/06</t>
  </si>
  <si>
    <t>2004/05</t>
  </si>
  <si>
    <t>2003/04</t>
  </si>
  <si>
    <t>Audited Outcome</t>
  </si>
  <si>
    <t>District Municipality:</t>
  </si>
  <si>
    <t>Property Services</t>
  </si>
  <si>
    <t>Other Admin</t>
  </si>
  <si>
    <t>List all capital projects grouped by Municipal Vote</t>
  </si>
  <si>
    <t>Program/Project description</t>
  </si>
  <si>
    <t>Total Project Estimate</t>
  </si>
  <si>
    <t>Capital expenditure &amp; funds sources</t>
  </si>
  <si>
    <t>CHANGES IN NET ASSETS</t>
  </si>
  <si>
    <t>Unspent conditional transfers</t>
  </si>
  <si>
    <t>Total New Assets</t>
  </si>
  <si>
    <t>2. Must reconcile to supporting documentation on staff salaries</t>
  </si>
  <si>
    <t>Budget Charts</t>
  </si>
  <si>
    <t>Resi.</t>
  </si>
  <si>
    <t>Indust.</t>
  </si>
  <si>
    <t>Bus. &amp; Comm.</t>
  </si>
  <si>
    <t>Farm props.</t>
  </si>
  <si>
    <t>Private owned towns</t>
  </si>
  <si>
    <t>Comm. Land</t>
  </si>
  <si>
    <t>Protect. Areas</t>
  </si>
  <si>
    <t>TOTAL LIABILITIES</t>
  </si>
  <si>
    <t>TOTAL COMMUNITY WEALTH/EQUITY</t>
  </si>
  <si>
    <t>Total Reserves</t>
  </si>
  <si>
    <t>Head24</t>
  </si>
  <si>
    <t>Balance - surplus (shortfall)</t>
  </si>
  <si>
    <t>Waste Management</t>
  </si>
  <si>
    <t>Basis of calculation</t>
  </si>
  <si>
    <t>Monthly Account for Household - 'Large' Household</t>
  </si>
  <si>
    <t>&gt;5</t>
  </si>
  <si>
    <t>6-10</t>
  </si>
  <si>
    <t>Uniform</t>
  </si>
  <si>
    <t>Salaries and Wages</t>
  </si>
  <si>
    <t>Contributions to UIF, pensions, medical aid</t>
  </si>
  <si>
    <t>Travel, motor car, accom; &amp; other allowances</t>
  </si>
  <si>
    <t>Overtime</t>
  </si>
  <si>
    <t>Long service awards</t>
  </si>
  <si>
    <t>Performance bonus</t>
  </si>
  <si>
    <t xml:space="preserve">  [insert description]</t>
  </si>
  <si>
    <t>Insert measure/s description</t>
  </si>
  <si>
    <t>Insert description</t>
  </si>
  <si>
    <t>Base year of forecast column selection names</t>
  </si>
  <si>
    <t>Budget approval tables</t>
  </si>
  <si>
    <t>A2</t>
  </si>
  <si>
    <t>Cross reference</t>
  </si>
  <si>
    <t>A3</t>
  </si>
  <si>
    <t>A5</t>
  </si>
  <si>
    <t>A7</t>
  </si>
  <si>
    <t>1st yr of long term forecast</t>
  </si>
  <si>
    <t>Next yr of long term forecast</t>
  </si>
  <si>
    <t>Current Year 2007/08</t>
  </si>
  <si>
    <t>2007/08</t>
  </si>
  <si>
    <t>Budget Year 2008/09</t>
  </si>
  <si>
    <t>Budget Year +1 2009/10</t>
  </si>
  <si>
    <t>Budget Year +2 2010/11</t>
  </si>
  <si>
    <t>Forecast 2022/23</t>
  </si>
  <si>
    <t>Annual target 2008/09</t>
  </si>
  <si>
    <t>Revised target 2008/09</t>
  </si>
  <si>
    <t>Current Year 2008/09</t>
  </si>
  <si>
    <t>2008/09</t>
  </si>
  <si>
    <t>Budget Year 2009/10</t>
  </si>
  <si>
    <t>Attributable to minorities</t>
  </si>
  <si>
    <t>Females aged 5 - 14</t>
  </si>
  <si>
    <t>Population</t>
  </si>
  <si>
    <t>Unemployment</t>
  </si>
  <si>
    <t>None</t>
  </si>
  <si>
    <t>R1 - R4800</t>
  </si>
  <si>
    <t>R4800 - R9600</t>
  </si>
  <si>
    <t>Interest rate - borrowing</t>
  </si>
  <si>
    <t>Interest rate - investment</t>
  </si>
  <si>
    <t>Remuneration increases</t>
  </si>
  <si>
    <t>Property tax/service charges</t>
  </si>
  <si>
    <t>Rental of facilities &amp; equipment</t>
  </si>
  <si>
    <t>1. Local/District municipalities to include transfers from/to District/Local Municipalities</t>
  </si>
  <si>
    <t>Application of cash and investments</t>
  </si>
  <si>
    <t>Statutory requirements</t>
  </si>
  <si>
    <t>2. For example: VAT, taxation</t>
  </si>
  <si>
    <t>Governance and administration</t>
  </si>
  <si>
    <t>1. Government Finance Statistics Functions and Sub-functions are standardised to assist the compilation of national and international accounts for comparison purposes</t>
  </si>
  <si>
    <t>Waste water management</t>
  </si>
  <si>
    <t>Waste management</t>
  </si>
  <si>
    <t>Street address</t>
  </si>
  <si>
    <t>DC21 Ugu</t>
  </si>
  <si>
    <t>Building</t>
  </si>
  <si>
    <t>DC22 uMgungundlovu</t>
  </si>
  <si>
    <t>Street No. &amp; Name</t>
  </si>
  <si>
    <t>DC23 Uthukela</t>
  </si>
  <si>
    <t>DC24 Umzinyathi</t>
  </si>
  <si>
    <t>DC25 Amajuba</t>
  </si>
  <si>
    <t>General Contacts</t>
  </si>
  <si>
    <t>DC26 Zululand</t>
  </si>
  <si>
    <t>Telephone number</t>
  </si>
  <si>
    <t>DC27 Umkhanyakude</t>
  </si>
  <si>
    <t>Fax number</t>
  </si>
  <si>
    <t>DC28 uThungulu</t>
  </si>
  <si>
    <t>C. POLITICAL LEADERSHIP</t>
  </si>
  <si>
    <t>Speaker:</t>
  </si>
  <si>
    <t>Secretary/PA to the Speaker:</t>
  </si>
  <si>
    <t>DC29 iLembe</t>
  </si>
  <si>
    <t>Name</t>
  </si>
  <si>
    <t>DC3 Overberg</t>
  </si>
  <si>
    <t>DC30 Gert Sibande</t>
  </si>
  <si>
    <t>MP MPUMALANGA</t>
  </si>
  <si>
    <t>Cell number</t>
  </si>
  <si>
    <t>DC31 Nkangala</t>
  </si>
  <si>
    <t>DC32 Ehlanzeni</t>
  </si>
  <si>
    <t>E-mail address</t>
  </si>
  <si>
    <t>DC33 Mopani</t>
  </si>
  <si>
    <t>LP LIMPOPO</t>
  </si>
  <si>
    <t>Mayor/Executive Mayor:</t>
  </si>
  <si>
    <t>Secretary/PA to the Mayor/Executive Mayor:</t>
  </si>
  <si>
    <t>DC34 Vhembe</t>
  </si>
  <si>
    <t>DC35 Capricorn</t>
  </si>
  <si>
    <t>DC36 Waterberg</t>
  </si>
  <si>
    <t>DC37 Bojanala Platinum</t>
  </si>
  <si>
    <t>NW NORTH WEST</t>
  </si>
  <si>
    <t>DC38 Ngaka Modiri Molema</t>
  </si>
  <si>
    <t>Deputy Mayor/Executive Mayor:</t>
  </si>
  <si>
    <t>Secretary/PA to the Deputy Mayor/Executive Mayor:</t>
  </si>
  <si>
    <t>DC4 Eden</t>
  </si>
  <si>
    <t>D. MANAGEMENT LEADERSHIP</t>
  </si>
  <si>
    <t>Municipal Manager:</t>
  </si>
  <si>
    <t>Secretary/PA to the Municipal Manager:</t>
  </si>
  <si>
    <t>Chief Financial Officer</t>
  </si>
  <si>
    <t>Secretary/PA to the Chief Financial Officer</t>
  </si>
  <si>
    <t>Official responsible for submitting financial information</t>
  </si>
  <si>
    <t>DC42 Sedibeng</t>
  </si>
  <si>
    <t>GT GAUTENG</t>
  </si>
  <si>
    <t>DC43 Sisonke</t>
  </si>
  <si>
    <t>DC48 West Rand</t>
  </si>
  <si>
    <t>DC5 Central Karoo</t>
  </si>
  <si>
    <t>DC6 Namakwa</t>
  </si>
  <si>
    <t>NC NORTHERN CAPE</t>
  </si>
  <si>
    <t>DC8 Siyanda</t>
  </si>
  <si>
    <t>DC9 Frances Baard</t>
  </si>
  <si>
    <t>EC000 Nelson Mandela Bay</t>
  </si>
  <si>
    <t>EC101 Camdeboo</t>
  </si>
  <si>
    <t>EC102 Blue Crane Route</t>
  </si>
  <si>
    <t>EC103 Ikwezi</t>
  </si>
  <si>
    <t>EC104 Makana</t>
  </si>
  <si>
    <t>EC105 Ndlambe</t>
  </si>
  <si>
    <t>EC106 Sundays River Valley</t>
  </si>
  <si>
    <t>EC107 Baviaans</t>
  </si>
  <si>
    <t>EC108 Kouga</t>
  </si>
  <si>
    <t>EC121 Mbhashe</t>
  </si>
  <si>
    <t>EC122 Mnquma</t>
  </si>
  <si>
    <t>EC123 Great Kei</t>
  </si>
  <si>
    <t>EC124 Amahlathi</t>
  </si>
  <si>
    <t>EC125 Buffalo City</t>
  </si>
  <si>
    <t>EC126 Ngqushwa</t>
  </si>
  <si>
    <t>EC127 Nkonkobe</t>
  </si>
  <si>
    <t>EC128 Nxuba</t>
  </si>
  <si>
    <t>EC131 Inxuba Yethemba</t>
  </si>
  <si>
    <t>EC132 Tsolwana</t>
  </si>
  <si>
    <t>EC133 Inkwanca</t>
  </si>
  <si>
    <t>4. All amounts must be classified under a standard classification (modified GFS). The GFS function 'Other' is only for Abbatoirs, Air Transport, Markets and Tourism - and if used must be supported by footnotes. Nothing else may be placed under 'Other'. Assign associate share to relevant classification</t>
  </si>
  <si>
    <t>7. Equity method</t>
  </si>
  <si>
    <t>Surplus/ (Deficit) for the yr/period</t>
  </si>
  <si>
    <t>Total 'Other' Revenue</t>
  </si>
  <si>
    <t>Total bulk purchases</t>
  </si>
  <si>
    <t>Cash and investments available</t>
  </si>
  <si>
    <t>Cash and investments available:</t>
  </si>
  <si>
    <t>Reserves to be backed by cash/investments</t>
  </si>
  <si>
    <t>9. Indicative of compliance with borrowing 'only' for the capital budget - should not exceed 100% unless refinancing</t>
  </si>
  <si>
    <t>Total gazetted/advised national, provincial and district grants</t>
  </si>
  <si>
    <t>District Municipality grants</t>
  </si>
  <si>
    <t>Operating and Capital Grant Revenue</t>
  </si>
  <si>
    <t>Supporting indicators</t>
  </si>
  <si>
    <t>Capital expenditure - total</t>
  </si>
  <si>
    <t>Capital expenditure - renewal</t>
  </si>
  <si>
    <t>Conditions met - transferred to revenue</t>
  </si>
  <si>
    <t>Balance unspent at beginning of the year</t>
  </si>
  <si>
    <t>Current year receipts</t>
  </si>
  <si>
    <t>Repairs and maintenance expenditure by Asset Class/Sub-class</t>
  </si>
  <si>
    <t>Total Repairs and Maintenance Expenditure</t>
  </si>
  <si>
    <t>1. Total Repairs and Maintenance Expenditure by Asset Category must reconcile to total repairs and maintenance expenditure on Table SA1</t>
  </si>
  <si>
    <t>Capital expenditure on renewal of existing assets by Asset Class/Sub-class</t>
  </si>
  <si>
    <t xml:space="preserve">Total Capital Expenditure on renewal of existing assets </t>
  </si>
  <si>
    <t>1. Total Capital Expenditure  on renewal of existing assets (SA34b) plus Total Capital Expenditure on new assets (SA34a) must reconcile to total capital expenditure in Budgeted Capital Expenditure</t>
  </si>
  <si>
    <t>Capital expenditure on new assets by Asset Class/Sub-class</t>
  </si>
  <si>
    <t>Total Capital Expenditure on new assets</t>
  </si>
  <si>
    <t>1. Total Capital Expenditure on new assets (SA34a) plus Total Capital Expenditure on renewal of existing assets (SA34b) must reconcile to total capital expenditure in Budgeted Capital Expenditure</t>
  </si>
  <si>
    <t>6, 7</t>
  </si>
  <si>
    <t>Other toilet provisions (&lt; min.service level)</t>
  </si>
  <si>
    <t>Electricity (at least min.service level)</t>
  </si>
  <si>
    <t>Provincial - capex</t>
  </si>
  <si>
    <t xml:space="preserve">  Other transfers/grants [insert description]</t>
  </si>
  <si>
    <t>Organisational structure votes (if required)</t>
  </si>
  <si>
    <t>Organisational structure sub-votes (if required)</t>
  </si>
  <si>
    <t>Vote1</t>
  </si>
  <si>
    <t>Vote2</t>
  </si>
  <si>
    <t>Vote3</t>
  </si>
  <si>
    <t>Vote4</t>
  </si>
  <si>
    <t>Vote5</t>
  </si>
  <si>
    <t>Vote6</t>
  </si>
  <si>
    <t>Vote7</t>
  </si>
  <si>
    <t>Vote8</t>
  </si>
  <si>
    <t>Vote9</t>
  </si>
  <si>
    <t>Vote10</t>
  </si>
  <si>
    <t>Capital Expenditure - Standard</t>
  </si>
  <si>
    <t>Total Capital Expenditure - Standard</t>
  </si>
  <si>
    <t>5. Political office bearer is defined in MFMA s 1: speaker, executive mayor, deputy executive mayor, member of executive committee,</t>
  </si>
  <si>
    <t>4. List each political office bearer by designation. Provide a total for all other councillors</t>
  </si>
  <si>
    <t>Decrease (Increase) in non-current debtors</t>
  </si>
  <si>
    <t>Asset management</t>
  </si>
  <si>
    <t>Plant &amp; equipment</t>
  </si>
  <si>
    <t>Abattoirs</t>
  </si>
  <si>
    <t>Markets</t>
  </si>
  <si>
    <t>Creditors due in 30 days</t>
  </si>
  <si>
    <t>Balance outstanding - consumer debtors</t>
  </si>
  <si>
    <t xml:space="preserve">Department 1 - </t>
  </si>
  <si>
    <t xml:space="preserve">Department 2 - </t>
  </si>
  <si>
    <t xml:space="preserve">Department 3 - </t>
  </si>
  <si>
    <t xml:space="preserve">Department 4 - </t>
  </si>
  <si>
    <t xml:space="preserve">Department 5 - </t>
  </si>
  <si>
    <t xml:space="preserve">Department 6 - </t>
  </si>
  <si>
    <t xml:space="preserve">Department 7 - </t>
  </si>
  <si>
    <t xml:space="preserve">Department 8 - </t>
  </si>
  <si>
    <t xml:space="preserve">Department 9 - </t>
  </si>
  <si>
    <t>Buildings</t>
  </si>
  <si>
    <t>List sub-class</t>
  </si>
  <si>
    <t>Estimate of consumers debtors collection rate</t>
  </si>
  <si>
    <t>DoRA operating</t>
  </si>
  <si>
    <t>5. Repairs &amp; maintenance detailed in Table A9 and Table SA34c</t>
  </si>
  <si>
    <t>Forecast Cash Flow</t>
  </si>
  <si>
    <t>Entity 2</t>
  </si>
  <si>
    <t>Entity 3</t>
  </si>
  <si>
    <t>Ent2</t>
  </si>
  <si>
    <t>Ent3</t>
  </si>
  <si>
    <t>Top level</t>
  </si>
  <si>
    <t>Surplus/(Deficit) excluding depreciation offsets: R'000</t>
  </si>
  <si>
    <t>Municipal/assistant valuer appointed? (Y/N)</t>
  </si>
  <si>
    <t>No. of assistant valuers (FTE)</t>
  </si>
  <si>
    <t>No. of data collectors (FTE)</t>
  </si>
  <si>
    <t>No. of internal valuers (FTE)</t>
  </si>
  <si>
    <t>No. of external valuers (FTE)</t>
  </si>
  <si>
    <t>NC071 Ubuntu</t>
  </si>
  <si>
    <t>NC072 Umsobomvu</t>
  </si>
  <si>
    <t>NC073 Emthanjeni</t>
  </si>
  <si>
    <t>NC074 Kareeberg</t>
  </si>
  <si>
    <t>NC075 Renosterberg</t>
  </si>
  <si>
    <t>NC076 Thembelihle</t>
  </si>
  <si>
    <t>3 Use as basis 300m² erf, 48m² improvements, 60kw electricity and 6kl water (TO BE CONFIRMED).</t>
  </si>
  <si>
    <t>1. Total investments must reconcile to Budgeted Financial Position ('current' call investment deposits plus 'non-current' investments)</t>
  </si>
  <si>
    <t>1. Total borrowing must reconcile to Budgeted Financial Position (Borrowing - non-current)</t>
  </si>
  <si>
    <t>RECEIPTS:</t>
  </si>
  <si>
    <t>Transfers and Grants</t>
  </si>
  <si>
    <t>Cash/cash equivalents at the year end:</t>
  </si>
  <si>
    <t>Borrowing</t>
  </si>
  <si>
    <t>Clinics</t>
  </si>
  <si>
    <t>5 This sub-total must agree with the total on SA22, but excluding councillor and board member items</t>
  </si>
  <si>
    <t>2. Only include if services provided by the municipality</t>
  </si>
  <si>
    <t>1. Consumer debtors &gt; 12 months old are excluded from current assets</t>
  </si>
  <si>
    <t>Housing statistics (3.)</t>
  </si>
  <si>
    <t>Dwellings provided by municipality (4.)</t>
  </si>
  <si>
    <t>Dwellings provided by private sector (5.)</t>
  </si>
  <si>
    <t>Economic (6.)</t>
  </si>
  <si>
    <t>Collection rates (7.)</t>
  </si>
  <si>
    <t>Water Distribution Losses (2)</t>
  </si>
  <si>
    <t>2006/07</t>
  </si>
  <si>
    <t>Refuse</t>
  </si>
  <si>
    <t>Rand/cent</t>
  </si>
  <si>
    <t>Rand thousand</t>
  </si>
  <si>
    <t>Grants to Organisations/ Groups of Individuals</t>
  </si>
  <si>
    <t>TOTAL GRANTS TO ORGANISATIONS/GROUPS 
OF INDIVIDUALS:</t>
  </si>
  <si>
    <t>Below Minimum Service Level sub-total</t>
  </si>
  <si>
    <t>2. Insert description of each entity or external mechanism (an external mechanism may be provided with resources to ensure a minimum level of service)</t>
  </si>
  <si>
    <t>CASH FLOWS FROM FINANCING ACTIVITIES</t>
  </si>
  <si>
    <t>Bank overdraft</t>
  </si>
  <si>
    <t>Head39</t>
  </si>
  <si>
    <t>Monthly actual</t>
  </si>
  <si>
    <t>Head40</t>
  </si>
  <si>
    <t>Head41</t>
  </si>
  <si>
    <t>Head42</t>
  </si>
  <si>
    <t>Sub Total - Other Staff of Entities</t>
  </si>
  <si>
    <t>Senior Managers of the Municipality</t>
  </si>
  <si>
    <t>Basic Salaries and Wages</t>
  </si>
  <si>
    <t>Other benefits or allowances</t>
  </si>
  <si>
    <t>Chief Whip</t>
  </si>
  <si>
    <t>Depart6</t>
  </si>
  <si>
    <t>Depart7</t>
  </si>
  <si>
    <t>Depart8</t>
  </si>
  <si>
    <t>Depart9</t>
  </si>
  <si>
    <t>Depart10</t>
  </si>
  <si>
    <t>Depart11</t>
  </si>
  <si>
    <t>Depart12</t>
  </si>
  <si>
    <t>Depart13</t>
  </si>
  <si>
    <t>Water (6 kilolitres per household per month)</t>
  </si>
  <si>
    <t>Sanitation (free sanitation service)</t>
  </si>
  <si>
    <t>Electricity/other energy (50kwh per household per month)</t>
  </si>
  <si>
    <t>Refuse (removed once a week)</t>
  </si>
  <si>
    <t>DEP10</t>
  </si>
  <si>
    <t>DEP11</t>
  </si>
  <si>
    <t>DEP12</t>
  </si>
  <si>
    <t>DEP13</t>
  </si>
  <si>
    <t>DEP14</t>
  </si>
  <si>
    <t>18(1)a,(2)</t>
  </si>
  <si>
    <t>18(1)c;19</t>
  </si>
  <si>
    <t>18(1)b</t>
  </si>
  <si>
    <t>18(1)</t>
  </si>
  <si>
    <t>20(1)(vi)</t>
  </si>
  <si>
    <t>Alternative for municipalities without entities</t>
  </si>
  <si>
    <t>Capital single-year expenditure sub-total</t>
  </si>
  <si>
    <t>Sub Total - Board Members of Entities</t>
  </si>
  <si>
    <t>Total number of households</t>
  </si>
  <si>
    <t>Sanitation/sewerage:</t>
  </si>
  <si>
    <t>Flush toilet (connected to sewerage)</t>
  </si>
  <si>
    <t>Flush toilet (with septic tank)</t>
  </si>
  <si>
    <t>8. Not municipal contributions to the 'top structure' being built using the housing subsidies</t>
  </si>
  <si>
    <t>9. Statues, art collections, medals etc.</t>
  </si>
  <si>
    <t>Transfers to Entities/Other External Mechanisms</t>
  </si>
  <si>
    <t>TOTAL TRANSFERS TO ENTITIES/EMs'</t>
  </si>
  <si>
    <t>Transfers to other Organs of State</t>
  </si>
  <si>
    <t>1. Insert description listed by municipal name and demarcation code of recipient</t>
  </si>
  <si>
    <t>Depreciation offsets</t>
  </si>
  <si>
    <t>B</t>
  </si>
  <si>
    <t>Chart 11</t>
  </si>
  <si>
    <t>Chart 12</t>
  </si>
  <si>
    <t>Chart 13</t>
  </si>
  <si>
    <t>Chart 14</t>
  </si>
  <si>
    <t>RSC levies</t>
  </si>
  <si>
    <t>Total Operating Revenue Implication</t>
  </si>
  <si>
    <t>Retirement benefits</t>
  </si>
  <si>
    <t>Transfers recognised - capital</t>
  </si>
  <si>
    <t>List other major provision items</t>
  </si>
  <si>
    <t>Total capital expenditure includes expenditure on nationally significant priorities:</t>
  </si>
  <si>
    <t>Goal</t>
  </si>
  <si>
    <t>YTD actual</t>
  </si>
  <si>
    <t>1. Total capital expenditure must reconcile to Budgeted Capital Expenditure</t>
  </si>
  <si>
    <t>3. Only include prior year comparative information for individual measures where relevant activity occurred in that year/s</t>
  </si>
  <si>
    <t>2. Only include prior year comparative information for individual measures where relevant activity occurred in that year/s</t>
  </si>
  <si>
    <t>Sch/Tab/Ch</t>
  </si>
  <si>
    <t>Chart x-ref</t>
  </si>
  <si>
    <t>Charts</t>
  </si>
  <si>
    <t>Head49</t>
  </si>
  <si>
    <t>Head50</t>
  </si>
  <si>
    <t>Total Outstanding Debtors to Annual Revenue</t>
  </si>
  <si>
    <t>Project name</t>
  </si>
  <si>
    <t>Project number</t>
  </si>
  <si>
    <t>New or renewal</t>
  </si>
  <si>
    <t>Project information</t>
  </si>
  <si>
    <t>Ward location</t>
  </si>
  <si>
    <t>Prior year outcomes</t>
  </si>
  <si>
    <t>Total Borrowing</t>
  </si>
  <si>
    <t xml:space="preserve"> </t>
  </si>
  <si>
    <t>4. Housing subsidies for housing where ownership transferred to organisations or persons outside the control of the municipality</t>
  </si>
  <si>
    <t>Financial Performance</t>
  </si>
  <si>
    <t>Revenue by Vote</t>
  </si>
  <si>
    <t>Budget Year +1 2010/11</t>
  </si>
  <si>
    <t>Budget Year +2 2011/12</t>
  </si>
  <si>
    <t>Forecast 2023/24</t>
  </si>
  <si>
    <t>Annual target 2009/10</t>
  </si>
  <si>
    <t>Revised target 2009/10</t>
  </si>
  <si>
    <t>Adjustments Budget</t>
  </si>
  <si>
    <t>Supportinging Tables to the Budget Approval Tables</t>
  </si>
  <si>
    <t>Supporting Table SA1</t>
  </si>
  <si>
    <t xml:space="preserve">Supporting Table SA2 </t>
  </si>
  <si>
    <t xml:space="preserve">Supporting Table SA3 </t>
  </si>
  <si>
    <t xml:space="preserve">Supporting Table SA4 </t>
  </si>
  <si>
    <t>2. Include all Basic Services performance targets from 'Basic Service Delivery' to ensure Table SA7 represents all strategic responsibilities</t>
  </si>
  <si>
    <t>And so on for the rest of the Votes</t>
  </si>
  <si>
    <t>Entity 1 - (name of entity)</t>
  </si>
  <si>
    <t>Entity 2 - (name of entity)</t>
  </si>
  <si>
    <t>Entity 3 - (name of entity)</t>
  </si>
  <si>
    <t>And so on for the rest of the Entities</t>
  </si>
  <si>
    <t>3. Insert description of each Organ of State (e.g. transfer to electricity provider to compensate for FBS provided)</t>
  </si>
  <si>
    <t>Current assets less debtors &gt; 90 days/current liabilities</t>
  </si>
  <si>
    <t>Last 12 Mths Receipts/Last 12 Mths Billing</t>
  </si>
  <si>
    <t>Cash + investments at the yr end less applications - R'000</t>
  </si>
  <si>
    <t>2. Deduct cash and investment applications (defined) from cash balances</t>
  </si>
  <si>
    <t>No. of sectional title property values</t>
  </si>
  <si>
    <t>Supplementary valuation (Rm)</t>
  </si>
  <si>
    <t>Estimated no. of properties not valued</t>
  </si>
  <si>
    <t>Municipality owned property value (Rm)</t>
  </si>
  <si>
    <r>
      <t xml:space="preserve">2. Amounts actually </t>
    </r>
    <r>
      <rPr>
        <u/>
        <sz val="8"/>
        <rFont val="Arial"/>
        <family val="2"/>
      </rPr>
      <t>RECEIVED</t>
    </r>
    <r>
      <rPr>
        <sz val="8"/>
        <rFont val="Arial"/>
        <family val="2"/>
      </rPr>
      <t>; not revenue recognised (objective is to confirm grants transferred)</t>
    </r>
  </si>
  <si>
    <t>1. Expenditure must be separately listed for each transfer or grant received or recognised</t>
  </si>
  <si>
    <t>Chemical toilet</t>
  </si>
  <si>
    <t>No toilet provisions</t>
  </si>
  <si>
    <t>Water (kilolitres per household per month)</t>
  </si>
  <si>
    <t>Sanitation (kilolitres per household per month)</t>
  </si>
  <si>
    <t>August</t>
  </si>
  <si>
    <t>Sept.</t>
  </si>
  <si>
    <t>October</t>
  </si>
  <si>
    <t>Board Members of municipal entities</t>
  </si>
  <si>
    <t>Municipal employees</t>
  </si>
  <si>
    <t>Municipal Manager and Senior Managers</t>
  </si>
  <si>
    <t>Professionals</t>
  </si>
  <si>
    <t>Spatial/town planning</t>
  </si>
  <si>
    <t>Technicians</t>
  </si>
  <si>
    <t>Clerks (Clerical and administrative)</t>
  </si>
  <si>
    <t>Service and sales workers</t>
  </si>
  <si>
    <t>Craft and related trades</t>
  </si>
  <si>
    <t>Plant and Machine Operators</t>
  </si>
  <si>
    <t>Elementary Occupations</t>
  </si>
  <si>
    <t>Total municipal employees headcount</t>
  </si>
  <si>
    <t>Finance personnel headcount</t>
  </si>
  <si>
    <t>Human Resources personnel headcount</t>
  </si>
  <si>
    <t>Total Capital Expenditure Implication</t>
  </si>
  <si>
    <t>CAPITAL EXPENDITURE</t>
  </si>
  <si>
    <t>TOTAL CAPITAL EXPENDITURE - Asset class</t>
  </si>
  <si>
    <t>EXPENDITURE OTHER ITEMS</t>
  </si>
  <si>
    <t>TOTAL EXPENDITURE OTHER ITEMS</t>
  </si>
  <si>
    <t>Renewal of Existing Assets as % of deprecn"</t>
  </si>
  <si>
    <t>ASSET REGISTER SUMMARY - PPE (WDV)</t>
  </si>
  <si>
    <t>TOTAL ASSET REGISTER SUMMARY - PPE (WDV)</t>
  </si>
  <si>
    <t>TOTAL TRANSFERS AND GRANTS - CTBM</t>
  </si>
  <si>
    <t>TOTAL MANAGERS AND STAFF</t>
  </si>
  <si>
    <t>2. List all contracts with future financial obligations beyond the three years covered by the MTREF (MFMA s33)</t>
  </si>
  <si>
    <t>Financing</t>
  </si>
  <si>
    <t>Check changes in cash flow receivables apportioned</t>
  </si>
  <si>
    <t>Check total payments - Cash Flow Budget</t>
  </si>
  <si>
    <t>Check total receipts = Cash Flow Budget</t>
  </si>
  <si>
    <t>Negative income adjustment</t>
  </si>
  <si>
    <t>Long term receivables % change - incr(decr)</t>
  </si>
  <si>
    <t>Debtors &gt; 90 days</t>
  </si>
  <si>
    <t>N.A.</t>
  </si>
  <si>
    <t>Finance charges &amp; Depreciation</t>
  </si>
  <si>
    <t>Interest &amp; Principal Paid /Operating Expenditure</t>
  </si>
  <si>
    <t>Current Ratio adjusted for aged debtors</t>
  </si>
  <si>
    <t>Monthly fixed operational expenditure</t>
  </si>
  <si>
    <t>Fixed operational expenditure % assumption</t>
  </si>
  <si>
    <t>Current assets/current liabilities</t>
  </si>
  <si>
    <t>8. Include any capitalised interest (MFMA section 46) as part of relevant capital budget</t>
  </si>
  <si>
    <t>1. Detail to be provided in Table SA3</t>
  </si>
  <si>
    <t>Residential rate used to determine rate for other categories? (Y/N)</t>
  </si>
  <si>
    <t>Total value used for rating (Rm)</t>
  </si>
  <si>
    <t>Total land value (Rm)</t>
  </si>
  <si>
    <t>Total value of improvements (Rm)</t>
  </si>
  <si>
    <t>Total market value (Rm)</t>
  </si>
  <si>
    <t>Rate revenue budget (R '000)</t>
  </si>
  <si>
    <t>Rate revenue expected to collect (R'000)</t>
  </si>
  <si>
    <t xml:space="preserve">State-owned </t>
  </si>
  <si>
    <t>Public service infra.</t>
  </si>
  <si>
    <t>Cash Flow categories &amp; sub-categories</t>
  </si>
  <si>
    <t>Asset Management</t>
  </si>
  <si>
    <t>Supporting table level</t>
  </si>
  <si>
    <t>Capital asset impairment</t>
  </si>
  <si>
    <t>Debt impairment</t>
  </si>
  <si>
    <t>2010 World Cup</t>
  </si>
  <si>
    <t>Provision of basic services</t>
  </si>
  <si>
    <t>Allocations to organs of state:</t>
  </si>
  <si>
    <t>Total contracted services</t>
  </si>
  <si>
    <t xml:space="preserve">(Pty) Ltd Example 1 - Municipal entity - </t>
  </si>
  <si>
    <t xml:space="preserve">(Pty) Ltd Example 2 - Municipal entity - </t>
  </si>
  <si>
    <t>Municipal Entity Example 3</t>
  </si>
  <si>
    <t>Expenditure includes repairs &amp; maintenance of R'000</t>
  </si>
  <si>
    <t>RandM</t>
  </si>
  <si>
    <t>Depart1</t>
  </si>
  <si>
    <t>Depart2</t>
  </si>
  <si>
    <t>Depart3</t>
  </si>
  <si>
    <t>Depart4</t>
  </si>
  <si>
    <t>Depart5</t>
  </si>
  <si>
    <t>Ratepayers and other</t>
  </si>
  <si>
    <t>Government - operating</t>
  </si>
  <si>
    <t>Government - capital</t>
  </si>
  <si>
    <t>Suppliers and employees</t>
  </si>
  <si>
    <t>Capital assets</t>
  </si>
  <si>
    <t>1. Must reconcile with Budgeted Cash Flows</t>
  </si>
  <si>
    <t>3. Summarise the future revenue from when projects are operational, including municipal tax and tariff implications, (present value until the end of asset's useful life)</t>
  </si>
  <si>
    <t>List entity summary if applicable</t>
  </si>
  <si>
    <t>Parent municipality:</t>
  </si>
  <si>
    <t>List all capital projects grouped by Entity</t>
  </si>
  <si>
    <t>Entity A</t>
  </si>
  <si>
    <t>Water project A</t>
  </si>
  <si>
    <t>Entity B</t>
  </si>
  <si>
    <t>Electricity project B</t>
  </si>
  <si>
    <t>List all capital projects grouped by Municipal Entity</t>
  </si>
  <si>
    <t>Entity Name</t>
  </si>
  <si>
    <t>Asset Class  3.</t>
  </si>
  <si>
    <t>Asset Sub-Class  3.</t>
  </si>
  <si>
    <t>Depreciation &amp; asset impairment</t>
  </si>
  <si>
    <t>Head55</t>
  </si>
  <si>
    <t>Phase-in reductions/discounts (R'000)</t>
  </si>
  <si>
    <t>Special rating areas (R'000)</t>
  </si>
  <si>
    <t>DoRA operating grants total MFY</t>
  </si>
  <si>
    <t>DoRA capital grants total MFY</t>
  </si>
  <si>
    <t>Provincial operating grants</t>
  </si>
  <si>
    <t>Provincial capital grants</t>
  </si>
  <si>
    <t>Revaluation</t>
  </si>
  <si>
    <t>Capital replacement</t>
  </si>
  <si>
    <t>Capitalisation</t>
  </si>
  <si>
    <t>Government grant</t>
  </si>
  <si>
    <t>Donations and public contributions</t>
  </si>
  <si>
    <t>Self-insurance</t>
  </si>
  <si>
    <t>Agency services</t>
  </si>
  <si>
    <t>Contributions to 'other' provisions</t>
  </si>
  <si>
    <t>Capital expenditure</t>
  </si>
  <si>
    <t>Variance explanation</t>
  </si>
  <si>
    <t>Consumer deposits</t>
  </si>
  <si>
    <t>VAT</t>
  </si>
  <si>
    <t>Current portion of long-term liabilities</t>
  </si>
  <si>
    <t>Property, plant and equipment</t>
  </si>
  <si>
    <t>Investment property</t>
  </si>
  <si>
    <t>Long-term receivables</t>
  </si>
  <si>
    <t>Inventory</t>
  </si>
  <si>
    <t>Consumer debtors</t>
  </si>
  <si>
    <t>Other debtors</t>
  </si>
  <si>
    <t>Call investment deposits</t>
  </si>
  <si>
    <t>check</t>
  </si>
  <si>
    <t>Civic Land and Buildings</t>
  </si>
  <si>
    <t>Fire</t>
  </si>
  <si>
    <t>Buses</t>
  </si>
  <si>
    <t>Ent1</t>
  </si>
  <si>
    <t>Other materials</t>
  </si>
  <si>
    <t>TOTAL BUDGET PHASE-IN/COMPLIANCE ASSESSMENT SCORE:</t>
  </si>
  <si>
    <t>Score *</t>
  </si>
  <si>
    <t>* scaled to score out of 100</t>
  </si>
  <si>
    <t>Total weighting and score:</t>
  </si>
  <si>
    <t>Dividends received</t>
  </si>
  <si>
    <t>Proceeds on disposal of PPE</t>
  </si>
  <si>
    <t>1, 2</t>
  </si>
  <si>
    <t>Grants and subsidies paid - other municipalities</t>
  </si>
  <si>
    <t>Grants and subsidies paid - other</t>
  </si>
  <si>
    <t>Head46</t>
  </si>
  <si>
    <t xml:space="preserve"> - Adjustments Budget - January 2007</t>
  </si>
  <si>
    <t>Cell phone allowance</t>
  </si>
  <si>
    <t>Other benefits and allowances</t>
  </si>
  <si>
    <t>Cell phone allowances</t>
  </si>
  <si>
    <t>Agricultural assets</t>
  </si>
  <si>
    <t>Agricultural Assets</t>
  </si>
  <si>
    <t>Supplementary valuation</t>
  </si>
  <si>
    <t>Valuation reductions:</t>
  </si>
  <si>
    <t>Total valuation reductions:</t>
  </si>
  <si>
    <t>Rating:</t>
  </si>
  <si>
    <t>Muni props.</t>
  </si>
  <si>
    <t>Section 8(2)(n) (note 1)</t>
  </si>
  <si>
    <t>Public benefit organs.</t>
  </si>
  <si>
    <t>Mining Props.</t>
  </si>
  <si>
    <t>9. Reflect the cost to the municipality in terms of 'revenue foregone' of providing free services (note this will not equal 'Revenue Foregone' on SA1)</t>
  </si>
  <si>
    <t>1. Must reconcile with Budgeted Capital Expenditure</t>
  </si>
  <si>
    <t>Forecast 2019/20</t>
  </si>
  <si>
    <t>Forecast 2018/19</t>
  </si>
  <si>
    <t>E</t>
  </si>
  <si>
    <t>F</t>
  </si>
  <si>
    <t>G</t>
  </si>
  <si>
    <t>National Government</t>
  </si>
  <si>
    <t>(Available cash + Investments)/monthly fixed operational expenditure</t>
  </si>
  <si>
    <t>Total Parent Municipality</t>
  </si>
  <si>
    <t>Total Municipal Entities</t>
  </si>
  <si>
    <t>Finance charges</t>
  </si>
  <si>
    <t>Other revenue</t>
  </si>
  <si>
    <t>1 Use as basis 1 000m² erf, 150m² improvements, 1 000 units electricity and 30kl water.</t>
  </si>
  <si>
    <t>Electricity: Basic levy</t>
  </si>
  <si>
    <t>Electricity: Consumption</t>
  </si>
  <si>
    <t>Water: Basic levy</t>
  </si>
  <si>
    <t>Other current investments  &gt; 90 days</t>
  </si>
  <si>
    <t>Other current investments &gt; 90 days</t>
  </si>
  <si>
    <t>Total refuse removal revenue</t>
  </si>
  <si>
    <t>Total landfill revenue</t>
  </si>
  <si>
    <t>NET INCREASE/ (DECREASE) IN CASH HELD</t>
  </si>
  <si>
    <t>Community</t>
  </si>
  <si>
    <t>Securities - National Government</t>
  </si>
  <si>
    <t>Listed Corporate Bonds</t>
  </si>
  <si>
    <t>Deposits - Public Investment Commissioners</t>
  </si>
  <si>
    <t>Deposits - Bank</t>
  </si>
  <si>
    <t>Deposits - Corporation for Public Deposits</t>
  </si>
  <si>
    <t>Bankers Acceptance Certificates</t>
  </si>
  <si>
    <t>Negotiable Certificates of Deposit - Banks</t>
  </si>
  <si>
    <t>Guaranteed Endowment Policies (sinking)</t>
  </si>
  <si>
    <t>Repurchase Agreements - Banks</t>
  </si>
  <si>
    <t>Municipal Bonds</t>
  </si>
  <si>
    <t>Yrs/Months</t>
  </si>
  <si>
    <t>1. All numbers to be expressed as whole numbers except FTEs and Rates in the Rand</t>
  </si>
  <si>
    <t>Expected cash collection rate (%)</t>
  </si>
  <si>
    <t>2. To give effect to rates policy</t>
  </si>
  <si>
    <t>3. Full Time Equivalent (FTE)  should be expressed to one decimal place and takes into account full time and part time staff</t>
  </si>
  <si>
    <t>4. Required to implement new system (FTE)</t>
  </si>
  <si>
    <t>No. of additional valuers (FTE)</t>
  </si>
  <si>
    <t>Service charge rev % change - macro CPIX target exclusive</t>
  </si>
  <si>
    <t>3. As per Table A6</t>
  </si>
  <si>
    <t>Depreciation of Property, Plant &amp; Equipment</t>
  </si>
  <si>
    <t>Sportsfields &amp; stadia</t>
  </si>
  <si>
    <t>Fire, safety &amp; emergency</t>
  </si>
  <si>
    <t>Grants:</t>
  </si>
  <si>
    <t>National - opex</t>
  </si>
  <si>
    <t>National - capex</t>
  </si>
  <si>
    <t>Provincial - opex</t>
  </si>
  <si>
    <t>Other governmental units - operating</t>
  </si>
  <si>
    <t>Sale of scrap, waste &amp; other used goods (excl.cap)</t>
  </si>
  <si>
    <t>Current payments</t>
  </si>
  <si>
    <t>Increase/(decrease) attributable to rates</t>
  </si>
  <si>
    <t>Property tax revenue as % of tax + service revenue</t>
  </si>
  <si>
    <t>Increase/(decrease) attributable to service debtors</t>
  </si>
  <si>
    <t>6. Insert actual or estimated % increases assumed as a basis for budget calculations</t>
  </si>
  <si>
    <t>7. Insert actual or estimated % collection rate assumed as a basis for budget calculations for each revenue group</t>
  </si>
  <si>
    <t>8. In favour of the rate-payer</t>
  </si>
  <si>
    <t>5. In favour of the rate-payer</t>
  </si>
  <si>
    <t>5. Provide relevant information for historical comparisons. Must reconcile to the total of Table SA12</t>
  </si>
  <si>
    <t>6. Provide relevant information for historical comparisons.</t>
  </si>
  <si>
    <t>Motor vehicle allowance</t>
  </si>
  <si>
    <t>5. All descriptions should separate transfers for 'capital purposes' and 'operating purposes'</t>
  </si>
  <si>
    <t>1. Surplus (Deficit) must reconcile with Budgeted Financial Performance</t>
  </si>
  <si>
    <t>1. Surplus (Deficit) must reconcile with Budeted Financial Performance</t>
  </si>
  <si>
    <t>2. Must reconcile with table A34</t>
  </si>
  <si>
    <t>3. Asset category and sub-category must be selected from Table A34</t>
  </si>
  <si>
    <t>Property rates - penalties &amp; collection charges</t>
  </si>
  <si>
    <t>Service charges</t>
  </si>
  <si>
    <t>Rental of facilities and equipment</t>
  </si>
  <si>
    <t>Cash Receipts by Source</t>
  </si>
  <si>
    <t>Cash Payments by Type</t>
  </si>
  <si>
    <t>Revenue Obligation By Contract</t>
  </si>
  <si>
    <t>Head2</t>
  </si>
  <si>
    <t>Head3</t>
  </si>
  <si>
    <t>Head4</t>
  </si>
  <si>
    <t>Head5</t>
  </si>
  <si>
    <t>Head6</t>
  </si>
  <si>
    <t>Head7</t>
  </si>
  <si>
    <t>Head8</t>
  </si>
  <si>
    <t>Head9</t>
  </si>
  <si>
    <t>Head10</t>
  </si>
  <si>
    <t>Forecast 2021/22</t>
  </si>
  <si>
    <t>Budget Year 2007/08</t>
  </si>
  <si>
    <t>Budget Year +1 2008/09</t>
  </si>
  <si>
    <t>Budget Year +2 2009/10</t>
  </si>
  <si>
    <t>Head11</t>
  </si>
  <si>
    <t>Contrib.</t>
  </si>
  <si>
    <t>Head12</t>
  </si>
  <si>
    <t>Head13</t>
  </si>
  <si>
    <t>Head14</t>
  </si>
  <si>
    <t>Head15</t>
  </si>
  <si>
    <t>Head16</t>
  </si>
  <si>
    <t>Head17</t>
  </si>
  <si>
    <t>Head18</t>
  </si>
  <si>
    <t>Head19</t>
  </si>
  <si>
    <t>Head20</t>
  </si>
  <si>
    <t>Head21</t>
  </si>
  <si>
    <t>Head22</t>
  </si>
  <si>
    <t>Head23</t>
  </si>
  <si>
    <t>Summary of Employee and Councillor remuneration</t>
  </si>
  <si>
    <t>IDP regulation financial viability indicators</t>
  </si>
  <si>
    <t>i. Debt coverage</t>
  </si>
  <si>
    <t>ii.O/S Service Debtors to Revenue</t>
  </si>
  <si>
    <t>iii. Cost coverage</t>
  </si>
  <si>
    <t>Expenditure By Type</t>
  </si>
  <si>
    <t>Total Expenditure</t>
  </si>
  <si>
    <t>1. Monthly household income threshold</t>
  </si>
  <si>
    <t>Piped water inside dwelling</t>
  </si>
  <si>
    <t>Previous target year to complete</t>
  </si>
  <si>
    <t>1. List all projects with planned completion dates in current year that have been re-budgeted in the MTREF</t>
  </si>
  <si>
    <t>Libraries and Archives</t>
  </si>
  <si>
    <t>Child Care</t>
  </si>
  <si>
    <t>Aged Care</t>
  </si>
  <si>
    <t>Other Community</t>
  </si>
  <si>
    <t>Other Social</t>
  </si>
  <si>
    <t>Police</t>
  </si>
  <si>
    <t>1. Include 'Loans and advances' where applicable if any reportable amounts until phased compliance with s164 of MFMA achieved</t>
  </si>
  <si>
    <t>4. B/A, C/B, D/C, E/C, F/C, G/D, H/D, I/D</t>
  </si>
  <si>
    <t>Employee costs/(Total Revenue - capital revenue)</t>
  </si>
  <si>
    <t>6. Donated/contributed &amp; leased assets to be included within the respective sub-class</t>
  </si>
  <si>
    <t>Supporting Table SA34a</t>
  </si>
  <si>
    <t>Supporting Table SA34b</t>
  </si>
  <si>
    <t>Supporting Table SA34c</t>
  </si>
  <si>
    <t>Payments in lieu of leave</t>
  </si>
  <si>
    <t>Post-retirement benefit obligations</t>
  </si>
  <si>
    <t>PPE at cost/valuation (excl. finance leases)</t>
  </si>
  <si>
    <t>Financial Position categories and sub-categories</t>
  </si>
  <si>
    <t>Entity 1</t>
  </si>
  <si>
    <t>Head56</t>
  </si>
  <si>
    <t>Total Adjusts.</t>
  </si>
  <si>
    <t>3 = full compliance (schedule/table presented with all information completed)</t>
  </si>
  <si>
    <t>Phase-in compliance assessment example</t>
  </si>
  <si>
    <t>Rating</t>
  </si>
  <si>
    <t>Description/justification for rating</t>
  </si>
  <si>
    <t>Weight</t>
  </si>
  <si>
    <t>YES</t>
  </si>
  <si>
    <t>NO</t>
  </si>
  <si>
    <t>Total score and weighting:</t>
  </si>
  <si>
    <t>MHC = mandatory year 1 for high capacity, MMC for medium &amp; MLC for low</t>
  </si>
  <si>
    <r>
      <t xml:space="preserve">Years since last valuation </t>
    </r>
    <r>
      <rPr>
        <b/>
        <sz val="8"/>
        <rFont val="Arial Narrow"/>
        <family val="2"/>
      </rPr>
      <t>(select)</t>
    </r>
  </si>
  <si>
    <r>
      <t xml:space="preserve">Frequency of valuation </t>
    </r>
    <r>
      <rPr>
        <b/>
        <sz val="8"/>
        <rFont val="Arial Narrow"/>
        <family val="2"/>
      </rPr>
      <t>(select)</t>
    </r>
  </si>
  <si>
    <r>
      <t xml:space="preserve">Method of valuation used </t>
    </r>
    <r>
      <rPr>
        <b/>
        <sz val="8"/>
        <rFont val="Arial Narrow"/>
        <family val="2"/>
      </rPr>
      <t>(select)</t>
    </r>
  </si>
  <si>
    <r>
      <t xml:space="preserve">Base of valuation </t>
    </r>
    <r>
      <rPr>
        <b/>
        <sz val="8"/>
        <rFont val="Arial Narrow"/>
        <family val="2"/>
      </rPr>
      <t>(select)</t>
    </r>
  </si>
  <si>
    <t>Variable</t>
  </si>
  <si>
    <t>Yrs/ Mths</t>
  </si>
  <si>
    <t>Number</t>
  </si>
  <si>
    <t>Yrs</t>
  </si>
  <si>
    <t>Mths</t>
  </si>
  <si>
    <t>DRAFT UNDER DEVELOPMENT</t>
  </si>
  <si>
    <t>MHC YR1</t>
  </si>
  <si>
    <t>MHC YR2</t>
  </si>
  <si>
    <t>MHC YR3</t>
  </si>
  <si>
    <t>1. Departmental columns to be based on municipal organisation structure</t>
  </si>
  <si>
    <t>6. Include a note for each revenue item that is affected by 'revenue foregone'</t>
  </si>
  <si>
    <t>Other non-current assets</t>
  </si>
  <si>
    <t>Appropriations to Reserves</t>
  </si>
  <si>
    <t>Transfers from Reserves</t>
  </si>
  <si>
    <t>GRAP adjustments</t>
  </si>
  <si>
    <t>Other adjustments</t>
  </si>
  <si>
    <t>Restated balance</t>
  </si>
  <si>
    <t>Year1</t>
  </si>
  <si>
    <t>Year2</t>
  </si>
  <si>
    <t>Year3</t>
  </si>
  <si>
    <t>Year4</t>
  </si>
  <si>
    <t>Year5</t>
  </si>
  <si>
    <t>Year6</t>
  </si>
  <si>
    <t>Year7</t>
  </si>
  <si>
    <t>Year8</t>
  </si>
  <si>
    <t>Year9</t>
  </si>
  <si>
    <t>Forecast 2010/11</t>
  </si>
  <si>
    <t>Forecast 2011/12</t>
  </si>
  <si>
    <t>Forecast 2012/13</t>
  </si>
  <si>
    <t>Forecast 2013/14</t>
  </si>
  <si>
    <t>Housing</t>
  </si>
  <si>
    <t>Max score</t>
  </si>
  <si>
    <t>Scaling</t>
  </si>
  <si>
    <t>Surplus/(Deficit)</t>
  </si>
  <si>
    <t>Standard classifications</t>
  </si>
  <si>
    <t>Conservancy</t>
  </si>
  <si>
    <t>Ambulances</t>
  </si>
  <si>
    <t>Unfunded Provns./Total Provisions</t>
  </si>
  <si>
    <t>Longstanding Debtors Recovered</t>
  </si>
  <si>
    <t>(Total Operating Revenue - Operating Grants)/Debt service payments due within financial year)</t>
  </si>
  <si>
    <t>Phase-in compliance assessment description rating</t>
  </si>
  <si>
    <t>0 = non-compliance (schedule/table etc not presented)</t>
  </si>
  <si>
    <t>1 = minimal compliance (schedule/table presented with minimal information)</t>
  </si>
  <si>
    <t>Funding measures</t>
  </si>
  <si>
    <t>4. Insert description of each other organisation (e.g. charity)</t>
  </si>
  <si>
    <t>A, B and C. Audited actual as per the audited financial statements. If audited amounts are unavailable, unaudited amounts must be provided with a note stating these are unaudited</t>
  </si>
  <si>
    <t>Head29</t>
  </si>
  <si>
    <t>Head30</t>
  </si>
  <si>
    <t>Head31</t>
  </si>
  <si>
    <t>Head32</t>
  </si>
  <si>
    <t>Head33</t>
  </si>
  <si>
    <t>Head34</t>
  </si>
  <si>
    <t>Annual target 2007/08</t>
  </si>
  <si>
    <t>Revised target 2007/08</t>
  </si>
  <si>
    <t>Depart14</t>
  </si>
  <si>
    <t>DEP1</t>
  </si>
  <si>
    <t>DEP2</t>
  </si>
  <si>
    <t>DEP3</t>
  </si>
  <si>
    <t>DEP4</t>
  </si>
  <si>
    <t>DEP5</t>
  </si>
  <si>
    <t>DEP6</t>
  </si>
  <si>
    <t>DEP7</t>
  </si>
  <si>
    <t>DEP8</t>
  </si>
  <si>
    <t>DEP9</t>
  </si>
  <si>
    <t>DC13 Chris Hani</t>
  </si>
  <si>
    <t>e-mail Address</t>
  </si>
  <si>
    <t>DC15 O .R. Tambo</t>
  </si>
  <si>
    <t>DC16 Xhariep</t>
  </si>
  <si>
    <t>FS FREE STATE</t>
  </si>
  <si>
    <t>B. CONTACT INFORMATION</t>
  </si>
  <si>
    <t>DC17 Motheo</t>
  </si>
  <si>
    <t>Postal address:</t>
  </si>
  <si>
    <t>DC18 Lejweleputswa</t>
  </si>
  <si>
    <t>P.O. Box</t>
  </si>
  <si>
    <t>DC19 Thabo Mofutsanyana</t>
  </si>
  <si>
    <t>City / Town</t>
  </si>
  <si>
    <t>Postal Code</t>
  </si>
  <si>
    <t>DC20 Fezile Dabi</t>
  </si>
  <si>
    <t>DC12 Amathole</t>
  </si>
  <si>
    <t>DC39 Dr Ruth Segomotsi Mompati</t>
  </si>
  <si>
    <t>DC40 Dr Kenneth Kaunda</t>
  </si>
  <si>
    <t>EC153 Ngquza Hills</t>
  </si>
  <si>
    <t>EC441 Matatiele</t>
  </si>
  <si>
    <t>EC442 Umzimvubu</t>
  </si>
  <si>
    <t>FS194 Maluti-a-Phofung</t>
  </si>
  <si>
    <t>GT461 Nokeng Tsa Taemane</t>
  </si>
  <si>
    <t>GT462 Kungwini</t>
  </si>
  <si>
    <t>KZN000 eThekwini</t>
  </si>
  <si>
    <t>KZN211 Vulamehlo</t>
  </si>
  <si>
    <t>KZN212 Umdoni</t>
  </si>
  <si>
    <t>KZN213 Umzumbe</t>
  </si>
  <si>
    <t>KZN214 uMuziwabantu</t>
  </si>
  <si>
    <t>KZN216 Hibiscus Coast</t>
  </si>
  <si>
    <t>KZN221 uMshwathi</t>
  </si>
  <si>
    <t>KZN222 uMngeni</t>
  </si>
  <si>
    <t>KZN223 Mpofana</t>
  </si>
  <si>
    <t>KZN224 Impendle</t>
  </si>
  <si>
    <t>KZN225 Msunduzi</t>
  </si>
  <si>
    <t>KZN226 Mkhambathini</t>
  </si>
  <si>
    <t>KZN227 Richmond</t>
  </si>
  <si>
    <t>KZN232 Emnambithi/Ladysmith</t>
  </si>
  <si>
    <t>KZN233 Indaka</t>
  </si>
  <si>
    <t>KZN234 Umtshezi</t>
  </si>
  <si>
    <t>KZN235 Okhahlamba</t>
  </si>
  <si>
    <t>KZN236 Imbabazane</t>
  </si>
  <si>
    <t>KZN241 Endumeni</t>
  </si>
  <si>
    <t>KZN242 Nquthu</t>
  </si>
  <si>
    <t>KZN244 Msinga</t>
  </si>
  <si>
    <t>KZN245 Umvoti</t>
  </si>
  <si>
    <t>KZN252 Newcastle</t>
  </si>
  <si>
    <t>KZN253 eMadlangeni</t>
  </si>
  <si>
    <t>KZN254 Dannhauser</t>
  </si>
  <si>
    <t>KZN261 eDumbe</t>
  </si>
  <si>
    <t>KZN262 uPhongolo</t>
  </si>
  <si>
    <t>Health</t>
  </si>
  <si>
    <t>11. Indicative of realistic current arrear debtor collection targets (prior to 2003/04 revenue not available for high capacity municipalities and later for other capacity classifications)</t>
  </si>
  <si>
    <t>Ratepayer &amp; Other revenue</t>
  </si>
  <si>
    <t>Audited Actual</t>
  </si>
  <si>
    <t>Medium Term Revenue and Expenditure Framework</t>
  </si>
  <si>
    <t>Adjusted Budget</t>
  </si>
  <si>
    <t>Full Year Forecast</t>
  </si>
  <si>
    <t>Service charges - electricity revenue</t>
  </si>
  <si>
    <t>Service charges - water revenue</t>
  </si>
  <si>
    <t>MTREF:</t>
  </si>
  <si>
    <t>Consolidated Information</t>
  </si>
  <si>
    <t>MTREF Linked:</t>
  </si>
  <si>
    <t>Fin Year:</t>
  </si>
  <si>
    <t>2. Total Revenue by Standard Classification must reconcile to total operating revenue shown in Financial Performance (revenue and expenditure)</t>
  </si>
  <si>
    <t>3. Total Expenditure by Standard Classification must reconcile to total operating expenditure shown in Financial Performance (revenue and expenditure)</t>
  </si>
  <si>
    <t>Monthly Account for Household - 'Small' Household receiving free basic services</t>
  </si>
  <si>
    <t>Sub Total - Other Municipal Staff</t>
  </si>
  <si>
    <t xml:space="preserve">R Thousand </t>
  </si>
  <si>
    <t>Sales by market establishments</t>
  </si>
  <si>
    <t>Other Sales</t>
  </si>
  <si>
    <t>Capital expenditure - Municipal Vote</t>
  </si>
  <si>
    <t xml:space="preserve">Department 14 - </t>
  </si>
  <si>
    <t>Capital payments % of capital expenditure</t>
  </si>
  <si>
    <t>2.</t>
  </si>
  <si>
    <t>3.</t>
  </si>
  <si>
    <t>Electricity/other energy</t>
  </si>
  <si>
    <t>Household/demographics (000)</t>
  </si>
  <si>
    <t>Number of people in municipal area</t>
  </si>
  <si>
    <t>Number of poor people in municipal area</t>
  </si>
  <si>
    <t>Number of households in municipal area</t>
  </si>
  <si>
    <t>Number of poor households in municipal area</t>
  </si>
  <si>
    <t>3. Include 'Construction-work-in-progress' (disclosed separately in annual financial statements)</t>
  </si>
  <si>
    <t>Balance outstanding - other debtors</t>
  </si>
  <si>
    <t>Finance</t>
  </si>
  <si>
    <t xml:space="preserve">Table A1 </t>
  </si>
  <si>
    <t xml:space="preserve">Table A2 </t>
  </si>
  <si>
    <t xml:space="preserve">Table A3 </t>
  </si>
  <si>
    <t xml:space="preserve">Table A4 </t>
  </si>
  <si>
    <t xml:space="preserve">Table A5 </t>
  </si>
  <si>
    <t xml:space="preserve">Table A6 </t>
  </si>
  <si>
    <t xml:space="preserve">Table A7 </t>
  </si>
  <si>
    <t xml:space="preserve">Table A8 </t>
  </si>
  <si>
    <t xml:space="preserve">Table A9 </t>
  </si>
  <si>
    <t xml:space="preserve">Table A10 </t>
  </si>
  <si>
    <t>NOTE: This was an early preliminary suggestion aligned to the tables - it should be deleted before publishing</t>
  </si>
  <si>
    <t>UNDER DEVELOPMENT - 2008/09 PROJECT</t>
  </si>
  <si>
    <t xml:space="preserve">Chart A1 </t>
  </si>
  <si>
    <t xml:space="preserve">Chart A2 </t>
  </si>
  <si>
    <t xml:space="preserve">Chart A3 </t>
  </si>
  <si>
    <t xml:space="preserve">Chart A4 </t>
  </si>
  <si>
    <t xml:space="preserve">Chart A5 </t>
  </si>
  <si>
    <t xml:space="preserve">Chart A6 </t>
  </si>
  <si>
    <t xml:space="preserve">Chart A7 </t>
  </si>
  <si>
    <t xml:space="preserve">Chart A8 </t>
  </si>
  <si>
    <t xml:space="preserve">Chart A9 </t>
  </si>
  <si>
    <t xml:space="preserve">Chart A10 </t>
  </si>
  <si>
    <t xml:space="preserve">Chart A11 </t>
  </si>
  <si>
    <t xml:space="preserve">Chart A12 </t>
  </si>
  <si>
    <t xml:space="preserve">Chart A13 </t>
  </si>
  <si>
    <t xml:space="preserve">Chart A14 </t>
  </si>
  <si>
    <t xml:space="preserve">Chart A15 </t>
  </si>
  <si>
    <t xml:space="preserve">Chart A16 </t>
  </si>
  <si>
    <t xml:space="preserve">Chart A17 </t>
  </si>
  <si>
    <t xml:space="preserve">Chart A18 </t>
  </si>
  <si>
    <t xml:space="preserve">Chart A19 </t>
  </si>
  <si>
    <t xml:space="preserve">Chart A20 </t>
  </si>
  <si>
    <t xml:space="preserve">Chart A21 </t>
  </si>
  <si>
    <t xml:space="preserve">Chart A22 </t>
  </si>
  <si>
    <t xml:space="preserve">Chart A23 </t>
  </si>
  <si>
    <t>Piped water inside yard (but not in dwelling)</t>
  </si>
  <si>
    <t>Water:</t>
  </si>
  <si>
    <t>Total Operating Revenue</t>
  </si>
  <si>
    <t>Total Operating Expenditure</t>
  </si>
  <si>
    <t>Operating Performance Surplus/(Deficit)</t>
  </si>
  <si>
    <t>Revenue</t>
  </si>
  <si>
    <t>% Increase in Total Operating Revenue</t>
  </si>
  <si>
    <t>% Increase in Property Rates Revenue</t>
  </si>
  <si>
    <t>% Increase in Electricity Revenue</t>
  </si>
  <si>
    <t>% Increase in Property Rates &amp; Services Charges</t>
  </si>
  <si>
    <t>Expenditure</t>
  </si>
  <si>
    <t>% Increase in Total Operating Expenditure</t>
  </si>
  <si>
    <t>% Increase in Employee Costs</t>
  </si>
  <si>
    <t>% Increase in Electricity Bulk Purchases</t>
  </si>
  <si>
    <t>Average Cost Per Councillor (Remuneration)</t>
  </si>
  <si>
    <t>R&amp;M % of PPE</t>
  </si>
  <si>
    <t>Asset Renewal and R&amp;M as a % of PPE</t>
  </si>
  <si>
    <t>Debt Impairement % of Total Billable Revenue</t>
  </si>
  <si>
    <t>Capital Revenue</t>
  </si>
  <si>
    <t>Internally Funded &amp; Other (R'000)</t>
  </si>
  <si>
    <t>Borrowing (R'000)</t>
  </si>
  <si>
    <t>Grant Funding and Other (R'000)</t>
  </si>
  <si>
    <t>Internally Generated funds % of Non Grant Funding</t>
  </si>
  <si>
    <t>Borrowing % of Non Grant Funding</t>
  </si>
  <si>
    <t>Grant Funding % of Total Funding</t>
  </si>
  <si>
    <t>Capital Expenditure</t>
  </si>
  <si>
    <t>Total Capital Programme (R'000)</t>
  </si>
  <si>
    <t>Asset Renewal</t>
  </si>
  <si>
    <t>Asset Renewal % of Total Capital Expenditure</t>
  </si>
  <si>
    <t>Cash Receipts % of Rate Payer &amp; Other</t>
  </si>
  <si>
    <t>Cash Coverage Ratio</t>
  </si>
  <si>
    <t>Credit Rating (2009/10)</t>
  </si>
  <si>
    <t>Capital Charges to Operating</t>
  </si>
  <si>
    <t>Borrowing Receipts % of Capital Expenditure</t>
  </si>
  <si>
    <t>Free Services</t>
  </si>
  <si>
    <t>Free Basic Services as a % of Equitable Share</t>
  </si>
  <si>
    <t>Free Services as a % of Operating Revenue 
(excl operational transfers)</t>
  </si>
  <si>
    <t>DC14 Joe Gqabi</t>
  </si>
  <si>
    <t>DC2 Cape Winelands</t>
  </si>
  <si>
    <t>KZN KWAZULU-NATAL</t>
  </si>
  <si>
    <t>DC45 John Taolo Gaetsewe</t>
  </si>
  <si>
    <t>DC7 Pixley Ka Seme (NC)</t>
  </si>
  <si>
    <t>EC109 Kou-Kamma</t>
  </si>
  <si>
    <t>GT484 Merafong City</t>
  </si>
  <si>
    <t>KZN215 Ezinqoleni</t>
  </si>
  <si>
    <t>KZN273 The Big 5 False Bay</t>
  </si>
  <si>
    <t>KZN281 Mfolozi</t>
  </si>
  <si>
    <t>KZN284 uMlalazi</t>
  </si>
  <si>
    <t>LIM471 Ephraim Mogale</t>
  </si>
  <si>
    <t>LIM473 Makhuduthamaga</t>
  </si>
  <si>
    <t>MP304 Pixley Ka Seme (MP)</t>
  </si>
  <si>
    <t>MP311 Victor Khanye</t>
  </si>
  <si>
    <t>MP312 Emalahleni (MP)</t>
  </si>
  <si>
    <t>NC451 Joe Morolong</t>
  </si>
  <si>
    <t>WC000 City of Cape Town</t>
  </si>
  <si>
    <t>WC026 Langeberg</t>
  </si>
  <si>
    <t>Property rates (R value threshold)</t>
  </si>
  <si>
    <t xml:space="preserve">Water Services Operating Subsidy </t>
  </si>
  <si>
    <t>Energy Efficiency  and Demand Management</t>
  </si>
  <si>
    <t>Integrated National Electrification Programme</t>
  </si>
  <si>
    <t xml:space="preserve">Municipal Drought Relief </t>
  </si>
  <si>
    <t>2010 FIFA World Cup Operating</t>
  </si>
  <si>
    <t>Neighbourhood Development Partnership</t>
  </si>
  <si>
    <t>2010 FIFA World Cup Stadiums Development</t>
  </si>
  <si>
    <t>Rural Transport Services and Infrastructure</t>
  </si>
  <si>
    <t xml:space="preserve">Rural Households Infrastructure </t>
  </si>
  <si>
    <t>Regional Bulk Infrastructure</t>
  </si>
  <si>
    <t>Electricity Demand Side Management</t>
  </si>
  <si>
    <t>EPWP Incentive</t>
  </si>
  <si>
    <t>Agriculture</t>
  </si>
  <si>
    <t>Education</t>
  </si>
  <si>
    <t xml:space="preserve">Housing and Local Government </t>
  </si>
  <si>
    <t>Other Departments</t>
  </si>
  <si>
    <t xml:space="preserve">Public Works, Roads, Transport </t>
  </si>
  <si>
    <t>Sport and Recreation</t>
  </si>
  <si>
    <t xml:space="preserve"> Public Transport and Systems</t>
  </si>
  <si>
    <t xml:space="preserve"> Municipal Infrastructure Grant (MIG)</t>
  </si>
  <si>
    <t>Municipal Systems Improvement</t>
  </si>
  <si>
    <t xml:space="preserve">Finance Management </t>
  </si>
  <si>
    <t xml:space="preserve">RSC Levy Replacement </t>
  </si>
  <si>
    <t>Local Government Equitable Share</t>
  </si>
  <si>
    <t>Health subsidy</t>
  </si>
  <si>
    <t>Ambulance subsidy</t>
  </si>
  <si>
    <t>High Level Outcome of Funding Compliance</t>
  </si>
  <si>
    <t>Surplus/(Deficit) Budgeted Operating Statement</t>
  </si>
  <si>
    <t>MTREF Funded (1) / Unfunded (0)</t>
  </si>
  <si>
    <t>Surplus/(Deficit) Considering Reserves and Cash Backing</t>
  </si>
  <si>
    <t>Repairs and Maintenance 
by Expenditure Item</t>
  </si>
  <si>
    <t>Contracted Services</t>
  </si>
  <si>
    <t>Other Expenditure</t>
  </si>
  <si>
    <t>Cash and Cash Equivalents (30 June 2012)</t>
  </si>
  <si>
    <t>8. Repairs and Maintenance is not a GRAP item. However to facilitate transparency, municipalities must provide a breakdown of the amounts included in the relevant GRAP items that will be spent on Repairs and Maintenance.</t>
  </si>
  <si>
    <t>9. Must reconcile with Repairs and Maintenance by Asset Class (Total Repairs and Maintenance) on Table SA34c.</t>
  </si>
  <si>
    <r>
      <t xml:space="preserve">MTREF Funded </t>
    </r>
    <r>
      <rPr>
        <b/>
        <sz val="9"/>
        <color indexed="10"/>
        <rFont val="Wingdings"/>
        <charset val="2"/>
      </rPr>
      <t>ü</t>
    </r>
    <r>
      <rPr>
        <b/>
        <sz val="9"/>
        <color indexed="10"/>
        <rFont val="Arial Narrow"/>
        <family val="2"/>
      </rPr>
      <t xml:space="preserve"> / Unfunded </t>
    </r>
    <r>
      <rPr>
        <b/>
        <sz val="9"/>
        <color indexed="10"/>
        <rFont val="Wingdings"/>
        <charset val="2"/>
      </rPr>
      <t>û</t>
    </r>
  </si>
  <si>
    <t>1,2</t>
  </si>
  <si>
    <t>1. Positions must be funded and aligned to the municipality's current organisational structure</t>
  </si>
  <si>
    <t>2. Full Time Equivalent (FTE). E.g. One full time person = 1FTE. A person working half time (say 4 hours out of 8) = 0.5FTE.</t>
  </si>
  <si>
    <t>3. s57 of the Systems Act</t>
  </si>
  <si>
    <t>4. Include only in Consolidated Statements</t>
  </si>
  <si>
    <t>5. Include municipal entity employees in Consolidated Statements</t>
  </si>
  <si>
    <t>6.  Include headcount (number fo persons, Not FTE) of managers and staff only (exclude councillors)</t>
  </si>
  <si>
    <t>7. Managers who provide the direction of a critical technical function</t>
  </si>
  <si>
    <t>8. Total number of employees working on these functions</t>
  </si>
  <si>
    <t>Average Cost Per Budgeted Employee Position (Remuneration)</t>
  </si>
  <si>
    <t>Renewal of Existing Assets as % of total capex</t>
  </si>
  <si>
    <t>Vote14 - Example 14</t>
  </si>
  <si>
    <t>Vote15 - Example 15</t>
  </si>
  <si>
    <t>Vote</t>
  </si>
  <si>
    <t>I/E or GL</t>
  </si>
  <si>
    <t>Department</t>
  </si>
  <si>
    <t>Sub-Vote</t>
  </si>
  <si>
    <t>Municipal Vote</t>
  </si>
  <si>
    <t>Grap Vote</t>
  </si>
  <si>
    <t>Income or Expense</t>
  </si>
  <si>
    <t>Grap Classification (PER AFS)</t>
  </si>
  <si>
    <t>Notes Detail (PER AFS)</t>
  </si>
  <si>
    <t>Grap Classification (PER Budget)</t>
  </si>
  <si>
    <t>Notes Detail (PER Budget)</t>
  </si>
  <si>
    <t>Notes Detal (Further Classification)</t>
  </si>
  <si>
    <t>2008 Restated</t>
  </si>
  <si>
    <t>2009 Restated</t>
  </si>
  <si>
    <t>2010 Restated</t>
  </si>
  <si>
    <t>2011 Original</t>
  </si>
  <si>
    <t>2010/2011 Adjusted</t>
  </si>
  <si>
    <t>2011/2012 Original</t>
  </si>
  <si>
    <t>2012/2013 Original</t>
  </si>
  <si>
    <t>2013/2014 Original</t>
  </si>
  <si>
    <t>I/E</t>
  </si>
  <si>
    <t>Employee related costs - Salaries and Wages</t>
  </si>
  <si>
    <t>Employee related costs - Contributions for UIF, pensions and medical aids</t>
  </si>
  <si>
    <t>Group Life Insurance</t>
  </si>
  <si>
    <t>Housing Subsidy</t>
  </si>
  <si>
    <t>Travel, motor car, telephone, assistance and other allowances</t>
  </si>
  <si>
    <t>General Expenses</t>
  </si>
  <si>
    <t>Depreciation and Amortisation</t>
  </si>
  <si>
    <t>Gains on Disposal of PPE</t>
  </si>
  <si>
    <t>Finance Charges</t>
  </si>
  <si>
    <t>Long-term Liabilities</t>
  </si>
  <si>
    <t>Finance leases</t>
  </si>
  <si>
    <t>Other Revenue</t>
  </si>
  <si>
    <t>Government Grants and Subsidies</t>
  </si>
  <si>
    <t>Public Contributions and Donations</t>
  </si>
  <si>
    <t>Council General Expenses</t>
  </si>
  <si>
    <t>Fuel Cost</t>
  </si>
  <si>
    <t>Service Charges</t>
  </si>
  <si>
    <t>Indigent Subsidies</t>
  </si>
  <si>
    <t>Remuneration of Councillors</t>
  </si>
  <si>
    <t>Transfers recognised - operating</t>
  </si>
  <si>
    <t>Corporate Services</t>
  </si>
  <si>
    <t>Library</t>
  </si>
  <si>
    <t>Rental of Facilities and Equipment</t>
  </si>
  <si>
    <t xml:space="preserve">Traffic </t>
  </si>
  <si>
    <t>Public Safety</t>
  </si>
  <si>
    <t>Vehicle Testing Station</t>
  </si>
  <si>
    <t>Licences and Permits</t>
  </si>
  <si>
    <t>Agency Services</t>
  </si>
  <si>
    <t>Bank Charges</t>
  </si>
  <si>
    <t>Insurance</t>
  </si>
  <si>
    <t>Workmens Compensation Contributions</t>
  </si>
  <si>
    <t>Interest Earned - Outstanding Debtors</t>
  </si>
  <si>
    <t>Interest Earned - External Investments</t>
  </si>
  <si>
    <t>Property Tax</t>
  </si>
  <si>
    <t>Less: Income Foregone - Rates</t>
  </si>
  <si>
    <t>Property Rates</t>
  </si>
  <si>
    <t>Leave Reserve Fund</t>
  </si>
  <si>
    <t>Debt Impairment</t>
  </si>
  <si>
    <t>Stores</t>
  </si>
  <si>
    <t>Bulk Purchases</t>
  </si>
  <si>
    <t>Workshop</t>
  </si>
  <si>
    <t>Community Services</t>
  </si>
  <si>
    <t>Cemetry</t>
  </si>
  <si>
    <t>Buildings and Commonage</t>
  </si>
  <si>
    <t>Other Assets - Other</t>
  </si>
  <si>
    <t>Environmental Services</t>
  </si>
  <si>
    <t>Nature Reserve</t>
  </si>
  <si>
    <t>Parks &amp; Open Spaces</t>
  </si>
  <si>
    <t>Sports Grounds</t>
  </si>
  <si>
    <t>Beaches &amp; Public Amenities</t>
  </si>
  <si>
    <t>Holiday Resorts</t>
  </si>
  <si>
    <t>Engineering Services</t>
  </si>
  <si>
    <t>Proclaimed Roads</t>
  </si>
  <si>
    <t>Sewerage &amp; Sanitation</t>
  </si>
  <si>
    <t>Reticulation Sanitation</t>
  </si>
  <si>
    <t>Streets &amp; Stormwater</t>
  </si>
  <si>
    <t>Recycling Services</t>
  </si>
  <si>
    <t>Reticulation Water</t>
  </si>
  <si>
    <t>Funds &amp; Reserves</t>
  </si>
  <si>
    <t>Actuarial Gains</t>
  </si>
  <si>
    <t>Government Grants &amp; Subsidies</t>
  </si>
  <si>
    <t>MIG</t>
  </si>
  <si>
    <t>Traffic</t>
  </si>
  <si>
    <t>Pre Audit Outcome</t>
  </si>
  <si>
    <t>Total Service charges - sanitation revenue</t>
  </si>
  <si>
    <t>Total Service charges - water revenue</t>
  </si>
  <si>
    <t>Total Service charges - electricity revenue</t>
  </si>
  <si>
    <t>Vote1 - Executive and Council</t>
  </si>
  <si>
    <t>Vote2 - Budget and Treasury Office</t>
  </si>
  <si>
    <t>Vote3 - Corporate Services</t>
  </si>
  <si>
    <t>Vote4 - Community and Social Services</t>
  </si>
  <si>
    <t>Vote5 - Sport and Recreation</t>
  </si>
  <si>
    <t>Vote6 - Public Safety</t>
  </si>
  <si>
    <t>Vote7 - Road Transport</t>
  </si>
  <si>
    <t>Vote8 - Electricity</t>
  </si>
  <si>
    <t>Vote10 - Waste Water Management</t>
  </si>
  <si>
    <t>Vote9 - Water</t>
  </si>
  <si>
    <t>Vote11 - Waste Management</t>
  </si>
  <si>
    <t>Vote12 - Environmental Protection</t>
  </si>
  <si>
    <t>Vote13 - Other</t>
  </si>
  <si>
    <t>Sports Fields &amp; stadia</t>
  </si>
  <si>
    <t>Valuation Roll Reserve</t>
  </si>
  <si>
    <t>Long Service Awards</t>
  </si>
  <si>
    <t>N/A</t>
  </si>
  <si>
    <t xml:space="preserve">  Finance Management</t>
  </si>
  <si>
    <t>Soccer 2010</t>
  </si>
  <si>
    <t xml:space="preserve">  Municipal Infrastructure (MIG)</t>
  </si>
  <si>
    <t>Equitable Share</t>
  </si>
  <si>
    <t>FMG</t>
  </si>
  <si>
    <t>MSIG</t>
  </si>
  <si>
    <t xml:space="preserve">July </t>
  </si>
  <si>
    <t>September</t>
  </si>
  <si>
    <t xml:space="preserve">March </t>
  </si>
  <si>
    <t xml:space="preserve">April </t>
  </si>
  <si>
    <t xml:space="preserve">May </t>
  </si>
  <si>
    <t>Councillor Check</t>
  </si>
  <si>
    <t>Employee Related Cost Check</t>
  </si>
  <si>
    <t xml:space="preserve">Males </t>
  </si>
  <si>
    <t>Females</t>
  </si>
  <si>
    <t>Health Services</t>
  </si>
  <si>
    <t>Planning &amp; Development</t>
  </si>
  <si>
    <t>Public Works</t>
  </si>
  <si>
    <t>Roads and Stormwater Drainage</t>
  </si>
  <si>
    <t>Commonage</t>
  </si>
  <si>
    <t>Sunrise</t>
  </si>
  <si>
    <t>Budget &amp; Treasury</t>
  </si>
  <si>
    <t>Licences</t>
  </si>
  <si>
    <t>Administration</t>
  </si>
  <si>
    <t>Management Services</t>
  </si>
  <si>
    <t>Buildings and Offices</t>
  </si>
  <si>
    <t>Municipal Staff Housing</t>
  </si>
  <si>
    <t>Community &amp; Social Services</t>
  </si>
  <si>
    <t>Cemetries</t>
  </si>
  <si>
    <t>Aerodome</t>
  </si>
  <si>
    <t>Abbatoir</t>
  </si>
  <si>
    <t>Executive &amp; Council</t>
  </si>
  <si>
    <t>Fire Brigade</t>
  </si>
  <si>
    <t>Sport &amp; Recreation</t>
  </si>
  <si>
    <t>Parks and Recreation</t>
  </si>
  <si>
    <t>Sewerage and Sanitation</t>
  </si>
  <si>
    <t>Cleansing</t>
  </si>
  <si>
    <t>1010/0010/0000</t>
  </si>
  <si>
    <t>SALARIES ;</t>
  </si>
  <si>
    <t>1010/0030/0000</t>
  </si>
  <si>
    <t>BARGAINING COUNCIL LEVY;</t>
  </si>
  <si>
    <t>1010/0050/0000</t>
  </si>
  <si>
    <t>PENSIONS CONTRIBUTIONS;</t>
  </si>
  <si>
    <t>1010/0060/0000</t>
  </si>
  <si>
    <t>UIF;</t>
  </si>
  <si>
    <t>1010/0070/0000</t>
  </si>
  <si>
    <t>GROUP LIFE;</t>
  </si>
  <si>
    <t>1010/0140/0000</t>
  </si>
  <si>
    <t>BONUS;</t>
  </si>
  <si>
    <t>1010/0520/0000</t>
  </si>
  <si>
    <t>INSURANCE COST;</t>
  </si>
  <si>
    <t>1010/0650/0000</t>
  </si>
  <si>
    <t>TRAINING;</t>
  </si>
  <si>
    <t>1010/0790/0000</t>
  </si>
  <si>
    <t>TRAVELLING,  ACCOMODATION ET</t>
  </si>
  <si>
    <t>1010/1410/0000</t>
  </si>
  <si>
    <t>SAFETY CLOTHES;</t>
  </si>
  <si>
    <t>1010/1440/0000</t>
  </si>
  <si>
    <t>DEPRECIATION;</t>
  </si>
  <si>
    <t>1010/3510/0000</t>
  </si>
  <si>
    <t>GENERAL MAINTENANCE AND REPA</t>
  </si>
  <si>
    <t>1010/5500/0000</t>
  </si>
  <si>
    <t>HIRE;</t>
  </si>
  <si>
    <t>1010/5820/0000</t>
  </si>
  <si>
    <t>SUBSIDIES;</t>
  </si>
  <si>
    <t>1010/6540/0000</t>
  </si>
  <si>
    <t>CONTR: POSTPONE DEPREC  AFF;</t>
  </si>
  <si>
    <t>1020/0010/0000</t>
  </si>
  <si>
    <t>1020/0020/0000</t>
  </si>
  <si>
    <t>WAGES;</t>
  </si>
  <si>
    <t>1020/0030/0000</t>
  </si>
  <si>
    <t>1020/0040/0000</t>
  </si>
  <si>
    <t>MEDICAL CONTRIBUTIONS;</t>
  </si>
  <si>
    <t>1020/0050/0000</t>
  </si>
  <si>
    <t>1020/0060/0000</t>
  </si>
  <si>
    <t>1020/0080/0000</t>
  </si>
  <si>
    <t>HOUSING SUBSIDY;</t>
  </si>
  <si>
    <t>1020/0100/0000</t>
  </si>
  <si>
    <t>LEAVE GRATIFICATION FUND;</t>
  </si>
  <si>
    <t>1020/0140/0000</t>
  </si>
  <si>
    <t>1020/0150/0000</t>
  </si>
  <si>
    <t>MOTORVECHICLE ALLOWANCE;</t>
  </si>
  <si>
    <t>1020/0170/0000</t>
  </si>
  <si>
    <t>OVERTIME PAYMENT;</t>
  </si>
  <si>
    <t>1020/0200/0000</t>
  </si>
  <si>
    <t>TELEPHONE ALLOWANCES;</t>
  </si>
  <si>
    <t>1020/0210/0000</t>
  </si>
  <si>
    <t>ASSISTANCE ALLOWANCE;</t>
  </si>
  <si>
    <t>1020/0520/0000</t>
  </si>
  <si>
    <t>1020/0570/0000</t>
  </si>
  <si>
    <t>TELEPHONE , FAX &amp; POSTAGE;</t>
  </si>
  <si>
    <t>1020/0610/0000</t>
  </si>
  <si>
    <t>RENT PAID PIXLEY KA SEME;</t>
  </si>
  <si>
    <t>1020/0650/0000</t>
  </si>
  <si>
    <t>1020/0690/0000</t>
  </si>
  <si>
    <t>FUEL;</t>
  </si>
  <si>
    <t>1020/0700/0000</t>
  </si>
  <si>
    <t>TYRES;</t>
  </si>
  <si>
    <t>1020/0710/0000</t>
  </si>
  <si>
    <t>VECHICLE LICENCES;</t>
  </si>
  <si>
    <t>1020/0790/0000</t>
  </si>
  <si>
    <t>1020/1090/0000</t>
  </si>
  <si>
    <t>DEPARTEMENTAL WATER;</t>
  </si>
  <si>
    <t>1020/1100/0000</t>
  </si>
  <si>
    <t>DEPARTEMENTAL ELECTRICITY;</t>
  </si>
  <si>
    <t>1020/1110/0000</t>
  </si>
  <si>
    <t>DEPART SEWERAGE AND SANITATI</t>
  </si>
  <si>
    <t>1020/1120/0000</t>
  </si>
  <si>
    <t>DEPARTEMENTAL CLEANSING;</t>
  </si>
  <si>
    <t>1020/1170/0000</t>
  </si>
  <si>
    <t>FIRST AID KIDS;</t>
  </si>
  <si>
    <t>1020/1310/0000</t>
  </si>
  <si>
    <t>LOSS ON DISPOSALOF P, P AND</t>
  </si>
  <si>
    <t>1020/1410/0000</t>
  </si>
  <si>
    <t>1020/1440/0000</t>
  </si>
  <si>
    <t>1020/3510/0000</t>
  </si>
  <si>
    <t>1020/3520/0000</t>
  </si>
  <si>
    <t>VEHICLE REPAIRS;</t>
  </si>
  <si>
    <t>1020/4110/0000</t>
  </si>
  <si>
    <t>INTEREST &amp; REDEMPTION;</t>
  </si>
  <si>
    <t>1020/4120/0000</t>
  </si>
  <si>
    <t>CAPITAL &amp; EQUIPMENT;</t>
  </si>
  <si>
    <t>1020/5000/0000</t>
  </si>
  <si>
    <t>Grant expenditure</t>
  </si>
  <si>
    <t>1020/5020/0000</t>
  </si>
  <si>
    <t>Grants received</t>
  </si>
  <si>
    <t>1020/5040/0000</t>
  </si>
  <si>
    <t>Stock Adjustments</t>
  </si>
  <si>
    <t>1020/5060/0000</t>
  </si>
  <si>
    <t>BUILDING SCHEMES/PLANS;</t>
  </si>
  <si>
    <t>1020/5240/0000</t>
  </si>
  <si>
    <t>ENCROACHMENTS;</t>
  </si>
  <si>
    <t>1020/5260/0000</t>
  </si>
  <si>
    <t>ERF VERKOPE;</t>
  </si>
  <si>
    <t>1020/5430/0000</t>
  </si>
  <si>
    <t>HIRE OF MUN VECH &amp; MACHINERY</t>
  </si>
  <si>
    <t>1020/5730/0000</t>
  </si>
  <si>
    <t>SAND AND STONE SALES;</t>
  </si>
  <si>
    <t>1020/6140/0000</t>
  </si>
  <si>
    <t>CAR INSURANCE;</t>
  </si>
  <si>
    <t>1020/6410/0000</t>
  </si>
  <si>
    <t>WOOD SALES;</t>
  </si>
  <si>
    <t>1020/6470/0000</t>
  </si>
  <si>
    <t>GAIN ON DISPOSAL P, P AND EQ</t>
  </si>
  <si>
    <t>1030/0010/0000</t>
  </si>
  <si>
    <t>1030/0030/0000</t>
  </si>
  <si>
    <t>1030/0040/0000</t>
  </si>
  <si>
    <t>1030/0050/0000</t>
  </si>
  <si>
    <t>1030/0060/0000</t>
  </si>
  <si>
    <t>1030/0070/0000</t>
  </si>
  <si>
    <t>1030/0080/0000</t>
  </si>
  <si>
    <t>1030/0090/0000</t>
  </si>
  <si>
    <t>1030/0100/0000</t>
  </si>
  <si>
    <t>1030/0140/0000</t>
  </si>
  <si>
    <t>1030/0170/0000</t>
  </si>
  <si>
    <t>1030/0510/0000</t>
  </si>
  <si>
    <t>STATIONARY &amp; PRINTING;</t>
  </si>
  <si>
    <t>1030/0520/0000</t>
  </si>
  <si>
    <t>1030/0570/0000</t>
  </si>
  <si>
    <t>1030/0650/0000</t>
  </si>
  <si>
    <t>1030/0690/0000</t>
  </si>
  <si>
    <t>1030/0710/0000</t>
  </si>
  <si>
    <t>1030/0730/0000</t>
  </si>
  <si>
    <t>SABS FEES;</t>
  </si>
  <si>
    <t>1030/0740/0000</t>
  </si>
  <si>
    <t>ROAD SIGNS;</t>
  </si>
  <si>
    <t>1030/0790/0000</t>
  </si>
  <si>
    <t>1030/1090/0000</t>
  </si>
  <si>
    <t>1030/1100/0000</t>
  </si>
  <si>
    <t>1030/1110/0000</t>
  </si>
  <si>
    <t>1030/1410/0000</t>
  </si>
  <si>
    <t>1030/1468/0000</t>
  </si>
  <si>
    <t>SOL PLAATJE TRAFFIC SYSTEMS;</t>
  </si>
  <si>
    <t>1030/1472/0000</t>
  </si>
  <si>
    <t>PRODIBA FEES;</t>
  </si>
  <si>
    <t>1030/1473/0000</t>
  </si>
  <si>
    <t>SECURITY SERVISES;</t>
  </si>
  <si>
    <t>1030/3510/0000</t>
  </si>
  <si>
    <t>1030/4120/0000</t>
  </si>
  <si>
    <t>1030/5110/0000</t>
  </si>
  <si>
    <t>TRAFFIC FINES ;</t>
  </si>
  <si>
    <t>1030/5160/0000</t>
  </si>
  <si>
    <t>COURT FINES;</t>
  </si>
  <si>
    <t>1030/5180/0000</t>
  </si>
  <si>
    <t>DUPLICATE REG SERTIFICATES;</t>
  </si>
  <si>
    <t>1030/5610/0000</t>
  </si>
  <si>
    <t>MOTORVECHICLE REGISTRATION;</t>
  </si>
  <si>
    <t>1030/5790/0000</t>
  </si>
  <si>
    <t>SPECIAL PERMITS;</t>
  </si>
  <si>
    <t>1030/5880/0000</t>
  </si>
  <si>
    <t>VECHICLE FITNESS CERTIFICATE</t>
  </si>
  <si>
    <t>1030/6100/0000</t>
  </si>
  <si>
    <t>MOTORVEHICLE LICENCE;</t>
  </si>
  <si>
    <t>1030/6110/0000</t>
  </si>
  <si>
    <t>SPECIFIC REGISTRATION;</t>
  </si>
  <si>
    <t>1030/6120/0000</t>
  </si>
  <si>
    <t>TEMPORARY PERMIT;</t>
  </si>
  <si>
    <t>1030/6593/0000</t>
  </si>
  <si>
    <t>TRAFFIC FINES SEC 56;</t>
  </si>
  <si>
    <t>1030/6594/0000</t>
  </si>
  <si>
    <t>CONTEMPT OF COURT;</t>
  </si>
  <si>
    <t>1030/6595/0000</t>
  </si>
  <si>
    <t>RENTAL GROUNDS TESTING;</t>
  </si>
  <si>
    <t>1030/6596/0000</t>
  </si>
  <si>
    <t>ID CARD DRIVERS LICENSES;</t>
  </si>
  <si>
    <t>1030/6597/0000</t>
  </si>
  <si>
    <t>PROFESSIONAL DRIVERS LICENSE</t>
  </si>
  <si>
    <t>1030/6598/0000</t>
  </si>
  <si>
    <t>TESTING LEARNERS &amp; DRIVERS L</t>
  </si>
  <si>
    <t>1040/0010/0000</t>
  </si>
  <si>
    <t>1040/0020/0000</t>
  </si>
  <si>
    <t>1040/0030/0000</t>
  </si>
  <si>
    <t>1040/0040/0000</t>
  </si>
  <si>
    <t>1040/0050/0000</t>
  </si>
  <si>
    <t>1040/0060/0000</t>
  </si>
  <si>
    <t>1040/0080/0000</t>
  </si>
  <si>
    <t>1040/0090/0000</t>
  </si>
  <si>
    <t>1040/0100/0000</t>
  </si>
  <si>
    <t>1040/0140/0000</t>
  </si>
  <si>
    <t>1040/0150/0000</t>
  </si>
  <si>
    <t>1040/0170/0000</t>
  </si>
  <si>
    <t>1040/0200/0000</t>
  </si>
  <si>
    <t>1040/0510/0000</t>
  </si>
  <si>
    <t>1040/0520/0000</t>
  </si>
  <si>
    <t>1040/0530/0000</t>
  </si>
  <si>
    <t>BANK COSTS;</t>
  </si>
  <si>
    <t>1040/0540/0000</t>
  </si>
  <si>
    <t>SUNDRIES;</t>
  </si>
  <si>
    <t>1040/0550/0000</t>
  </si>
  <si>
    <t>AUDIT FEES;</t>
  </si>
  <si>
    <t>1040/0570/0000</t>
  </si>
  <si>
    <t>1040/0590/0000</t>
  </si>
  <si>
    <t>REGISTRAR OF DEEDS;</t>
  </si>
  <si>
    <t>1040/0630/0000</t>
  </si>
  <si>
    <t>TOURISM;</t>
  </si>
  <si>
    <t>1040/0650/0000</t>
  </si>
  <si>
    <t>1040/0690/0000</t>
  </si>
  <si>
    <t>1040/0700/0000</t>
  </si>
  <si>
    <t>1040/0710/0000</t>
  </si>
  <si>
    <t>1040/0790/0000</t>
  </si>
  <si>
    <t>1040/0990/0000</t>
  </si>
  <si>
    <t>TURBO MUNEX LICENCE;</t>
  </si>
  <si>
    <t>1040/1080/0000</t>
  </si>
  <si>
    <t>DISIPLINARY HEARINGS;</t>
  </si>
  <si>
    <t>1040/1090/0000</t>
  </si>
  <si>
    <t>1040/1100/0000</t>
  </si>
  <si>
    <t>1040/1110/0000</t>
  </si>
  <si>
    <t>1040/1120/0000</t>
  </si>
  <si>
    <t>1040/1170/0000</t>
  </si>
  <si>
    <t>1040/1180/0000</t>
  </si>
  <si>
    <t>CONGRESS AND SEMINAR FEES;</t>
  </si>
  <si>
    <t>1040/1190/0000</t>
  </si>
  <si>
    <t>FINANCIAL MANAGEMENT GRANT;</t>
  </si>
  <si>
    <t>1040/1330/0000</t>
  </si>
  <si>
    <t>STOCK AND MATERIAL;</t>
  </si>
  <si>
    <t>1040/1410/0000</t>
  </si>
  <si>
    <t>1040/1440/0000</t>
  </si>
  <si>
    <t>1040/1450/0000</t>
  </si>
  <si>
    <t>AMORTISATION - INTANGIBLES</t>
  </si>
  <si>
    <t>1040/1467/0000</t>
  </si>
  <si>
    <t>RENT - TOSHIBA;</t>
  </si>
  <si>
    <t>1040/1469/0000</t>
  </si>
  <si>
    <t>RENT COPIER;</t>
  </si>
  <si>
    <t>1040/3510/0000</t>
  </si>
  <si>
    <t>1040/3520/0000</t>
  </si>
  <si>
    <t>1040/3540/0000</t>
  </si>
  <si>
    <t>COMPUTER &amp; COPIER MAINTENANC</t>
  </si>
  <si>
    <t>1040/4110/0000</t>
  </si>
  <si>
    <t>1040/4120/0000</t>
  </si>
  <si>
    <t>1040/4360/0000</t>
  </si>
  <si>
    <t>CONTRIBUTION TO REVOLVING FU</t>
  </si>
  <si>
    <t>1040/4380/0000</t>
  </si>
  <si>
    <t>CONTR LEAVE RESERVE;</t>
  </si>
  <si>
    <t>1040/5000/0000</t>
  </si>
  <si>
    <t>1040/5020/0000</t>
  </si>
  <si>
    <t>1040/5030/0000</t>
  </si>
  <si>
    <t>1040/5270/0000</t>
  </si>
  <si>
    <t>FAX &amp; TELEPHONE (TO PUBLIC);</t>
  </si>
  <si>
    <t>1040/5640/0000</t>
  </si>
  <si>
    <t>PHOTOCOPIES;</t>
  </si>
  <si>
    <t>1040/5840/0000</t>
  </si>
  <si>
    <t>SURPLUS CASH;</t>
  </si>
  <si>
    <t>1040/5870/0000</t>
  </si>
  <si>
    <t>VALUATION CERTIFICATES;</t>
  </si>
  <si>
    <t>1040/6270/0000</t>
  </si>
  <si>
    <t>HOUSE SALES;</t>
  </si>
  <si>
    <t>1040/6340/0000</t>
  </si>
  <si>
    <t>HAWKERS;</t>
  </si>
  <si>
    <t>1040/6420/0000</t>
  </si>
  <si>
    <t>SUNDRIES INCOME;</t>
  </si>
  <si>
    <t>1040/6500/0000</t>
  </si>
  <si>
    <t>CONTRIBUTIONS FROM PROVISION</t>
  </si>
  <si>
    <t>1040/6591/0000</t>
  </si>
  <si>
    <t>SKILLS DEVELOPMENT FUND;</t>
  </si>
  <si>
    <t>1050/3510/0000</t>
  </si>
  <si>
    <t>1050/5320/0000</t>
  </si>
  <si>
    <t>GRAVE SALES;</t>
  </si>
  <si>
    <t>1060/0010/0000</t>
  </si>
  <si>
    <t>1060/0020/0000</t>
  </si>
  <si>
    <t>1060/0030/0000</t>
  </si>
  <si>
    <t>1060/0040/0000</t>
  </si>
  <si>
    <t>1060/0050/0000</t>
  </si>
  <si>
    <t>1060/0060/0000</t>
  </si>
  <si>
    <t>1060/0100/0000</t>
  </si>
  <si>
    <t>1060/0140/0000</t>
  </si>
  <si>
    <t>1060/0170/0000</t>
  </si>
  <si>
    <t>1060/0210/0000</t>
  </si>
  <si>
    <t>1060/0690/0000</t>
  </si>
  <si>
    <t>1060/0780/0000</t>
  </si>
  <si>
    <t>DISASTER MANAGEMENT;</t>
  </si>
  <si>
    <t>1060/1410/0000</t>
  </si>
  <si>
    <t>1060/1440/0000</t>
  </si>
  <si>
    <t>1060/3510/0000</t>
  </si>
  <si>
    <t>1060/3520/0000</t>
  </si>
  <si>
    <t>1060/5430/0000</t>
  </si>
  <si>
    <t>1070/0010/0000</t>
  </si>
  <si>
    <t>Salaries;</t>
  </si>
  <si>
    <t>1070/0750/0000</t>
  </si>
  <si>
    <t>PURCHASE OF GAME &amp; FEED;</t>
  </si>
  <si>
    <t>1070/3510/0000</t>
  </si>
  <si>
    <t>1070/5200/0000</t>
  </si>
  <si>
    <t>Fair value adjustments - biological assets</t>
  </si>
  <si>
    <t>1070/5480/0000</t>
  </si>
  <si>
    <t>HIRE OF WILD ANIMAL NETS;</t>
  </si>
  <si>
    <t>1070/5960/0000</t>
  </si>
  <si>
    <t>WILD ANIMAL NETS;</t>
  </si>
  <si>
    <t>1070/6330/0000</t>
  </si>
  <si>
    <t>VENSION SALES;</t>
  </si>
  <si>
    <t>1080/0520/0000</t>
  </si>
  <si>
    <t>1080/0680/0000</t>
  </si>
  <si>
    <t>MEMBERSHIP FEES;</t>
  </si>
  <si>
    <t>1080/1440/0000</t>
  </si>
  <si>
    <t>1080/3510/0000</t>
  </si>
  <si>
    <t>1080/5410/0000</t>
  </si>
  <si>
    <t>HIRE OF MUN BUILDINGS;</t>
  </si>
  <si>
    <t>1080/6260/0000</t>
  </si>
  <si>
    <t>AIRSTRIP FEES;</t>
  </si>
  <si>
    <t>1090/0520/0000</t>
  </si>
  <si>
    <t>1090/0540/0000</t>
  </si>
  <si>
    <t>1090/0570/0000</t>
  </si>
  <si>
    <t>1090/0650/0000</t>
  </si>
  <si>
    <t>1090/0680/0000</t>
  </si>
  <si>
    <t>1090/0690/0000</t>
  </si>
  <si>
    <t>1090/0790/0000</t>
  </si>
  <si>
    <t>1090/0810/0000</t>
  </si>
  <si>
    <t>PUBLICITY &amp; ADVERTISEMENT;</t>
  </si>
  <si>
    <t>1090/0820/0000</t>
  </si>
  <si>
    <t>PUBLIC FUNCTIONS;</t>
  </si>
  <si>
    <t>1090/0830/0000</t>
  </si>
  <si>
    <t>LEGAL EXPENSES;</t>
  </si>
  <si>
    <t>1090/0980/0000</t>
  </si>
  <si>
    <t>SKILLS DEVELOPMENT LEVY;</t>
  </si>
  <si>
    <t>1090/1000/0000</t>
  </si>
  <si>
    <t>Project Expenditure - Own Funds</t>
  </si>
  <si>
    <t>1090/1010/0000</t>
  </si>
  <si>
    <t>PAUPERS FUNERALS;</t>
  </si>
  <si>
    <t>1090/1011/0000</t>
  </si>
  <si>
    <t>WERKSKEPPING;</t>
  </si>
  <si>
    <t>1090/1040/0000</t>
  </si>
  <si>
    <t>HIV AIDS;</t>
  </si>
  <si>
    <t>1090/1050/0000</t>
  </si>
  <si>
    <t>COUNCILLORS ALLOWANCE;</t>
  </si>
  <si>
    <t>1090/1070/0000</t>
  </si>
  <si>
    <t>MEDICAL CONTRI CONT MEMBERS;</t>
  </si>
  <si>
    <t>1090/1130/0000</t>
  </si>
  <si>
    <t>COUNCILLORS PENSION;</t>
  </si>
  <si>
    <t>1090/1180/0000</t>
  </si>
  <si>
    <t>1090/1440/0000</t>
  </si>
  <si>
    <t>1090/1463/0000</t>
  </si>
  <si>
    <t>MAYORAL ENTERTAINMENT FUND;</t>
  </si>
  <si>
    <t>1090/1464/0000</t>
  </si>
  <si>
    <t>ENTERTAINMENT CUP FUND;</t>
  </si>
  <si>
    <t>1090/1476/0000</t>
  </si>
  <si>
    <t>CONTRIBUTION TO WOMAN LEAGUE</t>
  </si>
  <si>
    <t>1090/4120/0000</t>
  </si>
  <si>
    <t>1090/4390/0000</t>
  </si>
  <si>
    <t>PROVISION FOR BAD DEBTS;</t>
  </si>
  <si>
    <t>1090/5680/0000</t>
  </si>
  <si>
    <t>PUBLIC DONATIONS;</t>
  </si>
  <si>
    <t>1090/5820/0000</t>
  </si>
  <si>
    <t>1100/0010/0000</t>
  </si>
  <si>
    <t>1100/0520/0000</t>
  </si>
  <si>
    <t>1100/1090/0000</t>
  </si>
  <si>
    <t>1100/1440/0000</t>
  </si>
  <si>
    <t>1100/3510/0000</t>
  </si>
  <si>
    <t>1100/6360/0000</t>
  </si>
  <si>
    <t>RENT ABBATIOR;</t>
  </si>
  <si>
    <t>1110/1220/0000</t>
  </si>
  <si>
    <t>PROPERTY RATES REBATED;</t>
  </si>
  <si>
    <t>1110/1474/0000</t>
  </si>
  <si>
    <t>REVISE VALUATIONS;</t>
  </si>
  <si>
    <t>1110/4350/0000</t>
  </si>
  <si>
    <t>CONTRIBUTION TO WORK CAP RES</t>
  </si>
  <si>
    <t>1110/5670/0000</t>
  </si>
  <si>
    <t>PROPERTY RATES AND TAXES;</t>
  </si>
  <si>
    <t>1120/0010/0000</t>
  </si>
  <si>
    <t>1120/0020/0000</t>
  </si>
  <si>
    <t>Wages;</t>
  </si>
  <si>
    <t>1120/0030/0000</t>
  </si>
  <si>
    <t>1120/0040/0000</t>
  </si>
  <si>
    <t>1120/0050/0000</t>
  </si>
  <si>
    <t>1120/0060/0000</t>
  </si>
  <si>
    <t>1120/0080/0000</t>
  </si>
  <si>
    <t>1120/0100/0000</t>
  </si>
  <si>
    <t>1120/0140/0000</t>
  </si>
  <si>
    <t>1120/0150/0000</t>
  </si>
  <si>
    <t>1120/0170/0000</t>
  </si>
  <si>
    <t>1120/0200/0000</t>
  </si>
  <si>
    <t>1120/0510/0000</t>
  </si>
  <si>
    <t>1120/0520/0000</t>
  </si>
  <si>
    <t>1120/0570/0000</t>
  </si>
  <si>
    <t>1120/0650/0000</t>
  </si>
  <si>
    <t>1120/0790/0000</t>
  </si>
  <si>
    <t>1120/1180/0000</t>
  </si>
  <si>
    <t>1120/1440/0000</t>
  </si>
  <si>
    <t>1120/1470/0000</t>
  </si>
  <si>
    <t>ENTERTAINMENT FUND;</t>
  </si>
  <si>
    <t>1120/5000/0000</t>
  </si>
  <si>
    <t>1120/5020/0000</t>
  </si>
  <si>
    <t>1130/0010/0000</t>
  </si>
  <si>
    <t>1130/0020/0000</t>
  </si>
  <si>
    <t>1130/0030/0000</t>
  </si>
  <si>
    <t>1130/0040/0000</t>
  </si>
  <si>
    <t>1130/0050/0000</t>
  </si>
  <si>
    <t>1130/0060/0000</t>
  </si>
  <si>
    <t>1130/0070/0000</t>
  </si>
  <si>
    <t>1130/0080/0000</t>
  </si>
  <si>
    <t>1130/0100/0000</t>
  </si>
  <si>
    <t>1130/0140/0000</t>
  </si>
  <si>
    <t>1130/0150/0000</t>
  </si>
  <si>
    <t>1130/0170/0000</t>
  </si>
  <si>
    <t>1130/0200/0000</t>
  </si>
  <si>
    <t>1130/0300/0001</t>
  </si>
  <si>
    <t>Long service awards - Contribution</t>
  </si>
  <si>
    <t>1130/0300/0002</t>
  </si>
  <si>
    <t>Long service awards - Finance charge</t>
  </si>
  <si>
    <t>1130/0300/0003</t>
  </si>
  <si>
    <t>Long service awards - Actuarial Gain</t>
  </si>
  <si>
    <t>1130/0300/0004</t>
  </si>
  <si>
    <t>Long service awards - Actuarial Loss</t>
  </si>
  <si>
    <t>1130/0310/0001</t>
  </si>
  <si>
    <t>Post retirement health - Contribution</t>
  </si>
  <si>
    <t>1130/0310/0002</t>
  </si>
  <si>
    <t>Post retirement health - Finance charge</t>
  </si>
  <si>
    <t>1130/0310/0003</t>
  </si>
  <si>
    <t>Post retirement health - Actuarial Gain</t>
  </si>
  <si>
    <t>1130/0310/0004</t>
  </si>
  <si>
    <t>Post retirement health - Actuarial Loss</t>
  </si>
  <si>
    <t>1130/0510/0000</t>
  </si>
  <si>
    <t>1130/0520/0000</t>
  </si>
  <si>
    <t>1130/0530/0000</t>
  </si>
  <si>
    <t>1130/0550/0000</t>
  </si>
  <si>
    <t>1130/0570/0000</t>
  </si>
  <si>
    <t>1130/0600/0000</t>
  </si>
  <si>
    <t>CREDIT CONTROLE;</t>
  </si>
  <si>
    <t>1130/0620/0000</t>
  </si>
  <si>
    <t>WORKMAN'S COMPENSATION FUND;</t>
  </si>
  <si>
    <t>1130/0650/0000</t>
  </si>
  <si>
    <t>1130/0690/0000</t>
  </si>
  <si>
    <t>1130/0700/0000</t>
  </si>
  <si>
    <t>1130/0710/0000</t>
  </si>
  <si>
    <t>1130/0780/0000</t>
  </si>
  <si>
    <t>1130/0790/0000</t>
  </si>
  <si>
    <t>1130/0990/0000</t>
  </si>
  <si>
    <t>1130/1000/0000</t>
  </si>
  <si>
    <t>1130/1160/0000</t>
  </si>
  <si>
    <t>MENTORS;</t>
  </si>
  <si>
    <t>1130/1190/0000</t>
  </si>
  <si>
    <t>PROFESIONAL AND CONSULTANT F</t>
  </si>
  <si>
    <t>1130/1260/0000</t>
  </si>
  <si>
    <t>DEBT COLLECTION COSTS;</t>
  </si>
  <si>
    <t>1130/1310/0000</t>
  </si>
  <si>
    <t>1130/1370/0000</t>
  </si>
  <si>
    <t>SUBSIDY: FREE PARAFFIN HAMPE</t>
  </si>
  <si>
    <t>1130/1410/0000</t>
  </si>
  <si>
    <t>1130/1440/0000</t>
  </si>
  <si>
    <t>1130/1461/0000</t>
  </si>
  <si>
    <t>M S I  PROGRAMME;</t>
  </si>
  <si>
    <t>1130/1471/0000</t>
  </si>
  <si>
    <t>Interest Paid -Creditors;</t>
  </si>
  <si>
    <t>1130/3510/0000</t>
  </si>
  <si>
    <t>1130/3520/0000</t>
  </si>
  <si>
    <t>1130/3540/0000</t>
  </si>
  <si>
    <t>1130/4120/0000</t>
  </si>
  <si>
    <t>1130/5000/0000</t>
  </si>
  <si>
    <t>1130/5020/0000</t>
  </si>
  <si>
    <t>1130/5030/0000</t>
  </si>
  <si>
    <t>1130/5100/0000</t>
  </si>
  <si>
    <t>COMM: RECOVER;</t>
  </si>
  <si>
    <t>1130/5250/0000</t>
  </si>
  <si>
    <t>EQUITABLE SHARE ALLOCATION;</t>
  </si>
  <si>
    <t>1130/5270/0000</t>
  </si>
  <si>
    <t>1130/5540/0000</t>
  </si>
  <si>
    <t>INTEREST EXTERNAL INVESTMENT</t>
  </si>
  <si>
    <t>1130/5580/0000</t>
  </si>
  <si>
    <t>LOOK-UP FEES;</t>
  </si>
  <si>
    <t>1130/5640/0000</t>
  </si>
  <si>
    <t>1130/5840/0000</t>
  </si>
  <si>
    <t>1130/5860/0000</t>
  </si>
  <si>
    <t>RENT MTN TOWER;</t>
  </si>
  <si>
    <t>1130/5861/0000</t>
  </si>
  <si>
    <t>SMOOTHING OF RENTAL INCOME</t>
  </si>
  <si>
    <t>1130/5870/0000</t>
  </si>
  <si>
    <t>1130/5990/0000</t>
  </si>
  <si>
    <t>INTEREST ON SERVICES;</t>
  </si>
  <si>
    <t>1130/6140/0000</t>
  </si>
  <si>
    <t>INSURANCE RECEIPTS</t>
  </si>
  <si>
    <t>1130/6240/0000</t>
  </si>
  <si>
    <t>LOXTON RPA - PURCHASES;</t>
  </si>
  <si>
    <t>1130/6250/0000</t>
  </si>
  <si>
    <t>LOXTON RPA - INCOME;</t>
  </si>
  <si>
    <t>1130/6340/0000</t>
  </si>
  <si>
    <t>1130/6420/0000</t>
  </si>
  <si>
    <t>1130/6430/0000</t>
  </si>
  <si>
    <t>COLLECTION COSTS;</t>
  </si>
  <si>
    <t>1130/6481/0000</t>
  </si>
  <si>
    <t>M S I PROGRAMME;</t>
  </si>
  <si>
    <t>1200/0520/0000</t>
  </si>
  <si>
    <t>1200/0650/0000</t>
  </si>
  <si>
    <t>1200/0690/0000</t>
  </si>
  <si>
    <t>1200/0700/0000</t>
  </si>
  <si>
    <t>1200/0710/0000</t>
  </si>
  <si>
    <t>1200/0780/0000</t>
  </si>
  <si>
    <t>1200/1410/0000</t>
  </si>
  <si>
    <t>1200/1440/0000</t>
  </si>
  <si>
    <t>1200/3510/0000</t>
  </si>
  <si>
    <t>1200/3520/0000</t>
  </si>
  <si>
    <t>1200/4110/0000</t>
  </si>
  <si>
    <t>1200/5300/0000</t>
  </si>
  <si>
    <t>FIRE BRIGADE FEES;</t>
  </si>
  <si>
    <t>1210/0010/0000</t>
  </si>
  <si>
    <t>1210/0020/0000</t>
  </si>
  <si>
    <t>1210/0030/0000</t>
  </si>
  <si>
    <t>1210/0040/0000</t>
  </si>
  <si>
    <t>1210/0050/0000</t>
  </si>
  <si>
    <t>1210/0060/0000</t>
  </si>
  <si>
    <t>1210/0070/0000</t>
  </si>
  <si>
    <t>1210/0080/0000</t>
  </si>
  <si>
    <t>1210/0140/0000</t>
  </si>
  <si>
    <t>1210/0510/0000</t>
  </si>
  <si>
    <t>1210/0520/0000</t>
  </si>
  <si>
    <t>1210/0570/0000</t>
  </si>
  <si>
    <t>1210/0670/0000</t>
  </si>
  <si>
    <t>LOST BOOKS;</t>
  </si>
  <si>
    <t>1210/1000/0000</t>
  </si>
  <si>
    <t>1210/1440/0000</t>
  </si>
  <si>
    <t>1210/1450/0000</t>
  </si>
  <si>
    <t>LIBRARY PROJECT;</t>
  </si>
  <si>
    <t>1210/3510/0000</t>
  </si>
  <si>
    <t>1210/4120/0000</t>
  </si>
  <si>
    <t>1210/5000/0000</t>
  </si>
  <si>
    <t>1210/5020/0000</t>
  </si>
  <si>
    <t>1210/5280/0000</t>
  </si>
  <si>
    <t>FINES OVERDUE BOOKS;</t>
  </si>
  <si>
    <t>1210/6570/0000</t>
  </si>
  <si>
    <t>1220/0520/0000</t>
  </si>
  <si>
    <t>1220/1000/0000</t>
  </si>
  <si>
    <t>1220/1090/0000</t>
  </si>
  <si>
    <t>1220/1100/0000</t>
  </si>
  <si>
    <t>1220/1110/0000</t>
  </si>
  <si>
    <t>1220/1120/0000</t>
  </si>
  <si>
    <t>1220/1410/0000</t>
  </si>
  <si>
    <t>ADMINISTRATION COSTS;</t>
  </si>
  <si>
    <t>1220/3510/0000</t>
  </si>
  <si>
    <t>1220/5000/0000</t>
  </si>
  <si>
    <t>1220/5020/0000</t>
  </si>
  <si>
    <t>1220/5080/0000</t>
  </si>
  <si>
    <t>CAMPING FEES;</t>
  </si>
  <si>
    <t>1300/0010/0000</t>
  </si>
  <si>
    <t>1300/0020/0000</t>
  </si>
  <si>
    <t>1300/0030/0000</t>
  </si>
  <si>
    <t>1300/0040/0000</t>
  </si>
  <si>
    <t>1300/0050/0000</t>
  </si>
  <si>
    <t>1300/0060/0000</t>
  </si>
  <si>
    <t>1300/0100/0000</t>
  </si>
  <si>
    <t>1300/0140/0000</t>
  </si>
  <si>
    <t>1300/0170/0000</t>
  </si>
  <si>
    <t>1300/0200/0000</t>
  </si>
  <si>
    <t>1300/0210/0000</t>
  </si>
  <si>
    <t>1300/0211/0000</t>
  </si>
  <si>
    <t>ACTING ALLOWANCE;</t>
  </si>
  <si>
    <t>1300/0520/0000</t>
  </si>
  <si>
    <t>1300/0570/0000</t>
  </si>
  <si>
    <t>1300/0690/0000</t>
  </si>
  <si>
    <t>1300/0700/0000</t>
  </si>
  <si>
    <t>1300/0710/0000</t>
  </si>
  <si>
    <t>1300/0790/0000</t>
  </si>
  <si>
    <t>1300/1000/0000</t>
  </si>
  <si>
    <t>1300/1030/0000</t>
  </si>
  <si>
    <t>MEDICAL EXAMS;</t>
  </si>
  <si>
    <t>1300/1090/0000</t>
  </si>
  <si>
    <t>1300/1100/0000</t>
  </si>
  <si>
    <t>1300/1110/0000</t>
  </si>
  <si>
    <t>1300/1140/0000</t>
  </si>
  <si>
    <t>SANITATION DISINFECTANT;</t>
  </si>
  <si>
    <t>1300/1310/0000</t>
  </si>
  <si>
    <t>1300/1360/0000</t>
  </si>
  <si>
    <t>SUBSIDY: FREE BASIC SEWERAGE</t>
  </si>
  <si>
    <t>1300/1410/0000</t>
  </si>
  <si>
    <t>1300/1440/0000</t>
  </si>
  <si>
    <t>1300/3510/0000</t>
  </si>
  <si>
    <t>1300/3520/0000</t>
  </si>
  <si>
    <t>1300/3530/0000</t>
  </si>
  <si>
    <t>VEHICLE SERVICES;</t>
  </si>
  <si>
    <t>1300/4120/0000</t>
  </si>
  <si>
    <t>1300/4130/0000</t>
  </si>
  <si>
    <t>INTEREST EXTERNAL LOAN;</t>
  </si>
  <si>
    <t>1300/4390/0000</t>
  </si>
  <si>
    <t>1300/5000/0000</t>
  </si>
  <si>
    <t>1300/5020/0000</t>
  </si>
  <si>
    <t>1300/5040/0000</t>
  </si>
  <si>
    <t>ADMIN COST SANITATION;</t>
  </si>
  <si>
    <t>1300/5170/0000</t>
  </si>
  <si>
    <t>DRAIN SUCTION SERVICES;</t>
  </si>
  <si>
    <t>1300/5310/0000</t>
  </si>
  <si>
    <t>GARDEN RUBBISH REMOVAL;</t>
  </si>
  <si>
    <t>1300/5490/0000</t>
  </si>
  <si>
    <t>HOUSEHOLD RUBBISH REMOVAL;</t>
  </si>
  <si>
    <t>1300/5620/0000</t>
  </si>
  <si>
    <t>NIGHTSOIL BUCKETS REMOVAL;</t>
  </si>
  <si>
    <t>1300/5760/0000</t>
  </si>
  <si>
    <t>LEVY SEWERAGE SERVICES;</t>
  </si>
  <si>
    <t>1300/5770/0000</t>
  </si>
  <si>
    <t>SEWERAGE L/SCALE;</t>
  </si>
  <si>
    <t>1310/0010/0000</t>
  </si>
  <si>
    <t>1310/0030/0000</t>
  </si>
  <si>
    <t>1310/0050/0000</t>
  </si>
  <si>
    <t>1310/0060/0000</t>
  </si>
  <si>
    <t>1310/0140/0000</t>
  </si>
  <si>
    <t>1310/0520/0000</t>
  </si>
  <si>
    <t>1310/1090/0000</t>
  </si>
  <si>
    <t>1310/1100/0000</t>
  </si>
  <si>
    <t>1310/1110/0000</t>
  </si>
  <si>
    <t>1310/1120/0000</t>
  </si>
  <si>
    <t>1310/1440/0000</t>
  </si>
  <si>
    <t>1310/3510/0000</t>
  </si>
  <si>
    <t>1310/4120/0000</t>
  </si>
  <si>
    <t>1310/5410/0000</t>
  </si>
  <si>
    <t>1310/5420/0000</t>
  </si>
  <si>
    <t>HIRE OF MUNICIPAL  HOUSES;</t>
  </si>
  <si>
    <t>1310/5470/0000</t>
  </si>
  <si>
    <t>HIRE OF TOWNHALL;</t>
  </si>
  <si>
    <t>1310/6592/0000</t>
  </si>
  <si>
    <t>RENT- LAND;</t>
  </si>
  <si>
    <t>1320/0520/0000</t>
  </si>
  <si>
    <t>1320/0770/0000</t>
  </si>
  <si>
    <t>SKUT;</t>
  </si>
  <si>
    <t>1320/1440/0000</t>
  </si>
  <si>
    <t>1320/3510/0000</t>
  </si>
  <si>
    <t>1320/5360/0000</t>
  </si>
  <si>
    <t>HIRE COMMONAGE;</t>
  </si>
  <si>
    <t>1320/5520/0000</t>
  </si>
  <si>
    <t>IMPOUNDING FEES;</t>
  </si>
  <si>
    <t>1320/5940/0000</t>
  </si>
  <si>
    <t>GRAZING;</t>
  </si>
  <si>
    <t>1330/3510/0000</t>
  </si>
  <si>
    <t>GENERAL MAINTENANCE AND RE</t>
  </si>
  <si>
    <t>1360/0010/0000</t>
  </si>
  <si>
    <t>1360/0020/0000</t>
  </si>
  <si>
    <t>1360/0030/0000</t>
  </si>
  <si>
    <t>1360/0040/0000</t>
  </si>
  <si>
    <t>1360/0050/0000</t>
  </si>
  <si>
    <t>1360/0060/0000</t>
  </si>
  <si>
    <t>1360/0080/0000</t>
  </si>
  <si>
    <t>1360/0100/0000</t>
  </si>
  <si>
    <t>1360/0140/0000</t>
  </si>
  <si>
    <t>1360/0170/0000</t>
  </si>
  <si>
    <t>1360/0200/0000</t>
  </si>
  <si>
    <t>1360/0210/0000</t>
  </si>
  <si>
    <t>1360/0520/0000</t>
  </si>
  <si>
    <t>1360/0570/0000</t>
  </si>
  <si>
    <t>1360/0690/0000</t>
  </si>
  <si>
    <t>1360/0700/0000</t>
  </si>
  <si>
    <t>1360/0710/0000</t>
  </si>
  <si>
    <t>1360/0790/0000</t>
  </si>
  <si>
    <t>1360/0880/0000</t>
  </si>
  <si>
    <t>PURCHASE OF BLACK BAGS;</t>
  </si>
  <si>
    <t>1360/1030/0000</t>
  </si>
  <si>
    <t>1360/1140/0000</t>
  </si>
  <si>
    <t>1360/1310/0000</t>
  </si>
  <si>
    <t>1360/1390/0000</t>
  </si>
  <si>
    <t>SUBSIDIDISED FREE BASIC SERV</t>
  </si>
  <si>
    <t>1360/1410/0000</t>
  </si>
  <si>
    <t>1360/1440/0000</t>
  </si>
  <si>
    <t>1360/3510/0000</t>
  </si>
  <si>
    <t>1360/3520/0000</t>
  </si>
  <si>
    <t>1360/4120/0000</t>
  </si>
  <si>
    <t>1360/4390/0000</t>
  </si>
  <si>
    <t>1360/5170/0000</t>
  </si>
  <si>
    <t>1360/5310/0000</t>
  </si>
  <si>
    <t>1360/5490/0000</t>
  </si>
  <si>
    <t>1360/6320/0000</t>
  </si>
  <si>
    <t>BLACK BAGS;</t>
  </si>
  <si>
    <t>2000/0010/0000</t>
  </si>
  <si>
    <t>2000/0020/0000</t>
  </si>
  <si>
    <t>2000/0030/0000</t>
  </si>
  <si>
    <t>2000/0040/0000</t>
  </si>
  <si>
    <t>2000/0050/0000</t>
  </si>
  <si>
    <t>2000/0060/0000</t>
  </si>
  <si>
    <t>2000/0080/0000</t>
  </si>
  <si>
    <t>2000/0140/0000</t>
  </si>
  <si>
    <t>2000/0170/0000</t>
  </si>
  <si>
    <t>2000/0200/0000</t>
  </si>
  <si>
    <t>2000/0210/0000</t>
  </si>
  <si>
    <t>2000/0510/0000</t>
  </si>
  <si>
    <t>2000/0520/0000</t>
  </si>
  <si>
    <t>2000/0570/0000</t>
  </si>
  <si>
    <t>2000/0650/0000</t>
  </si>
  <si>
    <t>2000/0690/0000</t>
  </si>
  <si>
    <t>2000/0700/0000</t>
  </si>
  <si>
    <t>2000/0710/0000</t>
  </si>
  <si>
    <t>2000/0790/0000</t>
  </si>
  <si>
    <t>2000/0890/0000</t>
  </si>
  <si>
    <t>CHRISTMAS LIGHTS;</t>
  </si>
  <si>
    <t>2000/0910/0000</t>
  </si>
  <si>
    <t>TV REPAIRS &amp; UPGRADE;</t>
  </si>
  <si>
    <t>2000/1090/0000</t>
  </si>
  <si>
    <t>2000/1100/0000</t>
  </si>
  <si>
    <t>2000/1110/0000</t>
  </si>
  <si>
    <t>2000/1120/0000</t>
  </si>
  <si>
    <t>2000/1310/0000</t>
  </si>
  <si>
    <t>2000/1350/0000</t>
  </si>
  <si>
    <t>SUBSIDY: FREE BASIC ELECTRIC</t>
  </si>
  <si>
    <t>2000/1410/0000</t>
  </si>
  <si>
    <t>2000/1440/0000</t>
  </si>
  <si>
    <t>2000/1466/0000</t>
  </si>
  <si>
    <t>PREPAID METERS;</t>
  </si>
  <si>
    <t>2000/3510/0000</t>
  </si>
  <si>
    <t>2000/3520/0000</t>
  </si>
  <si>
    <t>2000/3550/0000</t>
  </si>
  <si>
    <t>REPAIRS STREETLIGHTS;</t>
  </si>
  <si>
    <t>2000/3560/0000</t>
  </si>
  <si>
    <t>TRANSFORMERS;</t>
  </si>
  <si>
    <t>2000/3601/0000</t>
  </si>
  <si>
    <t>TELEMATRIC SYSTEM;</t>
  </si>
  <si>
    <t>2000/4010/0000</t>
  </si>
  <si>
    <t>BULK PURCHASES: ELECTRICITY;</t>
  </si>
  <si>
    <t>2000/4110/0000</t>
  </si>
  <si>
    <t>2000/4120/0000</t>
  </si>
  <si>
    <t>2000/4390/0000</t>
  </si>
  <si>
    <t>2000/5020/0000</t>
  </si>
  <si>
    <t>2000/5140/0000</t>
  </si>
  <si>
    <t>DIRECT ELECTRICITY SALES;</t>
  </si>
  <si>
    <t>2000/5190/0000</t>
  </si>
  <si>
    <t>ELECTRICITY AVAILABILITY FEE</t>
  </si>
  <si>
    <t>2000/5200/0000</t>
  </si>
  <si>
    <t>ELECTRICITY CONNECTIONS;</t>
  </si>
  <si>
    <t>2000/5210/0000</t>
  </si>
  <si>
    <t>ELECTRICITY PRIVATE REPAIRS;</t>
  </si>
  <si>
    <t>2000/5220/0000</t>
  </si>
  <si>
    <t>ELECTRICITY RECONNECTIONS;</t>
  </si>
  <si>
    <t>2000/5230/0000</t>
  </si>
  <si>
    <t>ELECTRICITY SALES;</t>
  </si>
  <si>
    <t>2000/5660/0000</t>
  </si>
  <si>
    <t>PRE-PAID METER BOX;</t>
  </si>
  <si>
    <t>2000/6400/0000</t>
  </si>
  <si>
    <t>TEST METER;</t>
  </si>
  <si>
    <t>3000/0010/0000</t>
  </si>
  <si>
    <t>3000/0020/0000</t>
  </si>
  <si>
    <t>3000/0030/0000</t>
  </si>
  <si>
    <t>3000/0040/0000</t>
  </si>
  <si>
    <t>3000/0050/0000</t>
  </si>
  <si>
    <t>3000/0060/0000</t>
  </si>
  <si>
    <t>3000/0100/0000</t>
  </si>
  <si>
    <t>3000/0140/0000</t>
  </si>
  <si>
    <t>3000/0170/0000</t>
  </si>
  <si>
    <t>3000/0200/0000</t>
  </si>
  <si>
    <t>3000/0210/0000</t>
  </si>
  <si>
    <t>3000/0520/0000</t>
  </si>
  <si>
    <t>3000/0570/0000</t>
  </si>
  <si>
    <t>3000/0690/0000</t>
  </si>
  <si>
    <t>3000/0700/0000</t>
  </si>
  <si>
    <t>3000/0710/0000</t>
  </si>
  <si>
    <t>3000/0790/0000</t>
  </si>
  <si>
    <t>3000/1000/0000</t>
  </si>
  <si>
    <t>3000/1030/0000</t>
  </si>
  <si>
    <t>3000/1090/0000</t>
  </si>
  <si>
    <t>3000/1100/0000</t>
  </si>
  <si>
    <t>3000/1110/0000</t>
  </si>
  <si>
    <t>3000/1120/0000</t>
  </si>
  <si>
    <t>3000/1310/0000</t>
  </si>
  <si>
    <t>3000/1340/0000</t>
  </si>
  <si>
    <t>SUBSIDY : FREE BASIC  WATER;</t>
  </si>
  <si>
    <t>3000/1410/0000</t>
  </si>
  <si>
    <t>3000/1430/0000</t>
  </si>
  <si>
    <t>WATER RESEARCH;</t>
  </si>
  <si>
    <t>3000/1440/0000</t>
  </si>
  <si>
    <t>3000/3510/0000</t>
  </si>
  <si>
    <t>3000/3520/0000</t>
  </si>
  <si>
    <t>3000/4020/0000</t>
  </si>
  <si>
    <t>BULK PURCHASES: WATER;</t>
  </si>
  <si>
    <t>3000/4120/0000</t>
  </si>
  <si>
    <t>3000/4390/0000</t>
  </si>
  <si>
    <t>3000/5000/0000</t>
  </si>
  <si>
    <t>3000/5020/0000</t>
  </si>
  <si>
    <t>3000/5260/0000</t>
  </si>
  <si>
    <t>Disposal of assets</t>
  </si>
  <si>
    <t>3000/5890/0000</t>
  </si>
  <si>
    <t>WATER AVAILABILITY FEES;</t>
  </si>
  <si>
    <t>3000/5900/0000</t>
  </si>
  <si>
    <t>WATER CONNECTIONS;</t>
  </si>
  <si>
    <t>3000/5930/0000</t>
  </si>
  <si>
    <t>WATER SALES;</t>
  </si>
  <si>
    <t>3000/5931/0000</t>
  </si>
  <si>
    <t>PRE PAID WATER SALES;</t>
  </si>
  <si>
    <t>3000/6370/0000</t>
  </si>
  <si>
    <t>RE CONNECTION WATER;</t>
  </si>
  <si>
    <t>3000/6470/0000</t>
  </si>
  <si>
    <t>Gain on diposal of PPE/Donated assets</t>
  </si>
  <si>
    <t>4000/5420/0000</t>
  </si>
  <si>
    <t xml:space="preserve">Employee Related Costs  </t>
  </si>
  <si>
    <t>Bargaining Council Levy</t>
  </si>
  <si>
    <t>Bonus</t>
  </si>
  <si>
    <t>Training</t>
  </si>
  <si>
    <t>Travel and subsistence</t>
  </si>
  <si>
    <t>Safety clothes</t>
  </si>
  <si>
    <t>Subsidies</t>
  </si>
  <si>
    <t>Telephone</t>
  </si>
  <si>
    <t>Tyres</t>
  </si>
  <si>
    <t>Departmental Charges</t>
  </si>
  <si>
    <t>Loss on Disposal of PPE</t>
  </si>
  <si>
    <t>Capital Equipment</t>
  </si>
  <si>
    <t>Operating grant expenditure</t>
  </si>
  <si>
    <t>Grants and donations</t>
  </si>
  <si>
    <t>Third Party Payments</t>
  </si>
  <si>
    <t>Printing and stationery</t>
  </si>
  <si>
    <t>Audit Fees</t>
  </si>
  <si>
    <t>Fair Value Adjustments</t>
  </si>
  <si>
    <t>Membership Fees</t>
  </si>
  <si>
    <t>Legal Cost</t>
  </si>
  <si>
    <t>Skills development levy</t>
  </si>
  <si>
    <t>Actuarial Losses</t>
  </si>
  <si>
    <t>Post Employment Health</t>
  </si>
  <si>
    <t>Grants and Subsidies</t>
  </si>
  <si>
    <t>Creditors</t>
  </si>
  <si>
    <t>Internal Charges</t>
  </si>
  <si>
    <t>Repairs and maintenance (to be deleted)</t>
  </si>
  <si>
    <r>
      <t>Repairs and maintenance</t>
    </r>
    <r>
      <rPr>
        <b/>
        <i/>
        <sz val="8"/>
        <rFont val="Arial"/>
        <family val="2"/>
      </rPr>
      <t xml:space="preserve"> (to be deleted)</t>
    </r>
  </si>
  <si>
    <t>Vote1 - Health</t>
  </si>
  <si>
    <t>Vote2 - Planning &amp; Development</t>
  </si>
  <si>
    <t>Vote3 - Budget &amp; Treasury</t>
  </si>
  <si>
    <t>Vote4 - Community &amp; Social Services</t>
  </si>
  <si>
    <t>Vote5 - Executive &amp; Council</t>
  </si>
  <si>
    <t>Vote7 - Sport &amp; Recreation</t>
  </si>
  <si>
    <t>Vote8 - Waste Management</t>
  </si>
  <si>
    <t>Vote9 - Electricity</t>
  </si>
  <si>
    <t>Vote11 - Subvote example 10</t>
  </si>
  <si>
    <t>Vote12 - Subvote example 10</t>
  </si>
  <si>
    <t>Vote13 - Subvote example 10</t>
  </si>
  <si>
    <t>Vote10 - Water</t>
  </si>
  <si>
    <t>Other road transport</t>
  </si>
  <si>
    <t>www.ubuntu.gov.za</t>
  </si>
  <si>
    <t>Victoria West</t>
  </si>
  <si>
    <t>Tosihba</t>
  </si>
  <si>
    <t>Cannon</t>
  </si>
  <si>
    <t>Provision of external dumping sites</t>
  </si>
  <si>
    <t>Upgrading of access roads</t>
  </si>
  <si>
    <t>Upgrading and building Reservoir Richmond</t>
  </si>
  <si>
    <t>Upgrading of drainage</t>
  </si>
  <si>
    <t>Upgradings of Streets</t>
  </si>
  <si>
    <t>Upgrading of oxidation pounds/dams</t>
  </si>
  <si>
    <t>Upgrading of cemetries</t>
  </si>
  <si>
    <t>Upgrading of external drainage</t>
  </si>
  <si>
    <t>Victoria West Stortingsterrein studie</t>
  </si>
  <si>
    <t>Loxton pad</t>
  </si>
  <si>
    <t>Richmond Reservoir</t>
  </si>
  <si>
    <t>Stormwater projekte - Fase 1</t>
  </si>
  <si>
    <t>Teerpaaie - 2.5 km</t>
  </si>
  <si>
    <t>Loxton oksidasie damme</t>
  </si>
  <si>
    <t>Loxton stortings terrein studie</t>
  </si>
  <si>
    <t>Stormwater projekte - Fase 2</t>
  </si>
  <si>
    <t>Victoria West Begraafplaas Studie</t>
  </si>
  <si>
    <t>info@ubuntu.gov.za</t>
  </si>
  <si>
    <t>78 Church Street</t>
  </si>
  <si>
    <t>0536210026</t>
  </si>
  <si>
    <t>0536210368</t>
  </si>
  <si>
    <t>Krisjan Arends</t>
  </si>
  <si>
    <t>0829797323</t>
  </si>
  <si>
    <t>mayor@ubuntu.gov.za</t>
  </si>
  <si>
    <t>Xolani Malgas</t>
  </si>
  <si>
    <t>0795156332</t>
  </si>
  <si>
    <t>xmalgas@ubuntu.gov.za</t>
  </si>
  <si>
    <t>Martin Fillis</t>
  </si>
  <si>
    <t>0721089353</t>
  </si>
  <si>
    <t>mfillis@ubuntu.gov.za</t>
  </si>
  <si>
    <t>Bonita Nhalalua</t>
  </si>
  <si>
    <t>0893062947</t>
  </si>
  <si>
    <t>bnhahalua@ubuntu.gov.za</t>
  </si>
  <si>
    <t>Levona Plaatjies</t>
  </si>
  <si>
    <t>Paula Jantjies</t>
  </si>
  <si>
    <t>0725352950</t>
  </si>
  <si>
    <t>0730433422</t>
  </si>
  <si>
    <t>cfo@ubuntu.gov.za</t>
  </si>
  <si>
    <t>pjantjies@ubuntu.gov.za</t>
  </si>
  <si>
    <t>0536310368</t>
  </si>
  <si>
    <t>X329</t>
  </si>
  <si>
    <t>R0 - R1100</t>
  </si>
  <si>
    <t>01/07/2009</t>
  </si>
  <si>
    <t>12 months</t>
  </si>
  <si>
    <t>Fixed Deposit</t>
  </si>
  <si>
    <t>Busines Fixed Deposit</t>
  </si>
  <si>
    <t>Finance Management Grant</t>
  </si>
  <si>
    <t>Municipal Systems Improvement Grant</t>
  </si>
  <si>
    <t>Head of Infrastructure</t>
  </si>
  <si>
    <t>Head of Corporate Services</t>
  </si>
  <si>
    <t>Manager: Infrastructure</t>
  </si>
  <si>
    <t>LED Manager</t>
  </si>
  <si>
    <t>Chief Traffic</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</si>
</sst>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4" formatCode="_ &quot;R&quot;\ * #,##0.00_ ;_ &quot;R&quot;\ * \-#,##0.00_ ;_ &quot;R&quot;\ * &quot;-&quot;??_ ;_ @_ "/>
    <numFmt numFmtId="43" formatCode="_ * #,##0.00_ ;_ * \-#,##0.00_ ;_ * &quot;-&quot;??_ ;_ @_ "/>
    <numFmt numFmtId="164" formatCode="_ * #,##0_ ;_ * \-#,##0_ ;_ * &quot;-&quot;??_ ;_ @_ "/>
    <numFmt numFmtId="165" formatCode="_ * #,##0.0_ ;_ * \-#,##0.0_ ;_ * &quot;-&quot;??_ ;_ @_ "/>
    <numFmt numFmtId="166" formatCode="#,###,;[Red]\(#,###,\)"/>
    <numFmt numFmtId="167" formatCode="0.0%"/>
    <numFmt numFmtId="168" formatCode="#,###,;\(#,###,\)"/>
    <numFmt numFmtId="169" formatCode="#,###,,;\(#,###,,\)"/>
    <numFmt numFmtId="170" formatCode="0.0%;[Red]\(0.0%\)"/>
    <numFmt numFmtId="171" formatCode="0%;[Red]\(0%\)"/>
    <numFmt numFmtId="172" formatCode="0.0"/>
    <numFmt numFmtId="173" formatCode="#,##0,;[Red]\(#,##0,\)"/>
    <numFmt numFmtId="174" formatCode="_(* #,##0,,_);_(* \(#,##0,,\);_(* &quot;–&quot;?_);_(@_)"/>
    <numFmt numFmtId="175" formatCode="_(* #,##0,_);_(* \(#,##0,\);_(* &quot;–&quot;?_);_(@_)"/>
    <numFmt numFmtId="176" formatCode="_(* #,##0_);_(* \(#,##0\);_(* &quot;–&quot;?_);_(@_)"/>
    <numFmt numFmtId="177" formatCode="_(* #,##0.0_);_(* \(#,##0.0\);_(* &quot;–&quot;?_);_(@_)"/>
    <numFmt numFmtId="178" formatCode="_(* #,##0.000000_);_(* \(#,##0.000000\);_(* &quot;–&quot;?_);_(@_)"/>
    <numFmt numFmtId="179" formatCode="_(* #,##0.00_);_(* \(#,##0.00\);_(* &quot;–&quot;?_);_(@_)"/>
    <numFmt numFmtId="180" formatCode="_(* #,##0.0%_);_(* \(#,##0.0%\);_(* &quot;–&quot;?_);_(@_)"/>
    <numFmt numFmtId="181" formatCode="[$-1C09]dd\ mmmm\ yyyy"/>
    <numFmt numFmtId="182" formatCode="0000"/>
  </numFmts>
  <fonts count="60">
    <font>
      <sz val="10"/>
      <name val="Arial"/>
    </font>
    <font>
      <sz val="11"/>
      <color theme="1"/>
      <name val="Calibri"/>
      <family val="2"/>
      <scheme val="minor"/>
    </font>
    <font>
      <sz val="10"/>
      <name val="Arial"/>
      <family val="2"/>
    </font>
    <font>
      <sz val="8"/>
      <name val="Arial"/>
      <family val="2"/>
    </font>
    <font>
      <b/>
      <sz val="10"/>
      <name val="Arial"/>
      <family val="2"/>
    </font>
    <font>
      <sz val="8"/>
      <name val="Arial"/>
      <family val="2"/>
    </font>
    <font>
      <b/>
      <sz val="8"/>
      <name val="Arial"/>
      <family val="2"/>
    </font>
    <font>
      <u/>
      <sz val="10"/>
      <color indexed="12"/>
      <name val="Arial"/>
      <family val="2"/>
    </font>
    <font>
      <sz val="10"/>
      <name val="Arial Narrow"/>
      <family val="2"/>
    </font>
    <font>
      <b/>
      <u/>
      <sz val="8"/>
      <name val="Arial"/>
      <family val="2"/>
    </font>
    <font>
      <u/>
      <sz val="8"/>
      <name val="Arial"/>
      <family val="2"/>
    </font>
    <font>
      <b/>
      <sz val="10"/>
      <name val="Arial Narrow"/>
      <family val="2"/>
    </font>
    <font>
      <b/>
      <i/>
      <sz val="8"/>
      <name val="Arial"/>
      <family val="2"/>
    </font>
    <font>
      <i/>
      <sz val="8"/>
      <name val="Arial"/>
      <family val="2"/>
    </font>
    <font>
      <sz val="8"/>
      <name val="Arial Narrow"/>
      <family val="2"/>
    </font>
    <font>
      <b/>
      <sz val="8"/>
      <color indexed="9"/>
      <name val="Arial"/>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b/>
      <i/>
      <u/>
      <sz val="8"/>
      <name val="Arial Narrow"/>
      <family val="2"/>
    </font>
    <font>
      <b/>
      <sz val="14"/>
      <color indexed="10"/>
      <name val="Arial"/>
      <family val="2"/>
    </font>
    <font>
      <b/>
      <sz val="10"/>
      <color indexed="10"/>
      <name val="Arial"/>
      <family val="2"/>
    </font>
    <font>
      <sz val="10"/>
      <name val="Arial"/>
      <family val="2"/>
    </font>
    <font>
      <sz val="10"/>
      <name val="Arial Narrow"/>
      <family val="2"/>
    </font>
    <font>
      <sz val="8"/>
      <name val="Arial Narrow"/>
      <family val="2"/>
    </font>
    <font>
      <sz val="10"/>
      <color indexed="9"/>
      <name val="Arial"/>
      <family val="2"/>
    </font>
    <font>
      <b/>
      <sz val="11"/>
      <name val="Arial Narrow"/>
      <family val="2"/>
    </font>
    <font>
      <b/>
      <sz val="9"/>
      <name val="Arial"/>
      <family val="2"/>
    </font>
    <font>
      <sz val="9"/>
      <name val="Arial"/>
      <family val="2"/>
    </font>
    <font>
      <b/>
      <sz val="10"/>
      <name val="Utah"/>
    </font>
    <font>
      <sz val="10"/>
      <name val="Arial"/>
      <family val="2"/>
    </font>
    <font>
      <i/>
      <sz val="8"/>
      <name val="Utah"/>
    </font>
    <font>
      <sz val="10"/>
      <name val="Utah"/>
    </font>
    <font>
      <b/>
      <sz val="10"/>
      <name val="Utah"/>
      <family val="2"/>
    </font>
    <font>
      <sz val="10"/>
      <name val="Utah"/>
      <family val="2"/>
    </font>
    <font>
      <sz val="10"/>
      <color indexed="8"/>
      <name val="Arial"/>
      <family val="2"/>
    </font>
    <font>
      <sz val="10"/>
      <color indexed="8"/>
      <name val="Arial"/>
      <family val="2"/>
    </font>
    <font>
      <b/>
      <u/>
      <sz val="9"/>
      <name val="Arial Narrow"/>
      <family val="2"/>
    </font>
    <font>
      <sz val="9"/>
      <name val="Arial Narrow"/>
      <family val="2"/>
    </font>
    <font>
      <b/>
      <sz val="9"/>
      <name val="Arial Narrow"/>
      <family val="2"/>
    </font>
    <font>
      <sz val="9"/>
      <name val="Cambria"/>
      <family val="1"/>
    </font>
    <font>
      <b/>
      <sz val="9"/>
      <color indexed="10"/>
      <name val="Arial Narrow"/>
      <family val="2"/>
    </font>
    <font>
      <b/>
      <sz val="9"/>
      <color indexed="10"/>
      <name val="Wingdings"/>
      <charset val="2"/>
    </font>
    <font>
      <sz val="10"/>
      <name val="Arial"/>
      <family val="2"/>
    </font>
    <font>
      <sz val="11"/>
      <color indexed="8"/>
      <name val="Calibri"/>
      <family val="2"/>
    </font>
    <font>
      <sz val="10"/>
      <name val="Verdana"/>
      <family val="2"/>
    </font>
    <font>
      <sz val="11"/>
      <color theme="1"/>
      <name val="Calibri"/>
      <family val="2"/>
      <scheme val="minor"/>
    </font>
    <font>
      <u/>
      <sz val="13.75"/>
      <color theme="10"/>
      <name val="Calibri"/>
      <family val="2"/>
    </font>
    <font>
      <b/>
      <sz val="9"/>
      <color rgb="FFFF0000"/>
      <name val="Arial Narrow"/>
      <family val="2"/>
    </font>
    <font>
      <sz val="9"/>
      <color rgb="FFFF0000"/>
      <name val="Arial Narrow"/>
      <family val="2"/>
    </font>
    <font>
      <sz val="9"/>
      <color rgb="FFFF0000"/>
      <name val="Wingdings"/>
      <charset val="2"/>
    </font>
    <font>
      <sz val="8"/>
      <color rgb="FFFF0000"/>
      <name val="Arial Narrow"/>
      <family val="2"/>
    </font>
    <font>
      <b/>
      <u/>
      <sz val="10"/>
      <color theme="1"/>
      <name val="Calibri"/>
      <family val="2"/>
      <scheme val="minor"/>
    </font>
    <font>
      <sz val="10"/>
      <color theme="1"/>
      <name val="Calibri"/>
      <family val="2"/>
      <scheme val="minor"/>
    </font>
    <font>
      <b/>
      <u/>
      <sz val="10"/>
      <name val="Calibri"/>
      <family val="2"/>
      <scheme val="minor"/>
    </font>
    <font>
      <b/>
      <sz val="10"/>
      <color theme="1"/>
      <name val="Calibri"/>
      <family val="2"/>
      <scheme val="minor"/>
    </font>
    <font>
      <sz val="10"/>
      <color rgb="FF000000"/>
      <name val="Arial"/>
      <family val="2"/>
    </font>
  </fonts>
  <fills count="28">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13"/>
        <bgColor indexed="64"/>
      </patternFill>
    </fill>
    <fill>
      <patternFill patternType="solid">
        <fgColor indexed="48"/>
        <bgColor indexed="64"/>
      </patternFill>
    </fill>
    <fill>
      <patternFill patternType="solid">
        <fgColor indexed="57"/>
        <bgColor indexed="64"/>
      </patternFill>
    </fill>
    <fill>
      <patternFill patternType="solid">
        <fgColor indexed="43"/>
        <bgColor indexed="64"/>
      </patternFill>
    </fill>
    <fill>
      <patternFill patternType="solid">
        <fgColor indexed="15"/>
        <bgColor indexed="64"/>
      </patternFill>
    </fill>
    <fill>
      <patternFill patternType="solid">
        <fgColor indexed="49"/>
        <bgColor indexed="64"/>
      </patternFill>
    </fill>
    <fill>
      <patternFill patternType="solid">
        <fgColor indexed="10"/>
        <bgColor indexed="64"/>
      </patternFill>
    </fill>
    <fill>
      <patternFill patternType="solid">
        <fgColor indexed="51"/>
        <bgColor indexed="64"/>
      </patternFill>
    </fill>
    <fill>
      <patternFill patternType="solid">
        <fgColor indexed="44"/>
        <bgColor indexed="64"/>
      </patternFill>
    </fill>
    <fill>
      <patternFill patternType="solid">
        <fgColor indexed="45"/>
        <bgColor indexed="64"/>
      </patternFill>
    </fill>
    <fill>
      <patternFill patternType="solid">
        <fgColor indexed="40"/>
        <bgColor indexed="64"/>
      </patternFill>
    </fill>
    <fill>
      <patternFill patternType="solid">
        <fgColor rgb="FFFFFF99"/>
        <bgColor indexed="64"/>
      </patternFill>
    </fill>
    <fill>
      <patternFill patternType="solid">
        <fgColor theme="0" tint="-0.14999847407452621"/>
        <bgColor indexed="64"/>
      </patternFill>
    </fill>
    <fill>
      <patternFill patternType="solid">
        <fgColor rgb="FF00FF00"/>
        <bgColor indexed="64"/>
      </patternFill>
    </fill>
    <fill>
      <patternFill patternType="solid">
        <fgColor rgb="FF0070C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39997558519241921"/>
        <bgColor indexed="64"/>
      </patternFill>
    </fill>
    <fill>
      <patternFill patternType="solid">
        <fgColor rgb="FFFFFFFF"/>
        <bgColor indexed="64"/>
      </patternFill>
    </fill>
  </fills>
  <borders count="131">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medium">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medium">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thin">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hair">
        <color indexed="64"/>
      </top>
      <bottom/>
      <diagonal/>
    </border>
    <border>
      <left style="thin">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right/>
      <top style="thin">
        <color indexed="64"/>
      </top>
      <bottom style="double">
        <color indexed="64"/>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thin">
        <color indexed="64"/>
      </left>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right style="thin">
        <color indexed="64"/>
      </right>
      <top/>
      <bottom style="medium">
        <color indexed="64"/>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bottom style="thin">
        <color indexed="64"/>
      </bottom>
      <diagonal/>
    </border>
    <border>
      <left/>
      <right/>
      <top style="dotted">
        <color indexed="64"/>
      </top>
      <bottom/>
      <diagonal/>
    </border>
    <border>
      <left/>
      <right/>
      <top/>
      <bottom style="dotted">
        <color indexed="64"/>
      </bottom>
      <diagonal/>
    </border>
    <border>
      <left/>
      <right style="medium">
        <color indexed="64"/>
      </right>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right style="hair">
        <color indexed="64"/>
      </right>
      <top style="hair">
        <color indexed="64"/>
      </top>
      <bottom/>
      <diagonal/>
    </border>
    <border>
      <left style="thin">
        <color indexed="64"/>
      </left>
      <right/>
      <top style="thick">
        <color indexed="64"/>
      </top>
      <bottom/>
      <diagonal/>
    </border>
    <border>
      <left/>
      <right style="thin">
        <color indexed="64"/>
      </right>
      <top style="thick">
        <color indexed="64"/>
      </top>
      <bottom/>
      <diagonal/>
    </border>
    <border>
      <left/>
      <right style="hair">
        <color indexed="64"/>
      </right>
      <top style="hair">
        <color indexed="64"/>
      </top>
      <bottom style="hair">
        <color indexed="64"/>
      </bottom>
      <diagonal/>
    </border>
    <border>
      <left/>
      <right style="thin">
        <color indexed="64"/>
      </right>
      <top style="double">
        <color indexed="64"/>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bottom style="thick">
        <color indexed="64"/>
      </bottom>
      <diagonal/>
    </border>
    <border>
      <left/>
      <right style="thin">
        <color indexed="64"/>
      </right>
      <top/>
      <bottom style="thick">
        <color indexed="64"/>
      </bottom>
      <diagonal/>
    </border>
    <border>
      <left style="hair">
        <color indexed="64"/>
      </left>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57572">
    <xf numFmtId="0" fontId="0" fillId="0" borderId="0"/>
    <xf numFmtId="43" fontId="2"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49" fillId="0" borderId="0" applyFont="0" applyFill="0" applyBorder="0" applyAlignment="0" applyProtection="0"/>
    <xf numFmtId="0" fontId="7"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 fillId="0" borderId="0" applyNumberFormat="0" applyFont="0" applyFill="0" applyBorder="0" applyAlignment="0" applyProtection="0">
      <alignment vertical="top"/>
      <protection locked="0"/>
    </xf>
    <xf numFmtId="0" fontId="4" fillId="0" borderId="0" applyNumberFormat="0" applyFont="0" applyFill="0" applyBorder="0" applyAlignment="0" applyProtection="0">
      <alignment vertical="top"/>
      <protection locked="0"/>
    </xf>
    <xf numFmtId="0" fontId="48" fillId="0" borderId="0"/>
    <xf numFmtId="0" fontId="25" fillId="0" borderId="0"/>
    <xf numFmtId="0" fontId="49" fillId="0" borderId="0"/>
    <xf numFmtId="0" fontId="25" fillId="0" borderId="0"/>
    <xf numFmtId="0" fontId="25" fillId="0" borderId="0"/>
    <xf numFmtId="0" fontId="49" fillId="0" borderId="0"/>
    <xf numFmtId="0" fontId="3" fillId="0" borderId="0"/>
    <xf numFmtId="0" fontId="49" fillId="0" borderId="0"/>
    <xf numFmtId="0" fontId="25" fillId="0" borderId="0"/>
    <xf numFmtId="0" fontId="25" fillId="0" borderId="0"/>
    <xf numFmtId="0" fontId="46" fillId="0" borderId="0"/>
    <xf numFmtId="0" fontId="26" fillId="0" borderId="0"/>
    <xf numFmtId="9" fontId="2" fillId="0" borderId="0" applyFont="0" applyFill="0" applyBorder="0" applyAlignment="0" applyProtection="0"/>
    <xf numFmtId="9" fontId="33" fillId="0" borderId="0" applyFont="0" applyFill="0" applyBorder="0" applyAlignment="0" applyProtection="0"/>
    <xf numFmtId="9" fontId="47" fillId="0" borderId="0" applyFont="0" applyFill="0" applyBorder="0" applyAlignment="0" applyProtection="0"/>
    <xf numFmtId="9" fontId="49" fillId="0" borderId="0" applyFont="0" applyFill="0" applyBorder="0" applyAlignment="0" applyProtection="0"/>
    <xf numFmtId="9"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9" fontId="2" fillId="0" borderId="0" applyFont="0" applyFill="0" applyBorder="0" applyAlignment="0" applyProtection="0"/>
    <xf numFmtId="9" fontId="47"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0" fontId="2" fillId="0" borderId="0"/>
    <xf numFmtId="44" fontId="1" fillId="0" borderId="0" applyFont="0" applyFill="0" applyBorder="0" applyAlignment="0" applyProtection="0"/>
    <xf numFmtId="0" fontId="2" fillId="0" borderId="0"/>
    <xf numFmtId="0" fontId="1" fillId="0" borderId="0"/>
    <xf numFmtId="0" fontId="2" fillId="0" borderId="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9"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9"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43" fontId="47"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9"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2" fillId="0" borderId="0"/>
    <xf numFmtId="0" fontId="1" fillId="0" borderId="0"/>
    <xf numFmtId="44"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2" fillId="0" borderId="0"/>
    <xf numFmtId="0" fontId="2"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9"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9"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0" fontId="1"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9"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43" fontId="47"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4"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44"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9"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1"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4" fontId="1" fillId="0" borderId="0" applyFont="0" applyFill="0" applyBorder="0" applyAlignment="0" applyProtection="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9"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0" fontId="1"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0" fontId="1" fillId="0" borderId="0"/>
    <xf numFmtId="43" fontId="2"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9"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9"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1" fillId="0" borderId="0"/>
    <xf numFmtId="43" fontId="47"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0" fontId="2" fillId="0" borderId="0"/>
    <xf numFmtId="0" fontId="1"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43" fontId="2"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0" fontId="1" fillId="0" borderId="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2" fillId="0" borderId="0"/>
    <xf numFmtId="0" fontId="2"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1"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1"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2" fillId="0" borderId="0"/>
    <xf numFmtId="0" fontId="2"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0" fontId="2" fillId="0" borderId="0"/>
    <xf numFmtId="0" fontId="1"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0" borderId="0"/>
    <xf numFmtId="0" fontId="2" fillId="0" borderId="0"/>
    <xf numFmtId="0" fontId="2" fillId="0" borderId="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0" fontId="1" fillId="0" borderId="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0" fontId="1"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2" fillId="0" borderId="0"/>
    <xf numFmtId="0" fontId="2"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9" fontId="47"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1"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2" fillId="0" borderId="0"/>
    <xf numFmtId="0" fontId="2"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2" fillId="0" borderId="0"/>
    <xf numFmtId="0" fontId="2"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1"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0" fontId="1"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0" fontId="2" fillId="0" borderId="0"/>
    <xf numFmtId="0" fontId="1"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43" fontId="2"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0" borderId="0"/>
    <xf numFmtId="0" fontId="2" fillId="0" borderId="0"/>
    <xf numFmtId="0" fontId="2" fillId="0" borderId="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2" fillId="0" borderId="0"/>
    <xf numFmtId="0" fontId="2"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2" fillId="0" borderId="0"/>
    <xf numFmtId="0" fontId="2"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1"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2" fillId="0" borderId="0"/>
    <xf numFmtId="0" fontId="2"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43" fontId="47"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xf numFmtId="43" fontId="47"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1" fillId="0" borderId="0"/>
    <xf numFmtId="43" fontId="1"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43" fontId="2"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0" fontId="1"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4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2"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0" fontId="2" fillId="0" borderId="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1" fillId="0" borderId="0"/>
    <xf numFmtId="0" fontId="2" fillId="0" borderId="0"/>
    <xf numFmtId="43" fontId="47"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47" fillId="0" borderId="0" applyFont="0" applyFill="0" applyBorder="0" applyAlignment="0" applyProtection="0"/>
    <xf numFmtId="0" fontId="2" fillId="0" borderId="0"/>
    <xf numFmtId="0" fontId="1" fillId="0" borderId="0"/>
    <xf numFmtId="0" fontId="1" fillId="0" borderId="0"/>
    <xf numFmtId="0" fontId="2" fillId="0" borderId="0"/>
    <xf numFmtId="43" fontId="47"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47" fillId="0" borderId="0" applyFont="0" applyFill="0" applyBorder="0" applyAlignment="0" applyProtection="0"/>
    <xf numFmtId="0" fontId="1" fillId="0" borderId="0"/>
    <xf numFmtId="0" fontId="2" fillId="0" borderId="0"/>
  </cellStyleXfs>
  <cellXfs count="2854">
    <xf numFmtId="0" fontId="0" fillId="0" borderId="0" xfId="0"/>
    <xf numFmtId="0" fontId="5" fillId="0" borderId="0" xfId="0" applyFont="1"/>
    <xf numFmtId="0" fontId="3" fillId="0" borderId="0" xfId="0" applyFont="1"/>
    <xf numFmtId="0" fontId="6" fillId="0" borderId="0" xfId="0" applyFont="1"/>
    <xf numFmtId="0" fontId="3" fillId="0" borderId="1" xfId="0" applyFont="1" applyBorder="1" applyAlignment="1">
      <alignment horizontal="center"/>
    </xf>
    <xf numFmtId="0" fontId="3" fillId="0" borderId="0" xfId="0" applyFont="1" applyBorder="1" applyAlignment="1">
      <alignment horizontal="center"/>
    </xf>
    <xf numFmtId="0" fontId="3" fillId="0" borderId="0" xfId="0" applyFont="1" applyBorder="1"/>
    <xf numFmtId="9" fontId="6" fillId="0" borderId="2" xfId="28" applyFont="1" applyBorder="1" applyAlignment="1">
      <alignment horizontal="center"/>
    </xf>
    <xf numFmtId="0" fontId="6" fillId="0" borderId="2" xfId="0" applyFont="1" applyBorder="1"/>
    <xf numFmtId="0" fontId="3" fillId="0" borderId="0" xfId="0" applyFont="1" applyAlignment="1">
      <alignment horizontal="center"/>
    </xf>
    <xf numFmtId="0" fontId="3" fillId="0" borderId="3" xfId="0" applyFont="1" applyBorder="1"/>
    <xf numFmtId="0" fontId="3" fillId="0" borderId="4" xfId="0" applyFont="1" applyBorder="1"/>
    <xf numFmtId="0" fontId="6" fillId="0" borderId="1" xfId="0" applyFont="1" applyBorder="1" applyAlignment="1">
      <alignment horizontal="center"/>
    </xf>
    <xf numFmtId="0" fontId="3" fillId="0" borderId="1" xfId="0" applyFont="1" applyBorder="1"/>
    <xf numFmtId="0" fontId="3" fillId="0" borderId="5" xfId="0" applyFont="1" applyBorder="1"/>
    <xf numFmtId="0" fontId="6" fillId="0" borderId="1" xfId="0" applyFont="1" applyBorder="1"/>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applyAlignment="1">
      <alignment horizontal="center"/>
    </xf>
    <xf numFmtId="0" fontId="3" fillId="0" borderId="5" xfId="0" applyFont="1" applyBorder="1" applyAlignment="1">
      <alignment horizontal="center"/>
    </xf>
    <xf numFmtId="0" fontId="3" fillId="0" borderId="1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6" fillId="2" borderId="1" xfId="0" applyFont="1" applyFill="1" applyBorder="1" applyAlignment="1">
      <alignment horizontal="center" vertical="top" wrapText="1"/>
    </xf>
    <xf numFmtId="0" fontId="6" fillId="2" borderId="13" xfId="0" applyFont="1" applyFill="1" applyBorder="1" applyAlignment="1">
      <alignment horizontal="center" vertical="top" wrapText="1"/>
    </xf>
    <xf numFmtId="0" fontId="6" fillId="2" borderId="14" xfId="0" applyFont="1" applyFill="1" applyBorder="1" applyAlignment="1">
      <alignment horizontal="center" vertical="top" wrapText="1"/>
    </xf>
    <xf numFmtId="0" fontId="6" fillId="2" borderId="15"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9" xfId="0" applyFont="1" applyFill="1" applyBorder="1" applyAlignment="1">
      <alignment horizontal="center" vertical="top" wrapText="1"/>
    </xf>
    <xf numFmtId="0" fontId="6" fillId="2" borderId="16" xfId="0" applyFont="1" applyFill="1" applyBorder="1" applyAlignment="1">
      <alignment horizontal="center" vertical="top" wrapText="1"/>
    </xf>
    <xf numFmtId="0" fontId="5" fillId="2" borderId="5"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1" xfId="0" applyFont="1" applyFill="1" applyBorder="1" applyAlignment="1">
      <alignment horizontal="center" vertical="center"/>
    </xf>
    <xf numFmtId="0" fontId="6" fillId="0" borderId="1" xfId="0" applyFont="1" applyBorder="1" applyAlignment="1">
      <alignment horizontal="left"/>
    </xf>
    <xf numFmtId="0" fontId="6" fillId="0" borderId="5" xfId="0" applyFont="1" applyBorder="1" applyAlignment="1">
      <alignment horizontal="center"/>
    </xf>
    <xf numFmtId="0" fontId="6" fillId="2" borderId="0" xfId="0" applyFont="1" applyFill="1" applyBorder="1" applyAlignment="1">
      <alignment horizontal="center" vertical="center" wrapText="1"/>
    </xf>
    <xf numFmtId="0" fontId="6" fillId="2" borderId="17" xfId="0" applyFont="1" applyFill="1" applyBorder="1" applyAlignment="1">
      <alignment horizontal="center"/>
    </xf>
    <xf numFmtId="0" fontId="3" fillId="3" borderId="12" xfId="0" applyFont="1" applyFill="1" applyBorder="1" applyAlignment="1">
      <alignment horizontal="left"/>
    </xf>
    <xf numFmtId="0" fontId="3" fillId="3" borderId="6" xfId="0" applyFont="1" applyFill="1" applyBorder="1"/>
    <xf numFmtId="0" fontId="3" fillId="3" borderId="7" xfId="0" applyFont="1" applyFill="1" applyBorder="1"/>
    <xf numFmtId="0" fontId="3" fillId="3" borderId="3" xfId="0" applyFont="1" applyFill="1" applyBorder="1" applyAlignment="1">
      <alignment horizontal="left"/>
    </xf>
    <xf numFmtId="0" fontId="3" fillId="3" borderId="0" xfId="0" applyFont="1" applyFill="1" applyBorder="1"/>
    <xf numFmtId="0" fontId="3" fillId="3" borderId="8" xfId="0" applyFont="1" applyFill="1" applyBorder="1"/>
    <xf numFmtId="0" fontId="6" fillId="4" borderId="2" xfId="0" applyFont="1" applyFill="1" applyBorder="1" applyAlignment="1">
      <alignment horizontal="center"/>
    </xf>
    <xf numFmtId="0" fontId="6" fillId="5" borderId="2" xfId="0" applyFont="1" applyFill="1" applyBorder="1" applyAlignment="1">
      <alignment horizontal="center"/>
    </xf>
    <xf numFmtId="0" fontId="3" fillId="3" borderId="6" xfId="0" applyFont="1" applyFill="1" applyBorder="1" applyAlignment="1">
      <alignment horizontal="center"/>
    </xf>
    <xf numFmtId="0" fontId="3" fillId="3" borderId="0" xfId="0" applyFont="1" applyFill="1" applyBorder="1" applyAlignment="1">
      <alignment horizontal="center"/>
    </xf>
    <xf numFmtId="0" fontId="6" fillId="0" borderId="0" xfId="0" applyFont="1" applyAlignment="1">
      <alignment horizontal="right"/>
    </xf>
    <xf numFmtId="9" fontId="3" fillId="0" borderId="1" xfId="28" applyFont="1" applyBorder="1" applyAlignment="1">
      <alignment horizontal="center"/>
    </xf>
    <xf numFmtId="9" fontId="3" fillId="0" borderId="5" xfId="28" applyFont="1" applyBorder="1" applyAlignment="1">
      <alignment horizontal="center"/>
    </xf>
    <xf numFmtId="0" fontId="3" fillId="0" borderId="12" xfId="0" applyFont="1" applyBorder="1"/>
    <xf numFmtId="9" fontId="3" fillId="0" borderId="11" xfId="28" applyFont="1" applyBorder="1" applyAlignment="1">
      <alignment horizontal="center"/>
    </xf>
    <xf numFmtId="167" fontId="3" fillId="0" borderId="1" xfId="28" applyNumberFormat="1" applyFont="1" applyBorder="1" applyAlignment="1">
      <alignment horizontal="center"/>
    </xf>
    <xf numFmtId="167" fontId="3" fillId="0" borderId="5" xfId="28" applyNumberFormat="1" applyFont="1" applyBorder="1" applyAlignment="1">
      <alignment horizontal="center"/>
    </xf>
    <xf numFmtId="10" fontId="3" fillId="0" borderId="1" xfId="28" applyNumberFormat="1" applyFont="1" applyBorder="1" applyAlignment="1">
      <alignment horizontal="center"/>
    </xf>
    <xf numFmtId="9" fontId="6" fillId="0" borderId="2" xfId="0" applyNumberFormat="1" applyFont="1" applyBorder="1" applyAlignment="1">
      <alignment horizontal="center"/>
    </xf>
    <xf numFmtId="43" fontId="3" fillId="0" borderId="1" xfId="1" applyFont="1" applyBorder="1" applyAlignment="1">
      <alignment horizontal="center"/>
    </xf>
    <xf numFmtId="0" fontId="6" fillId="2" borderId="1" xfId="0" applyFont="1" applyFill="1" applyBorder="1" applyAlignment="1">
      <alignment horizontal="center" vertical="center"/>
    </xf>
    <xf numFmtId="1" fontId="6" fillId="0" borderId="2" xfId="0" applyNumberFormat="1" applyFont="1" applyBorder="1" applyAlignment="1">
      <alignment horizontal="center"/>
    </xf>
    <xf numFmtId="43" fontId="6" fillId="0" borderId="1" xfId="0" applyNumberFormat="1" applyFont="1" applyBorder="1" applyAlignment="1">
      <alignment horizontal="center"/>
    </xf>
    <xf numFmtId="2" fontId="3" fillId="0" borderId="1" xfId="0" applyNumberFormat="1" applyFont="1" applyBorder="1" applyAlignment="1">
      <alignment horizontal="center"/>
    </xf>
    <xf numFmtId="2" fontId="3" fillId="0" borderId="5" xfId="0" applyNumberFormat="1" applyFont="1" applyBorder="1" applyAlignment="1">
      <alignment horizontal="center"/>
    </xf>
    <xf numFmtId="2" fontId="3" fillId="0" borderId="11" xfId="0" applyNumberFormat="1" applyFont="1" applyBorder="1" applyAlignment="1">
      <alignment horizontal="center"/>
    </xf>
    <xf numFmtId="9" fontId="6" fillId="0" borderId="2" xfId="28" applyNumberFormat="1" applyFont="1" applyBorder="1" applyAlignment="1">
      <alignment horizontal="center"/>
    </xf>
    <xf numFmtId="0" fontId="3" fillId="0" borderId="2" xfId="0" applyFont="1" applyBorder="1"/>
    <xf numFmtId="0" fontId="6" fillId="0" borderId="1" xfId="0" applyFont="1" applyBorder="1" applyAlignment="1">
      <alignment horizontal="left" indent="1"/>
    </xf>
    <xf numFmtId="0" fontId="3" fillId="0" borderId="1" xfId="0" applyFont="1" applyBorder="1" applyAlignment="1">
      <alignment horizontal="left" indent="2"/>
    </xf>
    <xf numFmtId="0" fontId="3" fillId="0" borderId="1" xfId="0" applyFont="1" applyBorder="1" applyAlignment="1">
      <alignment horizontal="left" indent="3"/>
    </xf>
    <xf numFmtId="173" fontId="3" fillId="0" borderId="11" xfId="0" applyNumberFormat="1" applyFont="1" applyBorder="1"/>
    <xf numFmtId="173" fontId="3" fillId="0" borderId="12" xfId="0" applyNumberFormat="1" applyFont="1" applyBorder="1"/>
    <xf numFmtId="173" fontId="3" fillId="0" borderId="18" xfId="0" applyNumberFormat="1" applyFont="1" applyBorder="1"/>
    <xf numFmtId="173" fontId="3" fillId="0" borderId="19" xfId="0" applyNumberFormat="1" applyFont="1" applyBorder="1"/>
    <xf numFmtId="173" fontId="3" fillId="0" borderId="1" xfId="0" applyNumberFormat="1" applyFont="1" applyBorder="1"/>
    <xf numFmtId="173" fontId="3" fillId="0" borderId="3" xfId="0" applyNumberFormat="1" applyFont="1" applyBorder="1"/>
    <xf numFmtId="173" fontId="3" fillId="0" borderId="13" xfId="0" applyNumberFormat="1" applyFont="1" applyBorder="1"/>
    <xf numFmtId="173" fontId="3" fillId="0" borderId="14" xfId="0" applyNumberFormat="1" applyFont="1" applyBorder="1"/>
    <xf numFmtId="173" fontId="6" fillId="0" borderId="1" xfId="0" applyNumberFormat="1" applyFont="1" applyBorder="1"/>
    <xf numFmtId="173" fontId="6" fillId="0" borderId="3" xfId="0" applyNumberFormat="1" applyFont="1" applyBorder="1"/>
    <xf numFmtId="173" fontId="6" fillId="0" borderId="13" xfId="0" applyNumberFormat="1" applyFont="1" applyBorder="1"/>
    <xf numFmtId="173" fontId="6" fillId="0" borderId="14" xfId="0" applyNumberFormat="1" applyFont="1" applyBorder="1"/>
    <xf numFmtId="173" fontId="3" fillId="0" borderId="20" xfId="0" applyNumberFormat="1" applyFont="1" applyBorder="1"/>
    <xf numFmtId="173" fontId="3" fillId="0" borderId="21" xfId="0" applyNumberFormat="1" applyFont="1" applyBorder="1"/>
    <xf numFmtId="173" fontId="3" fillId="0" borderId="22" xfId="0" applyNumberFormat="1" applyFont="1" applyBorder="1"/>
    <xf numFmtId="173" fontId="3" fillId="0" borderId="23" xfId="0" applyNumberFormat="1" applyFont="1" applyBorder="1"/>
    <xf numFmtId="173" fontId="3" fillId="0" borderId="24" xfId="0" applyNumberFormat="1" applyFont="1" applyBorder="1"/>
    <xf numFmtId="173" fontId="3" fillId="0" borderId="25" xfId="0" applyNumberFormat="1" applyFont="1" applyBorder="1"/>
    <xf numFmtId="173" fontId="3" fillId="0" borderId="26" xfId="0" applyNumberFormat="1" applyFont="1" applyBorder="1"/>
    <xf numFmtId="173" fontId="3" fillId="0" borderId="27" xfId="0" applyNumberFormat="1" applyFont="1" applyBorder="1"/>
    <xf numFmtId="173" fontId="6" fillId="0" borderId="2" xfId="0" applyNumberFormat="1" applyFont="1" applyBorder="1"/>
    <xf numFmtId="173" fontId="6" fillId="0" borderId="17" xfId="0" applyNumberFormat="1" applyFont="1" applyBorder="1"/>
    <xf numFmtId="173" fontId="6" fillId="0" borderId="28" xfId="0" applyNumberFormat="1" applyFont="1" applyBorder="1"/>
    <xf numFmtId="173" fontId="6" fillId="0" borderId="29" xfId="0" applyNumberFormat="1" applyFont="1" applyBorder="1"/>
    <xf numFmtId="173" fontId="3" fillId="0" borderId="5" xfId="0" applyNumberFormat="1" applyFont="1" applyBorder="1"/>
    <xf numFmtId="0" fontId="5" fillId="0" borderId="1" xfId="0" applyFont="1" applyBorder="1" applyAlignment="1">
      <alignment horizontal="left" indent="2"/>
    </xf>
    <xf numFmtId="0" fontId="5" fillId="0" borderId="1" xfId="0" applyFont="1" applyBorder="1" applyAlignment="1">
      <alignment horizontal="left" indent="3"/>
    </xf>
    <xf numFmtId="0" fontId="6" fillId="0" borderId="1" xfId="0" applyFont="1" applyBorder="1" applyAlignment="1">
      <alignment horizontal="left" indent="2"/>
    </xf>
    <xf numFmtId="173" fontId="3" fillId="0" borderId="30" xfId="0" applyNumberFormat="1" applyFont="1" applyBorder="1"/>
    <xf numFmtId="173" fontId="6" fillId="0" borderId="20" xfId="0" applyNumberFormat="1" applyFont="1" applyBorder="1"/>
    <xf numFmtId="173" fontId="6" fillId="0" borderId="21" xfId="0" applyNumberFormat="1" applyFont="1" applyBorder="1"/>
    <xf numFmtId="173" fontId="6" fillId="0" borderId="22" xfId="0" applyNumberFormat="1" applyFont="1" applyBorder="1"/>
    <xf numFmtId="173" fontId="6" fillId="0" borderId="24" xfId="0" applyNumberFormat="1" applyFont="1" applyBorder="1"/>
    <xf numFmtId="173" fontId="6" fillId="0" borderId="25" xfId="0" applyNumberFormat="1" applyFont="1" applyBorder="1"/>
    <xf numFmtId="173" fontId="6" fillId="0" borderId="26" xfId="0" applyNumberFormat="1" applyFont="1" applyBorder="1"/>
    <xf numFmtId="173" fontId="5" fillId="0" borderId="20" xfId="0" applyNumberFormat="1" applyFont="1" applyBorder="1"/>
    <xf numFmtId="173" fontId="5" fillId="0" borderId="21" xfId="0" applyNumberFormat="1" applyFont="1" applyBorder="1"/>
    <xf numFmtId="173" fontId="5" fillId="0" borderId="22" xfId="0" applyNumberFormat="1" applyFont="1" applyBorder="1"/>
    <xf numFmtId="173" fontId="5" fillId="0" borderId="1" xfId="0" applyNumberFormat="1" applyFont="1" applyBorder="1"/>
    <xf numFmtId="173" fontId="5" fillId="0" borderId="3" xfId="0" applyNumberFormat="1" applyFont="1" applyBorder="1"/>
    <xf numFmtId="173" fontId="5" fillId="0" borderId="13" xfId="0" applyNumberFormat="1" applyFont="1" applyBorder="1"/>
    <xf numFmtId="173" fontId="5" fillId="0" borderId="24" xfId="0" applyNumberFormat="1" applyFont="1" applyBorder="1"/>
    <xf numFmtId="173" fontId="5" fillId="0" borderId="25" xfId="0" applyNumberFormat="1" applyFont="1" applyBorder="1"/>
    <xf numFmtId="173" fontId="5" fillId="0" borderId="26" xfId="0" applyNumberFormat="1" applyFont="1" applyBorder="1"/>
    <xf numFmtId="173" fontId="5" fillId="0" borderId="14" xfId="0" applyNumberFormat="1" applyFont="1" applyBorder="1"/>
    <xf numFmtId="173" fontId="6" fillId="0" borderId="23" xfId="0" applyNumberFormat="1" applyFont="1" applyBorder="1"/>
    <xf numFmtId="173" fontId="6" fillId="0" borderId="27" xfId="0" applyNumberFormat="1" applyFont="1" applyBorder="1"/>
    <xf numFmtId="173" fontId="5" fillId="0" borderId="23" xfId="0" applyNumberFormat="1" applyFont="1" applyBorder="1"/>
    <xf numFmtId="173" fontId="5" fillId="0" borderId="27" xfId="0" applyNumberFormat="1" applyFont="1" applyBorder="1"/>
    <xf numFmtId="0" fontId="6" fillId="2" borderId="12" xfId="0" applyFont="1" applyFill="1" applyBorder="1" applyAlignment="1"/>
    <xf numFmtId="0" fontId="6" fillId="2" borderId="6" xfId="0" applyFont="1" applyFill="1" applyBorder="1" applyAlignment="1"/>
    <xf numFmtId="173" fontId="3" fillId="0" borderId="0" xfId="0" applyNumberFormat="1" applyFont="1"/>
    <xf numFmtId="173" fontId="3" fillId="6" borderId="1" xfId="0" applyNumberFormat="1" applyFont="1" applyFill="1" applyBorder="1"/>
    <xf numFmtId="173" fontId="3" fillId="0" borderId="24" xfId="0" applyNumberFormat="1" applyFont="1" applyFill="1" applyBorder="1"/>
    <xf numFmtId="173" fontId="3" fillId="0" borderId="4" xfId="0" applyNumberFormat="1" applyFont="1" applyBorder="1"/>
    <xf numFmtId="173" fontId="3" fillId="0" borderId="31" xfId="0" applyNumberFormat="1" applyFont="1" applyBorder="1"/>
    <xf numFmtId="173" fontId="3" fillId="0" borderId="32" xfId="0" applyNumberFormat="1" applyFont="1" applyBorder="1"/>
    <xf numFmtId="173" fontId="3" fillId="0" borderId="33" xfId="0" applyNumberFormat="1" applyFont="1" applyBorder="1"/>
    <xf numFmtId="0" fontId="6" fillId="5" borderId="0" xfId="0" applyFont="1" applyFill="1" applyAlignment="1">
      <alignment horizontal="center" vertical="top" wrapText="1"/>
    </xf>
    <xf numFmtId="0" fontId="6" fillId="5" borderId="2" xfId="0" applyFont="1" applyFill="1" applyBorder="1" applyAlignment="1">
      <alignment horizontal="center" vertical="top" wrapText="1"/>
    </xf>
    <xf numFmtId="0" fontId="12" fillId="0" borderId="0" xfId="0" applyFont="1"/>
    <xf numFmtId="0" fontId="6" fillId="5" borderId="17" xfId="0" applyFont="1" applyFill="1" applyBorder="1" applyAlignment="1">
      <alignment horizontal="center" vertical="top" wrapText="1"/>
    </xf>
    <xf numFmtId="0" fontId="6" fillId="5" borderId="34" xfId="0" applyFont="1" applyFill="1" applyBorder="1" applyAlignment="1">
      <alignment horizontal="center" vertical="top" wrapText="1"/>
    </xf>
    <xf numFmtId="0" fontId="6" fillId="5" borderId="35" xfId="0" applyFont="1" applyFill="1" applyBorder="1" applyAlignment="1">
      <alignment horizontal="center" vertical="top" wrapText="1"/>
    </xf>
    <xf numFmtId="9" fontId="6" fillId="0" borderId="11" xfId="28" applyFont="1" applyBorder="1" applyAlignment="1">
      <alignment horizontal="center"/>
    </xf>
    <xf numFmtId="1" fontId="6" fillId="0" borderId="11" xfId="0" applyNumberFormat="1" applyFont="1" applyBorder="1" applyAlignment="1">
      <alignment horizontal="center"/>
    </xf>
    <xf numFmtId="0" fontId="16" fillId="0" borderId="36" xfId="0" applyFont="1" applyFill="1" applyBorder="1" applyAlignment="1">
      <alignment horizontal="center" vertical="top" wrapText="1"/>
    </xf>
    <xf numFmtId="0" fontId="16" fillId="0" borderId="37" xfId="0" applyFont="1" applyFill="1" applyBorder="1" applyAlignment="1">
      <alignment horizontal="center" vertical="top" wrapText="1"/>
    </xf>
    <xf numFmtId="0" fontId="16" fillId="0" borderId="5" xfId="0" applyFont="1" applyFill="1" applyBorder="1" applyAlignment="1">
      <alignment horizontal="center" vertical="top" wrapText="1"/>
    </xf>
    <xf numFmtId="0" fontId="16" fillId="0" borderId="4" xfId="0" applyFont="1" applyFill="1" applyBorder="1" applyAlignment="1">
      <alignment horizontal="center" vertical="center"/>
    </xf>
    <xf numFmtId="0" fontId="16" fillId="0" borderId="38" xfId="0" applyFont="1" applyFill="1" applyBorder="1" applyAlignment="1">
      <alignment horizontal="center" vertical="top" wrapText="1"/>
    </xf>
    <xf numFmtId="0" fontId="16" fillId="0" borderId="12" xfId="0" applyFont="1" applyFill="1" applyBorder="1" applyAlignment="1">
      <alignment horizontal="center" vertical="center"/>
    </xf>
    <xf numFmtId="0" fontId="19" fillId="0" borderId="0" xfId="0" applyFont="1" applyBorder="1" applyAlignment="1">
      <alignment horizontal="left" vertical="top"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6" fillId="0" borderId="41" xfId="0" applyFont="1" applyFill="1" applyBorder="1" applyAlignment="1">
      <alignment horizontal="center" vertical="center" wrapText="1"/>
    </xf>
    <xf numFmtId="0" fontId="11" fillId="0" borderId="9" xfId="0" applyFont="1" applyFill="1" applyBorder="1" applyAlignment="1">
      <alignment horizontal="left"/>
    </xf>
    <xf numFmtId="0" fontId="16" fillId="0" borderId="9" xfId="0" applyFont="1" applyFill="1" applyBorder="1" applyAlignment="1">
      <alignment horizontal="centerContinuous"/>
    </xf>
    <xf numFmtId="0" fontId="14" fillId="0" borderId="0" xfId="0" applyFont="1"/>
    <xf numFmtId="0" fontId="16" fillId="0" borderId="4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3"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4" xfId="0" applyFont="1" applyFill="1" applyBorder="1" applyAlignment="1">
      <alignment horizontal="center" vertical="top" wrapText="1"/>
    </xf>
    <xf numFmtId="0" fontId="16" fillId="0" borderId="10" xfId="0" applyFont="1" applyFill="1" applyBorder="1" applyAlignment="1">
      <alignment horizontal="center" vertical="top" wrapText="1"/>
    </xf>
    <xf numFmtId="0" fontId="16" fillId="0" borderId="9" xfId="0" applyFont="1" applyFill="1" applyBorder="1" applyAlignment="1">
      <alignment horizontal="center" vertical="top" wrapText="1"/>
    </xf>
    <xf numFmtId="174" fontId="14" fillId="0" borderId="3" xfId="0" applyNumberFormat="1" applyFont="1" applyBorder="1"/>
    <xf numFmtId="174" fontId="14" fillId="0" borderId="43" xfId="0" applyNumberFormat="1" applyFont="1" applyBorder="1"/>
    <xf numFmtId="174" fontId="14" fillId="0" borderId="8" xfId="0" applyNumberFormat="1" applyFont="1" applyBorder="1"/>
    <xf numFmtId="174" fontId="14" fillId="0" borderId="0" xfId="0" applyNumberFormat="1" applyFont="1" applyBorder="1"/>
    <xf numFmtId="174" fontId="14" fillId="0" borderId="3" xfId="0" applyNumberFormat="1" applyFont="1" applyFill="1" applyBorder="1"/>
    <xf numFmtId="174" fontId="14" fillId="0" borderId="43" xfId="0" applyNumberFormat="1" applyFont="1" applyFill="1" applyBorder="1"/>
    <xf numFmtId="174" fontId="14" fillId="0" borderId="8" xfId="0" applyNumberFormat="1" applyFont="1" applyFill="1" applyBorder="1"/>
    <xf numFmtId="0" fontId="16" fillId="0" borderId="44" xfId="0" applyNumberFormat="1" applyFont="1" applyBorder="1"/>
    <xf numFmtId="0" fontId="14" fillId="0" borderId="0" xfId="0" applyFont="1" applyAlignment="1">
      <alignment horizontal="left" wrapText="1"/>
    </xf>
    <xf numFmtId="0" fontId="8" fillId="0" borderId="0" xfId="0" applyFont="1"/>
    <xf numFmtId="0" fontId="16" fillId="0" borderId="4" xfId="0" applyFont="1" applyFill="1" applyBorder="1" applyAlignment="1">
      <alignment horizontal="left" vertical="center"/>
    </xf>
    <xf numFmtId="0" fontId="18" fillId="0" borderId="3" xfId="0" applyFont="1" applyBorder="1"/>
    <xf numFmtId="0" fontId="14" fillId="0" borderId="43" xfId="0" applyNumberFormat="1" applyFont="1" applyBorder="1" applyAlignment="1">
      <alignment horizontal="center"/>
    </xf>
    <xf numFmtId="0" fontId="16" fillId="0" borderId="6" xfId="0" applyFont="1" applyBorder="1" applyAlignment="1">
      <alignment horizontal="center"/>
    </xf>
    <xf numFmtId="0" fontId="16" fillId="0" borderId="38" xfId="0" applyFont="1" applyBorder="1" applyAlignment="1">
      <alignment horizontal="center"/>
    </xf>
    <xf numFmtId="0" fontId="16" fillId="0" borderId="7" xfId="0" applyFont="1" applyBorder="1" applyAlignment="1">
      <alignment horizontal="center"/>
    </xf>
    <xf numFmtId="0" fontId="16" fillId="0" borderId="12" xfId="0" applyFont="1" applyBorder="1" applyAlignment="1">
      <alignment horizontal="center"/>
    </xf>
    <xf numFmtId="0" fontId="16" fillId="0" borderId="45" xfId="0" applyFont="1" applyBorder="1" applyAlignment="1">
      <alignment horizontal="center"/>
    </xf>
    <xf numFmtId="0" fontId="16" fillId="0" borderId="8" xfId="0" applyFont="1" applyBorder="1" applyAlignment="1">
      <alignment horizontal="center"/>
    </xf>
    <xf numFmtId="0" fontId="16" fillId="0" borderId="1" xfId="0" applyFont="1" applyBorder="1" applyAlignment="1">
      <alignment horizontal="center"/>
    </xf>
    <xf numFmtId="0" fontId="14" fillId="0" borderId="3" xfId="0" applyFont="1" applyBorder="1" applyAlignment="1">
      <alignment horizontal="left" indent="1"/>
    </xf>
    <xf numFmtId="175" fontId="14" fillId="0" borderId="43" xfId="0" applyNumberFormat="1" applyFont="1" applyBorder="1" applyAlignment="1">
      <alignment horizontal="right"/>
    </xf>
    <xf numFmtId="168" fontId="14" fillId="0" borderId="8" xfId="0" applyNumberFormat="1" applyFont="1" applyBorder="1"/>
    <xf numFmtId="168" fontId="14" fillId="0" borderId="1" xfId="0" applyNumberFormat="1" applyFont="1" applyBorder="1"/>
    <xf numFmtId="0" fontId="16" fillId="0" borderId="3" xfId="0" applyFont="1" applyBorder="1" applyAlignment="1">
      <alignment horizontal="left"/>
    </xf>
    <xf numFmtId="175" fontId="16" fillId="0" borderId="46" xfId="0" applyNumberFormat="1" applyFont="1" applyBorder="1" applyAlignment="1">
      <alignment horizontal="right"/>
    </xf>
    <xf numFmtId="168" fontId="16" fillId="0" borderId="34" xfId="0" applyNumberFormat="1" applyFont="1" applyBorder="1"/>
    <xf numFmtId="168" fontId="16" fillId="0" borderId="2" xfId="0" applyNumberFormat="1" applyFont="1" applyBorder="1"/>
    <xf numFmtId="0" fontId="14" fillId="0" borderId="3" xfId="0" applyFont="1" applyBorder="1"/>
    <xf numFmtId="175" fontId="14" fillId="0" borderId="0" xfId="0" applyNumberFormat="1" applyFont="1" applyBorder="1"/>
    <xf numFmtId="175" fontId="14" fillId="0" borderId="43" xfId="0" applyNumberFormat="1" applyFont="1" applyBorder="1"/>
    <xf numFmtId="175" fontId="14" fillId="0" borderId="8" xfId="0" applyNumberFormat="1" applyFont="1" applyBorder="1"/>
    <xf numFmtId="175" fontId="14" fillId="0" borderId="3" xfId="0" applyNumberFormat="1" applyFont="1" applyBorder="1"/>
    <xf numFmtId="175" fontId="14" fillId="0" borderId="47" xfId="0" applyNumberFormat="1" applyFont="1" applyBorder="1"/>
    <xf numFmtId="175" fontId="14" fillId="0" borderId="43" xfId="0" applyNumberFormat="1" applyFont="1" applyFill="1" applyBorder="1"/>
    <xf numFmtId="168" fontId="14" fillId="0" borderId="8" xfId="0" applyNumberFormat="1" applyFont="1" applyFill="1" applyBorder="1"/>
    <xf numFmtId="168" fontId="14" fillId="0" borderId="1" xfId="0" applyNumberFormat="1" applyFont="1" applyFill="1" applyBorder="1"/>
    <xf numFmtId="175" fontId="14" fillId="0" borderId="0" xfId="0" applyNumberFormat="1" applyFont="1" applyFill="1" applyBorder="1"/>
    <xf numFmtId="175" fontId="14" fillId="0" borderId="47" xfId="0" applyNumberFormat="1" applyFont="1" applyFill="1" applyBorder="1"/>
    <xf numFmtId="175" fontId="16" fillId="0" borderId="48" xfId="0" applyNumberFormat="1" applyFont="1" applyBorder="1"/>
    <xf numFmtId="175" fontId="16" fillId="0" borderId="46" xfId="0" applyNumberFormat="1" applyFont="1" applyBorder="1"/>
    <xf numFmtId="175" fontId="16" fillId="0" borderId="49" xfId="0" applyNumberFormat="1" applyFont="1" applyBorder="1"/>
    <xf numFmtId="175" fontId="16" fillId="0" borderId="50" xfId="0" applyNumberFormat="1" applyFont="1" applyBorder="1"/>
    <xf numFmtId="175" fontId="16" fillId="0" borderId="51" xfId="0" applyNumberFormat="1" applyFont="1" applyBorder="1"/>
    <xf numFmtId="175" fontId="16" fillId="0" borderId="0" xfId="0" applyNumberFormat="1" applyFont="1" applyBorder="1"/>
    <xf numFmtId="175" fontId="16" fillId="0" borderId="43" xfId="0" applyNumberFormat="1" applyFont="1" applyBorder="1"/>
    <xf numFmtId="175" fontId="16" fillId="0" borderId="8" xfId="0" applyNumberFormat="1" applyFont="1" applyBorder="1"/>
    <xf numFmtId="175" fontId="16" fillId="0" borderId="3" xfId="0" applyNumberFormat="1" applyFont="1" applyBorder="1"/>
    <xf numFmtId="175" fontId="16" fillId="0" borderId="47" xfId="0" applyNumberFormat="1" applyFont="1" applyBorder="1"/>
    <xf numFmtId="168" fontId="16" fillId="0" borderId="8" xfId="0" applyNumberFormat="1" applyFont="1" applyBorder="1"/>
    <xf numFmtId="168" fontId="16" fillId="0" borderId="1" xfId="0" applyNumberFormat="1" applyFont="1" applyBorder="1"/>
    <xf numFmtId="0" fontId="16" fillId="0" borderId="52" xfId="0" applyFont="1" applyBorder="1"/>
    <xf numFmtId="0" fontId="14" fillId="0" borderId="53" xfId="0" applyNumberFormat="1" applyFont="1" applyBorder="1" applyAlignment="1">
      <alignment horizontal="center"/>
    </xf>
    <xf numFmtId="175" fontId="16" fillId="0" borderId="54" xfId="0" applyNumberFormat="1" applyFont="1" applyFill="1" applyBorder="1"/>
    <xf numFmtId="175" fontId="16" fillId="0" borderId="53" xfId="0" applyNumberFormat="1" applyFont="1" applyFill="1" applyBorder="1"/>
    <xf numFmtId="175" fontId="16" fillId="0" borderId="55" xfId="0" applyNumberFormat="1" applyFont="1" applyBorder="1"/>
    <xf numFmtId="175" fontId="16" fillId="0" borderId="52" xfId="0" applyNumberFormat="1" applyFont="1" applyBorder="1"/>
    <xf numFmtId="175" fontId="16" fillId="0" borderId="53" xfId="0" applyNumberFormat="1" applyFont="1" applyBorder="1"/>
    <xf numFmtId="175" fontId="16" fillId="0" borderId="54" xfId="0" applyNumberFormat="1" applyFont="1" applyBorder="1"/>
    <xf numFmtId="175" fontId="16" fillId="0" borderId="56" xfId="0" applyNumberFormat="1" applyFont="1" applyBorder="1"/>
    <xf numFmtId="168" fontId="16" fillId="0" borderId="57" xfId="0" applyNumberFormat="1" applyFont="1" applyBorder="1"/>
    <xf numFmtId="168" fontId="16" fillId="0" borderId="58" xfId="0" applyNumberFormat="1" applyFont="1" applyBorder="1"/>
    <xf numFmtId="0" fontId="20" fillId="0" borderId="0" xfId="0" applyFont="1" applyBorder="1"/>
    <xf numFmtId="0" fontId="14" fillId="0" borderId="0" xfId="0" applyFont="1" applyBorder="1" applyAlignment="1">
      <alignment horizontal="center"/>
    </xf>
    <xf numFmtId="0" fontId="16" fillId="0" borderId="0" xfId="0" applyFont="1" applyFill="1" applyBorder="1"/>
    <xf numFmtId="168" fontId="16" fillId="0" borderId="0" xfId="0" applyNumberFormat="1" applyFont="1" applyFill="1" applyBorder="1"/>
    <xf numFmtId="0" fontId="19" fillId="0" borderId="0" xfId="0" quotePrefix="1" applyFont="1" applyBorder="1"/>
    <xf numFmtId="0" fontId="16" fillId="0" borderId="0" xfId="0" applyFont="1" applyBorder="1"/>
    <xf numFmtId="168" fontId="16" fillId="0" borderId="0" xfId="0" applyNumberFormat="1" applyFont="1" applyBorder="1"/>
    <xf numFmtId="0" fontId="19" fillId="0" borderId="0" xfId="0" applyFont="1" applyBorder="1" applyAlignment="1">
      <alignment horizontal="left"/>
    </xf>
    <xf numFmtId="0" fontId="19" fillId="0" borderId="0" xfId="0" applyFont="1" applyBorder="1" applyAlignment="1">
      <alignment horizontal="center"/>
    </xf>
    <xf numFmtId="0" fontId="19" fillId="0" borderId="0" xfId="0" applyFont="1" applyBorder="1" applyAlignment="1">
      <alignment horizontal="right"/>
    </xf>
    <xf numFmtId="164" fontId="14" fillId="0" borderId="0" xfId="1" applyNumberFormat="1" applyFont="1"/>
    <xf numFmtId="0" fontId="14" fillId="0" borderId="0" xfId="0" applyFont="1" applyBorder="1"/>
    <xf numFmtId="0" fontId="14" fillId="0" borderId="0" xfId="0" applyFont="1" applyAlignment="1">
      <alignment horizontal="center"/>
    </xf>
    <xf numFmtId="0" fontId="16" fillId="0" borderId="9" xfId="0" applyFont="1" applyFill="1" applyBorder="1" applyAlignment="1">
      <alignment horizontal="left"/>
    </xf>
    <xf numFmtId="0" fontId="18" fillId="0" borderId="3" xfId="0" applyNumberFormat="1" applyFont="1" applyBorder="1"/>
    <xf numFmtId="0" fontId="14" fillId="0" borderId="3" xfId="0" applyNumberFormat="1" applyFont="1" applyBorder="1" applyAlignment="1">
      <alignment horizontal="left" indent="1"/>
    </xf>
    <xf numFmtId="175" fontId="14" fillId="0" borderId="3" xfId="0" applyNumberFormat="1" applyFont="1" applyFill="1" applyBorder="1"/>
    <xf numFmtId="164" fontId="14" fillId="0" borderId="0" xfId="1" applyNumberFormat="1" applyFont="1" applyAlignment="1">
      <alignment horizontal="center"/>
    </xf>
    <xf numFmtId="167" fontId="14" fillId="0" borderId="0" xfId="28" applyNumberFormat="1" applyFont="1" applyAlignment="1">
      <alignment horizontal="center"/>
    </xf>
    <xf numFmtId="0" fontId="14" fillId="0" borderId="3" xfId="0" applyNumberFormat="1" applyFont="1" applyFill="1" applyBorder="1" applyAlignment="1">
      <alignment horizontal="left" indent="1"/>
    </xf>
    <xf numFmtId="175" fontId="14" fillId="0" borderId="0" xfId="1" applyNumberFormat="1" applyFont="1" applyBorder="1"/>
    <xf numFmtId="175" fontId="14" fillId="0" borderId="43" xfId="1" applyNumberFormat="1" applyFont="1" applyFill="1" applyBorder="1"/>
    <xf numFmtId="175" fontId="14" fillId="0" borderId="8" xfId="1" applyNumberFormat="1" applyFont="1" applyBorder="1"/>
    <xf numFmtId="175" fontId="14" fillId="0" borderId="3" xfId="1" applyNumberFormat="1" applyFont="1" applyFill="1" applyBorder="1"/>
    <xf numFmtId="175" fontId="14" fillId="0" borderId="43" xfId="1" applyNumberFormat="1" applyFont="1" applyBorder="1"/>
    <xf numFmtId="175" fontId="14" fillId="0" borderId="47" xfId="1" applyNumberFormat="1" applyFont="1" applyBorder="1"/>
    <xf numFmtId="175" fontId="14" fillId="0" borderId="0" xfId="1" applyNumberFormat="1" applyFont="1" applyFill="1" applyBorder="1"/>
    <xf numFmtId="175" fontId="14" fillId="0" borderId="8" xfId="1" applyNumberFormat="1" applyFont="1" applyFill="1" applyBorder="1"/>
    <xf numFmtId="175" fontId="14" fillId="0" borderId="47" xfId="1" applyNumberFormat="1" applyFont="1" applyFill="1" applyBorder="1"/>
    <xf numFmtId="175" fontId="14" fillId="0" borderId="8" xfId="0" applyNumberFormat="1" applyFont="1" applyFill="1" applyBorder="1"/>
    <xf numFmtId="0" fontId="16" fillId="0" borderId="3" xfId="0" applyNumberFormat="1" applyFont="1" applyBorder="1"/>
    <xf numFmtId="175" fontId="16" fillId="0" borderId="48" xfId="0" applyNumberFormat="1" applyFont="1" applyFill="1" applyBorder="1"/>
    <xf numFmtId="175" fontId="16" fillId="0" borderId="46" xfId="0" applyNumberFormat="1" applyFont="1" applyFill="1" applyBorder="1"/>
    <xf numFmtId="175" fontId="16" fillId="0" borderId="49" xfId="0" applyNumberFormat="1" applyFont="1" applyFill="1" applyBorder="1"/>
    <xf numFmtId="175" fontId="16" fillId="0" borderId="50" xfId="0" applyNumberFormat="1" applyFont="1" applyFill="1" applyBorder="1"/>
    <xf numFmtId="175" fontId="16" fillId="0" borderId="51" xfId="0" applyNumberFormat="1" applyFont="1" applyFill="1" applyBorder="1"/>
    <xf numFmtId="164" fontId="14" fillId="0" borderId="0" xfId="0" applyNumberFormat="1" applyFont="1"/>
    <xf numFmtId="167" fontId="14" fillId="0" borderId="0" xfId="0" applyNumberFormat="1" applyFont="1"/>
    <xf numFmtId="0" fontId="14" fillId="0" borderId="3" xfId="0" applyNumberFormat="1" applyFont="1" applyBorder="1"/>
    <xf numFmtId="0" fontId="21" fillId="0" borderId="43" xfId="0" applyNumberFormat="1" applyFont="1" applyBorder="1" applyAlignment="1">
      <alignment horizontal="center"/>
    </xf>
    <xf numFmtId="175" fontId="16" fillId="0" borderId="59" xfId="0" applyNumberFormat="1" applyFont="1" applyBorder="1"/>
    <xf numFmtId="175" fontId="16" fillId="0" borderId="60" xfId="0" applyNumberFormat="1" applyFont="1" applyBorder="1"/>
    <xf numFmtId="175" fontId="16" fillId="0" borderId="61" xfId="0" applyNumberFormat="1" applyFont="1" applyBorder="1"/>
    <xf numFmtId="175" fontId="16" fillId="0" borderId="62" xfId="0" applyNumberFormat="1" applyFont="1" applyBorder="1"/>
    <xf numFmtId="175" fontId="16" fillId="0" borderId="63" xfId="0" applyNumberFormat="1" applyFont="1" applyBorder="1"/>
    <xf numFmtId="167" fontId="14" fillId="0" borderId="0" xfId="0" applyNumberFormat="1" applyFont="1" applyAlignment="1">
      <alignment horizontal="center"/>
    </xf>
    <xf numFmtId="0" fontId="16" fillId="0" borderId="52" xfId="0" applyNumberFormat="1" applyFont="1" applyBorder="1"/>
    <xf numFmtId="175" fontId="16" fillId="0" borderId="9" xfId="0" applyNumberFormat="1" applyFont="1" applyBorder="1"/>
    <xf numFmtId="175" fontId="16" fillId="0" borderId="36" xfId="0" applyNumberFormat="1" applyFont="1" applyBorder="1"/>
    <xf numFmtId="175" fontId="16" fillId="0" borderId="10" xfId="0" applyNumberFormat="1" applyFont="1" applyBorder="1"/>
    <xf numFmtId="175" fontId="16" fillId="0" borderId="4" xfId="0" applyNumberFormat="1" applyFont="1" applyBorder="1"/>
    <xf numFmtId="0" fontId="19" fillId="0" borderId="0" xfId="0" applyFont="1" applyBorder="1"/>
    <xf numFmtId="0" fontId="19" fillId="0" borderId="3" xfId="0" applyFont="1" applyBorder="1" applyAlignment="1">
      <alignment horizontal="right"/>
    </xf>
    <xf numFmtId="164" fontId="19" fillId="0" borderId="0" xfId="1" applyNumberFormat="1" applyFont="1" applyBorder="1" applyAlignment="1">
      <alignment horizontal="right"/>
    </xf>
    <xf numFmtId="0" fontId="14" fillId="0" borderId="36" xfId="0" applyFont="1" applyFill="1" applyBorder="1" applyAlignment="1">
      <alignment horizontal="center" vertical="center"/>
    </xf>
    <xf numFmtId="0" fontId="14" fillId="0" borderId="38" xfId="0" applyFont="1" applyBorder="1" applyAlignment="1">
      <alignment horizontal="center"/>
    </xf>
    <xf numFmtId="168" fontId="16" fillId="0" borderId="7" xfId="0" applyNumberFormat="1" applyFont="1" applyBorder="1" applyAlignment="1">
      <alignment horizontal="center"/>
    </xf>
    <xf numFmtId="0" fontId="14" fillId="0" borderId="43" xfId="0" applyFont="1" applyBorder="1" applyAlignment="1">
      <alignment horizontal="center"/>
    </xf>
    <xf numFmtId="0" fontId="14" fillId="0" borderId="43" xfId="0" applyFont="1" applyFill="1" applyBorder="1" applyAlignment="1">
      <alignment horizontal="center"/>
    </xf>
    <xf numFmtId="0" fontId="21" fillId="0" borderId="43" xfId="0" applyFont="1" applyBorder="1" applyAlignment="1">
      <alignment horizontal="center"/>
    </xf>
    <xf numFmtId="175" fontId="14" fillId="0" borderId="3" xfId="1" applyNumberFormat="1" applyFont="1" applyBorder="1"/>
    <xf numFmtId="0" fontId="16" fillId="0" borderId="3" xfId="0" applyNumberFormat="1" applyFont="1" applyBorder="1" applyAlignment="1">
      <alignment horizontal="left" wrapText="1"/>
    </xf>
    <xf numFmtId="0" fontId="16" fillId="0" borderId="4" xfId="0" applyFont="1" applyFill="1" applyBorder="1" applyAlignment="1">
      <alignment horizontal="center" vertical="center" wrapText="1"/>
    </xf>
    <xf numFmtId="0" fontId="16" fillId="0" borderId="3" xfId="0" applyNumberFormat="1" applyFont="1" applyBorder="1" applyAlignment="1">
      <alignment wrapText="1"/>
    </xf>
    <xf numFmtId="0" fontId="14" fillId="0" borderId="3" xfId="0" applyNumberFormat="1" applyFont="1" applyBorder="1" applyAlignment="1">
      <alignment horizontal="left" wrapText="1" indent="1"/>
    </xf>
    <xf numFmtId="0" fontId="16" fillId="0" borderId="56" xfId="0" applyNumberFormat="1" applyFont="1" applyBorder="1"/>
    <xf numFmtId="0" fontId="14" fillId="0" borderId="53" xfId="0" applyFont="1" applyBorder="1" applyAlignment="1">
      <alignment horizontal="center"/>
    </xf>
    <xf numFmtId="0" fontId="20" fillId="0" borderId="0" xfId="0" applyNumberFormat="1" applyFont="1" applyBorder="1"/>
    <xf numFmtId="0" fontId="19" fillId="0" borderId="0" xfId="0" applyNumberFormat="1" applyFont="1" applyBorder="1"/>
    <xf numFmtId="168" fontId="14" fillId="0" borderId="0" xfId="0" applyNumberFormat="1" applyFont="1" applyBorder="1"/>
    <xf numFmtId="168" fontId="14" fillId="0" borderId="0" xfId="0" applyNumberFormat="1" applyFont="1"/>
    <xf numFmtId="175" fontId="16" fillId="0" borderId="38" xfId="0" applyNumberFormat="1" applyFont="1" applyBorder="1" applyAlignment="1">
      <alignment horizontal="center"/>
    </xf>
    <xf numFmtId="175" fontId="16" fillId="0" borderId="6" xfId="0" applyNumberFormat="1" applyFont="1" applyBorder="1" applyAlignment="1">
      <alignment horizontal="center"/>
    </xf>
    <xf numFmtId="175" fontId="16" fillId="0" borderId="12" xfId="0" applyNumberFormat="1" applyFont="1" applyBorder="1" applyAlignment="1">
      <alignment horizontal="center"/>
    </xf>
    <xf numFmtId="175" fontId="16" fillId="0" borderId="7" xfId="0" applyNumberFormat="1" applyFont="1" applyBorder="1" applyAlignment="1">
      <alignment horizontal="center"/>
    </xf>
    <xf numFmtId="175" fontId="16" fillId="0" borderId="43" xfId="0" applyNumberFormat="1" applyFont="1" applyBorder="1" applyAlignment="1">
      <alignment horizontal="center"/>
    </xf>
    <xf numFmtId="175" fontId="16" fillId="0" borderId="0" xfId="0" applyNumberFormat="1" applyFont="1" applyBorder="1" applyAlignment="1">
      <alignment horizontal="center"/>
    </xf>
    <xf numFmtId="175" fontId="16" fillId="0" borderId="3" xfId="0" applyNumberFormat="1" applyFont="1" applyBorder="1" applyAlignment="1">
      <alignment horizontal="center"/>
    </xf>
    <xf numFmtId="175" fontId="16" fillId="0" borderId="8" xfId="0" applyNumberFormat="1" applyFont="1" applyBorder="1" applyAlignment="1">
      <alignment horizontal="center"/>
    </xf>
    <xf numFmtId="43" fontId="14" fillId="0" borderId="0" xfId="1" applyFont="1" applyFill="1" applyBorder="1" applyAlignment="1">
      <alignment horizontal="right"/>
    </xf>
    <xf numFmtId="0" fontId="14" fillId="0" borderId="0" xfId="0" applyFont="1" applyAlignment="1">
      <alignment horizontal="right"/>
    </xf>
    <xf numFmtId="43" fontId="14" fillId="0" borderId="0" xfId="0" applyNumberFormat="1" applyFont="1" applyAlignment="1">
      <alignment horizontal="right"/>
    </xf>
    <xf numFmtId="175" fontId="14" fillId="0" borderId="43" xfId="0" applyNumberFormat="1" applyFont="1" applyBorder="1" applyAlignment="1">
      <alignment horizontal="center"/>
    </xf>
    <xf numFmtId="0" fontId="14" fillId="0" borderId="3" xfId="0" applyFont="1" applyFill="1" applyBorder="1" applyAlignment="1">
      <alignment horizontal="left" indent="1"/>
    </xf>
    <xf numFmtId="0" fontId="16" fillId="0" borderId="3" xfId="0" applyFont="1" applyBorder="1"/>
    <xf numFmtId="0" fontId="16" fillId="0" borderId="52" xfId="0" applyFont="1" applyBorder="1" applyAlignment="1">
      <alignment horizontal="left"/>
    </xf>
    <xf numFmtId="0" fontId="16" fillId="0" borderId="3" xfId="0" applyFont="1" applyFill="1" applyBorder="1"/>
    <xf numFmtId="166" fontId="14" fillId="0" borderId="0" xfId="0" applyNumberFormat="1" applyFont="1"/>
    <xf numFmtId="0" fontId="14" fillId="0" borderId="0" xfId="0" applyFont="1" applyBorder="1" applyAlignment="1"/>
    <xf numFmtId="0" fontId="14" fillId="0" borderId="4" xfId="0" applyFont="1" applyBorder="1"/>
    <xf numFmtId="0" fontId="14" fillId="0" borderId="9" xfId="0" applyFont="1" applyBorder="1" applyAlignment="1">
      <alignment horizontal="center"/>
    </xf>
    <xf numFmtId="165" fontId="19" fillId="0" borderId="0" xfId="1" applyNumberFormat="1" applyFont="1" applyBorder="1" applyAlignment="1">
      <alignment horizontal="right"/>
    </xf>
    <xf numFmtId="165" fontId="14" fillId="0" borderId="0" xfId="1" applyNumberFormat="1" applyFont="1"/>
    <xf numFmtId="165" fontId="14" fillId="0" borderId="0" xfId="1" applyNumberFormat="1" applyFont="1" applyFill="1"/>
    <xf numFmtId="175" fontId="16" fillId="0" borderId="45" xfId="0" applyNumberFormat="1" applyFont="1" applyBorder="1" applyAlignment="1">
      <alignment horizontal="center"/>
    </xf>
    <xf numFmtId="0" fontId="16" fillId="0" borderId="62" xfId="0" applyFont="1" applyBorder="1"/>
    <xf numFmtId="0" fontId="14" fillId="0" borderId="60" xfId="0" applyFont="1" applyBorder="1" applyAlignment="1">
      <alignment horizontal="center"/>
    </xf>
    <xf numFmtId="43" fontId="14" fillId="0" borderId="0" xfId="1" applyFont="1" applyBorder="1"/>
    <xf numFmtId="175" fontId="16" fillId="0" borderId="8" xfId="0" applyNumberFormat="1" applyFont="1" applyFill="1" applyBorder="1"/>
    <xf numFmtId="0" fontId="16" fillId="0" borderId="4" xfId="0" applyFont="1" applyBorder="1"/>
    <xf numFmtId="0" fontId="14" fillId="0" borderId="36" xfId="0" applyFont="1" applyBorder="1" applyAlignment="1">
      <alignment horizontal="center"/>
    </xf>
    <xf numFmtId="175" fontId="16" fillId="0" borderId="36" xfId="0" applyNumberFormat="1" applyFont="1" applyFill="1" applyBorder="1"/>
    <xf numFmtId="175" fontId="16" fillId="0" borderId="64" xfId="0" applyNumberFormat="1" applyFont="1" applyFill="1" applyBorder="1"/>
    <xf numFmtId="0" fontId="14" fillId="0" borderId="43" xfId="0" applyNumberFormat="1" applyFont="1" applyFill="1" applyBorder="1" applyAlignment="1">
      <alignment horizontal="center"/>
    </xf>
    <xf numFmtId="175" fontId="14" fillId="0" borderId="45" xfId="0" applyNumberFormat="1" applyFont="1" applyFill="1" applyBorder="1"/>
    <xf numFmtId="175" fontId="16" fillId="0" borderId="55" xfId="0" applyNumberFormat="1" applyFont="1" applyFill="1" applyBorder="1"/>
    <xf numFmtId="175" fontId="16" fillId="0" borderId="52" xfId="0" applyNumberFormat="1" applyFont="1" applyFill="1" applyBorder="1"/>
    <xf numFmtId="175" fontId="16" fillId="0" borderId="56" xfId="0" applyNumberFormat="1" applyFont="1" applyFill="1" applyBorder="1"/>
    <xf numFmtId="0" fontId="14" fillId="0" borderId="0" xfId="0" applyFont="1" applyAlignment="1">
      <alignment horizontal="center" vertical="center" wrapText="1"/>
    </xf>
    <xf numFmtId="0" fontId="20" fillId="0" borderId="0" xfId="0" applyFont="1"/>
    <xf numFmtId="0" fontId="19" fillId="0" borderId="0" xfId="0" quotePrefix="1" applyFont="1" applyFill="1" applyBorder="1"/>
    <xf numFmtId="0" fontId="22" fillId="0" borderId="0" xfId="0" applyFont="1"/>
    <xf numFmtId="0" fontId="21" fillId="0" borderId="0" xfId="0" applyFont="1" applyFill="1" applyBorder="1"/>
    <xf numFmtId="0" fontId="14" fillId="0" borderId="0" xfId="0" applyFont="1" applyFill="1" applyBorder="1"/>
    <xf numFmtId="175" fontId="14" fillId="0" borderId="65" xfId="0" applyNumberFormat="1" applyFont="1" applyFill="1" applyBorder="1"/>
    <xf numFmtId="175" fontId="14" fillId="0" borderId="0" xfId="0" applyNumberFormat="1" applyFont="1"/>
    <xf numFmtId="9" fontId="14" fillId="0" borderId="0" xfId="28" applyFont="1" applyAlignment="1">
      <alignment horizontal="center"/>
    </xf>
    <xf numFmtId="168" fontId="14" fillId="0" borderId="0" xfId="0" applyNumberFormat="1" applyFont="1" applyFill="1" applyBorder="1"/>
    <xf numFmtId="0" fontId="14" fillId="0" borderId="3" xfId="0" applyNumberFormat="1" applyFont="1" applyFill="1" applyBorder="1" applyAlignment="1">
      <alignment horizontal="left" indent="2"/>
    </xf>
    <xf numFmtId="175" fontId="14" fillId="0" borderId="46" xfId="0" applyNumberFormat="1" applyFont="1" applyFill="1" applyBorder="1"/>
    <xf numFmtId="175" fontId="14" fillId="0" borderId="49" xfId="0" applyNumberFormat="1" applyFont="1" applyFill="1" applyBorder="1"/>
    <xf numFmtId="175" fontId="14" fillId="0" borderId="50" xfId="0" applyNumberFormat="1" applyFont="1" applyFill="1" applyBorder="1"/>
    <xf numFmtId="0" fontId="14" fillId="0" borderId="3" xfId="0" applyNumberFormat="1" applyFont="1" applyBorder="1" applyAlignment="1">
      <alignment horizontal="left" indent="2"/>
    </xf>
    <xf numFmtId="0" fontId="21" fillId="0" borderId="43" xfId="0" applyNumberFormat="1" applyFont="1" applyFill="1" applyBorder="1" applyAlignment="1">
      <alignment horizontal="center"/>
    </xf>
    <xf numFmtId="0" fontId="14" fillId="0" borderId="0" xfId="0" applyFont="1" applyFill="1"/>
    <xf numFmtId="0" fontId="19" fillId="0" borderId="3" xfId="0" applyNumberFormat="1" applyFont="1" applyFill="1" applyBorder="1" applyAlignment="1">
      <alignment horizontal="left" indent="1"/>
    </xf>
    <xf numFmtId="0" fontId="16" fillId="0" borderId="3" xfId="0" applyNumberFormat="1" applyFont="1" applyFill="1" applyBorder="1" applyAlignment="1">
      <alignment horizontal="left"/>
    </xf>
    <xf numFmtId="0" fontId="16" fillId="0" borderId="3" xfId="0" applyNumberFormat="1" applyFont="1" applyBorder="1" applyAlignment="1">
      <alignment horizontal="left" indent="1"/>
    </xf>
    <xf numFmtId="0" fontId="17" fillId="0" borderId="3" xfId="0" applyNumberFormat="1" applyFont="1" applyBorder="1"/>
    <xf numFmtId="0" fontId="19" fillId="0" borderId="43" xfId="0" applyNumberFormat="1" applyFont="1" applyBorder="1" applyAlignment="1">
      <alignment horizontal="center"/>
    </xf>
    <xf numFmtId="167" fontId="19" fillId="0" borderId="43" xfId="28" applyNumberFormat="1" applyFont="1" applyFill="1" applyBorder="1" applyAlignment="1">
      <alignment horizontal="center"/>
    </xf>
    <xf numFmtId="167" fontId="19" fillId="0" borderId="8" xfId="28" applyNumberFormat="1" applyFont="1" applyFill="1" applyBorder="1" applyAlignment="1">
      <alignment horizontal="center"/>
    </xf>
    <xf numFmtId="167" fontId="19" fillId="0" borderId="3" xfId="28" applyNumberFormat="1" applyFont="1" applyFill="1" applyBorder="1" applyAlignment="1">
      <alignment horizontal="center"/>
    </xf>
    <xf numFmtId="167" fontId="19" fillId="0" borderId="0" xfId="28" applyNumberFormat="1" applyFont="1" applyFill="1" applyBorder="1" applyAlignment="1">
      <alignment horizontal="center"/>
    </xf>
    <xf numFmtId="167" fontId="19" fillId="0" borderId="47" xfId="28" applyNumberFormat="1" applyFont="1" applyFill="1" applyBorder="1" applyAlignment="1">
      <alignment horizontal="center"/>
    </xf>
    <xf numFmtId="0" fontId="14" fillId="0" borderId="4" xfId="0" applyNumberFormat="1" applyFont="1" applyBorder="1"/>
    <xf numFmtId="0" fontId="14" fillId="0" borderId="36" xfId="0" applyNumberFormat="1" applyFont="1" applyBorder="1" applyAlignment="1">
      <alignment horizontal="center"/>
    </xf>
    <xf numFmtId="168" fontId="16" fillId="0" borderId="36" xfId="0" applyNumberFormat="1" applyFont="1" applyBorder="1"/>
    <xf numFmtId="168" fontId="16" fillId="0" borderId="10" xfId="0" applyNumberFormat="1" applyFont="1" applyBorder="1"/>
    <xf numFmtId="168" fontId="16" fillId="0" borderId="4" xfId="0" applyNumberFormat="1" applyFont="1" applyBorder="1"/>
    <xf numFmtId="168" fontId="16" fillId="0" borderId="9" xfId="0" applyNumberFormat="1" applyFont="1" applyBorder="1"/>
    <xf numFmtId="168" fontId="16" fillId="0" borderId="64" xfId="0" applyNumberFormat="1" applyFont="1" applyBorder="1"/>
    <xf numFmtId="0" fontId="19" fillId="0" borderId="0" xfId="0" applyFont="1" applyFill="1" applyBorder="1" applyAlignment="1">
      <alignment horizontal="right"/>
    </xf>
    <xf numFmtId="0" fontId="16" fillId="0" borderId="9"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0" borderId="10" xfId="0" applyFont="1" applyFill="1" applyBorder="1" applyAlignment="1">
      <alignment horizontal="center" vertical="center" wrapText="1"/>
    </xf>
    <xf numFmtId="176" fontId="14" fillId="0" borderId="43" xfId="1" applyNumberFormat="1" applyFont="1" applyFill="1" applyBorder="1"/>
    <xf numFmtId="176" fontId="14" fillId="0" borderId="0" xfId="1" applyNumberFormat="1" applyFont="1" applyFill="1" applyBorder="1"/>
    <xf numFmtId="175" fontId="16" fillId="0" borderId="43" xfId="0" applyNumberFormat="1" applyFont="1" applyFill="1" applyBorder="1"/>
    <xf numFmtId="175" fontId="16" fillId="0" borderId="3" xfId="0" applyNumberFormat="1" applyFont="1" applyFill="1" applyBorder="1"/>
    <xf numFmtId="175" fontId="16" fillId="0" borderId="0" xfId="0" applyNumberFormat="1" applyFont="1" applyFill="1" applyBorder="1"/>
    <xf numFmtId="0" fontId="16" fillId="0" borderId="4" xfId="0" applyNumberFormat="1" applyFont="1" applyBorder="1"/>
    <xf numFmtId="0" fontId="14" fillId="0" borderId="36" xfId="0" applyNumberFormat="1" applyFont="1" applyFill="1" applyBorder="1" applyAlignment="1">
      <alignment horizontal="center"/>
    </xf>
    <xf numFmtId="168" fontId="14" fillId="0" borderId="38" xfId="0" applyNumberFormat="1" applyFont="1" applyBorder="1"/>
    <xf numFmtId="168" fontId="14" fillId="0" borderId="3" xfId="0" applyNumberFormat="1" applyFont="1" applyBorder="1"/>
    <xf numFmtId="168" fontId="14" fillId="0" borderId="45" xfId="0" applyNumberFormat="1" applyFont="1" applyBorder="1"/>
    <xf numFmtId="0" fontId="18" fillId="0" borderId="3" xfId="0" applyFont="1" applyFill="1" applyBorder="1"/>
    <xf numFmtId="168" fontId="14" fillId="0" borderId="43" xfId="0" applyNumberFormat="1" applyFont="1" applyBorder="1"/>
    <xf numFmtId="168" fontId="14" fillId="0" borderId="47" xfId="0" applyNumberFormat="1" applyFont="1" applyBorder="1"/>
    <xf numFmtId="0" fontId="14" fillId="0" borderId="3" xfId="0" applyFont="1" applyFill="1" applyBorder="1"/>
    <xf numFmtId="175" fontId="16" fillId="0" borderId="47" xfId="0" applyNumberFormat="1" applyFont="1" applyBorder="1" applyAlignment="1">
      <alignment horizontal="center"/>
    </xf>
    <xf numFmtId="0" fontId="16" fillId="0" borderId="50" xfId="0" applyFont="1" applyBorder="1"/>
    <xf numFmtId="0" fontId="14" fillId="0" borderId="46" xfId="0" applyFont="1" applyBorder="1" applyAlignment="1">
      <alignment horizontal="center"/>
    </xf>
    <xf numFmtId="175" fontId="14" fillId="0" borderId="46" xfId="0" applyNumberFormat="1" applyFont="1" applyBorder="1"/>
    <xf numFmtId="175" fontId="14" fillId="0" borderId="49" xfId="0" applyNumberFormat="1" applyFont="1" applyBorder="1"/>
    <xf numFmtId="175" fontId="14" fillId="0" borderId="50" xfId="0" applyNumberFormat="1" applyFont="1" applyBorder="1"/>
    <xf numFmtId="175" fontId="14" fillId="0" borderId="48" xfId="0" applyNumberFormat="1" applyFont="1" applyBorder="1"/>
    <xf numFmtId="175" fontId="14" fillId="0" borderId="51" xfId="0" applyNumberFormat="1" applyFont="1" applyBorder="1"/>
    <xf numFmtId="0" fontId="17" fillId="0" borderId="3" xfId="0" applyFont="1" applyBorder="1" applyAlignment="1">
      <alignment horizontal="right"/>
    </xf>
    <xf numFmtId="0" fontId="21" fillId="0" borderId="3" xfId="0" applyFont="1" applyBorder="1" applyAlignment="1">
      <alignment horizontal="left" indent="1"/>
    </xf>
    <xf numFmtId="0" fontId="19" fillId="0" borderId="3" xfId="0" applyFont="1" applyBorder="1" applyAlignment="1">
      <alignment horizontal="left" indent="1"/>
    </xf>
    <xf numFmtId="0" fontId="16" fillId="0" borderId="3" xfId="0" applyFont="1" applyBorder="1" applyAlignment="1">
      <alignment horizontal="left" indent="1"/>
    </xf>
    <xf numFmtId="0" fontId="14" fillId="0" borderId="3" xfId="0" applyFont="1" applyBorder="1" applyAlignment="1">
      <alignment horizontal="left" indent="2"/>
    </xf>
    <xf numFmtId="0" fontId="16" fillId="0" borderId="38" xfId="0" applyFont="1" applyFill="1" applyBorder="1" applyAlignment="1">
      <alignment vertical="center"/>
    </xf>
    <xf numFmtId="175" fontId="16" fillId="0" borderId="11" xfId="0" applyNumberFormat="1" applyFont="1" applyBorder="1" applyAlignment="1">
      <alignment horizontal="center"/>
    </xf>
    <xf numFmtId="175" fontId="16" fillId="0" borderId="1" xfId="0" applyNumberFormat="1" applyFont="1" applyBorder="1"/>
    <xf numFmtId="175" fontId="16" fillId="0" borderId="44" xfId="0" applyNumberFormat="1" applyFont="1" applyBorder="1"/>
    <xf numFmtId="0" fontId="14" fillId="0" borderId="3" xfId="0" applyFont="1" applyBorder="1" applyAlignment="1">
      <alignment horizontal="left" wrapText="1" indent="1"/>
    </xf>
    <xf numFmtId="0" fontId="16" fillId="0" borderId="52" xfId="0" applyFont="1" applyBorder="1" applyAlignment="1">
      <alignment vertical="top" wrapText="1"/>
    </xf>
    <xf numFmtId="17" fontId="17" fillId="0" borderId="0" xfId="0" quotePrefix="1" applyNumberFormat="1" applyFont="1" applyAlignment="1">
      <alignment horizontal="center"/>
    </xf>
    <xf numFmtId="175" fontId="14" fillId="0" borderId="38" xfId="0" applyNumberFormat="1" applyFont="1" applyBorder="1"/>
    <xf numFmtId="175" fontId="14" fillId="0" borderId="45" xfId="0" applyNumberFormat="1" applyFont="1" applyBorder="1"/>
    <xf numFmtId="0" fontId="16" fillId="0" borderId="50" xfId="0" applyFont="1" applyFill="1" applyBorder="1"/>
    <xf numFmtId="0" fontId="16" fillId="0" borderId="52" xfId="0" applyFont="1" applyFill="1" applyBorder="1"/>
    <xf numFmtId="0" fontId="14" fillId="0" borderId="0" xfId="0" applyFont="1" applyFill="1" applyBorder="1" applyAlignment="1">
      <alignment horizontal="center"/>
    </xf>
    <xf numFmtId="0" fontId="14" fillId="0" borderId="12" xfId="0" applyFont="1" applyBorder="1"/>
    <xf numFmtId="0" fontId="14" fillId="0" borderId="6" xfId="0" applyFont="1" applyBorder="1" applyAlignment="1">
      <alignment horizontal="center"/>
    </xf>
    <xf numFmtId="175" fontId="14" fillId="0" borderId="36" xfId="0" applyNumberFormat="1" applyFont="1" applyBorder="1"/>
    <xf numFmtId="175" fontId="14" fillId="0" borderId="4" xfId="0" applyNumberFormat="1" applyFont="1" applyBorder="1"/>
    <xf numFmtId="175" fontId="14" fillId="0" borderId="9" xfId="0" applyNumberFormat="1" applyFont="1" applyBorder="1"/>
    <xf numFmtId="0" fontId="19" fillId="0" borderId="0" xfId="0" applyFont="1" applyAlignment="1">
      <alignment horizontal="right"/>
    </xf>
    <xf numFmtId="43" fontId="14" fillId="0" borderId="0" xfId="1" applyFont="1" applyFill="1" applyBorder="1"/>
    <xf numFmtId="0" fontId="14" fillId="0" borderId="38" xfId="0" applyFont="1" applyBorder="1" applyAlignment="1">
      <alignment horizontal="center" vertical="top" wrapText="1"/>
    </xf>
    <xf numFmtId="167" fontId="14" fillId="0" borderId="0" xfId="28" applyNumberFormat="1" applyFont="1"/>
    <xf numFmtId="0" fontId="14" fillId="0" borderId="43" xfId="0" applyFont="1" applyBorder="1" applyAlignment="1">
      <alignment horizontal="center" vertical="top" wrapText="1"/>
    </xf>
    <xf numFmtId="0" fontId="16" fillId="0" borderId="36" xfId="0" applyFont="1" applyBorder="1"/>
    <xf numFmtId="0" fontId="14" fillId="0" borderId="1" xfId="0" applyFont="1" applyBorder="1" applyAlignment="1">
      <alignment horizontal="center" vertical="top" wrapText="1"/>
    </xf>
    <xf numFmtId="164" fontId="14" fillId="0" borderId="0" xfId="1" applyNumberFormat="1" applyFont="1" applyBorder="1" applyAlignment="1">
      <alignment horizontal="left"/>
    </xf>
    <xf numFmtId="168" fontId="14" fillId="0" borderId="0" xfId="1" applyNumberFormat="1" applyFont="1" applyBorder="1"/>
    <xf numFmtId="167" fontId="14" fillId="0" borderId="0" xfId="28" applyNumberFormat="1" applyFont="1" applyBorder="1"/>
    <xf numFmtId="164" fontId="14" fillId="0" borderId="0" xfId="1" applyNumberFormat="1" applyFont="1" applyBorder="1"/>
    <xf numFmtId="175" fontId="19" fillId="0" borderId="0" xfId="1" applyNumberFormat="1" applyFont="1" applyBorder="1" applyAlignment="1">
      <alignment horizontal="right"/>
    </xf>
    <xf numFmtId="168" fontId="19" fillId="0" borderId="0" xfId="0" applyNumberFormat="1" applyFont="1" applyBorder="1" applyAlignment="1">
      <alignment horizontal="right"/>
    </xf>
    <xf numFmtId="0" fontId="14" fillId="0" borderId="8" xfId="0" applyFont="1" applyBorder="1" applyAlignment="1">
      <alignment horizontal="center" vertical="top" wrapText="1"/>
    </xf>
    <xf numFmtId="0" fontId="14" fillId="0" borderId="3" xfId="0" applyFont="1" applyBorder="1" applyAlignment="1">
      <alignment horizontal="center" vertical="top" wrapText="1"/>
    </xf>
    <xf numFmtId="2" fontId="14" fillId="0" borderId="8" xfId="1" applyNumberFormat="1" applyFont="1" applyBorder="1" applyAlignment="1">
      <alignment horizontal="center" vertical="top" wrapText="1"/>
    </xf>
    <xf numFmtId="2" fontId="14" fillId="0" borderId="1" xfId="1" applyNumberFormat="1" applyFont="1" applyBorder="1" applyAlignment="1">
      <alignment horizontal="center" vertical="top" wrapText="1"/>
    </xf>
    <xf numFmtId="2" fontId="14" fillId="0" borderId="3" xfId="1" applyNumberFormat="1" applyFont="1" applyBorder="1" applyAlignment="1">
      <alignment horizontal="center" vertical="top" wrapText="1"/>
    </xf>
    <xf numFmtId="167" fontId="14" fillId="0" borderId="3" xfId="0" applyNumberFormat="1" applyFont="1" applyBorder="1" applyAlignment="1">
      <alignment horizontal="center" vertical="top" wrapText="1"/>
    </xf>
    <xf numFmtId="167" fontId="14" fillId="0" borderId="1" xfId="0" applyNumberFormat="1" applyFont="1" applyFill="1" applyBorder="1" applyAlignment="1">
      <alignment horizontal="center" vertical="top" wrapText="1"/>
    </xf>
    <xf numFmtId="176" fontId="14" fillId="0" borderId="43" xfId="0" applyNumberFormat="1" applyFont="1" applyBorder="1" applyAlignment="1">
      <alignment horizontal="center" vertical="top" wrapText="1"/>
    </xf>
    <xf numFmtId="176" fontId="14" fillId="0" borderId="8" xfId="0" applyNumberFormat="1" applyFont="1" applyBorder="1" applyAlignment="1">
      <alignment horizontal="center" vertical="top" wrapText="1"/>
    </xf>
    <xf numFmtId="176" fontId="14" fillId="0" borderId="3" xfId="0" applyNumberFormat="1" applyFont="1" applyBorder="1" applyAlignment="1">
      <alignment horizontal="center" vertical="top" wrapText="1"/>
    </xf>
    <xf numFmtId="176" fontId="14" fillId="0" borderId="0" xfId="0" applyNumberFormat="1" applyFont="1" applyBorder="1" applyAlignment="1">
      <alignment horizontal="center" vertical="top" wrapText="1"/>
    </xf>
    <xf numFmtId="0" fontId="14" fillId="0" borderId="66" xfId="0" applyFont="1" applyBorder="1" applyAlignment="1">
      <alignment horizontal="left" vertical="top" wrapText="1"/>
    </xf>
    <xf numFmtId="0" fontId="19" fillId="0" borderId="0" xfId="0" applyFont="1"/>
    <xf numFmtId="165" fontId="19" fillId="0" borderId="0" xfId="1" applyNumberFormat="1" applyFont="1" applyBorder="1" applyAlignment="1">
      <alignment vertical="top" wrapText="1"/>
    </xf>
    <xf numFmtId="165" fontId="19" fillId="0" borderId="0" xfId="1" applyNumberFormat="1" applyFont="1" applyFill="1" applyBorder="1" applyAlignment="1">
      <alignment vertical="top" wrapText="1"/>
    </xf>
    <xf numFmtId="0" fontId="21" fillId="0" borderId="0" xfId="0" applyFont="1"/>
    <xf numFmtId="0" fontId="18" fillId="0" borderId="12" xfId="0" applyFont="1" applyBorder="1" applyAlignment="1">
      <alignment horizontal="left" wrapText="1"/>
    </xf>
    <xf numFmtId="0" fontId="14" fillId="0" borderId="67" xfId="0" applyFont="1" applyBorder="1" applyAlignment="1">
      <alignment horizontal="left" vertical="top" wrapText="1"/>
    </xf>
    <xf numFmtId="0" fontId="14" fillId="0" borderId="45" xfId="0" applyFont="1" applyBorder="1" applyAlignment="1">
      <alignment horizontal="center" vertical="top" wrapText="1"/>
    </xf>
    <xf numFmtId="0" fontId="14" fillId="0" borderId="7" xfId="0" applyFont="1" applyBorder="1" applyAlignment="1">
      <alignment horizontal="center" vertical="top" wrapText="1"/>
    </xf>
    <xf numFmtId="0" fontId="14" fillId="0" borderId="12" xfId="0" applyFont="1" applyBorder="1" applyAlignment="1">
      <alignment horizontal="center" vertical="top" wrapText="1"/>
    </xf>
    <xf numFmtId="0" fontId="14" fillId="0" borderId="6" xfId="0" applyFont="1" applyBorder="1" applyAlignment="1">
      <alignment horizontal="center" vertical="top" wrapText="1"/>
    </xf>
    <xf numFmtId="0" fontId="14" fillId="0" borderId="68" xfId="0" applyFont="1" applyBorder="1" applyAlignment="1">
      <alignment horizontal="left" vertical="top" wrapText="1"/>
    </xf>
    <xf numFmtId="167" fontId="14" fillId="0" borderId="47" xfId="28" applyNumberFormat="1" applyFont="1" applyFill="1" applyBorder="1" applyAlignment="1">
      <alignment horizontal="center" vertical="top" wrapText="1"/>
    </xf>
    <xf numFmtId="167" fontId="14" fillId="0" borderId="43" xfId="28" applyNumberFormat="1" applyFont="1" applyFill="1" applyBorder="1" applyAlignment="1">
      <alignment horizontal="center" vertical="top" wrapText="1"/>
    </xf>
    <xf numFmtId="167" fontId="14" fillId="0" borderId="8" xfId="28" applyNumberFormat="1" applyFont="1" applyFill="1" applyBorder="1" applyAlignment="1">
      <alignment horizontal="center" vertical="top" wrapText="1"/>
    </xf>
    <xf numFmtId="167" fontId="14" fillId="0" borderId="3" xfId="28" applyNumberFormat="1" applyFont="1" applyFill="1" applyBorder="1" applyAlignment="1">
      <alignment horizontal="center" vertical="top" wrapText="1"/>
    </xf>
    <xf numFmtId="167" fontId="14" fillId="0" borderId="0" xfId="28" applyNumberFormat="1" applyFont="1" applyFill="1" applyBorder="1" applyAlignment="1">
      <alignment horizontal="center" vertical="top" wrapText="1"/>
    </xf>
    <xf numFmtId="0" fontId="14" fillId="0" borderId="3" xfId="0" applyFont="1" applyBorder="1" applyAlignment="1">
      <alignment horizontal="left" vertical="top" wrapText="1" indent="1"/>
    </xf>
    <xf numFmtId="0" fontId="14" fillId="0" borderId="47" xfId="28" applyNumberFormat="1" applyFont="1" applyFill="1" applyBorder="1" applyAlignment="1">
      <alignment horizontal="center" vertical="top" wrapText="1"/>
    </xf>
    <xf numFmtId="0" fontId="14" fillId="0" borderId="43" xfId="28" applyNumberFormat="1" applyFont="1" applyFill="1" applyBorder="1" applyAlignment="1">
      <alignment horizontal="center" vertical="top" wrapText="1"/>
    </xf>
    <xf numFmtId="0" fontId="14" fillId="0" borderId="8" xfId="28" applyNumberFormat="1" applyFont="1" applyFill="1" applyBorder="1" applyAlignment="1">
      <alignment horizontal="center" vertical="top" wrapText="1"/>
    </xf>
    <xf numFmtId="0" fontId="18" fillId="0" borderId="3" xfId="0" applyFont="1" applyBorder="1" applyAlignment="1">
      <alignment horizontal="left" wrapText="1"/>
    </xf>
    <xf numFmtId="0" fontId="14" fillId="0" borderId="47" xfId="0" applyFont="1" applyFill="1" applyBorder="1" applyAlignment="1">
      <alignment horizontal="center" vertical="top" wrapText="1"/>
    </xf>
    <xf numFmtId="0" fontId="14" fillId="0" borderId="43" xfId="0" applyFont="1" applyFill="1" applyBorder="1" applyAlignment="1">
      <alignment horizontal="center" vertical="top" wrapText="1"/>
    </xf>
    <xf numFmtId="0" fontId="14" fillId="0" borderId="8" xfId="0" applyFont="1" applyFill="1" applyBorder="1" applyAlignment="1">
      <alignment horizontal="center" vertical="top" wrapText="1"/>
    </xf>
    <xf numFmtId="0" fontId="14" fillId="0" borderId="3" xfId="0" applyFont="1" applyFill="1" applyBorder="1" applyAlignment="1">
      <alignment horizontal="center" vertical="top" wrapText="1"/>
    </xf>
    <xf numFmtId="0" fontId="14" fillId="0" borderId="0" xfId="0" applyFont="1" applyFill="1" applyBorder="1" applyAlignment="1">
      <alignment horizontal="center" vertical="top" wrapText="1"/>
    </xf>
    <xf numFmtId="177" fontId="14" fillId="0" borderId="47" xfId="1" applyNumberFormat="1" applyFont="1" applyFill="1" applyBorder="1" applyAlignment="1">
      <alignment vertical="top" wrapText="1"/>
    </xf>
    <xf numFmtId="177" fontId="14" fillId="0" borderId="43" xfId="1" applyNumberFormat="1" applyFont="1" applyFill="1" applyBorder="1" applyAlignment="1">
      <alignment vertical="top" wrapText="1"/>
    </xf>
    <xf numFmtId="177" fontId="14" fillId="0" borderId="8" xfId="1" applyNumberFormat="1" applyFont="1" applyFill="1" applyBorder="1" applyAlignment="1">
      <alignment vertical="top" wrapText="1"/>
    </xf>
    <xf numFmtId="177" fontId="14" fillId="0" borderId="3" xfId="1" applyNumberFormat="1" applyFont="1" applyFill="1" applyBorder="1" applyAlignment="1">
      <alignment vertical="top" wrapText="1"/>
    </xf>
    <xf numFmtId="177" fontId="14" fillId="0" borderId="0" xfId="1" applyNumberFormat="1" applyFont="1" applyFill="1" applyBorder="1" applyAlignment="1">
      <alignment vertical="top" wrapText="1"/>
    </xf>
    <xf numFmtId="177" fontId="14" fillId="0" borderId="47" xfId="0" applyNumberFormat="1" applyFont="1" applyFill="1" applyBorder="1" applyAlignment="1">
      <alignment horizontal="center" vertical="top" wrapText="1"/>
    </xf>
    <xf numFmtId="177" fontId="14" fillId="0" borderId="43" xfId="0" applyNumberFormat="1" applyFont="1" applyFill="1" applyBorder="1" applyAlignment="1">
      <alignment horizontal="center" vertical="top" wrapText="1"/>
    </xf>
    <xf numFmtId="177" fontId="14" fillId="0" borderId="8" xfId="0" applyNumberFormat="1" applyFont="1" applyFill="1" applyBorder="1" applyAlignment="1">
      <alignment horizontal="center" vertical="top" wrapText="1"/>
    </xf>
    <xf numFmtId="177" fontId="14" fillId="0" borderId="3" xfId="0" applyNumberFormat="1" applyFont="1" applyFill="1" applyBorder="1" applyAlignment="1">
      <alignment horizontal="center" vertical="top" wrapText="1"/>
    </xf>
    <xf numFmtId="177" fontId="14" fillId="0" borderId="0" xfId="0" applyNumberFormat="1" applyFont="1" applyFill="1" applyBorder="1" applyAlignment="1">
      <alignment horizontal="center" vertical="top" wrapText="1"/>
    </xf>
    <xf numFmtId="167" fontId="14" fillId="0" borderId="47" xfId="0" applyNumberFormat="1" applyFont="1" applyFill="1" applyBorder="1" applyAlignment="1">
      <alignment horizontal="center" vertical="top" wrapText="1"/>
    </xf>
    <xf numFmtId="167" fontId="14" fillId="0" borderId="43" xfId="0" applyNumberFormat="1" applyFont="1" applyFill="1" applyBorder="1" applyAlignment="1">
      <alignment horizontal="center" vertical="top" wrapText="1"/>
    </xf>
    <xf numFmtId="167" fontId="14" fillId="0" borderId="8" xfId="0" applyNumberFormat="1" applyFont="1" applyFill="1" applyBorder="1" applyAlignment="1">
      <alignment horizontal="center" vertical="top" wrapText="1"/>
    </xf>
    <xf numFmtId="167" fontId="14" fillId="0" borderId="3" xfId="0" applyNumberFormat="1" applyFont="1" applyFill="1" applyBorder="1" applyAlignment="1">
      <alignment horizontal="center" vertical="top" wrapText="1"/>
    </xf>
    <xf numFmtId="167" fontId="14" fillId="0" borderId="0" xfId="0" applyNumberFormat="1" applyFont="1" applyFill="1" applyBorder="1" applyAlignment="1">
      <alignment horizontal="center" vertical="top" wrapText="1"/>
    </xf>
    <xf numFmtId="0" fontId="18" fillId="0" borderId="3" xfId="0" applyFont="1" applyBorder="1" applyAlignment="1">
      <alignment horizontal="left" vertical="top" wrapText="1"/>
    </xf>
    <xf numFmtId="0" fontId="18" fillId="0" borderId="68" xfId="0" applyFont="1" applyBorder="1" applyAlignment="1">
      <alignment horizontal="left" vertical="top" wrapText="1"/>
    </xf>
    <xf numFmtId="9" fontId="14" fillId="0" borderId="47" xfId="0" applyNumberFormat="1" applyFont="1" applyFill="1" applyBorder="1" applyAlignment="1">
      <alignment horizontal="center" vertical="top" wrapText="1"/>
    </xf>
    <xf numFmtId="9" fontId="14" fillId="0" borderId="43" xfId="0" applyNumberFormat="1" applyFont="1" applyFill="1" applyBorder="1" applyAlignment="1">
      <alignment horizontal="center" vertical="top" wrapText="1"/>
    </xf>
    <xf numFmtId="9" fontId="14" fillId="0" borderId="8" xfId="0" applyNumberFormat="1" applyFont="1" applyFill="1" applyBorder="1" applyAlignment="1">
      <alignment horizontal="center" vertical="top" wrapText="1"/>
    </xf>
    <xf numFmtId="9" fontId="14" fillId="0" borderId="3" xfId="0" applyNumberFormat="1" applyFont="1" applyFill="1" applyBorder="1" applyAlignment="1">
      <alignment horizontal="center" vertical="top" wrapText="1"/>
    </xf>
    <xf numFmtId="9" fontId="14" fillId="0" borderId="0" xfId="0" applyNumberFormat="1" applyFont="1" applyFill="1" applyBorder="1" applyAlignment="1">
      <alignment horizontal="center" vertical="top" wrapText="1"/>
    </xf>
    <xf numFmtId="0" fontId="14" fillId="0" borderId="69" xfId="0" applyFont="1" applyBorder="1" applyAlignment="1">
      <alignment horizontal="left" vertical="top" wrapText="1" indent="1"/>
    </xf>
    <xf numFmtId="0" fontId="14" fillId="0" borderId="70" xfId="0" applyFont="1" applyBorder="1" applyAlignment="1">
      <alignment horizontal="left" vertical="top" wrapText="1"/>
    </xf>
    <xf numFmtId="177" fontId="14" fillId="0" borderId="71" xfId="1" applyNumberFormat="1" applyFont="1" applyFill="1" applyBorder="1" applyAlignment="1">
      <alignment vertical="top" wrapText="1"/>
    </xf>
    <xf numFmtId="177" fontId="14" fillId="0" borderId="72" xfId="1" applyNumberFormat="1" applyFont="1" applyFill="1" applyBorder="1" applyAlignment="1">
      <alignment vertical="top" wrapText="1"/>
    </xf>
    <xf numFmtId="177" fontId="14" fillId="0" borderId="73" xfId="1" applyNumberFormat="1" applyFont="1" applyFill="1" applyBorder="1" applyAlignment="1">
      <alignment vertical="top" wrapText="1"/>
    </xf>
    <xf numFmtId="177" fontId="14" fillId="0" borderId="69" xfId="1" applyNumberFormat="1" applyFont="1" applyFill="1" applyBorder="1" applyAlignment="1">
      <alignment vertical="top" wrapText="1"/>
    </xf>
    <xf numFmtId="177" fontId="14" fillId="0" borderId="74" xfId="1" applyNumberFormat="1" applyFont="1" applyFill="1" applyBorder="1" applyAlignment="1">
      <alignment vertical="top" wrapText="1"/>
    </xf>
    <xf numFmtId="168" fontId="14" fillId="0" borderId="3" xfId="0" applyNumberFormat="1" applyFont="1" applyFill="1" applyBorder="1"/>
    <xf numFmtId="168" fontId="14" fillId="0" borderId="43" xfId="0" applyNumberFormat="1" applyFont="1" applyFill="1" applyBorder="1"/>
    <xf numFmtId="167" fontId="14" fillId="0" borderId="0" xfId="0" applyNumberFormat="1" applyFont="1" applyFill="1" applyAlignment="1">
      <alignment horizontal="center"/>
    </xf>
    <xf numFmtId="168" fontId="14" fillId="0" borderId="0" xfId="1" applyNumberFormat="1" applyFont="1"/>
    <xf numFmtId="0" fontId="16" fillId="0" borderId="12" xfId="0" applyFont="1" applyFill="1" applyBorder="1" applyAlignment="1">
      <alignment horizontal="center" vertical="top" wrapText="1"/>
    </xf>
    <xf numFmtId="0" fontId="16" fillId="0" borderId="75" xfId="0" applyFont="1" applyFill="1" applyBorder="1" applyAlignment="1">
      <alignment horizontal="center" vertical="top" wrapText="1"/>
    </xf>
    <xf numFmtId="0" fontId="16" fillId="0" borderId="17" xfId="0" applyFont="1" applyFill="1" applyBorder="1" applyAlignment="1">
      <alignment horizontal="center" vertical="top" wrapText="1"/>
    </xf>
    <xf numFmtId="0" fontId="16" fillId="0" borderId="76" xfId="0" applyFont="1" applyFill="1" applyBorder="1" applyAlignment="1">
      <alignment horizontal="center" vertical="top" wrapText="1"/>
    </xf>
    <xf numFmtId="0" fontId="16" fillId="0" borderId="77" xfId="0" applyFont="1" applyFill="1" applyBorder="1" applyAlignment="1">
      <alignment horizontal="center" vertical="top" wrapText="1"/>
    </xf>
    <xf numFmtId="0" fontId="16" fillId="0" borderId="2" xfId="0" applyFont="1" applyFill="1" applyBorder="1" applyAlignment="1">
      <alignment horizontal="center" vertical="top" wrapText="1"/>
    </xf>
    <xf numFmtId="0" fontId="18" fillId="0" borderId="12" xfId="0" applyNumberFormat="1" applyFont="1" applyBorder="1" applyAlignment="1">
      <alignment horizontal="left" wrapText="1"/>
    </xf>
    <xf numFmtId="0" fontId="14" fillId="0" borderId="75" xfId="0" applyNumberFormat="1" applyFont="1" applyBorder="1" applyAlignment="1">
      <alignment horizontal="left" vertical="top" wrapText="1"/>
    </xf>
    <xf numFmtId="0" fontId="14" fillId="0" borderId="75" xfId="0" applyFont="1" applyBorder="1" applyAlignment="1">
      <alignment horizontal="left" vertical="top" wrapText="1"/>
    </xf>
    <xf numFmtId="0" fontId="14" fillId="0" borderId="67" xfId="0" applyFont="1" applyBorder="1" applyAlignment="1">
      <alignment horizontal="center" vertical="top" wrapText="1"/>
    </xf>
    <xf numFmtId="0" fontId="14" fillId="0" borderId="11" xfId="0" applyFont="1" applyBorder="1" applyAlignment="1">
      <alignment horizontal="center" vertical="top" wrapText="1"/>
    </xf>
    <xf numFmtId="0" fontId="14" fillId="0" borderId="78" xfId="0" applyNumberFormat="1" applyFont="1" applyBorder="1" applyAlignment="1">
      <alignment horizontal="left" vertical="top" wrapText="1"/>
    </xf>
    <xf numFmtId="0" fontId="14" fillId="0" borderId="3" xfId="0" applyNumberFormat="1" applyFont="1" applyBorder="1" applyAlignment="1">
      <alignment horizontal="left" vertical="top" wrapText="1" indent="1"/>
    </xf>
    <xf numFmtId="0" fontId="14" fillId="0" borderId="3" xfId="0" applyNumberFormat="1" applyFont="1" applyBorder="1" applyAlignment="1">
      <alignment horizontal="left" vertical="top" wrapText="1"/>
    </xf>
    <xf numFmtId="164" fontId="14" fillId="0" borderId="78" xfId="1" applyNumberFormat="1" applyFont="1" applyFill="1" applyBorder="1" applyAlignment="1">
      <alignment horizontal="left" vertical="top" wrapText="1"/>
    </xf>
    <xf numFmtId="0" fontId="18" fillId="0" borderId="3" xfId="0" applyNumberFormat="1" applyFont="1" applyBorder="1" applyAlignment="1">
      <alignment horizontal="left" wrapText="1"/>
    </xf>
    <xf numFmtId="0" fontId="18" fillId="0" borderId="78" xfId="0" applyNumberFormat="1" applyFont="1" applyBorder="1" applyAlignment="1">
      <alignment horizontal="left" wrapText="1"/>
    </xf>
    <xf numFmtId="0" fontId="14" fillId="0" borderId="68" xfId="0" applyFont="1" applyBorder="1" applyAlignment="1">
      <alignment horizontal="center" vertical="top" wrapText="1"/>
    </xf>
    <xf numFmtId="0" fontId="14" fillId="0" borderId="0" xfId="0" applyFont="1" applyBorder="1" applyAlignment="1">
      <alignment horizontal="center" vertical="top" wrapText="1"/>
    </xf>
    <xf numFmtId="176" fontId="14" fillId="0" borderId="78" xfId="1" applyNumberFormat="1" applyFont="1" applyFill="1" applyBorder="1" applyAlignment="1">
      <alignment horizontal="left" vertical="top" wrapText="1"/>
    </xf>
    <xf numFmtId="176" fontId="14" fillId="0" borderId="68" xfId="0" applyNumberFormat="1" applyFont="1" applyBorder="1" applyAlignment="1">
      <alignment horizontal="center" vertical="top" wrapText="1"/>
    </xf>
    <xf numFmtId="176" fontId="14" fillId="0" borderId="1" xfId="0" applyNumberFormat="1" applyFont="1" applyBorder="1" applyAlignment="1">
      <alignment horizontal="center" vertical="top" wrapText="1"/>
    </xf>
    <xf numFmtId="2" fontId="14" fillId="0" borderId="43" xfId="1" applyNumberFormat="1" applyFont="1" applyBorder="1" applyAlignment="1">
      <alignment horizontal="center" vertical="top" wrapText="1"/>
    </xf>
    <xf numFmtId="2" fontId="14" fillId="0" borderId="68" xfId="1" applyNumberFormat="1" applyFont="1" applyBorder="1" applyAlignment="1">
      <alignment horizontal="center" vertical="top" wrapText="1"/>
    </xf>
    <xf numFmtId="2" fontId="14" fillId="0" borderId="0" xfId="1" applyNumberFormat="1" applyFont="1" applyBorder="1" applyAlignment="1">
      <alignment horizontal="center" vertical="top" wrapText="1"/>
    </xf>
    <xf numFmtId="0" fontId="18" fillId="0" borderId="3" xfId="0" applyNumberFormat="1" applyFont="1" applyBorder="1" applyAlignment="1">
      <alignment horizontal="left" vertical="top" wrapText="1"/>
    </xf>
    <xf numFmtId="164" fontId="14" fillId="0" borderId="78" xfId="1" applyNumberFormat="1" applyFont="1" applyBorder="1" applyAlignment="1">
      <alignment horizontal="left" vertical="top" wrapText="1"/>
    </xf>
    <xf numFmtId="167" fontId="14" fillId="0" borderId="68" xfId="0" applyNumberFormat="1" applyFont="1" applyBorder="1" applyAlignment="1">
      <alignment horizontal="center" vertical="top" wrapText="1"/>
    </xf>
    <xf numFmtId="9" fontId="14" fillId="0" borderId="1" xfId="0" applyNumberFormat="1" applyFont="1" applyFill="1" applyBorder="1" applyAlignment="1">
      <alignment horizontal="center" vertical="top" wrapText="1"/>
    </xf>
    <xf numFmtId="164" fontId="14" fillId="3" borderId="78" xfId="1" applyNumberFormat="1" applyFont="1" applyFill="1" applyBorder="1" applyAlignment="1">
      <alignment horizontal="left" vertical="top" wrapText="1"/>
    </xf>
    <xf numFmtId="164" fontId="18" fillId="3" borderId="78" xfId="1" applyNumberFormat="1" applyFont="1" applyFill="1" applyBorder="1" applyAlignment="1">
      <alignment horizontal="left" vertical="top" wrapText="1"/>
    </xf>
    <xf numFmtId="167" fontId="14" fillId="0" borderId="43" xfId="0" applyNumberFormat="1" applyFont="1" applyBorder="1" applyAlignment="1">
      <alignment horizontal="center" vertical="top" wrapText="1"/>
    </xf>
    <xf numFmtId="0" fontId="14" fillId="0" borderId="4" xfId="0" applyFont="1" applyBorder="1" applyAlignment="1">
      <alignment horizontal="left" vertical="top" wrapText="1"/>
    </xf>
    <xf numFmtId="164" fontId="14" fillId="0" borderId="66" xfId="1" applyNumberFormat="1" applyFont="1" applyBorder="1" applyAlignment="1">
      <alignment horizontal="left" vertical="top" wrapText="1"/>
    </xf>
    <xf numFmtId="165" fontId="14" fillId="0" borderId="4" xfId="1" applyNumberFormat="1" applyFont="1" applyBorder="1" applyAlignment="1">
      <alignment vertical="top" wrapText="1"/>
    </xf>
    <xf numFmtId="165" fontId="14" fillId="0" borderId="36" xfId="1" applyNumberFormat="1" applyFont="1" applyBorder="1" applyAlignment="1">
      <alignment vertical="top" wrapText="1"/>
    </xf>
    <xf numFmtId="165" fontId="14" fillId="0" borderId="37" xfId="1" applyNumberFormat="1" applyFont="1" applyBorder="1" applyAlignment="1">
      <alignment vertical="top" wrapText="1"/>
    </xf>
    <xf numFmtId="165" fontId="14" fillId="0" borderId="5" xfId="1" applyNumberFormat="1" applyFont="1" applyFill="1" applyBorder="1" applyAlignment="1">
      <alignment vertical="top" wrapText="1"/>
    </xf>
    <xf numFmtId="165" fontId="14" fillId="0" borderId="9" xfId="1" applyNumberFormat="1" applyFont="1" applyFill="1" applyBorder="1" applyAlignment="1">
      <alignment vertical="top" wrapText="1"/>
    </xf>
    <xf numFmtId="165" fontId="14" fillId="0" borderId="36" xfId="1" applyNumberFormat="1" applyFont="1" applyFill="1" applyBorder="1" applyAlignment="1">
      <alignment vertical="top" wrapText="1"/>
    </xf>
    <xf numFmtId="165" fontId="14" fillId="0" borderId="10" xfId="1" applyNumberFormat="1" applyFont="1" applyFill="1" applyBorder="1" applyAlignment="1">
      <alignment vertical="top" wrapText="1"/>
    </xf>
    <xf numFmtId="0" fontId="18" fillId="0" borderId="67" xfId="0" applyFont="1" applyBorder="1" applyAlignment="1">
      <alignment horizontal="center"/>
    </xf>
    <xf numFmtId="0" fontId="18" fillId="0" borderId="43" xfId="0" applyFont="1" applyBorder="1" applyAlignment="1">
      <alignment horizontal="center"/>
    </xf>
    <xf numFmtId="0" fontId="14" fillId="0" borderId="67" xfId="0" applyFont="1" applyBorder="1"/>
    <xf numFmtId="0" fontId="14" fillId="0" borderId="75" xfId="0" applyFont="1" applyBorder="1"/>
    <xf numFmtId="0" fontId="14" fillId="0" borderId="45" xfId="0" applyFont="1" applyBorder="1"/>
    <xf numFmtId="0" fontId="14" fillId="0" borderId="68" xfId="0" applyFont="1" applyBorder="1" applyAlignment="1">
      <alignment horizontal="center"/>
    </xf>
    <xf numFmtId="175" fontId="14" fillId="0" borderId="68" xfId="0" applyNumberFormat="1" applyFont="1" applyFill="1" applyBorder="1"/>
    <xf numFmtId="175" fontId="14" fillId="0" borderId="78" xfId="0" applyNumberFormat="1" applyFont="1" applyFill="1" applyBorder="1"/>
    <xf numFmtId="177" fontId="14" fillId="0" borderId="0" xfId="1" applyNumberFormat="1" applyFont="1" applyFill="1" applyBorder="1" applyAlignment="1"/>
    <xf numFmtId="177" fontId="14" fillId="0" borderId="68" xfId="1" applyNumberFormat="1" applyFont="1" applyFill="1" applyBorder="1" applyAlignment="1"/>
    <xf numFmtId="177" fontId="14" fillId="0" borderId="78" xfId="1" applyNumberFormat="1" applyFont="1" applyFill="1" applyBorder="1" applyAlignment="1"/>
    <xf numFmtId="177" fontId="14" fillId="0" borderId="3" xfId="1" applyNumberFormat="1" applyFont="1" applyFill="1" applyBorder="1" applyAlignment="1"/>
    <xf numFmtId="177" fontId="14" fillId="0" borderId="47" xfId="1" applyNumberFormat="1" applyFont="1" applyFill="1" applyBorder="1" applyAlignment="1"/>
    <xf numFmtId="0" fontId="14" fillId="0" borderId="68" xfId="0" applyFont="1" applyFill="1" applyBorder="1" applyAlignment="1">
      <alignment horizontal="center"/>
    </xf>
    <xf numFmtId="170" fontId="14" fillId="0" borderId="68" xfId="0" applyNumberFormat="1" applyFont="1" applyFill="1" applyBorder="1" applyAlignment="1">
      <alignment horizontal="center"/>
    </xf>
    <xf numFmtId="170" fontId="14" fillId="0" borderId="78" xfId="28" applyNumberFormat="1" applyFont="1" applyFill="1" applyBorder="1" applyAlignment="1">
      <alignment horizontal="center"/>
    </xf>
    <xf numFmtId="170" fontId="14" fillId="0" borderId="3" xfId="28" applyNumberFormat="1" applyFont="1" applyFill="1" applyBorder="1" applyAlignment="1">
      <alignment horizontal="center"/>
    </xf>
    <xf numFmtId="170" fontId="14" fillId="0" borderId="68" xfId="28" applyNumberFormat="1" applyFont="1" applyFill="1" applyBorder="1" applyAlignment="1">
      <alignment horizontal="center"/>
    </xf>
    <xf numFmtId="170" fontId="14" fillId="0" borderId="0" xfId="28" applyNumberFormat="1" applyFont="1" applyFill="1" applyBorder="1" applyAlignment="1">
      <alignment horizontal="center"/>
    </xf>
    <xf numFmtId="170" fontId="14" fillId="0" borderId="47" xfId="28" applyNumberFormat="1" applyFont="1" applyFill="1" applyBorder="1" applyAlignment="1">
      <alignment horizontal="center"/>
    </xf>
    <xf numFmtId="9" fontId="14" fillId="0" borderId="68" xfId="28" applyFont="1" applyBorder="1" applyAlignment="1">
      <alignment horizontal="center"/>
    </xf>
    <xf numFmtId="9" fontId="14" fillId="0" borderId="37" xfId="28" applyFont="1" applyBorder="1" applyAlignment="1">
      <alignment horizontal="center"/>
    </xf>
    <xf numFmtId="9" fontId="14" fillId="0" borderId="36" xfId="28" applyFont="1" applyBorder="1" applyAlignment="1">
      <alignment horizontal="center"/>
    </xf>
    <xf numFmtId="9" fontId="14" fillId="0" borderId="9" xfId="28" applyFont="1" applyBorder="1" applyAlignment="1">
      <alignment horizontal="center"/>
    </xf>
    <xf numFmtId="9" fontId="14" fillId="0" borderId="66" xfId="28" applyFont="1" applyBorder="1" applyAlignment="1">
      <alignment horizontal="center"/>
    </xf>
    <xf numFmtId="9" fontId="14" fillId="0" borderId="4" xfId="28" applyFont="1" applyBorder="1" applyAlignment="1">
      <alignment horizontal="center"/>
    </xf>
    <xf numFmtId="9" fontId="14" fillId="0" borderId="64" xfId="28" applyFont="1" applyBorder="1" applyAlignment="1">
      <alignment horizontal="center"/>
    </xf>
    <xf numFmtId="9" fontId="14" fillId="0" borderId="6" xfId="28" applyFont="1" applyBorder="1" applyAlignment="1">
      <alignment horizontal="center"/>
    </xf>
    <xf numFmtId="9" fontId="14" fillId="0" borderId="0" xfId="28" applyFont="1" applyBorder="1" applyAlignment="1">
      <alignment horizontal="center"/>
    </xf>
    <xf numFmtId="0" fontId="18" fillId="0" borderId="1" xfId="0" applyFont="1" applyBorder="1" applyAlignment="1">
      <alignment horizontal="left"/>
    </xf>
    <xf numFmtId="0" fontId="14" fillId="0" borderId="1" xfId="0" applyFont="1" applyBorder="1" applyAlignment="1"/>
    <xf numFmtId="0" fontId="14" fillId="0" borderId="8" xfId="0" applyFont="1" applyBorder="1" applyAlignment="1">
      <alignment horizontal="center"/>
    </xf>
    <xf numFmtId="170" fontId="14" fillId="0" borderId="1" xfId="28" applyNumberFormat="1" applyFont="1" applyFill="1" applyBorder="1" applyAlignment="1">
      <alignment horizontal="center"/>
    </xf>
    <xf numFmtId="170" fontId="14" fillId="0" borderId="8" xfId="28" applyNumberFormat="1" applyFont="1" applyFill="1" applyBorder="1" applyAlignment="1">
      <alignment horizontal="center"/>
    </xf>
    <xf numFmtId="175" fontId="14" fillId="0" borderId="1" xfId="0" applyNumberFormat="1" applyFont="1" applyBorder="1"/>
    <xf numFmtId="0" fontId="14" fillId="0" borderId="1" xfId="0" applyFont="1" applyBorder="1" applyAlignment="1">
      <alignment horizontal="left"/>
    </xf>
    <xf numFmtId="9" fontId="14" fillId="0" borderId="8" xfId="0" applyNumberFormat="1" applyFont="1" applyBorder="1" applyAlignment="1">
      <alignment horizontal="center"/>
    </xf>
    <xf numFmtId="0" fontId="14" fillId="0" borderId="32" xfId="0" applyFont="1" applyBorder="1" applyAlignment="1">
      <alignment horizontal="left"/>
    </xf>
    <xf numFmtId="0" fontId="14" fillId="0" borderId="79" xfId="0" applyFont="1" applyBorder="1" applyAlignment="1">
      <alignment horizontal="center"/>
    </xf>
    <xf numFmtId="0" fontId="18" fillId="0" borderId="0" xfId="0" applyFont="1"/>
    <xf numFmtId="175" fontId="14" fillId="0" borderId="0" xfId="0" applyNumberFormat="1" applyFont="1" applyAlignment="1">
      <alignment horizontal="center"/>
    </xf>
    <xf numFmtId="0" fontId="14" fillId="0" borderId="67" xfId="0" applyFont="1" applyBorder="1" applyAlignment="1">
      <alignment horizontal="center"/>
    </xf>
    <xf numFmtId="168" fontId="16" fillId="0" borderId="38" xfId="0" applyNumberFormat="1" applyFont="1" applyBorder="1"/>
    <xf numFmtId="168" fontId="16" fillId="0" borderId="3" xfId="0" applyNumberFormat="1" applyFont="1" applyBorder="1"/>
    <xf numFmtId="0" fontId="16" fillId="0" borderId="43" xfId="0" applyNumberFormat="1" applyFont="1" applyFill="1" applyBorder="1" applyAlignment="1">
      <alignment horizontal="center"/>
    </xf>
    <xf numFmtId="0" fontId="14" fillId="0" borderId="68" xfId="0" quotePrefix="1" applyFont="1" applyBorder="1" applyAlignment="1">
      <alignment horizontal="center"/>
    </xf>
    <xf numFmtId="0" fontId="14" fillId="0" borderId="68" xfId="0" quotePrefix="1" applyFont="1" applyFill="1" applyBorder="1" applyAlignment="1">
      <alignment horizontal="center"/>
    </xf>
    <xf numFmtId="164" fontId="14" fillId="0" borderId="43" xfId="1" applyNumberFormat="1" applyFont="1" applyFill="1" applyBorder="1"/>
    <xf numFmtId="164" fontId="14" fillId="0" borderId="8" xfId="1" applyNumberFormat="1" applyFont="1" applyFill="1" applyBorder="1"/>
    <xf numFmtId="164" fontId="14" fillId="0" borderId="3" xfId="1" applyNumberFormat="1" applyFont="1" applyFill="1" applyBorder="1"/>
    <xf numFmtId="164" fontId="14" fillId="0" borderId="78" xfId="1" applyNumberFormat="1" applyFont="1" applyFill="1" applyBorder="1"/>
    <xf numFmtId="164" fontId="14" fillId="0" borderId="0" xfId="1" applyNumberFormat="1" applyFont="1" applyFill="1" applyBorder="1"/>
    <xf numFmtId="174" fontId="16" fillId="0" borderId="46" xfId="1" applyNumberFormat="1" applyFont="1" applyFill="1" applyBorder="1"/>
    <xf numFmtId="174" fontId="16" fillId="0" borderId="49" xfId="1" applyNumberFormat="1" applyFont="1" applyFill="1" applyBorder="1"/>
    <xf numFmtId="174" fontId="16" fillId="0" borderId="50" xfId="1" applyNumberFormat="1" applyFont="1" applyFill="1" applyBorder="1"/>
    <xf numFmtId="174" fontId="16" fillId="0" borderId="80" xfId="1" applyNumberFormat="1" applyFont="1" applyFill="1" applyBorder="1"/>
    <xf numFmtId="174" fontId="16" fillId="0" borderId="48" xfId="1" applyNumberFormat="1" applyFont="1" applyFill="1" applyBorder="1"/>
    <xf numFmtId="174" fontId="16" fillId="0" borderId="46" xfId="0" applyNumberFormat="1" applyFont="1" applyFill="1" applyBorder="1"/>
    <xf numFmtId="174" fontId="16" fillId="0" borderId="49" xfId="0" applyNumberFormat="1" applyFont="1" applyFill="1" applyBorder="1"/>
    <xf numFmtId="174" fontId="14" fillId="0" borderId="0" xfId="0" applyNumberFormat="1" applyFont="1" applyFill="1" applyBorder="1"/>
    <xf numFmtId="174" fontId="16" fillId="0" borderId="43" xfId="0" applyNumberFormat="1" applyFont="1" applyFill="1" applyBorder="1"/>
    <xf numFmtId="174" fontId="16" fillId="0" borderId="8" xfId="0" applyNumberFormat="1" applyFont="1" applyFill="1" applyBorder="1"/>
    <xf numFmtId="0" fontId="18" fillId="0" borderId="50" xfId="0" applyFont="1" applyBorder="1"/>
    <xf numFmtId="0" fontId="14" fillId="0" borderId="81" xfId="0" applyFont="1" applyBorder="1" applyAlignment="1">
      <alignment horizontal="center"/>
    </xf>
    <xf numFmtId="168" fontId="14" fillId="0" borderId="46" xfId="0" applyNumberFormat="1" applyFont="1" applyFill="1" applyBorder="1"/>
    <xf numFmtId="168" fontId="14" fillId="0" borderId="49" xfId="0" applyNumberFormat="1" applyFont="1" applyFill="1" applyBorder="1"/>
    <xf numFmtId="168" fontId="14" fillId="0" borderId="50" xfId="0" applyNumberFormat="1" applyFont="1" applyFill="1" applyBorder="1"/>
    <xf numFmtId="168" fontId="14" fillId="0" borderId="80" xfId="0" applyNumberFormat="1" applyFont="1" applyFill="1" applyBorder="1"/>
    <xf numFmtId="168" fontId="14" fillId="0" borderId="48" xfId="0" applyNumberFormat="1" applyFont="1" applyFill="1" applyBorder="1"/>
    <xf numFmtId="0" fontId="14" fillId="0" borderId="0" xfId="1" applyNumberFormat="1" applyFont="1" applyFill="1" applyBorder="1" applyAlignment="1">
      <alignment horizontal="center"/>
    </xf>
    <xf numFmtId="170" fontId="14" fillId="0" borderId="43" xfId="0" applyNumberFormat="1" applyFont="1" applyFill="1" applyBorder="1" applyAlignment="1">
      <alignment horizontal="center"/>
    </xf>
    <xf numFmtId="170" fontId="14" fillId="0" borderId="43" xfId="28" applyNumberFormat="1" applyFont="1" applyFill="1" applyBorder="1" applyAlignment="1">
      <alignment horizontal="center"/>
    </xf>
    <xf numFmtId="175" fontId="16" fillId="0" borderId="78" xfId="0" applyNumberFormat="1" applyFont="1" applyFill="1" applyBorder="1"/>
    <xf numFmtId="0" fontId="14" fillId="0" borderId="37" xfId="0" applyFont="1" applyBorder="1" applyAlignment="1">
      <alignment horizontal="center"/>
    </xf>
    <xf numFmtId="168" fontId="14" fillId="0" borderId="36" xfId="0" applyNumberFormat="1" applyFont="1" applyBorder="1"/>
    <xf numFmtId="168" fontId="14" fillId="0" borderId="10" xfId="0" applyNumberFormat="1" applyFont="1" applyBorder="1"/>
    <xf numFmtId="168" fontId="14" fillId="0" borderId="4" xfId="0" applyNumberFormat="1" applyFont="1" applyBorder="1"/>
    <xf numFmtId="168" fontId="14" fillId="0" borderId="36" xfId="0" applyNumberFormat="1" applyFont="1" applyFill="1" applyBorder="1"/>
    <xf numFmtId="168" fontId="14" fillId="0" borderId="66" xfId="0" applyNumberFormat="1" applyFont="1" applyFill="1" applyBorder="1"/>
    <xf numFmtId="168" fontId="14" fillId="0" borderId="9" xfId="0" applyNumberFormat="1" applyFont="1" applyBorder="1"/>
    <xf numFmtId="0" fontId="16" fillId="0" borderId="38" xfId="0" applyFont="1" applyFill="1" applyBorder="1" applyAlignment="1">
      <alignment horizontal="center" vertical="center" wrapText="1"/>
    </xf>
    <xf numFmtId="0" fontId="11" fillId="0" borderId="9" xfId="0" applyNumberFormat="1" applyFont="1" applyFill="1" applyBorder="1" applyAlignment="1">
      <alignment horizontal="left"/>
    </xf>
    <xf numFmtId="0" fontId="16" fillId="0" borderId="17" xfId="0" applyFont="1" applyFill="1" applyBorder="1" applyAlignment="1">
      <alignment horizontal="center" vertical="center"/>
    </xf>
    <xf numFmtId="0" fontId="16" fillId="0" borderId="76" xfId="0" applyNumberFormat="1" applyFont="1" applyFill="1" applyBorder="1" applyAlignment="1">
      <alignment horizontal="center" vertical="center"/>
    </xf>
    <xf numFmtId="0" fontId="16" fillId="0" borderId="82" xfId="0" applyFont="1" applyFill="1" applyBorder="1" applyAlignment="1">
      <alignment horizontal="center" vertical="top" wrapText="1"/>
    </xf>
    <xf numFmtId="168" fontId="16" fillId="0" borderId="43" xfId="0" applyNumberFormat="1" applyFont="1" applyFill="1" applyBorder="1"/>
    <xf numFmtId="168" fontId="16" fillId="0" borderId="78" xfId="0" applyNumberFormat="1" applyFont="1" applyFill="1" applyBorder="1"/>
    <xf numFmtId="0" fontId="14" fillId="0" borderId="43" xfId="0" quotePrefix="1" applyNumberFormat="1" applyFont="1" applyBorder="1" applyAlignment="1">
      <alignment horizontal="center"/>
    </xf>
    <xf numFmtId="174" fontId="14" fillId="0" borderId="46" xfId="1" applyNumberFormat="1" applyFont="1" applyFill="1" applyBorder="1"/>
    <xf numFmtId="174" fontId="14" fillId="0" borderId="80" xfId="1" applyNumberFormat="1" applyFont="1" applyFill="1" applyBorder="1"/>
    <xf numFmtId="0" fontId="18" fillId="0" borderId="50" xfId="0" applyNumberFormat="1" applyFont="1" applyBorder="1"/>
    <xf numFmtId="0" fontId="16" fillId="0" borderId="46" xfId="0" applyNumberFormat="1" applyFont="1" applyBorder="1" applyAlignment="1">
      <alignment horizontal="center"/>
    </xf>
    <xf numFmtId="169" fontId="16" fillId="0" borderId="46" xfId="0" applyNumberFormat="1" applyFont="1" applyFill="1" applyBorder="1"/>
    <xf numFmtId="169" fontId="16" fillId="0" borderId="80" xfId="0" applyNumberFormat="1" applyFont="1" applyFill="1" applyBorder="1"/>
    <xf numFmtId="0" fontId="14" fillId="0" borderId="43" xfId="0" quotePrefix="1" applyNumberFormat="1" applyFont="1" applyFill="1" applyBorder="1" applyAlignment="1">
      <alignment horizontal="center"/>
    </xf>
    <xf numFmtId="175" fontId="14" fillId="0" borderId="34" xfId="0" applyNumberFormat="1" applyFont="1" applyBorder="1"/>
    <xf numFmtId="175" fontId="14" fillId="0" borderId="46" xfId="1" applyNumberFormat="1" applyFont="1" applyFill="1" applyBorder="1"/>
    <xf numFmtId="175" fontId="14" fillId="0" borderId="80" xfId="1" applyNumberFormat="1" applyFont="1" applyFill="1" applyBorder="1"/>
    <xf numFmtId="0" fontId="16" fillId="0" borderId="3" xfId="0" applyNumberFormat="1" applyFont="1" applyFill="1" applyBorder="1"/>
    <xf numFmtId="0" fontId="14" fillId="0" borderId="4" xfId="0" applyNumberFormat="1" applyFont="1" applyFill="1" applyBorder="1"/>
    <xf numFmtId="0" fontId="14" fillId="0" borderId="0" xfId="0" applyNumberFormat="1" applyFont="1" applyBorder="1" applyAlignment="1">
      <alignment horizontal="center"/>
    </xf>
    <xf numFmtId="0" fontId="14" fillId="0" borderId="0" xfId="0" applyNumberFormat="1" applyFont="1" applyBorder="1"/>
    <xf numFmtId="0" fontId="14" fillId="0" borderId="0" xfId="0" applyNumberFormat="1" applyFont="1" applyAlignment="1">
      <alignment horizontal="center"/>
    </xf>
    <xf numFmtId="0" fontId="16" fillId="0" borderId="12" xfId="0" applyFont="1" applyFill="1" applyBorder="1" applyAlignment="1">
      <alignment horizontal="centerContinuous" vertical="center" wrapText="1"/>
    </xf>
    <xf numFmtId="0" fontId="16" fillId="0" borderId="40" xfId="0" applyFont="1" applyFill="1" applyBorder="1" applyAlignment="1">
      <alignment horizontal="centerContinuous" vertical="center" wrapText="1"/>
    </xf>
    <xf numFmtId="0" fontId="16" fillId="0" borderId="41" xfId="0" applyFont="1" applyFill="1" applyBorder="1" applyAlignment="1">
      <alignment horizontal="centerContinuous" vertical="center" wrapText="1"/>
    </xf>
    <xf numFmtId="0" fontId="16" fillId="0" borderId="83" xfId="0" applyFont="1" applyFill="1" applyBorder="1" applyAlignment="1">
      <alignment horizontal="centerContinuous" vertical="center" wrapText="1"/>
    </xf>
    <xf numFmtId="0" fontId="16" fillId="0" borderId="11" xfId="0" applyFont="1" applyFill="1" applyBorder="1" applyAlignment="1">
      <alignment horizontal="center" vertical="center" wrapText="1"/>
    </xf>
    <xf numFmtId="0" fontId="16" fillId="0" borderId="46" xfId="0" applyFont="1" applyFill="1" applyBorder="1" applyAlignment="1">
      <alignment horizontal="center" vertical="center" wrapText="1"/>
    </xf>
    <xf numFmtId="0" fontId="14" fillId="0" borderId="38" xfId="0" applyNumberFormat="1" applyFont="1" applyBorder="1" applyAlignment="1">
      <alignment horizontal="center" vertical="top" wrapText="1"/>
    </xf>
    <xf numFmtId="179" fontId="14" fillId="0" borderId="38" xfId="0" applyNumberFormat="1" applyFont="1" applyBorder="1" applyAlignment="1">
      <alignment vertical="top" wrapText="1"/>
    </xf>
    <xf numFmtId="179" fontId="14" fillId="0" borderId="7" xfId="0" applyNumberFormat="1" applyFont="1" applyBorder="1" applyAlignment="1">
      <alignment vertical="top" wrapText="1"/>
    </xf>
    <xf numFmtId="179" fontId="14" fillId="0" borderId="12" xfId="0" applyNumberFormat="1" applyFont="1" applyBorder="1" applyAlignment="1">
      <alignment vertical="top" wrapText="1"/>
    </xf>
    <xf numFmtId="179" fontId="14" fillId="0" borderId="6" xfId="0" applyNumberFormat="1" applyFont="1" applyBorder="1" applyAlignment="1">
      <alignment vertical="top" wrapText="1"/>
    </xf>
    <xf numFmtId="180" fontId="14" fillId="0" borderId="11" xfId="0" applyNumberFormat="1" applyFont="1" applyBorder="1" applyAlignment="1">
      <alignment vertical="top" wrapText="1"/>
    </xf>
    <xf numFmtId="0" fontId="14" fillId="0" borderId="43" xfId="0" applyNumberFormat="1" applyFont="1" applyBorder="1" applyAlignment="1">
      <alignment horizontal="center" vertical="top" wrapText="1"/>
    </xf>
    <xf numFmtId="179" fontId="14" fillId="0" borderId="43" xfId="1" applyNumberFormat="1" applyFont="1" applyBorder="1" applyAlignment="1">
      <alignment vertical="top" wrapText="1"/>
    </xf>
    <xf numFmtId="179" fontId="14" fillId="0" borderId="8" xfId="1" applyNumberFormat="1" applyFont="1" applyBorder="1" applyAlignment="1">
      <alignment vertical="top" wrapText="1"/>
    </xf>
    <xf numFmtId="179" fontId="14" fillId="0" borderId="3" xfId="1" applyNumberFormat="1" applyFont="1" applyBorder="1" applyAlignment="1">
      <alignment vertical="top" wrapText="1"/>
    </xf>
    <xf numFmtId="179" fontId="14" fillId="0" borderId="0" xfId="1" applyNumberFormat="1" applyFont="1" applyBorder="1" applyAlignment="1">
      <alignment vertical="top" wrapText="1"/>
    </xf>
    <xf numFmtId="180" fontId="14" fillId="0" borderId="1" xfId="1" applyNumberFormat="1" applyFont="1" applyBorder="1" applyAlignment="1">
      <alignment vertical="top" wrapText="1"/>
    </xf>
    <xf numFmtId="0" fontId="16" fillId="0" borderId="3" xfId="0" applyNumberFormat="1" applyFont="1" applyBorder="1" applyAlignment="1">
      <alignment horizontal="right" wrapText="1"/>
    </xf>
    <xf numFmtId="179" fontId="16" fillId="0" borderId="46" xfId="1" applyNumberFormat="1" applyFont="1" applyBorder="1" applyAlignment="1">
      <alignment vertical="top" wrapText="1"/>
    </xf>
    <xf numFmtId="179" fontId="16" fillId="0" borderId="49" xfId="1" applyNumberFormat="1" applyFont="1" applyBorder="1" applyAlignment="1">
      <alignment vertical="top" wrapText="1"/>
    </xf>
    <xf numFmtId="179" fontId="16" fillId="0" borderId="50" xfId="1" applyNumberFormat="1" applyFont="1" applyBorder="1" applyAlignment="1">
      <alignment vertical="top" wrapText="1"/>
    </xf>
    <xf numFmtId="179" fontId="16" fillId="0" borderId="48" xfId="1" applyNumberFormat="1" applyFont="1" applyBorder="1" applyAlignment="1">
      <alignment vertical="top" wrapText="1"/>
    </xf>
    <xf numFmtId="180" fontId="16" fillId="0" borderId="44" xfId="28" applyNumberFormat="1" applyFont="1" applyBorder="1" applyAlignment="1">
      <alignment vertical="top" wrapText="1"/>
    </xf>
    <xf numFmtId="0" fontId="16" fillId="0" borderId="3" xfId="0" applyNumberFormat="1" applyFont="1" applyBorder="1" applyAlignment="1">
      <alignment horizontal="left" wrapText="1" indent="1"/>
    </xf>
    <xf numFmtId="180" fontId="16" fillId="0" borderId="43" xfId="1" applyNumberFormat="1" applyFont="1" applyBorder="1" applyAlignment="1">
      <alignment vertical="top" wrapText="1"/>
    </xf>
    <xf numFmtId="180" fontId="16" fillId="0" borderId="43" xfId="28" applyNumberFormat="1" applyFont="1" applyBorder="1" applyAlignment="1">
      <alignment vertical="top" wrapText="1"/>
    </xf>
    <xf numFmtId="180" fontId="16" fillId="0" borderId="8" xfId="28" applyNumberFormat="1" applyFont="1" applyBorder="1" applyAlignment="1">
      <alignment vertical="top" wrapText="1"/>
    </xf>
    <xf numFmtId="180" fontId="16" fillId="0" borderId="3" xfId="28" applyNumberFormat="1" applyFont="1" applyBorder="1" applyAlignment="1">
      <alignment vertical="top" wrapText="1"/>
    </xf>
    <xf numFmtId="180" fontId="16" fillId="0" borderId="0" xfId="28" applyNumberFormat="1" applyFont="1" applyBorder="1" applyAlignment="1">
      <alignment vertical="top" wrapText="1"/>
    </xf>
    <xf numFmtId="180" fontId="16" fillId="0" borderId="1" xfId="28" applyNumberFormat="1" applyFont="1" applyBorder="1" applyAlignment="1">
      <alignment vertical="top" wrapText="1"/>
    </xf>
    <xf numFmtId="43" fontId="14" fillId="0" borderId="43" xfId="1" applyFont="1" applyBorder="1" applyAlignment="1">
      <alignment horizontal="center" vertical="top" wrapText="1"/>
    </xf>
    <xf numFmtId="43" fontId="14" fillId="0" borderId="8" xfId="1" applyFont="1" applyBorder="1" applyAlignment="1">
      <alignment horizontal="center" vertical="top" wrapText="1"/>
    </xf>
    <xf numFmtId="43" fontId="14" fillId="0" borderId="3" xfId="1" applyFont="1" applyBorder="1" applyAlignment="1">
      <alignment horizontal="center" vertical="top" wrapText="1"/>
    </xf>
    <xf numFmtId="43" fontId="14" fillId="0" borderId="0" xfId="1" applyFont="1" applyBorder="1" applyAlignment="1">
      <alignment horizontal="center" vertical="top" wrapText="1"/>
    </xf>
    <xf numFmtId="0" fontId="18" fillId="0" borderId="50" xfId="0" applyNumberFormat="1" applyFont="1" applyBorder="1" applyAlignment="1">
      <alignment horizontal="left" wrapText="1"/>
    </xf>
    <xf numFmtId="0" fontId="14" fillId="0" borderId="46" xfId="0" applyNumberFormat="1" applyFont="1" applyBorder="1" applyAlignment="1">
      <alignment horizontal="center" vertical="top" wrapText="1"/>
    </xf>
    <xf numFmtId="179" fontId="14" fillId="0" borderId="46" xfId="1" applyNumberFormat="1" applyFont="1" applyBorder="1" applyAlignment="1">
      <alignment vertical="top" wrapText="1"/>
    </xf>
    <xf numFmtId="179" fontId="14" fillId="0" borderId="49" xfId="1" applyNumberFormat="1" applyFont="1" applyBorder="1" applyAlignment="1">
      <alignment vertical="top" wrapText="1"/>
    </xf>
    <xf numFmtId="179" fontId="14" fillId="0" borderId="50" xfId="1" applyNumberFormat="1" applyFont="1" applyBorder="1" applyAlignment="1">
      <alignment vertical="top" wrapText="1"/>
    </xf>
    <xf numFmtId="179" fontId="14" fillId="0" borderId="48" xfId="1" applyNumberFormat="1" applyFont="1" applyBorder="1" applyAlignment="1">
      <alignment vertical="top" wrapText="1"/>
    </xf>
    <xf numFmtId="180" fontId="14" fillId="0" borderId="44" xfId="1" applyNumberFormat="1" applyFont="1" applyBorder="1" applyAlignment="1">
      <alignment vertical="top" wrapText="1"/>
    </xf>
    <xf numFmtId="0" fontId="16" fillId="0" borderId="43" xfId="0" applyNumberFormat="1" applyFont="1" applyBorder="1" applyAlignment="1">
      <alignment horizontal="center" vertical="top" wrapText="1"/>
    </xf>
    <xf numFmtId="0" fontId="18" fillId="0" borderId="4" xfId="0" applyNumberFormat="1" applyFont="1" applyBorder="1" applyAlignment="1">
      <alignment horizontal="left" wrapText="1"/>
    </xf>
    <xf numFmtId="0" fontId="14" fillId="0" borderId="36" xfId="0" applyFont="1" applyBorder="1" applyAlignment="1">
      <alignment horizontal="center" vertical="top" wrapText="1"/>
    </xf>
    <xf numFmtId="0" fontId="14" fillId="0" borderId="10" xfId="0" applyFont="1" applyBorder="1" applyAlignment="1">
      <alignment horizontal="center" vertical="top" wrapText="1"/>
    </xf>
    <xf numFmtId="0" fontId="14" fillId="0" borderId="4" xfId="0" applyFont="1" applyBorder="1" applyAlignment="1">
      <alignment horizontal="center" vertical="top" wrapText="1"/>
    </xf>
    <xf numFmtId="0" fontId="14" fillId="0" borderId="9" xfId="0" applyFont="1" applyBorder="1" applyAlignment="1">
      <alignment horizontal="center" vertical="top" wrapText="1"/>
    </xf>
    <xf numFmtId="180" fontId="14" fillId="0" borderId="5" xfId="0" applyNumberFormat="1" applyFont="1" applyBorder="1" applyAlignment="1">
      <alignment vertical="top" wrapText="1"/>
    </xf>
    <xf numFmtId="0" fontId="14" fillId="0" borderId="0" xfId="0" applyFont="1" applyAlignment="1" applyProtection="1">
      <alignment horizontal="center"/>
    </xf>
    <xf numFmtId="4" fontId="14" fillId="0" borderId="0" xfId="0" applyNumberFormat="1" applyFont="1" applyProtection="1"/>
    <xf numFmtId="10" fontId="14" fillId="0" borderId="0" xfId="0" applyNumberFormat="1" applyFont="1" applyProtection="1"/>
    <xf numFmtId="0" fontId="14" fillId="0" borderId="0" xfId="0" applyFont="1" applyProtection="1"/>
    <xf numFmtId="4" fontId="14" fillId="0" borderId="0" xfId="0" applyNumberFormat="1" applyFont="1" applyProtection="1">
      <protection locked="0"/>
    </xf>
    <xf numFmtId="0" fontId="14" fillId="0" borderId="0" xfId="0" applyFont="1" applyProtection="1">
      <protection locked="0"/>
    </xf>
    <xf numFmtId="175" fontId="14" fillId="0" borderId="38" xfId="0" applyNumberFormat="1" applyFont="1" applyBorder="1" applyAlignment="1"/>
    <xf numFmtId="175" fontId="14" fillId="0" borderId="8" xfId="0" applyNumberFormat="1" applyFont="1" applyBorder="1" applyAlignment="1"/>
    <xf numFmtId="175" fontId="14" fillId="0" borderId="3" xfId="0" applyNumberFormat="1" applyFont="1" applyBorder="1" applyAlignment="1"/>
    <xf numFmtId="175" fontId="14" fillId="0" borderId="0" xfId="0" applyNumberFormat="1" applyFont="1" applyBorder="1" applyAlignment="1"/>
    <xf numFmtId="175" fontId="14" fillId="0" borderId="45" xfId="0" applyNumberFormat="1" applyFont="1" applyBorder="1" applyAlignment="1"/>
    <xf numFmtId="175" fontId="14" fillId="0" borderId="43" xfId="0" applyNumberFormat="1" applyFont="1" applyBorder="1" applyAlignment="1"/>
    <xf numFmtId="175" fontId="14" fillId="0" borderId="47" xfId="0" applyNumberFormat="1" applyFont="1" applyBorder="1" applyAlignment="1"/>
    <xf numFmtId="175" fontId="16" fillId="0" borderId="46" xfId="0" applyNumberFormat="1" applyFont="1" applyBorder="1" applyAlignment="1"/>
    <xf numFmtId="175" fontId="16" fillId="0" borderId="49" xfId="0" applyNumberFormat="1" applyFont="1" applyBorder="1" applyAlignment="1"/>
    <xf numFmtId="175" fontId="16" fillId="0" borderId="50" xfId="0" applyNumberFormat="1" applyFont="1" applyBorder="1" applyAlignment="1"/>
    <xf numFmtId="175" fontId="16" fillId="0" borderId="48" xfId="0" applyNumberFormat="1" applyFont="1" applyBorder="1" applyAlignment="1"/>
    <xf numFmtId="175" fontId="16" fillId="0" borderId="51" xfId="0" applyNumberFormat="1" applyFont="1" applyBorder="1" applyAlignment="1"/>
    <xf numFmtId="175" fontId="14" fillId="0" borderId="46" xfId="0" applyNumberFormat="1" applyFont="1" applyBorder="1" applyAlignment="1"/>
    <xf numFmtId="175" fontId="14" fillId="0" borderId="49" xfId="0" applyNumberFormat="1" applyFont="1" applyBorder="1" applyAlignment="1"/>
    <xf numFmtId="175" fontId="14" fillId="0" borderId="50" xfId="0" applyNumberFormat="1" applyFont="1" applyBorder="1" applyAlignment="1"/>
    <xf numFmtId="175" fontId="14" fillId="0" borderId="48" xfId="0" applyNumberFormat="1" applyFont="1" applyBorder="1" applyAlignment="1"/>
    <xf numFmtId="175" fontId="14" fillId="0" borderId="51" xfId="0" applyNumberFormat="1" applyFont="1" applyBorder="1" applyAlignment="1"/>
    <xf numFmtId="0" fontId="14" fillId="0" borderId="53" xfId="0" applyFont="1" applyBorder="1"/>
    <xf numFmtId="175" fontId="16" fillId="0" borderId="53" xfId="0" applyNumberFormat="1" applyFont="1" applyBorder="1" applyAlignment="1"/>
    <xf numFmtId="175" fontId="16" fillId="0" borderId="55" xfId="0" applyNumberFormat="1" applyFont="1" applyBorder="1" applyAlignment="1"/>
    <xf numFmtId="175" fontId="16" fillId="0" borderId="52" xfId="0" applyNumberFormat="1" applyFont="1" applyBorder="1" applyAlignment="1"/>
    <xf numFmtId="175" fontId="16" fillId="0" borderId="54" xfId="0" applyNumberFormat="1" applyFont="1" applyBorder="1" applyAlignment="1"/>
    <xf numFmtId="175" fontId="16" fillId="0" borderId="56" xfId="0" applyNumberFormat="1" applyFont="1" applyBorder="1" applyAlignment="1"/>
    <xf numFmtId="0" fontId="16" fillId="0" borderId="67" xfId="0" applyFont="1" applyFill="1" applyBorder="1" applyAlignment="1">
      <alignment horizontal="center" vertical="center"/>
    </xf>
    <xf numFmtId="0" fontId="16" fillId="0" borderId="84" xfId="0" applyFont="1" applyFill="1" applyBorder="1" applyAlignment="1">
      <alignment horizontal="center" vertical="center" wrapText="1"/>
    </xf>
    <xf numFmtId="0" fontId="16" fillId="0" borderId="37" xfId="0" applyFont="1" applyFill="1" applyBorder="1" applyAlignment="1">
      <alignment horizontal="center" vertical="center"/>
    </xf>
    <xf numFmtId="0" fontId="16" fillId="0" borderId="4" xfId="0" applyFont="1" applyFill="1" applyBorder="1" applyAlignment="1">
      <alignment horizontal="centerContinuous" vertical="top" wrapText="1"/>
    </xf>
    <xf numFmtId="0" fontId="16" fillId="0" borderId="66" xfId="0" applyFont="1" applyFill="1" applyBorder="1" applyAlignment="1">
      <alignment horizontal="centerContinuous" vertical="top" wrapText="1"/>
    </xf>
    <xf numFmtId="0" fontId="14" fillId="0" borderId="68" xfId="0" applyNumberFormat="1" applyFont="1" applyBorder="1" applyAlignment="1">
      <alignment horizontal="center"/>
    </xf>
    <xf numFmtId="168" fontId="14" fillId="0" borderId="78" xfId="0" applyNumberFormat="1" applyFont="1" applyBorder="1" applyAlignment="1">
      <alignment horizontal="center"/>
    </xf>
    <xf numFmtId="168" fontId="14" fillId="0" borderId="3" xfId="0" applyNumberFormat="1" applyFont="1" applyBorder="1" applyAlignment="1"/>
    <xf numFmtId="168" fontId="14" fillId="0" borderId="78" xfId="0" applyNumberFormat="1" applyFont="1" applyBorder="1" applyAlignment="1"/>
    <xf numFmtId="181" fontId="14" fillId="0" borderId="78" xfId="0" applyNumberFormat="1" applyFont="1" applyBorder="1" applyAlignment="1">
      <alignment horizontal="center"/>
    </xf>
    <xf numFmtId="175" fontId="14" fillId="0" borderId="78" xfId="0" applyNumberFormat="1" applyFont="1" applyBorder="1" applyAlignment="1"/>
    <xf numFmtId="175" fontId="16" fillId="0" borderId="80" xfId="0" applyNumberFormat="1" applyFont="1" applyBorder="1" applyAlignment="1"/>
    <xf numFmtId="0" fontId="14" fillId="0" borderId="37" xfId="0" applyNumberFormat="1" applyFont="1" applyBorder="1" applyAlignment="1">
      <alignment horizontal="center"/>
    </xf>
    <xf numFmtId="181" fontId="14" fillId="0" borderId="66" xfId="0" applyNumberFormat="1" applyFont="1" applyBorder="1" applyAlignment="1">
      <alignment horizontal="center"/>
    </xf>
    <xf numFmtId="175" fontId="16" fillId="0" borderId="85" xfId="0" applyNumberFormat="1" applyFont="1" applyBorder="1" applyAlignment="1"/>
    <xf numFmtId="176" fontId="14" fillId="0" borderId="0" xfId="1" applyNumberFormat="1" applyFont="1"/>
    <xf numFmtId="0" fontId="14" fillId="0" borderId="38" xfId="0" applyNumberFormat="1" applyFont="1" applyBorder="1" applyAlignment="1">
      <alignment horizontal="center"/>
    </xf>
    <xf numFmtId="175" fontId="14" fillId="0" borderId="8" xfId="0" applyNumberFormat="1" applyFont="1" applyFill="1" applyBorder="1" applyAlignment="1"/>
    <xf numFmtId="175" fontId="16" fillId="0" borderId="43" xfId="0" applyNumberFormat="1" applyFont="1" applyBorder="1" applyAlignment="1"/>
    <xf numFmtId="175" fontId="16" fillId="0" borderId="8" xfId="0" applyNumberFormat="1" applyFont="1" applyBorder="1" applyAlignment="1"/>
    <xf numFmtId="175" fontId="16" fillId="0" borderId="3" xfId="0" applyNumberFormat="1" applyFont="1" applyBorder="1" applyAlignment="1"/>
    <xf numFmtId="175" fontId="16" fillId="0" borderId="0" xfId="0" applyNumberFormat="1" applyFont="1" applyBorder="1" applyAlignment="1"/>
    <xf numFmtId="175" fontId="16" fillId="0" borderId="47" xfId="0" applyNumberFormat="1" applyFont="1" applyBorder="1" applyAlignment="1"/>
    <xf numFmtId="0" fontId="16" fillId="0" borderId="86" xfId="0" applyFont="1" applyFill="1" applyBorder="1" applyAlignment="1">
      <alignment horizontal="center" vertical="center" wrapText="1"/>
    </xf>
    <xf numFmtId="175" fontId="16" fillId="0" borderId="38" xfId="0" applyNumberFormat="1" applyFont="1" applyBorder="1" applyAlignment="1"/>
    <xf numFmtId="175" fontId="16" fillId="0" borderId="7" xfId="0" applyNumberFormat="1" applyFont="1" applyBorder="1" applyAlignment="1"/>
    <xf numFmtId="175" fontId="16" fillId="0" borderId="12" xfId="0" applyNumberFormat="1" applyFont="1" applyBorder="1" applyAlignment="1"/>
    <xf numFmtId="175" fontId="16" fillId="0" borderId="6" xfId="0" applyNumberFormat="1" applyFont="1" applyBorder="1" applyAlignment="1"/>
    <xf numFmtId="175" fontId="16" fillId="0" borderId="45" xfId="0" applyNumberFormat="1" applyFont="1" applyBorder="1" applyAlignment="1"/>
    <xf numFmtId="0" fontId="16" fillId="0" borderId="62" xfId="0" applyNumberFormat="1" applyFont="1" applyBorder="1" applyAlignment="1">
      <alignment vertical="center"/>
    </xf>
    <xf numFmtId="0" fontId="14" fillId="0" borderId="60" xfId="0" applyNumberFormat="1" applyFont="1" applyBorder="1" applyAlignment="1">
      <alignment horizontal="center" vertical="center"/>
    </xf>
    <xf numFmtId="175" fontId="16" fillId="0" borderId="60" xfId="0" applyNumberFormat="1" applyFont="1" applyBorder="1" applyAlignment="1">
      <alignment vertical="center"/>
    </xf>
    <xf numFmtId="175" fontId="16" fillId="0" borderId="61" xfId="0" applyNumberFormat="1" applyFont="1" applyBorder="1" applyAlignment="1">
      <alignment vertical="center"/>
    </xf>
    <xf numFmtId="175" fontId="16" fillId="0" borderId="62" xfId="0" applyNumberFormat="1" applyFont="1" applyBorder="1" applyAlignment="1">
      <alignment vertical="center"/>
    </xf>
    <xf numFmtId="175" fontId="16" fillId="0" borderId="59" xfId="0" applyNumberFormat="1" applyFont="1" applyBorder="1" applyAlignment="1">
      <alignment vertical="center"/>
    </xf>
    <xf numFmtId="175" fontId="16" fillId="0" borderId="63" xfId="0" applyNumberFormat="1" applyFont="1" applyBorder="1" applyAlignment="1">
      <alignment vertical="center"/>
    </xf>
    <xf numFmtId="0" fontId="14" fillId="0" borderId="0" xfId="0" applyFont="1" applyAlignment="1">
      <alignment vertical="center"/>
    </xf>
    <xf numFmtId="0" fontId="16" fillId="0" borderId="3" xfId="0" quotePrefix="1" applyNumberFormat="1" applyFont="1" applyBorder="1" applyAlignment="1">
      <alignment horizontal="left" indent="1"/>
    </xf>
    <xf numFmtId="0" fontId="16" fillId="0" borderId="50" xfId="0" applyNumberFormat="1" applyFont="1" applyBorder="1" applyAlignment="1">
      <alignment horizontal="left"/>
    </xf>
    <xf numFmtId="0" fontId="14" fillId="0" borderId="46" xfId="0" applyNumberFormat="1" applyFont="1" applyBorder="1" applyAlignment="1">
      <alignment horizontal="center"/>
    </xf>
    <xf numFmtId="0" fontId="16" fillId="0" borderId="52" xfId="0" applyNumberFormat="1" applyFont="1" applyBorder="1" applyAlignment="1">
      <alignment vertical="center"/>
    </xf>
    <xf numFmtId="0" fontId="14" fillId="0" borderId="53" xfId="0" applyNumberFormat="1" applyFont="1" applyBorder="1" applyAlignment="1">
      <alignment horizontal="center" vertical="center"/>
    </xf>
    <xf numFmtId="175" fontId="16" fillId="0" borderId="53" xfId="0" applyNumberFormat="1" applyFont="1" applyBorder="1" applyAlignment="1">
      <alignment vertical="center"/>
    </xf>
    <xf numFmtId="175" fontId="16" fillId="0" borderId="55" xfId="0" applyNumberFormat="1" applyFont="1" applyBorder="1" applyAlignment="1">
      <alignment vertical="center"/>
    </xf>
    <xf numFmtId="175" fontId="16" fillId="0" borderId="52" xfId="0" applyNumberFormat="1" applyFont="1" applyBorder="1" applyAlignment="1">
      <alignment vertical="center"/>
    </xf>
    <xf numFmtId="175" fontId="16" fillId="0" borderId="54" xfId="0" applyNumberFormat="1" applyFont="1" applyBorder="1" applyAlignment="1">
      <alignment vertical="center"/>
    </xf>
    <xf numFmtId="175" fontId="16" fillId="0" borderId="56" xfId="0" applyNumberFormat="1" applyFont="1" applyBorder="1" applyAlignment="1">
      <alignment vertical="center"/>
    </xf>
    <xf numFmtId="175" fontId="14" fillId="0" borderId="43" xfId="1" applyNumberFormat="1" applyFont="1" applyBorder="1" applyAlignment="1"/>
    <xf numFmtId="175" fontId="14" fillId="0" borderId="0" xfId="1" applyNumberFormat="1" applyFont="1" applyBorder="1" applyAlignment="1"/>
    <xf numFmtId="175" fontId="14" fillId="0" borderId="3" xfId="1" applyNumberFormat="1" applyFont="1" applyBorder="1" applyAlignment="1"/>
    <xf numFmtId="175" fontId="14" fillId="0" borderId="47" xfId="1" applyNumberFormat="1" applyFont="1" applyBorder="1" applyAlignment="1"/>
    <xf numFmtId="175" fontId="14" fillId="0" borderId="8" xfId="1" applyNumberFormat="1" applyFont="1" applyBorder="1" applyAlignment="1"/>
    <xf numFmtId="175" fontId="14" fillId="0" borderId="43" xfId="1" applyNumberFormat="1" applyFont="1" applyFill="1" applyBorder="1" applyAlignment="1"/>
    <xf numFmtId="0" fontId="16" fillId="0" borderId="3" xfId="0" applyNumberFormat="1" applyFont="1" applyBorder="1" applyAlignment="1">
      <alignment horizontal="left" indent="2"/>
    </xf>
    <xf numFmtId="175" fontId="16" fillId="0" borderId="60" xfId="1" applyNumberFormat="1" applyFont="1" applyFill="1" applyBorder="1" applyAlignment="1"/>
    <xf numFmtId="175" fontId="16" fillId="0" borderId="60" xfId="1" applyNumberFormat="1" applyFont="1" applyBorder="1" applyAlignment="1"/>
    <xf numFmtId="175" fontId="16" fillId="0" borderId="61" xfId="1" applyNumberFormat="1" applyFont="1" applyBorder="1" applyAlignment="1"/>
    <xf numFmtId="175" fontId="16" fillId="0" borderId="62" xfId="1" applyNumberFormat="1" applyFont="1" applyBorder="1" applyAlignment="1"/>
    <xf numFmtId="175" fontId="16" fillId="0" borderId="59" xfId="1" applyNumberFormat="1" applyFont="1" applyBorder="1" applyAlignment="1"/>
    <xf numFmtId="175" fontId="16" fillId="0" borderId="63" xfId="1" applyNumberFormat="1" applyFont="1" applyBorder="1" applyAlignment="1"/>
    <xf numFmtId="175" fontId="16" fillId="0" borderId="43" xfId="0" applyNumberFormat="1" applyFont="1" applyFill="1" applyBorder="1" applyAlignment="1"/>
    <xf numFmtId="0" fontId="14" fillId="0" borderId="3" xfId="0" quotePrefix="1" applyNumberFormat="1" applyFont="1" applyBorder="1" applyAlignment="1">
      <alignment horizontal="left" indent="2"/>
    </xf>
    <xf numFmtId="175" fontId="14" fillId="0" borderId="0" xfId="1" applyNumberFormat="1" applyFont="1" applyFill="1" applyBorder="1" applyAlignment="1"/>
    <xf numFmtId="0" fontId="16" fillId="0" borderId="3" xfId="0" quotePrefix="1" applyNumberFormat="1" applyFont="1" applyBorder="1" applyAlignment="1">
      <alignment horizontal="left" indent="2"/>
    </xf>
    <xf numFmtId="0" fontId="16" fillId="0" borderId="62" xfId="0" applyNumberFormat="1" applyFont="1" applyBorder="1"/>
    <xf numFmtId="0" fontId="14" fillId="0" borderId="60" xfId="0" applyNumberFormat="1" applyFont="1" applyBorder="1" applyAlignment="1">
      <alignment horizontal="center"/>
    </xf>
    <xf numFmtId="175" fontId="16" fillId="0" borderId="60" xfId="0" applyNumberFormat="1" applyFont="1" applyBorder="1" applyAlignment="1"/>
    <xf numFmtId="175" fontId="16" fillId="0" borderId="61" xfId="0" applyNumberFormat="1" applyFont="1" applyBorder="1" applyAlignment="1"/>
    <xf numFmtId="175" fontId="16" fillId="0" borderId="62" xfId="0" applyNumberFormat="1" applyFont="1" applyBorder="1" applyAlignment="1"/>
    <xf numFmtId="175" fontId="16" fillId="0" borderId="59" xfId="0" applyNumberFormat="1" applyFont="1" applyBorder="1" applyAlignment="1"/>
    <xf numFmtId="175" fontId="16" fillId="0" borderId="63" xfId="0" applyNumberFormat="1" applyFont="1" applyBorder="1" applyAlignment="1"/>
    <xf numFmtId="0" fontId="16" fillId="0" borderId="3" xfId="0" quotePrefix="1" applyNumberFormat="1" applyFont="1" applyBorder="1"/>
    <xf numFmtId="0" fontId="19" fillId="0" borderId="0" xfId="0" applyFont="1" applyAlignment="1">
      <alignment horizontal="center"/>
    </xf>
    <xf numFmtId="0" fontId="14" fillId="0" borderId="0" xfId="0" applyFont="1" applyBorder="1" applyAlignment="1">
      <alignment horizontal="left" wrapText="1"/>
    </xf>
    <xf numFmtId="43" fontId="14" fillId="0" borderId="0" xfId="1" applyFont="1"/>
    <xf numFmtId="175" fontId="14" fillId="0" borderId="78" xfId="0" applyNumberFormat="1" applyFont="1" applyBorder="1"/>
    <xf numFmtId="175" fontId="16" fillId="0" borderId="87" xfId="0" applyNumberFormat="1" applyFont="1" applyBorder="1"/>
    <xf numFmtId="0" fontId="18" fillId="0" borderId="3" xfId="0" applyNumberFormat="1" applyFont="1" applyFill="1" applyBorder="1"/>
    <xf numFmtId="0" fontId="16" fillId="0" borderId="62" xfId="0" applyNumberFormat="1" applyFont="1" applyFill="1" applyBorder="1"/>
    <xf numFmtId="0" fontId="14" fillId="0" borderId="60" xfId="0" applyNumberFormat="1" applyFont="1" applyFill="1" applyBorder="1" applyAlignment="1">
      <alignment horizontal="center"/>
    </xf>
    <xf numFmtId="175" fontId="16" fillId="0" borderId="60" xfId="0" applyNumberFormat="1" applyFont="1" applyFill="1" applyBorder="1"/>
    <xf numFmtId="175" fontId="16" fillId="0" borderId="61" xfId="0" applyNumberFormat="1" applyFont="1" applyFill="1" applyBorder="1"/>
    <xf numFmtId="175" fontId="16" fillId="0" borderId="62" xfId="0" applyNumberFormat="1" applyFont="1" applyFill="1" applyBorder="1"/>
    <xf numFmtId="175" fontId="16" fillId="0" borderId="87" xfId="0" applyNumberFormat="1" applyFont="1" applyFill="1" applyBorder="1"/>
    <xf numFmtId="175" fontId="16" fillId="0" borderId="59" xfId="0" applyNumberFormat="1" applyFont="1" applyFill="1" applyBorder="1"/>
    <xf numFmtId="0" fontId="14" fillId="0" borderId="3" xfId="0" applyNumberFormat="1" applyFont="1" applyFill="1" applyBorder="1"/>
    <xf numFmtId="0" fontId="16" fillId="0" borderId="52" xfId="0" applyNumberFormat="1" applyFont="1" applyFill="1" applyBorder="1"/>
    <xf numFmtId="175" fontId="16" fillId="0" borderId="85" xfId="0" applyNumberFormat="1" applyFont="1" applyFill="1" applyBorder="1"/>
    <xf numFmtId="0" fontId="14" fillId="0" borderId="8" xfId="0" applyNumberFormat="1" applyFont="1" applyBorder="1" applyAlignment="1">
      <alignment horizontal="center"/>
    </xf>
    <xf numFmtId="0" fontId="14" fillId="0" borderId="3" xfId="0" applyNumberFormat="1" applyFont="1" applyBorder="1" applyAlignment="1">
      <alignment horizontal="center"/>
    </xf>
    <xf numFmtId="180" fontId="16" fillId="0" borderId="43" xfId="0" applyNumberFormat="1" applyFont="1" applyFill="1" applyBorder="1"/>
    <xf numFmtId="180" fontId="16" fillId="0" borderId="43" xfId="28" applyNumberFormat="1" applyFont="1" applyBorder="1" applyAlignment="1">
      <alignment horizontal="center"/>
    </xf>
    <xf numFmtId="180" fontId="16" fillId="0" borderId="8" xfId="28" applyNumberFormat="1" applyFont="1" applyBorder="1" applyAlignment="1">
      <alignment horizontal="center"/>
    </xf>
    <xf numFmtId="180" fontId="16" fillId="0" borderId="3" xfId="28" applyNumberFormat="1" applyFont="1" applyBorder="1" applyAlignment="1">
      <alignment horizontal="center"/>
    </xf>
    <xf numFmtId="180" fontId="16" fillId="0" borderId="0" xfId="28" applyNumberFormat="1" applyFont="1" applyBorder="1" applyAlignment="1">
      <alignment horizontal="center"/>
    </xf>
    <xf numFmtId="180" fontId="16" fillId="0" borderId="43" xfId="0" applyNumberFormat="1" applyFont="1" applyBorder="1"/>
    <xf numFmtId="180" fontId="14" fillId="0" borderId="43" xfId="0" applyNumberFormat="1" applyFont="1" applyBorder="1"/>
    <xf numFmtId="9" fontId="16" fillId="0" borderId="43" xfId="28" applyFont="1" applyBorder="1" applyAlignment="1">
      <alignment horizontal="center"/>
    </xf>
    <xf numFmtId="9" fontId="16" fillId="0" borderId="8" xfId="28" applyFont="1" applyBorder="1" applyAlignment="1">
      <alignment horizontal="center"/>
    </xf>
    <xf numFmtId="9" fontId="16" fillId="0" borderId="3" xfId="28" applyFont="1" applyBorder="1" applyAlignment="1">
      <alignment horizontal="center"/>
    </xf>
    <xf numFmtId="9" fontId="16" fillId="0" borderId="0" xfId="28" applyFont="1" applyBorder="1" applyAlignment="1">
      <alignment horizontal="center"/>
    </xf>
    <xf numFmtId="0" fontId="19" fillId="0" borderId="0" xfId="0" applyNumberFormat="1" applyFont="1"/>
    <xf numFmtId="168" fontId="14" fillId="0" borderId="0" xfId="0" applyNumberFormat="1" applyFont="1" applyFill="1"/>
    <xf numFmtId="0" fontId="16" fillId="0" borderId="7" xfId="0" applyFont="1" applyFill="1" applyBorder="1" applyAlignment="1">
      <alignment horizontal="center" vertical="top" wrapText="1"/>
    </xf>
    <xf numFmtId="176" fontId="14" fillId="0" borderId="43" xfId="1" applyNumberFormat="1" applyFont="1" applyBorder="1" applyAlignment="1">
      <alignment horizontal="center"/>
    </xf>
    <xf numFmtId="176" fontId="14" fillId="0" borderId="43" xfId="1" applyNumberFormat="1" applyFont="1" applyBorder="1"/>
    <xf numFmtId="176" fontId="14" fillId="0" borderId="1" xfId="1" applyNumberFormat="1" applyFont="1" applyBorder="1"/>
    <xf numFmtId="176" fontId="14" fillId="0" borderId="43" xfId="1" applyNumberFormat="1" applyFont="1" applyFill="1" applyBorder="1" applyAlignment="1">
      <alignment horizontal="center"/>
    </xf>
    <xf numFmtId="176" fontId="16" fillId="0" borderId="60" xfId="1" applyNumberFormat="1" applyFont="1" applyFill="1" applyBorder="1" applyAlignment="1">
      <alignment horizontal="center"/>
    </xf>
    <xf numFmtId="176" fontId="16" fillId="0" borderId="60" xfId="1" applyNumberFormat="1" applyFont="1" applyFill="1" applyBorder="1"/>
    <xf numFmtId="176" fontId="16" fillId="0" borderId="60" xfId="1" applyNumberFormat="1" applyFont="1" applyBorder="1"/>
    <xf numFmtId="176" fontId="16" fillId="0" borderId="88" xfId="1" applyNumberFormat="1" applyFont="1" applyBorder="1"/>
    <xf numFmtId="0" fontId="19" fillId="0" borderId="3" xfId="0" applyNumberFormat="1" applyFont="1" applyBorder="1"/>
    <xf numFmtId="176" fontId="16" fillId="0" borderId="60" xfId="1" applyNumberFormat="1" applyFont="1" applyBorder="1" applyAlignment="1">
      <alignment horizontal="center"/>
    </xf>
    <xf numFmtId="176" fontId="16" fillId="0" borderId="61" xfId="1" applyNumberFormat="1" applyFont="1" applyFill="1" applyBorder="1"/>
    <xf numFmtId="176" fontId="14" fillId="0" borderId="1" xfId="1" applyNumberFormat="1" applyFont="1" applyFill="1" applyBorder="1"/>
    <xf numFmtId="176" fontId="14" fillId="0" borderId="0" xfId="1" applyNumberFormat="1" applyFont="1" applyBorder="1"/>
    <xf numFmtId="0" fontId="16" fillId="0" borderId="52" xfId="0" applyNumberFormat="1" applyFont="1" applyBorder="1" applyAlignment="1">
      <alignment vertical="center" wrapText="1"/>
    </xf>
    <xf numFmtId="176" fontId="16" fillId="0" borderId="53" xfId="1" applyNumberFormat="1" applyFont="1" applyBorder="1" applyAlignment="1">
      <alignment horizontal="center" vertical="center"/>
    </xf>
    <xf numFmtId="176" fontId="16" fillId="0" borderId="53" xfId="1" applyNumberFormat="1" applyFont="1" applyBorder="1" applyAlignment="1">
      <alignment vertical="center"/>
    </xf>
    <xf numFmtId="176" fontId="16" fillId="0" borderId="55" xfId="1" applyNumberFormat="1" applyFont="1" applyBorder="1" applyAlignment="1">
      <alignment vertical="center"/>
    </xf>
    <xf numFmtId="176" fontId="16" fillId="0" borderId="89" xfId="1" applyNumberFormat="1" applyFont="1" applyBorder="1" applyAlignment="1">
      <alignment vertical="center"/>
    </xf>
    <xf numFmtId="176" fontId="14" fillId="0" borderId="8" xfId="1" applyNumberFormat="1" applyFont="1" applyBorder="1"/>
    <xf numFmtId="176" fontId="14" fillId="0" borderId="3" xfId="1" applyNumberFormat="1" applyFont="1" applyBorder="1"/>
    <xf numFmtId="176" fontId="14" fillId="0" borderId="78" xfId="1" applyNumberFormat="1" applyFont="1" applyBorder="1"/>
    <xf numFmtId="180" fontId="16" fillId="0" borderId="43" xfId="1" applyNumberFormat="1" applyFont="1" applyBorder="1"/>
    <xf numFmtId="180" fontId="16" fillId="0" borderId="78" xfId="28" applyNumberFormat="1" applyFont="1" applyBorder="1" applyAlignment="1">
      <alignment horizontal="center"/>
    </xf>
    <xf numFmtId="176" fontId="16" fillId="0" borderId="53" xfId="1" applyNumberFormat="1" applyFont="1" applyBorder="1"/>
    <xf numFmtId="176" fontId="16" fillId="0" borderId="85" xfId="1" applyNumberFormat="1" applyFont="1" applyBorder="1"/>
    <xf numFmtId="0" fontId="18" fillId="0" borderId="12" xfId="0" applyNumberFormat="1" applyFont="1" applyBorder="1"/>
    <xf numFmtId="0" fontId="18" fillId="0" borderId="75" xfId="0" applyNumberFormat="1" applyFont="1" applyBorder="1" applyAlignment="1">
      <alignment horizontal="center"/>
    </xf>
    <xf numFmtId="175" fontId="16" fillId="0" borderId="75" xfId="0" applyNumberFormat="1" applyFont="1" applyBorder="1" applyAlignment="1">
      <alignment horizontal="center"/>
    </xf>
    <xf numFmtId="0" fontId="14" fillId="0" borderId="78" xfId="0" applyNumberFormat="1" applyFont="1" applyBorder="1" applyAlignment="1">
      <alignment horizontal="center"/>
    </xf>
    <xf numFmtId="0" fontId="16" fillId="0" borderId="78" xfId="0" applyNumberFormat="1" applyFont="1" applyBorder="1" applyAlignment="1">
      <alignment horizontal="center"/>
    </xf>
    <xf numFmtId="175" fontId="16" fillId="0" borderId="80" xfId="0" applyNumberFormat="1" applyFont="1" applyBorder="1"/>
    <xf numFmtId="0" fontId="18" fillId="0" borderId="78" xfId="0" applyNumberFormat="1" applyFont="1" applyBorder="1" applyAlignment="1">
      <alignment horizontal="center"/>
    </xf>
    <xf numFmtId="0" fontId="16" fillId="0" borderId="50" xfId="0" applyNumberFormat="1" applyFont="1" applyBorder="1"/>
    <xf numFmtId="0" fontId="16" fillId="0" borderId="80" xfId="0" applyNumberFormat="1" applyFont="1" applyBorder="1" applyAlignment="1">
      <alignment horizontal="center"/>
    </xf>
    <xf numFmtId="0" fontId="16" fillId="0" borderId="50" xfId="0" applyNumberFormat="1" applyFont="1" applyBorder="1" applyAlignment="1">
      <alignment vertical="center" wrapText="1"/>
    </xf>
    <xf numFmtId="0" fontId="16" fillId="0" borderId="80" xfId="0" applyNumberFormat="1" applyFont="1" applyBorder="1" applyAlignment="1">
      <alignment horizontal="center" vertical="center" wrapText="1"/>
    </xf>
    <xf numFmtId="175" fontId="16" fillId="0" borderId="50" xfId="0" applyNumberFormat="1" applyFont="1" applyBorder="1" applyAlignment="1">
      <alignment vertical="center"/>
    </xf>
    <xf numFmtId="175" fontId="16" fillId="0" borderId="46" xfId="0" applyNumberFormat="1" applyFont="1" applyBorder="1" applyAlignment="1">
      <alignment vertical="center"/>
    </xf>
    <xf numFmtId="175" fontId="16" fillId="0" borderId="80" xfId="0" applyNumberFormat="1" applyFont="1" applyBorder="1" applyAlignment="1">
      <alignment vertical="center"/>
    </xf>
    <xf numFmtId="175" fontId="16" fillId="0" borderId="49" xfId="0" applyNumberFormat="1" applyFont="1" applyBorder="1" applyAlignment="1">
      <alignment vertical="center"/>
    </xf>
    <xf numFmtId="0" fontId="14" fillId="0" borderId="78" xfId="0" applyNumberFormat="1" applyFont="1" applyBorder="1" applyAlignment="1">
      <alignment horizontal="center" vertical="top" wrapText="1"/>
    </xf>
    <xf numFmtId="0" fontId="16" fillId="0" borderId="85" xfId="0" quotePrefix="1" applyNumberFormat="1" applyFont="1" applyBorder="1" applyAlignment="1">
      <alignment horizontal="center" vertical="center" wrapText="1"/>
    </xf>
    <xf numFmtId="0" fontId="20" fillId="0" borderId="0" xfId="0" applyNumberFormat="1" applyFont="1" applyBorder="1" applyAlignment="1">
      <alignment vertical="center" wrapText="1"/>
    </xf>
    <xf numFmtId="164" fontId="19" fillId="0" borderId="0" xfId="1" applyNumberFormat="1" applyFont="1"/>
    <xf numFmtId="0" fontId="21" fillId="0" borderId="0" xfId="0" applyFont="1" applyBorder="1" applyAlignment="1">
      <alignment horizontal="center" vertical="center" wrapText="1"/>
    </xf>
    <xf numFmtId="0" fontId="14" fillId="0" borderId="85" xfId="0" quotePrefix="1" applyNumberFormat="1" applyFont="1" applyBorder="1" applyAlignment="1">
      <alignment horizontal="center" vertical="center" wrapText="1"/>
    </xf>
    <xf numFmtId="0" fontId="14" fillId="0" borderId="3" xfId="0" applyNumberFormat="1" applyFont="1" applyFill="1" applyBorder="1" applyAlignment="1"/>
    <xf numFmtId="0" fontId="19" fillId="0" borderId="0" xfId="0" applyFont="1" applyFill="1" applyAlignment="1">
      <alignment horizontal="center"/>
    </xf>
    <xf numFmtId="0" fontId="16" fillId="0" borderId="69" xfId="0" applyNumberFormat="1" applyFont="1" applyFill="1" applyBorder="1" applyAlignment="1">
      <alignment vertical="center" wrapText="1"/>
    </xf>
    <xf numFmtId="175" fontId="16" fillId="0" borderId="69" xfId="0" applyNumberFormat="1" applyFont="1" applyFill="1" applyBorder="1" applyAlignment="1">
      <alignment vertical="center"/>
    </xf>
    <xf numFmtId="175" fontId="16" fillId="0" borderId="72" xfId="0" applyNumberFormat="1" applyFont="1" applyFill="1" applyBorder="1" applyAlignment="1">
      <alignment vertical="center"/>
    </xf>
    <xf numFmtId="175" fontId="16" fillId="0" borderId="73" xfId="0" applyNumberFormat="1" applyFont="1" applyFill="1" applyBorder="1" applyAlignment="1">
      <alignment vertical="center"/>
    </xf>
    <xf numFmtId="168" fontId="16" fillId="0" borderId="90" xfId="0" applyNumberFormat="1" applyFont="1" applyFill="1" applyBorder="1" applyAlignment="1">
      <alignment vertical="center"/>
    </xf>
    <xf numFmtId="168" fontId="16" fillId="0" borderId="91" xfId="0" applyNumberFormat="1" applyFont="1" applyFill="1" applyBorder="1" applyAlignment="1">
      <alignment vertical="center"/>
    </xf>
    <xf numFmtId="168" fontId="16" fillId="0" borderId="92" xfId="0" applyNumberFormat="1" applyFont="1" applyFill="1" applyBorder="1" applyAlignment="1">
      <alignment vertical="center"/>
    </xf>
    <xf numFmtId="0" fontId="14" fillId="0" borderId="0" xfId="0" applyFont="1" applyFill="1" applyAlignment="1">
      <alignment vertical="center"/>
    </xf>
    <xf numFmtId="0" fontId="14" fillId="0" borderId="5" xfId="0" applyNumberFormat="1" applyFont="1" applyFill="1" applyBorder="1"/>
    <xf numFmtId="175" fontId="14" fillId="0" borderId="4" xfId="0" applyNumberFormat="1" applyFont="1" applyFill="1" applyBorder="1"/>
    <xf numFmtId="175" fontId="14" fillId="0" borderId="36" xfId="0" applyNumberFormat="1" applyFont="1" applyFill="1" applyBorder="1"/>
    <xf numFmtId="175" fontId="14" fillId="0" borderId="10" xfId="0" applyNumberFormat="1" applyFont="1" applyFill="1" applyBorder="1"/>
    <xf numFmtId="0" fontId="16" fillId="0" borderId="93" xfId="0" applyFont="1" applyFill="1" applyBorder="1" applyAlignment="1">
      <alignment horizontal="center" vertical="center" wrapText="1"/>
    </xf>
    <xf numFmtId="0" fontId="18" fillId="0" borderId="11" xfId="0" applyNumberFormat="1" applyFont="1" applyBorder="1"/>
    <xf numFmtId="174" fontId="14" fillId="0" borderId="47" xfId="0" applyNumberFormat="1" applyFont="1" applyFill="1" applyBorder="1"/>
    <xf numFmtId="174" fontId="14" fillId="0" borderId="45" xfId="0" applyNumberFormat="1" applyFont="1" applyFill="1" applyBorder="1"/>
    <xf numFmtId="0" fontId="14" fillId="0" borderId="1" xfId="0" applyNumberFormat="1" applyFont="1" applyBorder="1" applyAlignment="1">
      <alignment horizontal="left" indent="1"/>
    </xf>
    <xf numFmtId="0" fontId="16" fillId="0" borderId="1" xfId="0" applyNumberFormat="1" applyFont="1" applyBorder="1"/>
    <xf numFmtId="174" fontId="16" fillId="0" borderId="51" xfId="0" applyNumberFormat="1" applyFont="1" applyFill="1" applyBorder="1"/>
    <xf numFmtId="174" fontId="16" fillId="0" borderId="50" xfId="0" applyNumberFormat="1" applyFont="1" applyFill="1" applyBorder="1"/>
    <xf numFmtId="174" fontId="16" fillId="0" borderId="48" xfId="0" applyNumberFormat="1" applyFont="1" applyFill="1" applyBorder="1"/>
    <xf numFmtId="174" fontId="16" fillId="0" borderId="63" xfId="0" applyNumberFormat="1" applyFont="1" applyFill="1" applyBorder="1"/>
    <xf numFmtId="174" fontId="16" fillId="0" borderId="60" xfId="0" applyNumberFormat="1" applyFont="1" applyFill="1" applyBorder="1"/>
    <xf numFmtId="174" fontId="16" fillId="0" borderId="61" xfId="0" applyNumberFormat="1" applyFont="1" applyFill="1" applyBorder="1"/>
    <xf numFmtId="174" fontId="16" fillId="0" borderId="62" xfId="0" applyNumberFormat="1" applyFont="1" applyFill="1" applyBorder="1"/>
    <xf numFmtId="174" fontId="16" fillId="0" borderId="59" xfId="0" applyNumberFormat="1" applyFont="1" applyFill="1" applyBorder="1"/>
    <xf numFmtId="174" fontId="16" fillId="0" borderId="47" xfId="0" applyNumberFormat="1" applyFont="1" applyFill="1" applyBorder="1"/>
    <xf numFmtId="174" fontId="16" fillId="0" borderId="3" xfId="0" applyNumberFormat="1" applyFont="1" applyFill="1" applyBorder="1"/>
    <xf numFmtId="174" fontId="16" fillId="0" borderId="0" xfId="0" applyNumberFormat="1" applyFont="1" applyFill="1" applyBorder="1"/>
    <xf numFmtId="0" fontId="14" fillId="0" borderId="5" xfId="0" applyNumberFormat="1" applyFont="1" applyBorder="1"/>
    <xf numFmtId="174" fontId="14" fillId="0" borderId="64" xfId="0" applyNumberFormat="1" applyFont="1" applyFill="1" applyBorder="1"/>
    <xf numFmtId="174" fontId="14" fillId="0" borderId="36" xfId="0" applyNumberFormat="1" applyFont="1" applyFill="1" applyBorder="1"/>
    <xf numFmtId="174" fontId="14" fillId="0" borderId="10" xfId="0" applyNumberFormat="1" applyFont="1" applyFill="1" applyBorder="1"/>
    <xf numFmtId="174" fontId="14" fillId="0" borderId="4" xfId="0" applyNumberFormat="1" applyFont="1" applyFill="1" applyBorder="1"/>
    <xf numFmtId="174" fontId="14" fillId="0" borderId="9" xfId="0" applyNumberFormat="1" applyFont="1" applyFill="1" applyBorder="1"/>
    <xf numFmtId="0" fontId="18" fillId="0" borderId="1" xfId="0" applyNumberFormat="1" applyFont="1" applyBorder="1"/>
    <xf numFmtId="0" fontId="17" fillId="0" borderId="1" xfId="0" applyNumberFormat="1" applyFont="1" applyBorder="1"/>
    <xf numFmtId="169" fontId="14" fillId="0" borderId="0" xfId="0" applyNumberFormat="1" applyFont="1"/>
    <xf numFmtId="174" fontId="14" fillId="0" borderId="38" xfId="0" applyNumberFormat="1" applyFont="1" applyFill="1" applyBorder="1"/>
    <xf numFmtId="174" fontId="14" fillId="0" borderId="7" xfId="0" applyNumberFormat="1" applyFont="1" applyFill="1" applyBorder="1"/>
    <xf numFmtId="174" fontId="14" fillId="0" borderId="12" xfId="0" applyNumberFormat="1" applyFont="1" applyFill="1" applyBorder="1"/>
    <xf numFmtId="174" fontId="14" fillId="0" borderId="6" xfId="0" applyNumberFormat="1" applyFont="1" applyFill="1" applyBorder="1"/>
    <xf numFmtId="0" fontId="14" fillId="0" borderId="5" xfId="0" applyFont="1" applyBorder="1"/>
    <xf numFmtId="0" fontId="16" fillId="0" borderId="7" xfId="0" applyFont="1" applyFill="1" applyBorder="1" applyAlignment="1">
      <alignment horizontal="center" vertical="center" wrapText="1"/>
    </xf>
    <xf numFmtId="0" fontId="16" fillId="0" borderId="53" xfId="0" applyFont="1" applyFill="1" applyBorder="1" applyAlignment="1">
      <alignment horizontal="center" vertical="center" wrapText="1"/>
    </xf>
    <xf numFmtId="0" fontId="16" fillId="0" borderId="85" xfId="0" applyFont="1" applyFill="1" applyBorder="1" applyAlignment="1">
      <alignment horizontal="center" vertical="center" wrapText="1"/>
    </xf>
    <xf numFmtId="0" fontId="16" fillId="0" borderId="83" xfId="0" applyFont="1" applyFill="1" applyBorder="1" applyAlignment="1">
      <alignment horizontal="center" vertical="center" wrapText="1"/>
    </xf>
    <xf numFmtId="0" fontId="14" fillId="0" borderId="36" xfId="0" applyNumberFormat="1" applyFont="1" applyFill="1" applyBorder="1" applyAlignment="1">
      <alignment horizontal="center" vertical="center"/>
    </xf>
    <xf numFmtId="175" fontId="16" fillId="0" borderId="1" xfId="0" applyNumberFormat="1" applyFont="1" applyBorder="1" applyAlignment="1">
      <alignment horizontal="center"/>
    </xf>
    <xf numFmtId="175" fontId="14" fillId="0" borderId="44" xfId="0" applyNumberFormat="1" applyFont="1" applyBorder="1"/>
    <xf numFmtId="175" fontId="14" fillId="0" borderId="89" xfId="0" applyNumberFormat="1" applyFont="1" applyBorder="1"/>
    <xf numFmtId="0" fontId="11" fillId="0" borderId="0" xfId="0" applyFont="1" applyFill="1" applyBorder="1" applyAlignment="1">
      <alignment horizontal="left"/>
    </xf>
    <xf numFmtId="175" fontId="16" fillId="0" borderId="38" xfId="0" applyNumberFormat="1" applyFont="1" applyFill="1" applyBorder="1" applyAlignment="1">
      <alignment horizontal="center"/>
    </xf>
    <xf numFmtId="175" fontId="16" fillId="0" borderId="6" xfId="0" applyNumberFormat="1" applyFont="1" applyFill="1" applyBorder="1" applyAlignment="1">
      <alignment horizontal="center"/>
    </xf>
    <xf numFmtId="175" fontId="14" fillId="0" borderId="43" xfId="0" applyNumberFormat="1" applyFont="1" applyFill="1" applyBorder="1" applyAlignment="1">
      <alignment horizontal="right"/>
    </xf>
    <xf numFmtId="175" fontId="14" fillId="0" borderId="0" xfId="0" applyNumberFormat="1" applyFont="1" applyFill="1" applyBorder="1" applyAlignment="1">
      <alignment horizontal="right"/>
    </xf>
    <xf numFmtId="175" fontId="14" fillId="0" borderId="3" xfId="0" applyNumberFormat="1" applyFont="1" applyFill="1" applyBorder="1" applyAlignment="1">
      <alignment horizontal="right"/>
    </xf>
    <xf numFmtId="175" fontId="14" fillId="0" borderId="8" xfId="0" applyNumberFormat="1" applyFont="1" applyFill="1" applyBorder="1" applyAlignment="1">
      <alignment horizontal="right"/>
    </xf>
    <xf numFmtId="175" fontId="16" fillId="0" borderId="43" xfId="0" applyNumberFormat="1" applyFont="1" applyFill="1" applyBorder="1" applyAlignment="1">
      <alignment horizontal="right"/>
    </xf>
    <xf numFmtId="175" fontId="16" fillId="0" borderId="0" xfId="0" applyNumberFormat="1" applyFont="1" applyFill="1" applyBorder="1" applyAlignment="1">
      <alignment horizontal="right"/>
    </xf>
    <xf numFmtId="175" fontId="16" fillId="0" borderId="3" xfId="0" applyNumberFormat="1" applyFont="1" applyFill="1" applyBorder="1" applyAlignment="1">
      <alignment horizontal="right"/>
    </xf>
    <xf numFmtId="175" fontId="16" fillId="0" borderId="8" xfId="0" applyNumberFormat="1" applyFont="1" applyFill="1" applyBorder="1" applyAlignment="1">
      <alignment horizontal="right"/>
    </xf>
    <xf numFmtId="0" fontId="16" fillId="0" borderId="12" xfId="0" applyNumberFormat="1" applyFont="1" applyFill="1" applyBorder="1"/>
    <xf numFmtId="0" fontId="14" fillId="0" borderId="38" xfId="0" applyNumberFormat="1" applyFont="1" applyFill="1" applyBorder="1" applyAlignment="1">
      <alignment horizontal="center"/>
    </xf>
    <xf numFmtId="0" fontId="16" fillId="0" borderId="38" xfId="0" applyNumberFormat="1" applyFont="1" applyFill="1" applyBorder="1" applyAlignment="1">
      <alignment horizontal="center"/>
    </xf>
    <xf numFmtId="176" fontId="16" fillId="0" borderId="38" xfId="1" applyNumberFormat="1" applyFont="1" applyFill="1" applyBorder="1" applyAlignment="1">
      <alignment horizontal="center"/>
    </xf>
    <xf numFmtId="0" fontId="19" fillId="0" borderId="38" xfId="0" applyNumberFormat="1" applyFont="1" applyFill="1" applyBorder="1" applyAlignment="1">
      <alignment horizontal="center"/>
    </xf>
    <xf numFmtId="0" fontId="19" fillId="0" borderId="6" xfId="0" applyNumberFormat="1" applyFont="1" applyFill="1" applyBorder="1" applyAlignment="1">
      <alignment horizontal="center"/>
    </xf>
    <xf numFmtId="0" fontId="16" fillId="0" borderId="6" xfId="0" applyNumberFormat="1" applyFont="1" applyBorder="1" applyAlignment="1">
      <alignment horizontal="center"/>
    </xf>
    <xf numFmtId="0" fontId="16" fillId="0" borderId="75" xfId="0" applyNumberFormat="1" applyFont="1" applyBorder="1" applyAlignment="1">
      <alignment horizontal="center"/>
    </xf>
    <xf numFmtId="176" fontId="16" fillId="0" borderId="43" xfId="1" applyNumberFormat="1" applyFont="1" applyFill="1" applyBorder="1" applyAlignment="1">
      <alignment horizontal="center"/>
    </xf>
    <xf numFmtId="0" fontId="19" fillId="0" borderId="43" xfId="0" applyNumberFormat="1" applyFont="1" applyFill="1" applyBorder="1" applyAlignment="1">
      <alignment horizontal="center"/>
    </xf>
    <xf numFmtId="0" fontId="19" fillId="0" borderId="0" xfId="0" applyNumberFormat="1" applyFont="1" applyFill="1" applyBorder="1" applyAlignment="1">
      <alignment horizontal="center"/>
    </xf>
    <xf numFmtId="0" fontId="16" fillId="0" borderId="0" xfId="0" applyNumberFormat="1" applyFont="1" applyBorder="1" applyAlignment="1">
      <alignment horizontal="center"/>
    </xf>
    <xf numFmtId="0" fontId="19" fillId="0" borderId="3" xfId="0" applyNumberFormat="1" applyFont="1" applyFill="1" applyBorder="1"/>
    <xf numFmtId="0" fontId="14" fillId="0" borderId="78" xfId="0" applyNumberFormat="1" applyFont="1" applyBorder="1"/>
    <xf numFmtId="0" fontId="14" fillId="0" borderId="43" xfId="0" applyNumberFormat="1" applyFont="1" applyFill="1" applyBorder="1"/>
    <xf numFmtId="168" fontId="16" fillId="0" borderId="72" xfId="0" applyNumberFormat="1" applyFont="1" applyBorder="1"/>
    <xf numFmtId="176" fontId="16" fillId="0" borderId="72" xfId="0" applyNumberFormat="1" applyFont="1" applyBorder="1"/>
    <xf numFmtId="0" fontId="16" fillId="0" borderId="72" xfId="0" applyNumberFormat="1" applyFont="1" applyBorder="1"/>
    <xf numFmtId="0" fontId="16" fillId="0" borderId="74" xfId="0" applyNumberFormat="1" applyFont="1" applyBorder="1"/>
    <xf numFmtId="168" fontId="16" fillId="0" borderId="71" xfId="0" applyNumberFormat="1" applyFont="1" applyBorder="1"/>
    <xf numFmtId="168" fontId="16" fillId="0" borderId="73" xfId="0" applyNumberFormat="1" applyFont="1" applyBorder="1"/>
    <xf numFmtId="0" fontId="14" fillId="0" borderId="94" xfId="0" applyNumberFormat="1" applyFont="1" applyBorder="1" applyAlignment="1">
      <alignment horizontal="center"/>
    </xf>
    <xf numFmtId="168" fontId="16" fillId="0" borderId="12" xfId="0" applyNumberFormat="1" applyFont="1" applyBorder="1"/>
    <xf numFmtId="0" fontId="16" fillId="0" borderId="81" xfId="0" applyFont="1" applyFill="1" applyBorder="1" applyAlignment="1">
      <alignment horizontal="center" vertical="center" wrapText="1"/>
    </xf>
    <xf numFmtId="0" fontId="16" fillId="0" borderId="56" xfId="0" applyFont="1" applyFill="1" applyBorder="1" applyAlignment="1">
      <alignment horizontal="center" vertical="top" wrapText="1"/>
    </xf>
    <xf numFmtId="0" fontId="19" fillId="0" borderId="7" xfId="0" applyNumberFormat="1" applyFont="1" applyFill="1" applyBorder="1" applyAlignment="1">
      <alignment horizontal="center"/>
    </xf>
    <xf numFmtId="0" fontId="16" fillId="0" borderId="6" xfId="1" applyNumberFormat="1" applyFont="1" applyFill="1" applyBorder="1" applyAlignment="1">
      <alignment horizontal="center"/>
    </xf>
    <xf numFmtId="175" fontId="16" fillId="0" borderId="67" xfId="0" applyNumberFormat="1" applyFont="1" applyFill="1" applyBorder="1" applyAlignment="1">
      <alignment horizontal="center"/>
    </xf>
    <xf numFmtId="175" fontId="16" fillId="0" borderId="12" xfId="0" applyNumberFormat="1" applyFont="1" applyFill="1" applyBorder="1" applyAlignment="1">
      <alignment horizontal="center"/>
    </xf>
    <xf numFmtId="175" fontId="16" fillId="0" borderId="7" xfId="0" applyNumberFormat="1" applyFont="1" applyFill="1" applyBorder="1" applyAlignment="1">
      <alignment horizontal="center"/>
    </xf>
    <xf numFmtId="0" fontId="19" fillId="0" borderId="8" xfId="0" applyNumberFormat="1" applyFont="1" applyFill="1" applyBorder="1" applyAlignment="1">
      <alignment horizontal="center"/>
    </xf>
    <xf numFmtId="0" fontId="16" fillId="0" borderId="0" xfId="1" applyNumberFormat="1" applyFont="1" applyFill="1" applyBorder="1" applyAlignment="1">
      <alignment horizontal="center"/>
    </xf>
    <xf numFmtId="175" fontId="16" fillId="0" borderId="43" xfId="0" applyNumberFormat="1" applyFont="1" applyFill="1" applyBorder="1" applyAlignment="1">
      <alignment horizontal="center"/>
    </xf>
    <xf numFmtId="175" fontId="16" fillId="0" borderId="68" xfId="0" applyNumberFormat="1" applyFont="1" applyFill="1" applyBorder="1" applyAlignment="1">
      <alignment horizontal="center"/>
    </xf>
    <xf numFmtId="175" fontId="16" fillId="0" borderId="3" xfId="0" applyNumberFormat="1" applyFont="1" applyFill="1" applyBorder="1" applyAlignment="1">
      <alignment horizontal="center"/>
    </xf>
    <xf numFmtId="175" fontId="16" fillId="0" borderId="8" xfId="0" applyNumberFormat="1" applyFont="1" applyFill="1" applyBorder="1" applyAlignment="1">
      <alignment horizontal="center"/>
    </xf>
    <xf numFmtId="0" fontId="14" fillId="0" borderId="8" xfId="0" applyNumberFormat="1" applyFont="1" applyFill="1" applyBorder="1"/>
    <xf numFmtId="0" fontId="16" fillId="0" borderId="3" xfId="0" applyNumberFormat="1" applyFont="1" applyFill="1" applyBorder="1" applyAlignment="1">
      <alignment horizontal="left" indent="1"/>
    </xf>
    <xf numFmtId="0" fontId="14" fillId="0" borderId="43" xfId="0" applyFont="1" applyBorder="1"/>
    <xf numFmtId="177" fontId="14" fillId="0" borderId="43" xfId="1" applyNumberFormat="1" applyFont="1" applyFill="1" applyBorder="1" applyAlignment="1"/>
    <xf numFmtId="0" fontId="20" fillId="0" borderId="6" xfId="0" applyFont="1" applyBorder="1"/>
    <xf numFmtId="0" fontId="16" fillId="0" borderId="45" xfId="0" applyFont="1" applyFill="1" applyBorder="1" applyAlignment="1">
      <alignment horizontal="center" vertical="center"/>
    </xf>
    <xf numFmtId="175" fontId="16" fillId="0" borderId="43" xfId="0" applyNumberFormat="1" applyFont="1" applyBorder="1" applyAlignment="1">
      <alignment horizontal="right"/>
    </xf>
    <xf numFmtId="175" fontId="16" fillId="0" borderId="8" xfId="0" applyNumberFormat="1" applyFont="1" applyBorder="1" applyAlignment="1">
      <alignment horizontal="right"/>
    </xf>
    <xf numFmtId="175" fontId="16" fillId="0" borderId="3" xfId="0" applyNumberFormat="1" applyFont="1" applyBorder="1" applyAlignment="1">
      <alignment horizontal="right"/>
    </xf>
    <xf numFmtId="0" fontId="16" fillId="0" borderId="43" xfId="0" applyFont="1" applyBorder="1" applyAlignment="1">
      <alignment horizontal="center"/>
    </xf>
    <xf numFmtId="175" fontId="16" fillId="0" borderId="3" xfId="1" applyNumberFormat="1" applyFont="1" applyBorder="1" applyAlignment="1">
      <alignment horizontal="right"/>
    </xf>
    <xf numFmtId="0" fontId="16" fillId="0" borderId="38" xfId="0" applyFont="1" applyFill="1" applyBorder="1" applyAlignment="1">
      <alignment horizontal="center" vertical="center"/>
    </xf>
    <xf numFmtId="49" fontId="16" fillId="0" borderId="45" xfId="0" applyNumberFormat="1" applyFont="1" applyFill="1" applyBorder="1" applyAlignment="1">
      <alignment horizontal="center" vertical="center" wrapText="1"/>
    </xf>
    <xf numFmtId="0" fontId="16" fillId="0" borderId="36" xfId="0" applyFont="1" applyFill="1" applyBorder="1" applyAlignment="1">
      <alignment horizontal="center" vertical="center"/>
    </xf>
    <xf numFmtId="0" fontId="16" fillId="0" borderId="37" xfId="0" applyFont="1" applyFill="1" applyBorder="1" applyAlignment="1">
      <alignment horizontal="center" vertical="center" wrapText="1"/>
    </xf>
    <xf numFmtId="0" fontId="16" fillId="0" borderId="64" xfId="0" applyFont="1" applyFill="1" applyBorder="1" applyAlignment="1">
      <alignment horizontal="center" vertical="center" wrapText="1"/>
    </xf>
    <xf numFmtId="164" fontId="14" fillId="0" borderId="2" xfId="1" applyNumberFormat="1" applyFont="1" applyBorder="1"/>
    <xf numFmtId="0" fontId="16" fillId="0" borderId="36" xfId="0" applyFont="1" applyFill="1" applyBorder="1" applyAlignment="1">
      <alignment vertical="center"/>
    </xf>
    <xf numFmtId="0" fontId="16" fillId="0" borderId="64" xfId="0" applyFont="1" applyFill="1" applyBorder="1" applyAlignment="1"/>
    <xf numFmtId="49" fontId="16" fillId="0" borderId="64" xfId="0" applyNumberFormat="1" applyFont="1" applyFill="1" applyBorder="1" applyAlignment="1">
      <alignment vertical="center" wrapText="1"/>
    </xf>
    <xf numFmtId="175" fontId="16" fillId="0" borderId="78" xfId="0" applyNumberFormat="1" applyFont="1" applyBorder="1" applyAlignment="1">
      <alignment horizontal="center"/>
    </xf>
    <xf numFmtId="0" fontId="14" fillId="0" borderId="78" xfId="0" quotePrefix="1" applyNumberFormat="1" applyFont="1" applyBorder="1" applyAlignment="1">
      <alignment horizontal="center"/>
    </xf>
    <xf numFmtId="0" fontId="6" fillId="2" borderId="9" xfId="0" applyFont="1" applyFill="1" applyBorder="1" applyAlignment="1">
      <alignment horizontal="center" vertical="center"/>
    </xf>
    <xf numFmtId="49" fontId="16" fillId="0" borderId="45" xfId="0" applyNumberFormat="1" applyFont="1" applyFill="1" applyBorder="1" applyAlignment="1">
      <alignment vertical="center" wrapText="1"/>
    </xf>
    <xf numFmtId="0" fontId="16" fillId="0" borderId="75" xfId="0" applyFont="1" applyFill="1" applyBorder="1" applyAlignment="1">
      <alignment vertical="center"/>
    </xf>
    <xf numFmtId="0" fontId="16" fillId="0" borderId="66" xfId="0" applyFont="1" applyFill="1" applyBorder="1" applyAlignment="1">
      <alignment vertical="center"/>
    </xf>
    <xf numFmtId="0" fontId="16" fillId="0" borderId="95" xfId="0" applyFont="1" applyFill="1" applyBorder="1" applyAlignment="1">
      <alignment horizontal="center" vertical="center" wrapText="1"/>
    </xf>
    <xf numFmtId="0" fontId="16" fillId="0" borderId="36" xfId="0" quotePrefix="1" applyFont="1" applyFill="1" applyBorder="1" applyAlignment="1">
      <alignment horizontal="center" vertical="center" wrapText="1"/>
    </xf>
    <xf numFmtId="0" fontId="16" fillId="0" borderId="10" xfId="0" quotePrefix="1" applyFont="1" applyFill="1" applyBorder="1" applyAlignment="1">
      <alignment horizontal="center" vertical="center" wrapText="1"/>
    </xf>
    <xf numFmtId="49" fontId="16" fillId="0" borderId="11" xfId="0" applyNumberFormat="1" applyFont="1" applyFill="1" applyBorder="1" applyAlignment="1">
      <alignment vertical="center" wrapText="1"/>
    </xf>
    <xf numFmtId="0" fontId="16" fillId="0" borderId="11" xfId="0" applyFont="1" applyFill="1" applyBorder="1" applyAlignment="1">
      <alignment horizontal="center" vertical="center"/>
    </xf>
    <xf numFmtId="0" fontId="16" fillId="0" borderId="5" xfId="0" applyFont="1" applyFill="1" applyBorder="1" applyAlignment="1">
      <alignment horizontal="center" vertical="center" wrapText="1"/>
    </xf>
    <xf numFmtId="0" fontId="16" fillId="0" borderId="52" xfId="0" applyFont="1" applyFill="1" applyBorder="1" applyAlignment="1">
      <alignment horizontal="center" vertical="top" wrapText="1"/>
    </xf>
    <xf numFmtId="0" fontId="16" fillId="0" borderId="53" xfId="0" applyFont="1" applyFill="1" applyBorder="1" applyAlignment="1">
      <alignment horizontal="center" vertical="top" wrapText="1"/>
    </xf>
    <xf numFmtId="0" fontId="16" fillId="0" borderId="55" xfId="0" applyFont="1" applyFill="1" applyBorder="1" applyAlignment="1">
      <alignment horizontal="center" vertical="top" wrapText="1"/>
    </xf>
    <xf numFmtId="0" fontId="16" fillId="0" borderId="54" xfId="0" applyFont="1" applyFill="1" applyBorder="1" applyAlignment="1">
      <alignment horizontal="center" vertical="center" wrapText="1"/>
    </xf>
    <xf numFmtId="0" fontId="15" fillId="7" borderId="12" xfId="0" applyFont="1" applyFill="1" applyBorder="1"/>
    <xf numFmtId="0" fontId="15" fillId="7" borderId="6" xfId="0" applyFont="1" applyFill="1" applyBorder="1" applyAlignment="1">
      <alignment horizontal="left"/>
    </xf>
    <xf numFmtId="173" fontId="3" fillId="0" borderId="6" xfId="0" applyNumberFormat="1" applyFont="1" applyBorder="1"/>
    <xf numFmtId="173" fontId="3" fillId="0" borderId="0" xfId="0" applyNumberFormat="1" applyFont="1" applyBorder="1"/>
    <xf numFmtId="173" fontId="6" fillId="0" borderId="0" xfId="0" applyNumberFormat="1" applyFont="1" applyBorder="1"/>
    <xf numFmtId="173" fontId="5" fillId="0" borderId="96" xfId="0" applyNumberFormat="1" applyFont="1" applyBorder="1"/>
    <xf numFmtId="173" fontId="5" fillId="0" borderId="97" xfId="0" applyNumberFormat="1" applyFont="1" applyBorder="1"/>
    <xf numFmtId="173" fontId="3" fillId="0" borderId="96" xfId="0" applyNumberFormat="1" applyFont="1" applyBorder="1"/>
    <xf numFmtId="173" fontId="3" fillId="0" borderId="97" xfId="0" applyNumberFormat="1" applyFont="1" applyBorder="1"/>
    <xf numFmtId="173" fontId="5" fillId="0" borderId="0" xfId="0" applyNumberFormat="1" applyFont="1" applyBorder="1"/>
    <xf numFmtId="173" fontId="6" fillId="0" borderId="35" xfId="0" applyNumberFormat="1" applyFont="1" applyBorder="1"/>
    <xf numFmtId="173" fontId="6" fillId="0" borderId="96" xfId="0" applyNumberFormat="1" applyFont="1" applyBorder="1"/>
    <xf numFmtId="173" fontId="6" fillId="0" borderId="97" xfId="0" applyNumberFormat="1" applyFont="1" applyBorder="1"/>
    <xf numFmtId="173" fontId="3" fillId="0" borderId="98" xfId="0" applyNumberFormat="1" applyFont="1" applyBorder="1"/>
    <xf numFmtId="0" fontId="23" fillId="0" borderId="0" xfId="0" applyFont="1"/>
    <xf numFmtId="175" fontId="14" fillId="0" borderId="36" xfId="1" applyNumberFormat="1" applyFont="1" applyBorder="1"/>
    <xf numFmtId="175" fontId="16" fillId="0" borderId="9" xfId="0" applyNumberFormat="1" applyFont="1" applyFill="1" applyBorder="1"/>
    <xf numFmtId="175" fontId="19" fillId="0" borderId="46" xfId="0" applyNumberFormat="1" applyFont="1" applyFill="1" applyBorder="1"/>
    <xf numFmtId="175" fontId="19" fillId="0" borderId="49" xfId="0" applyNumberFormat="1" applyFont="1" applyFill="1" applyBorder="1"/>
    <xf numFmtId="175" fontId="19" fillId="0" borderId="50" xfId="0" applyNumberFormat="1" applyFont="1" applyFill="1" applyBorder="1"/>
    <xf numFmtId="175" fontId="19" fillId="0" borderId="48" xfId="0" applyNumberFormat="1" applyFont="1" applyFill="1" applyBorder="1"/>
    <xf numFmtId="175" fontId="19" fillId="0" borderId="51" xfId="0" applyNumberFormat="1" applyFont="1" applyFill="1" applyBorder="1"/>
    <xf numFmtId="164" fontId="19" fillId="0" borderId="0" xfId="1" applyNumberFormat="1" applyFont="1" applyFill="1" applyBorder="1" applyAlignment="1">
      <alignment horizontal="right"/>
    </xf>
    <xf numFmtId="0" fontId="15" fillId="7" borderId="11" xfId="0" applyFont="1" applyFill="1" applyBorder="1" applyAlignment="1">
      <alignment horizontal="left"/>
    </xf>
    <xf numFmtId="0" fontId="15" fillId="7" borderId="12" xfId="0" applyFont="1" applyFill="1" applyBorder="1" applyAlignment="1">
      <alignment horizontal="left"/>
    </xf>
    <xf numFmtId="16" fontId="3" fillId="0" borderId="1" xfId="0" quotePrefix="1" applyNumberFormat="1" applyFont="1" applyBorder="1" applyAlignment="1">
      <alignment horizontal="center"/>
    </xf>
    <xf numFmtId="0" fontId="3" fillId="0" borderId="1" xfId="0" quotePrefix="1" applyFont="1" applyBorder="1" applyAlignment="1">
      <alignment horizontal="center"/>
    </xf>
    <xf numFmtId="0" fontId="15" fillId="8" borderId="17" xfId="0" applyFont="1" applyFill="1" applyBorder="1" applyAlignment="1">
      <alignment horizontal="left"/>
    </xf>
    <xf numFmtId="0" fontId="6" fillId="8" borderId="35" xfId="0" applyFont="1" applyFill="1" applyBorder="1"/>
    <xf numFmtId="173" fontId="24" fillId="0" borderId="11" xfId="0" applyNumberFormat="1" applyFont="1" applyBorder="1"/>
    <xf numFmtId="0" fontId="14" fillId="0" borderId="0" xfId="0" applyFont="1" applyBorder="1" applyAlignment="1" applyProtection="1">
      <alignment horizontal="center"/>
      <protection locked="0"/>
    </xf>
    <xf numFmtId="0" fontId="19" fillId="0" borderId="0" xfId="0" applyFont="1" applyFill="1" applyBorder="1" applyProtection="1">
      <protection locked="0"/>
    </xf>
    <xf numFmtId="168" fontId="16" fillId="0" borderId="0" xfId="0" applyNumberFormat="1" applyFont="1" applyFill="1" applyBorder="1" applyProtection="1">
      <protection locked="0"/>
    </xf>
    <xf numFmtId="0" fontId="16" fillId="0" borderId="0" xfId="0" applyFont="1" applyBorder="1" applyProtection="1">
      <protection locked="0"/>
    </xf>
    <xf numFmtId="168" fontId="16" fillId="0" borderId="0" xfId="0" applyNumberFormat="1" applyFont="1" applyBorder="1" applyProtection="1">
      <protection locked="0"/>
    </xf>
    <xf numFmtId="0" fontId="19" fillId="0" borderId="0" xfId="0" applyFont="1" applyBorder="1" applyAlignment="1" applyProtection="1">
      <alignment horizontal="center"/>
      <protection locked="0"/>
    </xf>
    <xf numFmtId="0" fontId="19" fillId="0" borderId="0" xfId="0" applyFont="1" applyBorder="1" applyAlignment="1" applyProtection="1">
      <alignment horizontal="right"/>
      <protection locked="0"/>
    </xf>
    <xf numFmtId="164" fontId="14" fillId="0" borderId="0" xfId="1" applyNumberFormat="1" applyFont="1" applyProtection="1">
      <protection locked="0"/>
    </xf>
    <xf numFmtId="0" fontId="14" fillId="0" borderId="43" xfId="0" applyNumberFormat="1" applyFont="1" applyBorder="1" applyAlignment="1" applyProtection="1">
      <alignment horizontal="center"/>
      <protection locked="0"/>
    </xf>
    <xf numFmtId="0" fontId="14" fillId="0" borderId="53" xfId="0" applyNumberFormat="1" applyFont="1" applyBorder="1" applyAlignment="1" applyProtection="1">
      <alignment horizontal="center"/>
      <protection locked="0"/>
    </xf>
    <xf numFmtId="0" fontId="14" fillId="0" borderId="0" xfId="0" applyFont="1" applyAlignment="1" applyProtection="1">
      <alignment horizontal="center"/>
      <protection locked="0"/>
    </xf>
    <xf numFmtId="175" fontId="14" fillId="9" borderId="43" xfId="0" applyNumberFormat="1" applyFont="1" applyFill="1" applyBorder="1" applyAlignment="1" applyProtection="1">
      <alignment horizontal="right"/>
      <protection locked="0"/>
    </xf>
    <xf numFmtId="175" fontId="14" fillId="9" borderId="8" xfId="0" applyNumberFormat="1" applyFont="1" applyFill="1" applyBorder="1" applyAlignment="1" applyProtection="1">
      <alignment horizontal="right"/>
      <protection locked="0"/>
    </xf>
    <xf numFmtId="175" fontId="14" fillId="9" borderId="3" xfId="0" applyNumberFormat="1" applyFont="1" applyFill="1" applyBorder="1" applyAlignment="1" applyProtection="1">
      <alignment horizontal="right"/>
      <protection locked="0"/>
    </xf>
    <xf numFmtId="175" fontId="14" fillId="9" borderId="0" xfId="0" applyNumberFormat="1" applyFont="1" applyFill="1" applyBorder="1" applyAlignment="1" applyProtection="1">
      <alignment horizontal="right"/>
      <protection locked="0"/>
    </xf>
    <xf numFmtId="0" fontId="16" fillId="0" borderId="43" xfId="0" applyNumberFormat="1" applyFont="1" applyBorder="1" applyAlignment="1" applyProtection="1">
      <alignment horizontal="center"/>
      <protection locked="0"/>
    </xf>
    <xf numFmtId="168" fontId="17" fillId="0" borderId="0" xfId="0" applyNumberFormat="1" applyFont="1" applyBorder="1" applyProtection="1">
      <protection locked="0"/>
    </xf>
    <xf numFmtId="0" fontId="19" fillId="0" borderId="0" xfId="0" applyNumberFormat="1" applyFont="1" applyBorder="1" applyProtection="1">
      <protection locked="0"/>
    </xf>
    <xf numFmtId="0" fontId="14" fillId="0" borderId="0" xfId="0" applyFont="1" applyBorder="1" applyAlignment="1" applyProtection="1">
      <protection locked="0"/>
    </xf>
    <xf numFmtId="0" fontId="14" fillId="0" borderId="0" xfId="0" applyFont="1" applyBorder="1" applyProtection="1">
      <protection locked="0"/>
    </xf>
    <xf numFmtId="0" fontId="14" fillId="0" borderId="0" xfId="0" applyFont="1" applyFill="1" applyBorder="1" applyProtection="1">
      <protection locked="0"/>
    </xf>
    <xf numFmtId="175" fontId="14" fillId="0" borderId="43" xfId="0" applyNumberFormat="1" applyFont="1" applyFill="1" applyBorder="1" applyProtection="1"/>
    <xf numFmtId="175" fontId="14" fillId="0" borderId="8" xfId="0" applyNumberFormat="1" applyFont="1" applyFill="1" applyBorder="1" applyProtection="1"/>
    <xf numFmtId="175" fontId="14" fillId="0" borderId="3" xfId="0" applyNumberFormat="1" applyFont="1" applyFill="1" applyBorder="1" applyProtection="1"/>
    <xf numFmtId="175" fontId="14" fillId="0" borderId="0" xfId="0" applyNumberFormat="1" applyFont="1" applyFill="1" applyBorder="1" applyProtection="1"/>
    <xf numFmtId="175" fontId="14" fillId="0" borderId="47" xfId="0" applyNumberFormat="1" applyFont="1" applyFill="1" applyBorder="1" applyProtection="1"/>
    <xf numFmtId="0" fontId="21" fillId="0" borderId="0" xfId="0" applyFont="1" applyBorder="1" applyProtection="1">
      <protection locked="0"/>
    </xf>
    <xf numFmtId="175" fontId="14" fillId="0" borderId="1" xfId="0" applyNumberFormat="1" applyFont="1" applyFill="1" applyBorder="1"/>
    <xf numFmtId="175" fontId="14" fillId="0" borderId="43" xfId="0" applyNumberFormat="1" applyFont="1" applyFill="1" applyBorder="1" applyAlignment="1" applyProtection="1"/>
    <xf numFmtId="175" fontId="14" fillId="0" borderId="8" xfId="0" applyNumberFormat="1" applyFont="1" applyFill="1" applyBorder="1" applyAlignment="1" applyProtection="1"/>
    <xf numFmtId="175" fontId="14" fillId="0" borderId="3" xfId="0" applyNumberFormat="1" applyFont="1" applyFill="1" applyBorder="1" applyAlignment="1" applyProtection="1"/>
    <xf numFmtId="175" fontId="14" fillId="0" borderId="0" xfId="0" applyNumberFormat="1" applyFont="1" applyFill="1" applyBorder="1" applyAlignment="1" applyProtection="1"/>
    <xf numFmtId="175" fontId="14" fillId="0" borderId="47" xfId="0" applyNumberFormat="1" applyFont="1" applyFill="1" applyBorder="1" applyAlignment="1" applyProtection="1"/>
    <xf numFmtId="0" fontId="14" fillId="0" borderId="0" xfId="0" applyNumberFormat="1" applyFont="1" applyBorder="1" applyAlignment="1" applyProtection="1">
      <alignment horizontal="center"/>
      <protection locked="0"/>
    </xf>
    <xf numFmtId="10" fontId="14" fillId="0" borderId="0" xfId="0" applyNumberFormat="1" applyFont="1" applyProtection="1">
      <protection locked="0"/>
    </xf>
    <xf numFmtId="0" fontId="19" fillId="0" borderId="0" xfId="15" applyFont="1" applyAlignment="1" applyProtection="1">
      <alignment horizontal="center"/>
      <protection locked="0"/>
    </xf>
    <xf numFmtId="0" fontId="19" fillId="0" borderId="0" xfId="0" applyFont="1" applyProtection="1">
      <protection locked="0"/>
    </xf>
    <xf numFmtId="168" fontId="14" fillId="0" borderId="0" xfId="0" applyNumberFormat="1" applyFont="1" applyBorder="1" applyProtection="1">
      <protection locked="0"/>
    </xf>
    <xf numFmtId="43" fontId="14" fillId="0" borderId="0" xfId="1" applyFont="1" applyBorder="1" applyProtection="1">
      <protection locked="0"/>
    </xf>
    <xf numFmtId="0" fontId="19" fillId="0" borderId="0" xfId="0" applyFont="1" applyAlignment="1" applyProtection="1">
      <alignment horizontal="center"/>
      <protection locked="0"/>
    </xf>
    <xf numFmtId="0" fontId="19" fillId="0" borderId="0" xfId="0" applyNumberFormat="1" applyFont="1" applyProtection="1">
      <protection locked="0"/>
    </xf>
    <xf numFmtId="168" fontId="14" fillId="0" borderId="0" xfId="0" applyNumberFormat="1" applyFont="1" applyFill="1" applyProtection="1">
      <protection locked="0"/>
    </xf>
    <xf numFmtId="0" fontId="21" fillId="0" borderId="0" xfId="0" applyFont="1" applyBorder="1" applyAlignment="1" applyProtection="1">
      <alignment vertical="center" wrapText="1"/>
      <protection locked="0"/>
    </xf>
    <xf numFmtId="0" fontId="21" fillId="0" borderId="0" xfId="0" applyFont="1" applyFill="1" applyBorder="1" applyAlignment="1" applyProtection="1">
      <alignment horizontal="center" vertical="center" wrapText="1"/>
      <protection locked="0"/>
    </xf>
    <xf numFmtId="0" fontId="14" fillId="0" borderId="0" xfId="0" applyFont="1" applyFill="1" applyProtection="1">
      <protection locked="0"/>
    </xf>
    <xf numFmtId="0" fontId="21" fillId="0" borderId="0" xfId="0" applyFont="1" applyFill="1" applyBorder="1" applyAlignment="1" applyProtection="1">
      <alignment vertical="center" wrapText="1"/>
      <protection locked="0"/>
    </xf>
    <xf numFmtId="0" fontId="19" fillId="0" borderId="0" xfId="0" applyFont="1" applyBorder="1" applyAlignment="1" applyProtection="1">
      <alignment horizontal="left" vertical="top"/>
      <protection locked="0"/>
    </xf>
    <xf numFmtId="0" fontId="14" fillId="0" borderId="43" xfId="0" applyNumberFormat="1" applyFont="1" applyFill="1" applyBorder="1" applyAlignment="1" applyProtection="1">
      <alignment horizontal="center"/>
      <protection locked="0"/>
    </xf>
    <xf numFmtId="0" fontId="16" fillId="0" borderId="43" xfId="0" applyNumberFormat="1" applyFont="1" applyFill="1" applyBorder="1" applyAlignment="1" applyProtection="1">
      <alignment horizontal="center"/>
      <protection locked="0"/>
    </xf>
    <xf numFmtId="176" fontId="16" fillId="0" borderId="43" xfId="1" applyNumberFormat="1" applyFont="1" applyFill="1" applyBorder="1" applyAlignment="1" applyProtection="1">
      <alignment horizontal="center"/>
      <protection locked="0"/>
    </xf>
    <xf numFmtId="175" fontId="16" fillId="0" borderId="47" xfId="0" applyNumberFormat="1" applyFont="1" applyBorder="1" applyAlignment="1" applyProtection="1">
      <alignment horizontal="center"/>
      <protection locked="0"/>
    </xf>
    <xf numFmtId="175" fontId="16" fillId="0" borderId="43" xfId="0" applyNumberFormat="1" applyFont="1" applyBorder="1" applyAlignment="1" applyProtection="1">
      <alignment horizontal="center"/>
      <protection locked="0"/>
    </xf>
    <xf numFmtId="175" fontId="16" fillId="0" borderId="0" xfId="0" applyNumberFormat="1" applyFont="1" applyBorder="1" applyAlignment="1" applyProtection="1">
      <alignment horizontal="center"/>
      <protection locked="0"/>
    </xf>
    <xf numFmtId="175" fontId="16" fillId="0" borderId="3" xfId="0" applyNumberFormat="1" applyFont="1" applyBorder="1" applyAlignment="1" applyProtection="1">
      <alignment horizontal="center"/>
      <protection locked="0"/>
    </xf>
    <xf numFmtId="175" fontId="16" fillId="0" borderId="8" xfId="0" applyNumberFormat="1" applyFont="1" applyBorder="1" applyAlignment="1" applyProtection="1">
      <alignment horizontal="center"/>
      <protection locked="0"/>
    </xf>
    <xf numFmtId="0" fontId="16" fillId="0" borderId="0" xfId="0" applyNumberFormat="1" applyFont="1" applyBorder="1" applyAlignment="1" applyProtection="1">
      <alignment horizontal="center"/>
      <protection locked="0"/>
    </xf>
    <xf numFmtId="0" fontId="16" fillId="0" borderId="78" xfId="0" applyNumberFormat="1" applyFont="1" applyBorder="1" applyAlignment="1" applyProtection="1">
      <alignment horizontal="center"/>
      <protection locked="0"/>
    </xf>
    <xf numFmtId="175" fontId="16" fillId="0" borderId="38" xfId="0" applyNumberFormat="1" applyFont="1" applyBorder="1" applyAlignment="1" applyProtection="1">
      <alignment horizontal="center"/>
    </xf>
    <xf numFmtId="171" fontId="14" fillId="0" borderId="0" xfId="28" applyNumberFormat="1" applyFont="1" applyFill="1" applyBorder="1" applyAlignment="1">
      <alignment horizontal="center"/>
    </xf>
    <xf numFmtId="0" fontId="16" fillId="0" borderId="69" xfId="0" applyNumberFormat="1" applyFont="1" applyBorder="1"/>
    <xf numFmtId="0" fontId="14" fillId="0" borderId="72" xfId="0" applyNumberFormat="1" applyFont="1" applyBorder="1" applyAlignment="1">
      <alignment horizontal="center"/>
    </xf>
    <xf numFmtId="175" fontId="16" fillId="0" borderId="72" xfId="0" applyNumberFormat="1" applyFont="1" applyBorder="1" applyAlignment="1"/>
    <xf numFmtId="175" fontId="16" fillId="0" borderId="73" xfId="0" applyNumberFormat="1" applyFont="1" applyBorder="1" applyAlignment="1"/>
    <xf numFmtId="175" fontId="16" fillId="0" borderId="69" xfId="0" applyNumberFormat="1" applyFont="1" applyBorder="1" applyAlignment="1"/>
    <xf numFmtId="175" fontId="16" fillId="0" borderId="74" xfId="0" applyNumberFormat="1" applyFont="1" applyBorder="1" applyAlignment="1"/>
    <xf numFmtId="175" fontId="16" fillId="0" borderId="71" xfId="0" applyNumberFormat="1" applyFont="1" applyBorder="1" applyAlignment="1"/>
    <xf numFmtId="175" fontId="16" fillId="0" borderId="63" xfId="0" applyNumberFormat="1" applyFont="1" applyFill="1" applyBorder="1"/>
    <xf numFmtId="175" fontId="16" fillId="0" borderId="10" xfId="0" applyNumberFormat="1" applyFont="1" applyFill="1" applyBorder="1"/>
    <xf numFmtId="175" fontId="16" fillId="0" borderId="4" xfId="0" applyNumberFormat="1" applyFont="1" applyFill="1" applyBorder="1"/>
    <xf numFmtId="175" fontId="14" fillId="0" borderId="46" xfId="0" applyNumberFormat="1" applyFont="1" applyFill="1" applyBorder="1" applyProtection="1"/>
    <xf numFmtId="175" fontId="14" fillId="0" borderId="49" xfId="0" applyNumberFormat="1" applyFont="1" applyFill="1" applyBorder="1" applyProtection="1"/>
    <xf numFmtId="175" fontId="14" fillId="0" borderId="50" xfId="0" applyNumberFormat="1" applyFont="1" applyFill="1" applyBorder="1" applyProtection="1"/>
    <xf numFmtId="175" fontId="14" fillId="0" borderId="48" xfId="0" applyNumberFormat="1" applyFont="1" applyFill="1" applyBorder="1" applyProtection="1"/>
    <xf numFmtId="175" fontId="14" fillId="0" borderId="51" xfId="0" applyNumberFormat="1" applyFont="1" applyFill="1" applyBorder="1" applyProtection="1"/>
    <xf numFmtId="175" fontId="14" fillId="0" borderId="60" xfId="0" applyNumberFormat="1" applyFont="1" applyFill="1" applyBorder="1" applyProtection="1"/>
    <xf numFmtId="175" fontId="14" fillId="0" borderId="61" xfId="0" applyNumberFormat="1" applyFont="1" applyFill="1" applyBorder="1" applyProtection="1"/>
    <xf numFmtId="175" fontId="14" fillId="0" borderId="62" xfId="0" applyNumberFormat="1" applyFont="1" applyFill="1" applyBorder="1" applyProtection="1"/>
    <xf numFmtId="175" fontId="14" fillId="0" borderId="59" xfId="0" applyNumberFormat="1" applyFont="1" applyFill="1" applyBorder="1" applyProtection="1"/>
    <xf numFmtId="175" fontId="14" fillId="0" borderId="63" xfId="0" applyNumberFormat="1" applyFont="1" applyFill="1" applyBorder="1" applyProtection="1"/>
    <xf numFmtId="0" fontId="14" fillId="0" borderId="69" xfId="0" applyNumberFormat="1" applyFont="1" applyBorder="1" applyAlignment="1">
      <alignment horizontal="left" vertical="top" wrapText="1" indent="1"/>
    </xf>
    <xf numFmtId="0" fontId="14" fillId="0" borderId="69" xfId="0" applyNumberFormat="1" applyFont="1" applyFill="1" applyBorder="1" applyAlignment="1" applyProtection="1">
      <alignment horizontal="left" vertical="top" wrapText="1" indent="1"/>
    </xf>
    <xf numFmtId="0" fontId="14" fillId="0" borderId="99" xfId="0" applyNumberFormat="1" applyFont="1" applyFill="1" applyBorder="1" applyAlignment="1" applyProtection="1">
      <alignment horizontal="left" vertical="top" wrapText="1"/>
    </xf>
    <xf numFmtId="164" fontId="14" fillId="0" borderId="99" xfId="1" applyNumberFormat="1" applyFont="1" applyFill="1" applyBorder="1" applyAlignment="1" applyProtection="1">
      <alignment horizontal="left" vertical="top" wrapText="1"/>
    </xf>
    <xf numFmtId="2" fontId="14" fillId="0" borderId="69" xfId="1" applyNumberFormat="1" applyFont="1" applyFill="1" applyBorder="1" applyAlignment="1" applyProtection="1">
      <alignment horizontal="center" vertical="top" wrapText="1"/>
    </xf>
    <xf numFmtId="2" fontId="14" fillId="0" borderId="72" xfId="1" applyNumberFormat="1" applyFont="1" applyFill="1" applyBorder="1" applyAlignment="1" applyProtection="1">
      <alignment horizontal="center" vertical="top" wrapText="1"/>
    </xf>
    <xf numFmtId="2" fontId="14" fillId="0" borderId="70" xfId="1" applyNumberFormat="1" applyFont="1" applyFill="1" applyBorder="1" applyAlignment="1" applyProtection="1">
      <alignment horizontal="center" vertical="top" wrapText="1"/>
    </xf>
    <xf numFmtId="2" fontId="14" fillId="0" borderId="100" xfId="1" applyNumberFormat="1" applyFont="1" applyFill="1" applyBorder="1" applyAlignment="1" applyProtection="1">
      <alignment horizontal="center" vertical="top" wrapText="1"/>
    </xf>
    <xf numFmtId="2" fontId="14" fillId="0" borderId="74" xfId="1" applyNumberFormat="1" applyFont="1" applyFill="1" applyBorder="1" applyAlignment="1" applyProtection="1">
      <alignment horizontal="center" vertical="top" wrapText="1"/>
    </xf>
    <xf numFmtId="2" fontId="14" fillId="0" borderId="73" xfId="1" applyNumberFormat="1" applyFont="1" applyFill="1" applyBorder="1" applyAlignment="1" applyProtection="1">
      <alignment horizontal="center" vertical="top" wrapText="1"/>
    </xf>
    <xf numFmtId="0" fontId="11" fillId="0" borderId="9" xfId="0" applyFont="1" applyFill="1" applyBorder="1" applyAlignment="1" applyProtection="1">
      <alignment horizontal="left"/>
    </xf>
    <xf numFmtId="0" fontId="8" fillId="0" borderId="0" xfId="0" applyFont="1" applyProtection="1"/>
    <xf numFmtId="0" fontId="16" fillId="0" borderId="42" xfId="0" applyFont="1" applyFill="1" applyBorder="1" applyAlignment="1" applyProtection="1">
      <alignment horizontal="center" vertical="center" wrapText="1"/>
    </xf>
    <xf numFmtId="0" fontId="16" fillId="0" borderId="41" xfId="0" applyFont="1" applyFill="1" applyBorder="1" applyAlignment="1" applyProtection="1">
      <alignment horizontal="center" vertical="center" wrapText="1"/>
    </xf>
    <xf numFmtId="0" fontId="16" fillId="0" borderId="36" xfId="0" applyFont="1" applyFill="1" applyBorder="1" applyAlignment="1" applyProtection="1">
      <alignment horizontal="center" vertical="center" wrapText="1"/>
    </xf>
    <xf numFmtId="0" fontId="16" fillId="0" borderId="10" xfId="0" applyFont="1" applyFill="1" applyBorder="1" applyAlignment="1" applyProtection="1">
      <alignment horizontal="center" vertical="center" wrapText="1"/>
    </xf>
    <xf numFmtId="0" fontId="16" fillId="0" borderId="4" xfId="0" applyFont="1" applyFill="1" applyBorder="1" applyAlignment="1" applyProtection="1">
      <alignment horizontal="center" vertical="center" wrapText="1"/>
    </xf>
    <xf numFmtId="0" fontId="18" fillId="0" borderId="3" xfId="0" applyNumberFormat="1" applyFont="1" applyBorder="1" applyProtection="1"/>
    <xf numFmtId="0" fontId="14" fillId="0" borderId="43" xfId="0" applyNumberFormat="1" applyFont="1" applyFill="1" applyBorder="1" applyAlignment="1" applyProtection="1">
      <alignment horizontal="center"/>
    </xf>
    <xf numFmtId="175" fontId="16" fillId="0" borderId="43" xfId="0" applyNumberFormat="1" applyFont="1" applyFill="1" applyBorder="1" applyProtection="1"/>
    <xf numFmtId="175" fontId="16" fillId="0" borderId="8" xfId="0" applyNumberFormat="1" applyFont="1" applyFill="1" applyBorder="1" applyProtection="1"/>
    <xf numFmtId="175" fontId="16" fillId="0" borderId="3" xfId="0" applyNumberFormat="1" applyFont="1" applyFill="1" applyBorder="1" applyProtection="1"/>
    <xf numFmtId="175" fontId="16" fillId="0" borderId="0" xfId="0" applyNumberFormat="1" applyFont="1" applyFill="1" applyBorder="1" applyProtection="1"/>
    <xf numFmtId="175" fontId="16" fillId="0" borderId="47" xfId="0" applyNumberFormat="1" applyFont="1" applyFill="1" applyBorder="1" applyProtection="1"/>
    <xf numFmtId="0" fontId="22" fillId="0" borderId="3" xfId="0" applyNumberFormat="1" applyFont="1" applyBorder="1" applyAlignment="1" applyProtection="1">
      <alignment horizontal="left"/>
    </xf>
    <xf numFmtId="0" fontId="14" fillId="0" borderId="3" xfId="0" applyNumberFormat="1" applyFont="1" applyBorder="1" applyAlignment="1" applyProtection="1">
      <alignment horizontal="left" indent="1"/>
    </xf>
    <xf numFmtId="0" fontId="16" fillId="0" borderId="3" xfId="0" applyNumberFormat="1" applyFont="1" applyBorder="1" applyAlignment="1" applyProtection="1">
      <alignment horizontal="left"/>
    </xf>
    <xf numFmtId="175" fontId="16" fillId="0" borderId="46" xfId="0" applyNumberFormat="1" applyFont="1" applyFill="1" applyBorder="1" applyProtection="1"/>
    <xf numFmtId="175" fontId="16" fillId="0" borderId="49" xfId="0" applyNumberFormat="1" applyFont="1" applyFill="1" applyBorder="1" applyProtection="1"/>
    <xf numFmtId="175" fontId="16" fillId="0" borderId="50" xfId="0" applyNumberFormat="1" applyFont="1" applyFill="1" applyBorder="1" applyProtection="1"/>
    <xf numFmtId="175" fontId="16" fillId="0" borderId="48" xfId="0" applyNumberFormat="1" applyFont="1" applyFill="1" applyBorder="1" applyProtection="1"/>
    <xf numFmtId="175" fontId="16" fillId="0" borderId="51" xfId="0" applyNumberFormat="1" applyFont="1" applyFill="1" applyBorder="1" applyProtection="1"/>
    <xf numFmtId="0" fontId="14" fillId="0" borderId="69" xfId="0" applyNumberFormat="1" applyFont="1" applyBorder="1" applyProtection="1"/>
    <xf numFmtId="0" fontId="14" fillId="0" borderId="72" xfId="0" applyNumberFormat="1" applyFont="1" applyFill="1" applyBorder="1" applyAlignment="1" applyProtection="1">
      <alignment horizontal="center"/>
    </xf>
    <xf numFmtId="175" fontId="14" fillId="0" borderId="72" xfId="0" applyNumberFormat="1" applyFont="1" applyFill="1" applyBorder="1" applyProtection="1"/>
    <xf numFmtId="175" fontId="14" fillId="0" borderId="73" xfId="0" applyNumberFormat="1" applyFont="1" applyFill="1" applyBorder="1" applyProtection="1"/>
    <xf numFmtId="175" fontId="14" fillId="0" borderId="69" xfId="0" applyNumberFormat="1" applyFont="1" applyFill="1" applyBorder="1" applyProtection="1"/>
    <xf numFmtId="175" fontId="14" fillId="0" borderId="74" xfId="0" applyNumberFormat="1" applyFont="1" applyFill="1" applyBorder="1" applyProtection="1"/>
    <xf numFmtId="175" fontId="14" fillId="0" borderId="71" xfId="0" applyNumberFormat="1" applyFont="1" applyFill="1" applyBorder="1" applyProtection="1"/>
    <xf numFmtId="175" fontId="14" fillId="0" borderId="80" xfId="0" applyNumberFormat="1" applyFont="1" applyFill="1" applyBorder="1" applyProtection="1"/>
    <xf numFmtId="0" fontId="14" fillId="0" borderId="69" xfId="0" applyNumberFormat="1" applyFont="1" applyBorder="1" applyAlignment="1" applyProtection="1">
      <alignment horizontal="left" indent="1"/>
    </xf>
    <xf numFmtId="0" fontId="14" fillId="0" borderId="3" xfId="0" applyNumberFormat="1" applyFont="1" applyBorder="1" applyProtection="1"/>
    <xf numFmtId="175" fontId="14" fillId="0" borderId="78" xfId="0" applyNumberFormat="1" applyFont="1" applyFill="1" applyBorder="1" applyProtection="1"/>
    <xf numFmtId="0" fontId="14" fillId="0" borderId="36" xfId="0" applyNumberFormat="1" applyFont="1" applyFill="1" applyBorder="1" applyAlignment="1" applyProtection="1">
      <alignment horizontal="center"/>
    </xf>
    <xf numFmtId="175" fontId="16" fillId="0" borderId="53" xfId="0" applyNumberFormat="1" applyFont="1" applyFill="1" applyBorder="1" applyProtection="1"/>
    <xf numFmtId="175" fontId="16" fillId="0" borderId="55" xfId="0" applyNumberFormat="1" applyFont="1" applyFill="1" applyBorder="1" applyProtection="1"/>
    <xf numFmtId="175" fontId="16" fillId="0" borderId="52" xfId="0" applyNumberFormat="1" applyFont="1" applyFill="1" applyBorder="1" applyProtection="1"/>
    <xf numFmtId="175" fontId="16" fillId="0" borderId="54" xfId="0" applyNumberFormat="1" applyFont="1" applyFill="1" applyBorder="1" applyProtection="1"/>
    <xf numFmtId="175" fontId="16" fillId="0" borderId="56" xfId="0" applyNumberFormat="1" applyFont="1" applyFill="1" applyBorder="1" applyProtection="1"/>
    <xf numFmtId="0" fontId="20" fillId="0" borderId="0" xfId="0" applyFont="1" applyProtection="1"/>
    <xf numFmtId="0" fontId="19" fillId="0" borderId="0" xfId="0" applyFont="1" applyFill="1" applyBorder="1" applyProtection="1"/>
    <xf numFmtId="0" fontId="14" fillId="0" borderId="0" xfId="0" applyFont="1" applyFill="1" applyBorder="1" applyProtection="1"/>
    <xf numFmtId="0" fontId="16" fillId="0" borderId="5" xfId="0" applyFont="1" applyFill="1" applyBorder="1" applyAlignment="1">
      <alignment horizontal="left" vertical="center"/>
    </xf>
    <xf numFmtId="0" fontId="16" fillId="0" borderId="1" xfId="0" applyNumberFormat="1" applyFont="1" applyBorder="1" applyAlignment="1">
      <alignment wrapText="1"/>
    </xf>
    <xf numFmtId="0" fontId="14" fillId="0" borderId="1" xfId="0" applyNumberFormat="1" applyFont="1" applyBorder="1" applyAlignment="1">
      <alignment horizontal="left" wrapText="1" indent="1"/>
    </xf>
    <xf numFmtId="0" fontId="14" fillId="0" borderId="1" xfId="0" applyNumberFormat="1" applyFont="1" applyBorder="1"/>
    <xf numFmtId="0" fontId="18" fillId="0" borderId="11" xfId="0" applyFont="1" applyBorder="1"/>
    <xf numFmtId="0" fontId="14" fillId="0" borderId="1" xfId="0" applyFont="1" applyBorder="1" applyAlignment="1">
      <alignment horizontal="left" indent="1"/>
    </xf>
    <xf numFmtId="0" fontId="14" fillId="0" borderId="5" xfId="0" applyFont="1" applyFill="1" applyBorder="1"/>
    <xf numFmtId="0" fontId="6" fillId="10" borderId="0" xfId="0" applyFont="1" applyFill="1"/>
    <xf numFmtId="0" fontId="16" fillId="0" borderId="3" xfId="0" applyFont="1" applyFill="1" applyBorder="1" applyAlignment="1" applyProtection="1">
      <alignment horizontal="left" indent="1"/>
    </xf>
    <xf numFmtId="0" fontId="14" fillId="0" borderId="3" xfId="0" applyFont="1" applyFill="1" applyBorder="1" applyAlignment="1" applyProtection="1">
      <alignment horizontal="left" indent="1"/>
    </xf>
    <xf numFmtId="0" fontId="14" fillId="0" borderId="0" xfId="0" applyFont="1" applyAlignment="1">
      <alignment horizontal="left"/>
    </xf>
    <xf numFmtId="43" fontId="14" fillId="0" borderId="0" xfId="1" applyFont="1" applyFill="1" applyBorder="1" applyAlignment="1">
      <alignment horizontal="left"/>
    </xf>
    <xf numFmtId="43" fontId="14" fillId="0" borderId="0" xfId="0" applyNumberFormat="1" applyFont="1" applyAlignment="1">
      <alignment horizontal="left"/>
    </xf>
    <xf numFmtId="0" fontId="14" fillId="0" borderId="3" xfId="0" applyNumberFormat="1" applyFont="1" applyFill="1" applyBorder="1" applyAlignment="1" applyProtection="1">
      <alignment horizontal="left" indent="1"/>
    </xf>
    <xf numFmtId="176" fontId="19" fillId="0" borderId="43" xfId="1" applyNumberFormat="1" applyFont="1" applyFill="1" applyBorder="1" applyProtection="1"/>
    <xf numFmtId="176" fontId="19" fillId="0" borderId="8" xfId="1" applyNumberFormat="1" applyFont="1" applyFill="1" applyBorder="1" applyProtection="1"/>
    <xf numFmtId="176" fontId="19" fillId="0" borderId="3" xfId="1" applyNumberFormat="1" applyFont="1" applyFill="1" applyBorder="1" applyProtection="1"/>
    <xf numFmtId="176" fontId="19" fillId="0" borderId="78" xfId="1" applyNumberFormat="1" applyFont="1" applyFill="1" applyBorder="1" applyProtection="1"/>
    <xf numFmtId="176" fontId="19" fillId="0" borderId="0" xfId="1" applyNumberFormat="1" applyFont="1" applyFill="1" applyBorder="1" applyProtection="1"/>
    <xf numFmtId="0" fontId="9" fillId="0" borderId="0" xfId="0" applyFont="1" applyProtection="1"/>
    <xf numFmtId="0" fontId="3" fillId="0" borderId="0" xfId="0" applyFont="1" applyProtection="1"/>
    <xf numFmtId="0" fontId="9" fillId="2" borderId="0" xfId="0" applyFont="1" applyFill="1" applyProtection="1"/>
    <xf numFmtId="0" fontId="3" fillId="2" borderId="0" xfId="0" applyFont="1" applyFill="1" applyProtection="1"/>
    <xf numFmtId="168" fontId="16" fillId="0" borderId="43" xfId="0" applyNumberFormat="1" applyFont="1" applyBorder="1"/>
    <xf numFmtId="168" fontId="16" fillId="0" borderId="47" xfId="0" applyNumberFormat="1" applyFont="1" applyBorder="1"/>
    <xf numFmtId="0" fontId="18" fillId="0" borderId="3" xfId="0" applyFont="1" applyFill="1" applyBorder="1" applyAlignment="1">
      <alignment horizontal="left"/>
    </xf>
    <xf numFmtId="0" fontId="24" fillId="0" borderId="0" xfId="0" applyFont="1"/>
    <xf numFmtId="180" fontId="16" fillId="0" borderId="101" xfId="28" applyNumberFormat="1" applyFont="1" applyBorder="1" applyAlignment="1">
      <alignment horizontal="center"/>
    </xf>
    <xf numFmtId="0" fontId="16" fillId="0" borderId="3" xfId="0" applyFont="1" applyBorder="1" applyAlignment="1"/>
    <xf numFmtId="0" fontId="18" fillId="0" borderId="3" xfId="0" applyFont="1" applyBorder="1" applyAlignment="1"/>
    <xf numFmtId="0" fontId="14" fillId="0" borderId="43" xfId="0" applyNumberFormat="1" applyFont="1" applyBorder="1" applyAlignment="1" applyProtection="1">
      <alignment horizontal="center"/>
    </xf>
    <xf numFmtId="0" fontId="16" fillId="0" borderId="3" xfId="0" applyNumberFormat="1" applyFont="1" applyBorder="1" applyProtection="1"/>
    <xf numFmtId="0" fontId="21" fillId="0" borderId="43" xfId="0" applyNumberFormat="1" applyFont="1" applyBorder="1" applyAlignment="1" applyProtection="1">
      <alignment horizontal="center"/>
    </xf>
    <xf numFmtId="0" fontId="16" fillId="0" borderId="52" xfId="0" applyNumberFormat="1" applyFont="1" applyBorder="1" applyProtection="1"/>
    <xf numFmtId="0" fontId="14" fillId="0" borderId="53" xfId="0" applyNumberFormat="1" applyFont="1" applyBorder="1" applyAlignment="1" applyProtection="1">
      <alignment horizontal="center"/>
    </xf>
    <xf numFmtId="0" fontId="20" fillId="0" borderId="0" xfId="0" applyFont="1" applyBorder="1" applyAlignment="1" applyProtection="1">
      <alignment horizontal="left"/>
    </xf>
    <xf numFmtId="0" fontId="19" fillId="0" borderId="0" xfId="0" applyFont="1" applyBorder="1" applyAlignment="1" applyProtection="1">
      <alignment horizontal="center"/>
    </xf>
    <xf numFmtId="0" fontId="19" fillId="0" borderId="0" xfId="0" applyFont="1" applyBorder="1" applyProtection="1"/>
    <xf numFmtId="0" fontId="17" fillId="0" borderId="0" xfId="0" applyFont="1" applyBorder="1" applyProtection="1"/>
    <xf numFmtId="168" fontId="17" fillId="0" borderId="0" xfId="0" applyNumberFormat="1" applyFont="1" applyBorder="1" applyProtection="1"/>
    <xf numFmtId="0" fontId="19" fillId="0" borderId="0" xfId="0" quotePrefix="1" applyFont="1" applyBorder="1" applyProtection="1"/>
    <xf numFmtId="0" fontId="16" fillId="0" borderId="45" xfId="0" applyFont="1" applyFill="1" applyBorder="1" applyAlignment="1" applyProtection="1">
      <alignment horizontal="center" vertical="center"/>
    </xf>
    <xf numFmtId="0" fontId="16" fillId="0" borderId="38" xfId="0" applyFont="1" applyFill="1" applyBorder="1" applyAlignment="1" applyProtection="1">
      <alignment vertical="center"/>
    </xf>
    <xf numFmtId="0" fontId="16" fillId="0" borderId="4" xfId="0" applyFont="1" applyFill="1" applyBorder="1" applyAlignment="1" applyProtection="1">
      <alignment horizontal="left" vertical="center"/>
    </xf>
    <xf numFmtId="0" fontId="16" fillId="0" borderId="36" xfId="0" applyFont="1" applyFill="1" applyBorder="1" applyAlignment="1" applyProtection="1">
      <alignment vertical="center"/>
    </xf>
    <xf numFmtId="0" fontId="18" fillId="0" borderId="3" xfId="0" applyFont="1" applyBorder="1" applyProtection="1"/>
    <xf numFmtId="0" fontId="16" fillId="0" borderId="38" xfId="0" applyFont="1" applyBorder="1" applyAlignment="1" applyProtection="1">
      <alignment horizontal="center"/>
    </xf>
    <xf numFmtId="0" fontId="16" fillId="0" borderId="7" xfId="0" applyFont="1" applyBorder="1" applyAlignment="1" applyProtection="1">
      <alignment horizontal="center"/>
    </xf>
    <xf numFmtId="0" fontId="16" fillId="0" borderId="12" xfId="0" applyFont="1" applyBorder="1" applyAlignment="1" applyProtection="1">
      <alignment horizontal="center"/>
    </xf>
    <xf numFmtId="0" fontId="16" fillId="0" borderId="6" xfId="0" applyFont="1" applyBorder="1" applyAlignment="1" applyProtection="1">
      <alignment horizontal="center"/>
    </xf>
    <xf numFmtId="0" fontId="16" fillId="0" borderId="45" xfId="0" applyFont="1" applyBorder="1" applyAlignment="1" applyProtection="1">
      <alignment horizontal="center"/>
    </xf>
    <xf numFmtId="0" fontId="14" fillId="0" borderId="3" xfId="0" applyFont="1" applyBorder="1" applyAlignment="1" applyProtection="1">
      <alignment horizontal="left" indent="1"/>
    </xf>
    <xf numFmtId="0" fontId="16" fillId="0" borderId="3" xfId="0" applyFont="1" applyBorder="1" applyAlignment="1" applyProtection="1">
      <alignment horizontal="left"/>
    </xf>
    <xf numFmtId="0" fontId="14" fillId="0" borderId="3" xfId="0" applyFont="1" applyBorder="1" applyProtection="1"/>
    <xf numFmtId="175" fontId="14" fillId="0" borderId="0" xfId="0" applyNumberFormat="1" applyFont="1" applyBorder="1" applyProtection="1"/>
    <xf numFmtId="0" fontId="16" fillId="0" borderId="52" xfId="0" applyFont="1" applyBorder="1" applyProtection="1"/>
    <xf numFmtId="0" fontId="20" fillId="0" borderId="0" xfId="0" applyFont="1" applyBorder="1" applyProtection="1"/>
    <xf numFmtId="0" fontId="14" fillId="0" borderId="0" xfId="0" applyFont="1" applyBorder="1" applyAlignment="1" applyProtection="1">
      <alignment horizontal="center"/>
    </xf>
    <xf numFmtId="0" fontId="16" fillId="0" borderId="0" xfId="0" applyFont="1" applyFill="1" applyBorder="1" applyProtection="1"/>
    <xf numFmtId="168" fontId="16" fillId="0" borderId="0" xfId="0" applyNumberFormat="1" applyFont="1" applyFill="1" applyBorder="1" applyProtection="1"/>
    <xf numFmtId="0" fontId="16" fillId="0" borderId="0" xfId="0" applyFont="1" applyBorder="1" applyProtection="1"/>
    <xf numFmtId="168" fontId="16" fillId="0" borderId="0" xfId="0" applyNumberFormat="1" applyFont="1" applyBorder="1" applyProtection="1"/>
    <xf numFmtId="0" fontId="19" fillId="0" borderId="0" xfId="0" applyFont="1" applyBorder="1" applyAlignment="1" applyProtection="1">
      <alignment horizontal="left"/>
    </xf>
    <xf numFmtId="0" fontId="19" fillId="0" borderId="0" xfId="0" applyFont="1" applyBorder="1" applyAlignment="1" applyProtection="1">
      <alignment horizontal="right"/>
    </xf>
    <xf numFmtId="164" fontId="14" fillId="0" borderId="0" xfId="1" applyNumberFormat="1" applyFont="1" applyProtection="1"/>
    <xf numFmtId="0" fontId="14" fillId="0" borderId="4" xfId="0" applyFont="1" applyBorder="1" applyProtection="1"/>
    <xf numFmtId="0" fontId="14" fillId="0" borderId="36" xfId="0" applyNumberFormat="1" applyFont="1" applyBorder="1" applyAlignment="1" applyProtection="1">
      <alignment horizontal="center"/>
    </xf>
    <xf numFmtId="0" fontId="18" fillId="0" borderId="12" xfId="0" applyFont="1" applyBorder="1" applyProtection="1"/>
    <xf numFmtId="0" fontId="14" fillId="0" borderId="38" xfId="0" applyNumberFormat="1" applyFont="1" applyBorder="1" applyAlignment="1" applyProtection="1">
      <alignment horizontal="center"/>
    </xf>
    <xf numFmtId="0" fontId="16" fillId="0" borderId="43" xfId="0" applyNumberFormat="1" applyFont="1" applyBorder="1" applyAlignment="1" applyProtection="1">
      <alignment horizontal="center"/>
    </xf>
    <xf numFmtId="0" fontId="20" fillId="0" borderId="0" xfId="0" applyNumberFormat="1" applyFont="1" applyBorder="1" applyProtection="1"/>
    <xf numFmtId="0" fontId="19" fillId="0" borderId="0" xfId="0" applyNumberFormat="1" applyFont="1" applyBorder="1" applyProtection="1"/>
    <xf numFmtId="0" fontId="19" fillId="0" borderId="3" xfId="0" applyFont="1" applyBorder="1" applyAlignment="1" applyProtection="1">
      <alignment horizontal="right"/>
    </xf>
    <xf numFmtId="0" fontId="14" fillId="0" borderId="0" xfId="0" applyFont="1" applyBorder="1" applyProtection="1"/>
    <xf numFmtId="168" fontId="14" fillId="0" borderId="0" xfId="0" applyNumberFormat="1" applyFont="1" applyBorder="1" applyProtection="1"/>
    <xf numFmtId="0" fontId="19" fillId="0" borderId="0" xfId="0" quotePrefix="1" applyFont="1" applyBorder="1" applyAlignment="1" applyProtection="1">
      <alignment horizontal="left" wrapText="1"/>
    </xf>
    <xf numFmtId="43" fontId="14" fillId="0" borderId="0" xfId="1" applyFont="1" applyBorder="1" applyProtection="1"/>
    <xf numFmtId="175" fontId="14" fillId="0" borderId="0" xfId="1" applyNumberFormat="1" applyFont="1" applyBorder="1" applyProtection="1"/>
    <xf numFmtId="0" fontId="19" fillId="0" borderId="0" xfId="0" applyFont="1" applyFill="1" applyBorder="1" applyAlignment="1" applyProtection="1">
      <alignment horizontal="right"/>
    </xf>
    <xf numFmtId="0" fontId="17" fillId="0" borderId="3" xfId="0" applyNumberFormat="1" applyFont="1" applyFill="1" applyBorder="1" applyAlignment="1" applyProtection="1">
      <alignment horizontal="left" indent="1"/>
    </xf>
    <xf numFmtId="0" fontId="14" fillId="0" borderId="3" xfId="0" applyNumberFormat="1" applyFont="1" applyFill="1" applyBorder="1" applyAlignment="1" applyProtection="1">
      <alignment horizontal="left" indent="2"/>
    </xf>
    <xf numFmtId="175" fontId="14" fillId="0" borderId="47" xfId="0" applyNumberFormat="1" applyFont="1" applyBorder="1" applyAlignment="1">
      <alignment horizontal="right"/>
    </xf>
    <xf numFmtId="175" fontId="14" fillId="0" borderId="78" xfId="0" applyNumberFormat="1" applyFont="1" applyBorder="1" applyAlignment="1">
      <alignment horizontal="right"/>
    </xf>
    <xf numFmtId="0" fontId="14" fillId="0" borderId="76" xfId="0" applyFont="1" applyBorder="1" applyAlignment="1">
      <alignment horizontal="center"/>
    </xf>
    <xf numFmtId="175" fontId="16" fillId="0" borderId="76" xfId="0" applyNumberFormat="1" applyFont="1" applyBorder="1" applyAlignment="1">
      <alignment horizontal="right"/>
    </xf>
    <xf numFmtId="175" fontId="16" fillId="0" borderId="35" xfId="0" applyNumberFormat="1" applyFont="1" applyBorder="1"/>
    <xf numFmtId="175" fontId="16" fillId="0" borderId="17" xfId="0" applyNumberFormat="1" applyFont="1" applyBorder="1"/>
    <xf numFmtId="0" fontId="14" fillId="0" borderId="3" xfId="0" applyFont="1" applyFill="1" applyBorder="1" applyAlignment="1">
      <alignment horizontal="left" indent="2"/>
    </xf>
    <xf numFmtId="175" fontId="16" fillId="0" borderId="53" xfId="0" applyNumberFormat="1" applyFont="1" applyBorder="1" applyAlignment="1">
      <alignment vertical="top"/>
    </xf>
    <xf numFmtId="175" fontId="16" fillId="0" borderId="89" xfId="0" applyNumberFormat="1" applyFont="1" applyBorder="1" applyAlignment="1">
      <alignment vertical="top"/>
    </xf>
    <xf numFmtId="0" fontId="16" fillId="0" borderId="0" xfId="0" applyNumberFormat="1" applyFont="1" applyBorder="1" applyAlignment="1">
      <alignment vertical="center" wrapText="1"/>
    </xf>
    <xf numFmtId="0" fontId="14" fillId="0" borderId="0" xfId="0" quotePrefix="1" applyNumberFormat="1" applyFont="1" applyBorder="1" applyAlignment="1">
      <alignment horizontal="center" vertical="center" wrapText="1"/>
    </xf>
    <xf numFmtId="0" fontId="16" fillId="0" borderId="3" xfId="0" applyNumberFormat="1" applyFont="1" applyBorder="1" applyAlignment="1">
      <alignment vertical="center" wrapText="1"/>
    </xf>
    <xf numFmtId="0" fontId="14" fillId="0" borderId="78" xfId="0" quotePrefix="1" applyNumberFormat="1" applyFont="1" applyBorder="1" applyAlignment="1">
      <alignment horizontal="center" vertical="center" wrapText="1"/>
    </xf>
    <xf numFmtId="0" fontId="14" fillId="0" borderId="80" xfId="0" quotePrefix="1" applyNumberFormat="1" applyFont="1" applyBorder="1" applyAlignment="1">
      <alignment horizontal="center" vertical="center" wrapText="1"/>
    </xf>
    <xf numFmtId="0" fontId="16" fillId="0" borderId="47" xfId="0" applyFont="1" applyBorder="1"/>
    <xf numFmtId="0" fontId="19" fillId="0" borderId="3" xfId="0" applyNumberFormat="1" applyFont="1" applyBorder="1" applyAlignment="1">
      <alignment horizontal="left" indent="2"/>
    </xf>
    <xf numFmtId="175" fontId="14" fillId="0" borderId="43" xfId="0" applyNumberFormat="1" applyFont="1" applyFill="1" applyBorder="1" applyProtection="1">
      <protection locked="0"/>
    </xf>
    <xf numFmtId="175" fontId="14" fillId="0" borderId="47" xfId="0" applyNumberFormat="1" applyFont="1" applyFill="1" applyBorder="1" applyProtection="1">
      <protection locked="0"/>
    </xf>
    <xf numFmtId="175" fontId="19" fillId="0" borderId="46" xfId="0" applyNumberFormat="1" applyFont="1" applyFill="1" applyBorder="1" applyProtection="1"/>
    <xf numFmtId="175" fontId="19" fillId="0" borderId="49" xfId="0" applyNumberFormat="1" applyFont="1" applyFill="1" applyBorder="1" applyProtection="1"/>
    <xf numFmtId="175" fontId="19" fillId="0" borderId="50" xfId="0" applyNumberFormat="1" applyFont="1" applyFill="1" applyBorder="1" applyProtection="1"/>
    <xf numFmtId="175" fontId="19" fillId="0" borderId="48" xfId="0" applyNumberFormat="1" applyFont="1" applyFill="1" applyBorder="1" applyProtection="1"/>
    <xf numFmtId="175" fontId="19" fillId="0" borderId="51" xfId="0" applyNumberFormat="1" applyFont="1" applyFill="1" applyBorder="1" applyProtection="1"/>
    <xf numFmtId="175" fontId="16" fillId="0" borderId="38" xfId="0" applyNumberFormat="1" applyFont="1" applyBorder="1"/>
    <xf numFmtId="175" fontId="16" fillId="0" borderId="7" xfId="0" applyNumberFormat="1" applyFont="1" applyBorder="1"/>
    <xf numFmtId="175" fontId="16" fillId="0" borderId="12" xfId="0" applyNumberFormat="1" applyFont="1" applyBorder="1"/>
    <xf numFmtId="175" fontId="16" fillId="0" borderId="6" xfId="0" applyNumberFormat="1" applyFont="1" applyBorder="1"/>
    <xf numFmtId="175" fontId="16" fillId="0" borderId="45" xfId="0" applyNumberFormat="1" applyFont="1" applyBorder="1"/>
    <xf numFmtId="0" fontId="18" fillId="0" borderId="3" xfId="0" applyNumberFormat="1" applyFont="1" applyFill="1" applyBorder="1" applyAlignment="1">
      <alignment horizontal="left" indent="1"/>
    </xf>
    <xf numFmtId="176" fontId="16" fillId="0" borderId="94" xfId="1" applyNumberFormat="1" applyFont="1" applyBorder="1"/>
    <xf numFmtId="176" fontId="16" fillId="0" borderId="56" xfId="1" applyNumberFormat="1" applyFont="1" applyBorder="1"/>
    <xf numFmtId="176" fontId="16" fillId="0" borderId="102" xfId="1" applyNumberFormat="1" applyFont="1" applyBorder="1"/>
    <xf numFmtId="180" fontId="14" fillId="0" borderId="38" xfId="28" applyNumberFormat="1" applyFont="1" applyBorder="1" applyAlignment="1">
      <alignment horizontal="center"/>
    </xf>
    <xf numFmtId="180" fontId="14" fillId="0" borderId="75" xfId="28" applyNumberFormat="1" applyFont="1" applyBorder="1" applyAlignment="1">
      <alignment horizontal="center"/>
    </xf>
    <xf numFmtId="180" fontId="14" fillId="0" borderId="3" xfId="28" applyNumberFormat="1" applyFont="1" applyBorder="1" applyAlignment="1">
      <alignment horizontal="center"/>
    </xf>
    <xf numFmtId="180" fontId="14" fillId="0" borderId="43" xfId="28" applyNumberFormat="1" applyFont="1" applyBorder="1" applyAlignment="1">
      <alignment horizontal="center"/>
    </xf>
    <xf numFmtId="180" fontId="14" fillId="0" borderId="78" xfId="28" applyNumberFormat="1" applyFont="1" applyBorder="1" applyAlignment="1">
      <alignment horizontal="center"/>
    </xf>
    <xf numFmtId="180" fontId="14" fillId="0" borderId="0" xfId="28" applyNumberFormat="1" applyFont="1" applyBorder="1" applyAlignment="1">
      <alignment horizontal="center"/>
    </xf>
    <xf numFmtId="180" fontId="14" fillId="0" borderId="8" xfId="28" applyNumberFormat="1" applyFont="1" applyBorder="1" applyAlignment="1">
      <alignment horizontal="center"/>
    </xf>
    <xf numFmtId="0" fontId="14" fillId="0" borderId="4" xfId="0" applyNumberFormat="1" applyFont="1" applyBorder="1" applyAlignment="1">
      <alignment horizontal="left" indent="1"/>
    </xf>
    <xf numFmtId="0" fontId="14" fillId="0" borderId="4" xfId="0" applyFont="1" applyBorder="1" applyAlignment="1">
      <alignment horizontal="left" indent="1"/>
    </xf>
    <xf numFmtId="0" fontId="14" fillId="0" borderId="47" xfId="0" applyNumberFormat="1" applyFont="1" applyFill="1" applyBorder="1" applyAlignment="1" applyProtection="1">
      <alignment horizontal="left" indent="2"/>
    </xf>
    <xf numFmtId="175" fontId="14" fillId="0" borderId="8" xfId="0" applyNumberFormat="1" applyFont="1" applyFill="1" applyBorder="1" applyProtection="1">
      <protection locked="0"/>
    </xf>
    <xf numFmtId="175" fontId="14" fillId="0" borderId="3" xfId="0" applyNumberFormat="1" applyFont="1" applyFill="1" applyBorder="1" applyProtection="1">
      <protection locked="0"/>
    </xf>
    <xf numFmtId="175" fontId="14" fillId="0" borderId="0" xfId="0" applyNumberFormat="1" applyFont="1" applyFill="1" applyBorder="1" applyProtection="1">
      <protection locked="0"/>
    </xf>
    <xf numFmtId="0" fontId="16" fillId="0" borderId="104" xfId="0" applyFont="1" applyBorder="1" applyAlignment="1">
      <alignment horizontal="center"/>
    </xf>
    <xf numFmtId="0" fontId="14" fillId="0" borderId="71" xfId="0" applyNumberFormat="1" applyFont="1" applyBorder="1" applyAlignment="1" applyProtection="1">
      <alignment horizontal="left" indent="1"/>
    </xf>
    <xf numFmtId="0" fontId="18" fillId="0" borderId="47" xfId="0" applyNumberFormat="1" applyFont="1" applyBorder="1" applyProtection="1"/>
    <xf numFmtId="0" fontId="16" fillId="0" borderId="69" xfId="0" applyNumberFormat="1" applyFont="1" applyBorder="1" applyProtection="1"/>
    <xf numFmtId="175" fontId="16" fillId="0" borderId="60" xfId="0" applyNumberFormat="1" applyFont="1" applyFill="1" applyBorder="1" applyProtection="1"/>
    <xf numFmtId="175" fontId="16" fillId="0" borderId="61" xfId="0" applyNumberFormat="1" applyFont="1" applyFill="1" applyBorder="1" applyProtection="1"/>
    <xf numFmtId="175" fontId="16" fillId="0" borderId="62" xfId="0" applyNumberFormat="1" applyFont="1" applyFill="1" applyBorder="1" applyProtection="1"/>
    <xf numFmtId="175" fontId="16" fillId="0" borderId="59" xfId="0" applyNumberFormat="1" applyFont="1" applyFill="1" applyBorder="1" applyProtection="1"/>
    <xf numFmtId="175" fontId="16" fillId="0" borderId="63" xfId="0" applyNumberFormat="1" applyFont="1" applyFill="1" applyBorder="1" applyProtection="1"/>
    <xf numFmtId="0" fontId="14" fillId="0" borderId="1" xfId="0" applyFont="1" applyFill="1" applyBorder="1" applyAlignment="1">
      <alignment horizontal="left" indent="2"/>
    </xf>
    <xf numFmtId="0" fontId="14" fillId="0" borderId="102" xfId="0" applyNumberFormat="1" applyFont="1" applyBorder="1" applyAlignment="1">
      <alignment horizontal="center" vertical="center"/>
    </xf>
    <xf numFmtId="175" fontId="16" fillId="0" borderId="49" xfId="0" applyNumberFormat="1" applyFont="1" applyFill="1" applyBorder="1" applyAlignment="1">
      <alignment horizontal="right"/>
    </xf>
    <xf numFmtId="175" fontId="16" fillId="0" borderId="50" xfId="0" applyNumberFormat="1" applyFont="1" applyFill="1" applyBorder="1" applyAlignment="1">
      <alignment horizontal="right"/>
    </xf>
    <xf numFmtId="175" fontId="16" fillId="0" borderId="46" xfId="0" applyNumberFormat="1" applyFont="1" applyFill="1" applyBorder="1" applyAlignment="1">
      <alignment horizontal="right"/>
    </xf>
    <xf numFmtId="175" fontId="16" fillId="0" borderId="48" xfId="0" applyNumberFormat="1" applyFont="1" applyFill="1" applyBorder="1" applyAlignment="1">
      <alignment horizontal="right"/>
    </xf>
    <xf numFmtId="0" fontId="14" fillId="0" borderId="68" xfId="0" applyFont="1" applyFill="1" applyBorder="1" applyAlignment="1">
      <alignment horizontal="left" vertical="top" wrapText="1"/>
    </xf>
    <xf numFmtId="168" fontId="14" fillId="0" borderId="6" xfId="0" applyNumberFormat="1" applyFont="1" applyBorder="1"/>
    <xf numFmtId="0" fontId="14" fillId="0" borderId="51" xfId="0" applyNumberFormat="1" applyFont="1" applyBorder="1" applyAlignment="1">
      <alignment horizontal="center"/>
    </xf>
    <xf numFmtId="0" fontId="14" fillId="0" borderId="81" xfId="0" applyNumberFormat="1" applyFont="1" applyBorder="1" applyAlignment="1">
      <alignment horizontal="center"/>
    </xf>
    <xf numFmtId="181" fontId="14" fillId="0" borderId="80" xfId="0" applyNumberFormat="1" applyFont="1" applyBorder="1" applyAlignment="1">
      <alignment horizontal="center"/>
    </xf>
    <xf numFmtId="0" fontId="16" fillId="0" borderId="64" xfId="0" applyFont="1" applyBorder="1" applyAlignment="1">
      <alignment vertical="center" wrapText="1"/>
    </xf>
    <xf numFmtId="0" fontId="16" fillId="0" borderId="62" xfId="0" applyNumberFormat="1" applyFont="1" applyBorder="1" applyProtection="1"/>
    <xf numFmtId="0" fontId="14" fillId="0" borderId="60" xfId="0" applyNumberFormat="1" applyFont="1" applyBorder="1" applyAlignment="1" applyProtection="1">
      <alignment horizontal="center"/>
    </xf>
    <xf numFmtId="0" fontId="16" fillId="0" borderId="62" xfId="0" applyFont="1" applyBorder="1" applyAlignment="1" applyProtection="1">
      <alignment horizontal="left"/>
    </xf>
    <xf numFmtId="0" fontId="16" fillId="0" borderId="62" xfId="0" applyNumberFormat="1" applyFont="1" applyBorder="1" applyAlignment="1">
      <alignment horizontal="left" vertical="top" wrapText="1"/>
    </xf>
    <xf numFmtId="0" fontId="14" fillId="0" borderId="60" xfId="0" applyFont="1" applyBorder="1" applyAlignment="1">
      <alignment horizontal="center" vertical="top"/>
    </xf>
    <xf numFmtId="0" fontId="16" fillId="0" borderId="62" xfId="0" applyNumberFormat="1" applyFont="1" applyBorder="1" applyAlignment="1">
      <alignment vertical="top"/>
    </xf>
    <xf numFmtId="0" fontId="14" fillId="0" borderId="87" xfId="0" applyFont="1" applyBorder="1" applyAlignment="1">
      <alignment horizontal="center"/>
    </xf>
    <xf numFmtId="0" fontId="26" fillId="0" borderId="0" xfId="27"/>
    <xf numFmtId="0" fontId="3" fillId="0" borderId="0" xfId="0" applyFont="1" applyProtection="1">
      <protection locked="0"/>
    </xf>
    <xf numFmtId="0" fontId="3" fillId="0" borderId="0" xfId="0" applyFont="1" applyAlignment="1" applyProtection="1">
      <alignment horizontal="center"/>
      <protection locked="0"/>
    </xf>
    <xf numFmtId="0" fontId="3" fillId="0" borderId="1" xfId="0" applyFont="1" applyBorder="1" applyAlignment="1" applyProtection="1">
      <alignment horizontal="center"/>
      <protection locked="0"/>
    </xf>
    <xf numFmtId="0" fontId="3" fillId="0" borderId="0" xfId="0" applyFont="1" applyBorder="1" applyProtection="1">
      <protection locked="0"/>
    </xf>
    <xf numFmtId="0" fontId="3" fillId="0" borderId="8" xfId="0" applyFont="1" applyBorder="1" applyProtection="1">
      <protection locked="0"/>
    </xf>
    <xf numFmtId="0" fontId="3" fillId="0" borderId="8" xfId="0" applyFont="1" applyBorder="1" applyAlignment="1" applyProtection="1">
      <alignment horizontal="center"/>
      <protection locked="0"/>
    </xf>
    <xf numFmtId="0" fontId="3" fillId="0" borderId="3" xfId="0" applyFont="1" applyBorder="1" applyProtection="1">
      <protection locked="0"/>
    </xf>
    <xf numFmtId="0" fontId="3" fillId="0" borderId="0" xfId="0" quotePrefix="1" applyFont="1" applyBorder="1" applyProtection="1">
      <protection locked="0"/>
    </xf>
    <xf numFmtId="0" fontId="3" fillId="0" borderId="5" xfId="0" applyFont="1" applyBorder="1" applyAlignment="1" applyProtection="1">
      <alignment horizontal="center"/>
      <protection locked="0"/>
    </xf>
    <xf numFmtId="0" fontId="3" fillId="0" borderId="4" xfId="0" applyFont="1" applyBorder="1" applyProtection="1">
      <protection locked="0"/>
    </xf>
    <xf numFmtId="0" fontId="3" fillId="0" borderId="9" xfId="0" applyFont="1" applyBorder="1" applyProtection="1">
      <protection locked="0"/>
    </xf>
    <xf numFmtId="0" fontId="3" fillId="0" borderId="10"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6" fillId="0" borderId="0" xfId="0" applyFont="1" applyFill="1" applyBorder="1" applyAlignment="1" applyProtection="1">
      <alignment horizontal="center"/>
      <protection locked="0"/>
    </xf>
    <xf numFmtId="0" fontId="3" fillId="0" borderId="7" xfId="0" applyFont="1" applyBorder="1" applyProtection="1">
      <protection locked="0"/>
    </xf>
    <xf numFmtId="0" fontId="3" fillId="0" borderId="3" xfId="0" applyFont="1" applyBorder="1" applyAlignment="1" applyProtection="1">
      <alignment horizontal="center"/>
      <protection locked="0"/>
    </xf>
    <xf numFmtId="0" fontId="3" fillId="0" borderId="10" xfId="0" applyFont="1" applyBorder="1" applyProtection="1">
      <protection locked="0"/>
    </xf>
    <xf numFmtId="0" fontId="3" fillId="0" borderId="7" xfId="0" applyFont="1" applyBorder="1" applyAlignment="1" applyProtection="1">
      <alignment horizontal="center"/>
      <protection locked="0"/>
    </xf>
    <xf numFmtId="0" fontId="3" fillId="0" borderId="8" xfId="0" applyFont="1" applyBorder="1" applyAlignment="1" applyProtection="1">
      <alignment horizontal="center" wrapText="1"/>
      <protection locked="0"/>
    </xf>
    <xf numFmtId="0" fontId="3" fillId="0" borderId="6" xfId="0" applyFont="1" applyBorder="1" applyAlignment="1" applyProtection="1">
      <alignment horizontal="center"/>
      <protection locked="0"/>
    </xf>
    <xf numFmtId="0" fontId="19" fillId="0" borderId="0" xfId="0" applyFont="1" applyFill="1" applyBorder="1" applyAlignment="1" applyProtection="1">
      <alignment horizontal="left"/>
    </xf>
    <xf numFmtId="175" fontId="19" fillId="0" borderId="0" xfId="0" applyNumberFormat="1" applyFont="1" applyBorder="1" applyAlignment="1" applyProtection="1">
      <alignment horizontal="right"/>
    </xf>
    <xf numFmtId="175" fontId="19" fillId="0" borderId="0" xfId="1" applyNumberFormat="1" applyFont="1" applyBorder="1" applyAlignment="1" applyProtection="1">
      <alignment horizontal="right"/>
    </xf>
    <xf numFmtId="0" fontId="19" fillId="0" borderId="0" xfId="0" applyFont="1" applyProtection="1"/>
    <xf numFmtId="0" fontId="19" fillId="0" borderId="0" xfId="0" quotePrefix="1" applyNumberFormat="1" applyFont="1" applyBorder="1" applyProtection="1"/>
    <xf numFmtId="0" fontId="19" fillId="0" borderId="0" xfId="15" applyFont="1" applyAlignment="1" applyProtection="1"/>
    <xf numFmtId="0" fontId="19" fillId="0" borderId="0" xfId="0" applyNumberFormat="1" applyFont="1" applyProtection="1"/>
    <xf numFmtId="0" fontId="20" fillId="0" borderId="0" xfId="0" applyNumberFormat="1" applyFont="1" applyProtection="1"/>
    <xf numFmtId="0" fontId="20" fillId="0" borderId="0" xfId="0" applyNumberFormat="1" applyFont="1" applyBorder="1" applyAlignment="1" applyProtection="1">
      <alignment vertical="center" wrapText="1"/>
    </xf>
    <xf numFmtId="0" fontId="20" fillId="0" borderId="0" xfId="0" applyFont="1" applyFill="1" applyBorder="1" applyAlignment="1" applyProtection="1">
      <alignment vertical="center" wrapText="1"/>
    </xf>
    <xf numFmtId="0" fontId="20" fillId="0" borderId="0" xfId="0" applyNumberFormat="1" applyFont="1" applyFill="1" applyBorder="1" applyAlignment="1" applyProtection="1">
      <alignment vertical="center" wrapText="1"/>
    </xf>
    <xf numFmtId="175" fontId="14" fillId="0" borderId="81" xfId="0" applyNumberFormat="1" applyFont="1" applyFill="1" applyBorder="1" applyProtection="1"/>
    <xf numFmtId="175" fontId="14" fillId="0" borderId="105" xfId="0" applyNumberFormat="1" applyFont="1" applyFill="1" applyBorder="1" applyProtection="1"/>
    <xf numFmtId="175" fontId="14" fillId="0" borderId="68" xfId="0" applyNumberFormat="1" applyFont="1" applyFill="1" applyBorder="1" applyProtection="1"/>
    <xf numFmtId="175" fontId="14" fillId="0" borderId="101" xfId="0" applyNumberFormat="1" applyFont="1" applyFill="1" applyBorder="1" applyProtection="1"/>
    <xf numFmtId="0" fontId="19" fillId="0" borderId="0" xfId="0" applyNumberFormat="1" applyFont="1" applyBorder="1" applyAlignment="1" applyProtection="1">
      <alignment horizontal="left" vertical="top"/>
    </xf>
    <xf numFmtId="0" fontId="19" fillId="0" borderId="3" xfId="0" applyNumberFormat="1" applyFont="1" applyFill="1" applyBorder="1" applyAlignment="1" applyProtection="1">
      <alignment horizontal="left" indent="1"/>
    </xf>
    <xf numFmtId="0" fontId="19" fillId="0" borderId="43" xfId="0" applyNumberFormat="1" applyFont="1" applyFill="1" applyBorder="1" applyAlignment="1" applyProtection="1">
      <alignment horizontal="center"/>
    </xf>
    <xf numFmtId="0" fontId="19" fillId="0" borderId="0" xfId="0" applyNumberFormat="1" applyFont="1" applyFill="1" applyBorder="1" applyAlignment="1" applyProtection="1">
      <alignment horizontal="center"/>
    </xf>
    <xf numFmtId="0" fontId="16" fillId="0" borderId="64" xfId="0" applyFont="1" applyFill="1" applyBorder="1" applyAlignment="1">
      <alignment horizontal="left" vertical="center"/>
    </xf>
    <xf numFmtId="0" fontId="14" fillId="0" borderId="47" xfId="0" applyNumberFormat="1" applyFont="1" applyFill="1" applyBorder="1" applyAlignment="1">
      <alignment horizontal="left" indent="2"/>
    </xf>
    <xf numFmtId="0" fontId="14" fillId="0" borderId="47" xfId="0" applyNumberFormat="1" applyFont="1" applyBorder="1" applyAlignment="1">
      <alignment horizontal="left" indent="2"/>
    </xf>
    <xf numFmtId="0" fontId="14" fillId="0" borderId="47" xfId="0" applyFont="1" applyBorder="1"/>
    <xf numFmtId="0" fontId="16" fillId="0" borderId="4" xfId="0" applyNumberFormat="1" applyFont="1" applyBorder="1" applyAlignment="1" applyProtection="1">
      <alignment wrapText="1"/>
    </xf>
    <xf numFmtId="0" fontId="14" fillId="0" borderId="12" xfId="0" applyNumberFormat="1" applyFont="1" applyBorder="1" applyAlignment="1">
      <alignment horizontal="center"/>
    </xf>
    <xf numFmtId="0" fontId="32" fillId="0" borderId="0" xfId="0" applyFont="1" applyBorder="1" applyAlignment="1" applyProtection="1">
      <alignment horizontal="justify" vertical="top" wrapText="1"/>
    </xf>
    <xf numFmtId="0" fontId="29" fillId="0" borderId="9" xfId="0" applyFont="1" applyFill="1" applyBorder="1" applyAlignment="1" applyProtection="1">
      <alignment horizontal="left"/>
    </xf>
    <xf numFmtId="0" fontId="2" fillId="0" borderId="10" xfId="0" applyFont="1" applyBorder="1" applyProtection="1">
      <protection hidden="1"/>
    </xf>
    <xf numFmtId="0" fontId="2" fillId="0" borderId="0" xfId="0" applyFont="1" applyProtection="1">
      <protection hidden="1"/>
    </xf>
    <xf numFmtId="0" fontId="32" fillId="0" borderId="17" xfId="0" applyFont="1" applyBorder="1" applyAlignment="1" applyProtection="1">
      <alignment horizontal="justify" wrapText="1"/>
    </xf>
    <xf numFmtId="0" fontId="2" fillId="0" borderId="0" xfId="0" applyFont="1" applyProtection="1"/>
    <xf numFmtId="0" fontId="2" fillId="0" borderId="0" xfId="0" applyFont="1"/>
    <xf numFmtId="0" fontId="2" fillId="0" borderId="0" xfId="0" applyFont="1" applyBorder="1" applyProtection="1">
      <protection hidden="1"/>
    </xf>
    <xf numFmtId="0" fontId="2" fillId="0" borderId="8" xfId="0" applyFont="1" applyBorder="1" applyProtection="1">
      <protection hidden="1"/>
    </xf>
    <xf numFmtId="0" fontId="30" fillId="0" borderId="0" xfId="0" applyFont="1" applyBorder="1" applyProtection="1">
      <protection hidden="1"/>
    </xf>
    <xf numFmtId="0" fontId="31" fillId="0" borderId="8" xfId="0" applyFont="1" applyBorder="1" applyProtection="1">
      <protection hidden="1"/>
    </xf>
    <xf numFmtId="0" fontId="32" fillId="0" borderId="106" xfId="0" applyFont="1" applyBorder="1" applyAlignment="1" applyProtection="1">
      <alignment horizontal="left" vertical="top" wrapText="1"/>
    </xf>
    <xf numFmtId="0" fontId="2" fillId="0" borderId="0" xfId="0" applyFont="1" applyBorder="1" applyAlignment="1" applyProtection="1">
      <alignment horizontal="center" vertical="center" wrapText="1"/>
    </xf>
    <xf numFmtId="0" fontId="4" fillId="0" borderId="0" xfId="0" applyFont="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4" fillId="0" borderId="0" xfId="0" quotePrefix="1" applyNumberFormat="1" applyFont="1" applyProtection="1"/>
    <xf numFmtId="0" fontId="33" fillId="0" borderId="0" xfId="0" applyFont="1" applyProtection="1"/>
    <xf numFmtId="0" fontId="33" fillId="0" borderId="0" xfId="0" applyNumberFormat="1" applyFont="1" applyProtection="1"/>
    <xf numFmtId="0" fontId="32" fillId="0" borderId="4" xfId="0" applyFont="1" applyFill="1" applyBorder="1" applyAlignment="1" applyProtection="1">
      <alignment horizontal="left" vertical="top" wrapText="1"/>
    </xf>
    <xf numFmtId="0" fontId="32" fillId="0" borderId="10" xfId="0" applyFont="1" applyFill="1" applyBorder="1" applyAlignment="1" applyProtection="1">
      <alignment horizontal="justify" vertical="center" wrapText="1"/>
      <protection locked="0"/>
    </xf>
    <xf numFmtId="0" fontId="2" fillId="0" borderId="0" xfId="0" applyFont="1" applyBorder="1" applyAlignment="1">
      <alignment vertical="center"/>
    </xf>
    <xf numFmtId="0" fontId="2" fillId="0" borderId="0" xfId="0" applyFont="1" applyAlignment="1" applyProtection="1">
      <alignment vertical="center"/>
      <protection hidden="1"/>
    </xf>
    <xf numFmtId="0" fontId="33" fillId="0" borderId="0" xfId="0" applyFont="1" applyAlignment="1" applyProtection="1">
      <alignment vertical="center"/>
    </xf>
    <xf numFmtId="0" fontId="2" fillId="0" borderId="0" xfId="0" applyFont="1" applyAlignment="1">
      <alignment vertical="center"/>
    </xf>
    <xf numFmtId="0" fontId="2" fillId="0" borderId="4" xfId="0" applyFont="1" applyBorder="1" applyAlignment="1">
      <alignment vertical="center"/>
    </xf>
    <xf numFmtId="0" fontId="2" fillId="0" borderId="10" xfId="0" applyFont="1" applyBorder="1" applyAlignment="1">
      <alignment vertical="center"/>
    </xf>
    <xf numFmtId="0" fontId="4" fillId="0" borderId="12" xfId="0" applyFont="1" applyBorder="1" applyAlignment="1">
      <alignment vertical="center"/>
    </xf>
    <xf numFmtId="0" fontId="13" fillId="0" borderId="0" xfId="14" applyFont="1" applyAlignment="1" applyProtection="1"/>
    <xf numFmtId="0" fontId="32" fillId="0" borderId="3" xfId="0" applyFont="1" applyFill="1" applyBorder="1" applyAlignment="1" applyProtection="1">
      <alignment horizontal="justify" vertical="center" wrapText="1"/>
    </xf>
    <xf numFmtId="0" fontId="32" fillId="0" borderId="4" xfId="0" applyFont="1" applyFill="1" applyBorder="1" applyAlignment="1" applyProtection="1">
      <alignment horizontal="justify" vertical="center" wrapText="1"/>
    </xf>
    <xf numFmtId="0" fontId="32" fillId="0" borderId="10" xfId="0" applyFont="1" applyFill="1" applyBorder="1" applyAlignment="1" applyProtection="1">
      <alignment horizontal="justify" vertical="center" wrapText="1"/>
    </xf>
    <xf numFmtId="0" fontId="32" fillId="0" borderId="3" xfId="0" applyFont="1" applyFill="1" applyBorder="1" applyAlignment="1" applyProtection="1">
      <alignment horizontal="left" vertical="top" wrapText="1"/>
    </xf>
    <xf numFmtId="0" fontId="2" fillId="0" borderId="0" xfId="14" applyFont="1" applyBorder="1" applyAlignment="1" applyProtection="1"/>
    <xf numFmtId="0" fontId="32" fillId="0" borderId="0" xfId="0" applyFont="1" applyFill="1" applyBorder="1" applyAlignment="1" applyProtection="1">
      <alignment horizontal="left" vertical="top" wrapText="1"/>
      <protection locked="0"/>
    </xf>
    <xf numFmtId="0" fontId="32" fillId="0" borderId="4" xfId="0" applyFont="1" applyFill="1" applyBorder="1" applyAlignment="1" applyProtection="1">
      <alignment horizontal="justify" vertical="top" wrapText="1"/>
    </xf>
    <xf numFmtId="0" fontId="32" fillId="0" borderId="10" xfId="0" applyFont="1" applyBorder="1" applyAlignment="1" applyProtection="1">
      <alignment horizontal="justify" vertical="top" wrapText="1"/>
    </xf>
    <xf numFmtId="0" fontId="4" fillId="0" borderId="0" xfId="0" applyFont="1" applyAlignment="1" applyProtection="1">
      <alignment vertical="center"/>
    </xf>
    <xf numFmtId="0" fontId="32" fillId="0" borderId="0" xfId="0" applyFont="1" applyFill="1" applyBorder="1" applyAlignment="1" applyProtection="1">
      <alignment horizontal="justify" vertical="top" wrapText="1"/>
    </xf>
    <xf numFmtId="0" fontId="4" fillId="0" borderId="0" xfId="0" applyFont="1" applyProtection="1"/>
    <xf numFmtId="0" fontId="36" fillId="0" borderId="106" xfId="0" applyFont="1" applyBorder="1" applyAlignment="1" applyProtection="1">
      <alignment horizontal="justify" wrapText="1"/>
    </xf>
    <xf numFmtId="0" fontId="35" fillId="0" borderId="107" xfId="0" applyFont="1" applyBorder="1" applyAlignment="1" applyProtection="1">
      <alignment horizontal="justify" wrapText="1"/>
    </xf>
    <xf numFmtId="0" fontId="35" fillId="0" borderId="17" xfId="0" applyFont="1" applyBorder="1" applyAlignment="1" applyProtection="1">
      <alignment horizontal="justify" wrapText="1"/>
    </xf>
    <xf numFmtId="0" fontId="35" fillId="0" borderId="12" xfId="0" applyFont="1" applyBorder="1" applyAlignment="1" applyProtection="1">
      <alignment horizontal="justify" wrapText="1"/>
    </xf>
    <xf numFmtId="0" fontId="35" fillId="0" borderId="4" xfId="0" applyFont="1" applyFill="1" applyBorder="1" applyAlignment="1" applyProtection="1">
      <alignment horizontal="justify" wrapText="1"/>
    </xf>
    <xf numFmtId="182" fontId="35" fillId="0" borderId="10" xfId="0" applyNumberFormat="1" applyFont="1" applyFill="1" applyBorder="1" applyAlignment="1" applyProtection="1">
      <alignment horizontal="justify" wrapText="1"/>
      <protection locked="0"/>
    </xf>
    <xf numFmtId="0" fontId="36" fillId="0" borderId="17" xfId="0" applyFont="1" applyBorder="1" applyAlignment="1" applyProtection="1">
      <alignment horizontal="justify" wrapText="1"/>
    </xf>
    <xf numFmtId="0" fontId="35" fillId="0" borderId="34" xfId="0" applyFont="1" applyBorder="1" applyAlignment="1" applyProtection="1">
      <alignment horizontal="justify" wrapText="1"/>
    </xf>
    <xf numFmtId="0" fontId="35" fillId="0" borderId="34" xfId="0" applyFont="1" applyFill="1" applyBorder="1" applyAlignment="1" applyProtection="1">
      <alignment horizontal="justify" wrapText="1"/>
    </xf>
    <xf numFmtId="0" fontId="0" fillId="0" borderId="0" xfId="0" applyProtection="1"/>
    <xf numFmtId="0" fontId="35" fillId="0" borderId="10" xfId="0" applyFont="1" applyFill="1" applyBorder="1" applyAlignment="1" applyProtection="1">
      <alignment horizontal="justify" wrapText="1"/>
      <protection locked="0"/>
    </xf>
    <xf numFmtId="0" fontId="35" fillId="0" borderId="3" xfId="0" applyFont="1" applyBorder="1" applyAlignment="1" applyProtection="1">
      <alignment horizontal="justify" wrapText="1"/>
    </xf>
    <xf numFmtId="0" fontId="4" fillId="0" borderId="0" xfId="0" applyFont="1" applyBorder="1" applyProtection="1"/>
    <xf numFmtId="0" fontId="4" fillId="0" borderId="0" xfId="0" quotePrefix="1" applyNumberFormat="1" applyFont="1" applyBorder="1" applyProtection="1"/>
    <xf numFmtId="0" fontId="2" fillId="0" borderId="0" xfId="0" applyFont="1" applyBorder="1" applyProtection="1"/>
    <xf numFmtId="0" fontId="0" fillId="0" borderId="0" xfId="0" applyBorder="1" applyProtection="1"/>
    <xf numFmtId="0" fontId="2" fillId="0" borderId="0" xfId="0" applyFont="1" applyBorder="1"/>
    <xf numFmtId="0" fontId="37" fillId="0" borderId="17" xfId="0" applyFont="1" applyBorder="1" applyAlignment="1" applyProtection="1">
      <alignment horizontal="justify" wrapText="1"/>
    </xf>
    <xf numFmtId="0" fontId="35" fillId="0" borderId="0" xfId="0" applyFont="1" applyProtection="1"/>
    <xf numFmtId="0" fontId="13" fillId="0" borderId="0" xfId="0" applyFont="1" applyProtection="1"/>
    <xf numFmtId="0" fontId="13" fillId="0" borderId="0" xfId="0" applyFont="1" applyProtection="1">
      <protection hidden="1"/>
    </xf>
    <xf numFmtId="0" fontId="0" fillId="0" borderId="0" xfId="0" applyProtection="1">
      <protection hidden="1"/>
    </xf>
    <xf numFmtId="0" fontId="33" fillId="0" borderId="0" xfId="14" applyFont="1" applyAlignment="1" applyProtection="1">
      <protection hidden="1"/>
    </xf>
    <xf numFmtId="0" fontId="7" fillId="0" borderId="0" xfId="14" applyFont="1" applyAlignment="1" applyProtection="1">
      <protection hidden="1"/>
    </xf>
    <xf numFmtId="0" fontId="2" fillId="0" borderId="0" xfId="0" applyFont="1" applyProtection="1">
      <protection locked="0" hidden="1"/>
    </xf>
    <xf numFmtId="0" fontId="2" fillId="0" borderId="0" xfId="0" applyFont="1" applyProtection="1">
      <protection locked="0"/>
    </xf>
    <xf numFmtId="0" fontId="7" fillId="0" borderId="0" xfId="14" applyFont="1" applyAlignment="1" applyProtection="1">
      <protection locked="0" hidden="1"/>
    </xf>
    <xf numFmtId="0" fontId="33" fillId="0" borderId="0" xfId="0" applyFont="1" applyFill="1" applyProtection="1"/>
    <xf numFmtId="0" fontId="14" fillId="0" borderId="0" xfId="0" applyFont="1" applyFill="1" applyProtection="1"/>
    <xf numFmtId="175" fontId="14" fillId="0" borderId="43" xfId="1" applyNumberFormat="1" applyFont="1" applyFill="1" applyBorder="1" applyProtection="1"/>
    <xf numFmtId="175" fontId="14" fillId="0" borderId="8" xfId="1" applyNumberFormat="1" applyFont="1" applyFill="1" applyBorder="1" applyProtection="1"/>
    <xf numFmtId="175" fontId="14" fillId="0" borderId="3" xfId="1" applyNumberFormat="1" applyFont="1" applyFill="1" applyBorder="1" applyProtection="1"/>
    <xf numFmtId="175" fontId="14" fillId="0" borderId="0" xfId="1" applyNumberFormat="1" applyFont="1" applyFill="1" applyBorder="1" applyProtection="1"/>
    <xf numFmtId="175" fontId="14" fillId="0" borderId="47" xfId="1" applyNumberFormat="1" applyFont="1" applyFill="1" applyBorder="1" applyProtection="1"/>
    <xf numFmtId="175" fontId="16" fillId="0" borderId="47" xfId="0" applyNumberFormat="1" applyFont="1" applyFill="1" applyBorder="1"/>
    <xf numFmtId="0" fontId="19" fillId="0" borderId="3" xfId="0" applyNumberFormat="1" applyFont="1" applyFill="1" applyBorder="1" applyAlignment="1">
      <alignment horizontal="left" indent="2"/>
    </xf>
    <xf numFmtId="175" fontId="14" fillId="0" borderId="43" xfId="0" applyNumberFormat="1" applyFont="1" applyFill="1" applyBorder="1" applyAlignment="1" applyProtection="1">
      <alignment horizontal="right"/>
    </xf>
    <xf numFmtId="175" fontId="14" fillId="0" borderId="0" xfId="0" applyNumberFormat="1" applyFont="1" applyFill="1" applyBorder="1" applyAlignment="1" applyProtection="1">
      <alignment horizontal="right"/>
    </xf>
    <xf numFmtId="175" fontId="14" fillId="0" borderId="46" xfId="0" applyNumberFormat="1" applyFont="1" applyFill="1" applyBorder="1" applyAlignment="1">
      <alignment horizontal="right"/>
    </xf>
    <xf numFmtId="175" fontId="14" fillId="0" borderId="48" xfId="0" applyNumberFormat="1" applyFont="1" applyFill="1" applyBorder="1" applyAlignment="1">
      <alignment horizontal="right"/>
    </xf>
    <xf numFmtId="175" fontId="14" fillId="0" borderId="50" xfId="0" applyNumberFormat="1" applyFont="1" applyFill="1" applyBorder="1" applyAlignment="1">
      <alignment horizontal="right"/>
    </xf>
    <xf numFmtId="175" fontId="14" fillId="0" borderId="49" xfId="0" applyNumberFormat="1" applyFont="1" applyFill="1" applyBorder="1" applyAlignment="1">
      <alignment horizontal="right"/>
    </xf>
    <xf numFmtId="0" fontId="3" fillId="0" borderId="1" xfId="0" applyFont="1" applyBorder="1" applyAlignment="1" applyProtection="1">
      <alignment horizontal="center"/>
    </xf>
    <xf numFmtId="0" fontId="3" fillId="0" borderId="0" xfId="0" applyFont="1" applyBorder="1" applyProtection="1"/>
    <xf numFmtId="0" fontId="3" fillId="0" borderId="8" xfId="0" applyFont="1" applyBorder="1" applyAlignment="1" applyProtection="1">
      <alignment horizontal="center"/>
    </xf>
    <xf numFmtId="0" fontId="3" fillId="0" borderId="3" xfId="0" applyFont="1" applyBorder="1" applyProtection="1"/>
    <xf numFmtId="0" fontId="3" fillId="0" borderId="3" xfId="0" quotePrefix="1" applyFont="1" applyBorder="1" applyProtection="1"/>
    <xf numFmtId="0" fontId="3" fillId="0" borderId="12" xfId="0" applyFont="1" applyBorder="1" applyAlignment="1" applyProtection="1">
      <alignment horizontal="center"/>
    </xf>
    <xf numFmtId="0" fontId="3" fillId="0" borderId="7" xfId="0" applyFont="1" applyBorder="1" applyProtection="1"/>
    <xf numFmtId="0" fontId="3" fillId="0" borderId="8" xfId="0" applyFont="1" applyBorder="1" applyProtection="1"/>
    <xf numFmtId="0" fontId="3" fillId="0" borderId="10" xfId="0" applyFont="1" applyBorder="1" applyProtection="1"/>
    <xf numFmtId="0" fontId="3" fillId="0" borderId="0" xfId="0" applyFont="1" applyAlignment="1" applyProtection="1">
      <alignment horizontal="center"/>
    </xf>
    <xf numFmtId="0" fontId="6" fillId="6" borderId="2" xfId="0" applyFont="1" applyFill="1" applyBorder="1" applyAlignment="1" applyProtection="1">
      <alignment horizontal="center"/>
    </xf>
    <xf numFmtId="0" fontId="6" fillId="11" borderId="34" xfId="0" applyFont="1" applyFill="1" applyBorder="1" applyAlignment="1" applyProtection="1">
      <alignment horizontal="center"/>
    </xf>
    <xf numFmtId="0" fontId="6" fillId="11" borderId="2" xfId="0" applyFont="1" applyFill="1" applyBorder="1" applyAlignment="1" applyProtection="1">
      <alignment horizontal="center"/>
    </xf>
    <xf numFmtId="0" fontId="3" fillId="0" borderId="0" xfId="0" applyFont="1" applyFill="1" applyBorder="1" applyProtection="1"/>
    <xf numFmtId="0" fontId="5" fillId="0" borderId="0" xfId="0" applyFont="1" applyBorder="1" applyProtection="1"/>
    <xf numFmtId="0" fontId="3" fillId="0" borderId="9" xfId="0" applyFont="1" applyBorder="1" applyProtection="1"/>
    <xf numFmtId="0" fontId="3" fillId="0" borderId="5" xfId="0" applyFont="1" applyBorder="1" applyAlignment="1" applyProtection="1">
      <alignment horizontal="center"/>
    </xf>
    <xf numFmtId="0" fontId="6" fillId="6" borderId="34" xfId="0" applyFont="1" applyFill="1" applyBorder="1" applyAlignment="1" applyProtection="1">
      <alignment horizontal="center"/>
    </xf>
    <xf numFmtId="0" fontId="3" fillId="0" borderId="11" xfId="0" applyFont="1" applyBorder="1" applyAlignment="1" applyProtection="1">
      <alignment horizontal="center"/>
    </xf>
    <xf numFmtId="0" fontId="3" fillId="0" borderId="6" xfId="0" applyFont="1" applyBorder="1" applyProtection="1"/>
    <xf numFmtId="0" fontId="15" fillId="12" borderId="17" xfId="0" applyFont="1" applyFill="1" applyBorder="1" applyAlignment="1" applyProtection="1"/>
    <xf numFmtId="0" fontId="15" fillId="12" borderId="17" xfId="0" applyFont="1" applyFill="1" applyBorder="1" applyAlignment="1" applyProtection="1">
      <alignment horizontal="center"/>
    </xf>
    <xf numFmtId="0" fontId="15" fillId="12" borderId="2" xfId="0" applyFont="1" applyFill="1" applyBorder="1" applyAlignment="1" applyProtection="1">
      <alignment horizontal="center"/>
    </xf>
    <xf numFmtId="0" fontId="3" fillId="0" borderId="3" xfId="0" applyFont="1" applyBorder="1" applyAlignment="1" applyProtection="1">
      <alignment horizontal="center"/>
    </xf>
    <xf numFmtId="0" fontId="3" fillId="0" borderId="12" xfId="0" applyFont="1" applyBorder="1" applyAlignment="1" applyProtection="1">
      <alignment horizontal="left"/>
    </xf>
    <xf numFmtId="0" fontId="3" fillId="0" borderId="3" xfId="0" applyFont="1" applyBorder="1" applyAlignment="1" applyProtection="1">
      <alignment horizontal="left"/>
    </xf>
    <xf numFmtId="0" fontId="3" fillId="0" borderId="4" xfId="0" applyFont="1" applyBorder="1" applyAlignment="1" applyProtection="1">
      <alignment horizontal="left"/>
    </xf>
    <xf numFmtId="0" fontId="3" fillId="0" borderId="10" xfId="0" applyFont="1" applyBorder="1" applyAlignment="1" applyProtection="1">
      <alignment horizontal="center"/>
    </xf>
    <xf numFmtId="0" fontId="35" fillId="0" borderId="3" xfId="0" applyFont="1" applyFill="1" applyBorder="1" applyAlignment="1" applyProtection="1">
      <alignment horizontal="justify" wrapText="1"/>
    </xf>
    <xf numFmtId="0" fontId="35" fillId="0" borderId="8" xfId="0" applyFont="1" applyFill="1" applyBorder="1" applyAlignment="1" applyProtection="1">
      <alignment horizontal="justify" wrapText="1"/>
      <protection locked="0"/>
    </xf>
    <xf numFmtId="0" fontId="37" fillId="0" borderId="3" xfId="0" applyFont="1" applyFill="1" applyBorder="1" applyAlignment="1" applyProtection="1">
      <alignment horizontal="justify" wrapText="1"/>
    </xf>
    <xf numFmtId="0" fontId="19" fillId="0" borderId="0" xfId="0" applyNumberFormat="1" applyFont="1" applyFill="1" applyBorder="1" applyProtection="1"/>
    <xf numFmtId="0" fontId="32" fillId="0" borderId="8" xfId="0" applyFont="1" applyFill="1" applyBorder="1" applyAlignment="1" applyProtection="1">
      <alignment horizontal="justify" vertical="center" wrapText="1"/>
    </xf>
    <xf numFmtId="0" fontId="0" fillId="0" borderId="0" xfId="0" applyFill="1"/>
    <xf numFmtId="0" fontId="0" fillId="0" borderId="0" xfId="0" applyFill="1" applyProtection="1">
      <protection locked="0"/>
    </xf>
    <xf numFmtId="0" fontId="0" fillId="0" borderId="0" xfId="0" applyFill="1" applyProtection="1"/>
    <xf numFmtId="0" fontId="2" fillId="0" borderId="0" xfId="0" applyFont="1" applyFill="1" applyProtection="1"/>
    <xf numFmtId="0" fontId="28" fillId="0" borderId="0" xfId="0" applyFont="1" applyFill="1" applyProtection="1"/>
    <xf numFmtId="0" fontId="6" fillId="6" borderId="2" xfId="0" applyFont="1" applyFill="1" applyBorder="1" applyProtection="1">
      <protection locked="0"/>
    </xf>
    <xf numFmtId="0" fontId="3" fillId="6" borderId="0" xfId="0" applyFont="1" applyFill="1" applyAlignment="1" applyProtection="1">
      <alignment horizontal="left" indent="1"/>
      <protection locked="0"/>
    </xf>
    <xf numFmtId="0" fontId="16" fillId="13" borderId="5" xfId="0" applyFont="1" applyFill="1" applyBorder="1" applyAlignment="1" applyProtection="1">
      <alignment horizontal="left" vertical="top" wrapText="1"/>
      <protection locked="0"/>
    </xf>
    <xf numFmtId="0" fontId="35" fillId="0" borderId="4" xfId="0" applyFont="1" applyBorder="1" applyAlignment="1" applyProtection="1">
      <alignment horizontal="justify" vertical="top" wrapText="1"/>
    </xf>
    <xf numFmtId="0" fontId="35" fillId="0" borderId="10" xfId="0" applyFont="1" applyBorder="1" applyAlignment="1" applyProtection="1">
      <alignment horizontal="justify" vertical="top" wrapText="1"/>
    </xf>
    <xf numFmtId="0" fontId="38" fillId="0" borderId="0" xfId="0" applyFont="1" applyAlignment="1">
      <alignment wrapText="1"/>
    </xf>
    <xf numFmtId="0" fontId="2" fillId="0" borderId="0" xfId="0" applyFont="1" applyBorder="1" applyAlignment="1" applyProtection="1">
      <alignment horizontal="left" vertical="center"/>
    </xf>
    <xf numFmtId="0" fontId="36" fillId="0" borderId="17" xfId="0" applyFont="1" applyBorder="1" applyAlignment="1" applyProtection="1">
      <alignment horizontal="left"/>
    </xf>
    <xf numFmtId="0" fontId="16" fillId="13" borderId="2" xfId="0" applyFont="1" applyFill="1" applyBorder="1" applyAlignment="1" applyProtection="1">
      <alignment horizontal="left" vertical="top" wrapText="1"/>
      <protection locked="0"/>
    </xf>
    <xf numFmtId="0" fontId="16" fillId="14" borderId="2" xfId="0" applyFont="1" applyFill="1" applyBorder="1" applyAlignment="1" applyProtection="1">
      <alignment horizontal="left" vertical="top" wrapText="1" indent="1"/>
      <protection locked="0"/>
    </xf>
    <xf numFmtId="0" fontId="16" fillId="15" borderId="2" xfId="0" applyFont="1" applyFill="1" applyBorder="1" applyAlignment="1" applyProtection="1">
      <alignment horizontal="left" vertical="top" wrapText="1" indent="2"/>
      <protection locked="0"/>
    </xf>
    <xf numFmtId="0" fontId="14" fillId="0" borderId="1" xfId="0" applyFont="1" applyFill="1" applyBorder="1" applyAlignment="1">
      <alignment horizontal="left" indent="1"/>
    </xf>
    <xf numFmtId="0" fontId="14" fillId="0" borderId="1" xfId="0" applyNumberFormat="1" applyFont="1" applyBorder="1" applyAlignment="1">
      <alignment horizontal="left" vertical="top" indent="1"/>
    </xf>
    <xf numFmtId="0" fontId="18" fillId="0" borderId="1" xfId="0" applyFont="1" applyFill="1" applyBorder="1" applyAlignment="1">
      <alignment horizontal="left" indent="1"/>
    </xf>
    <xf numFmtId="0" fontId="25" fillId="0" borderId="0" xfId="0" applyFont="1"/>
    <xf numFmtId="0" fontId="25" fillId="0" borderId="36" xfId="0" applyFont="1" applyBorder="1" applyAlignment="1"/>
    <xf numFmtId="0" fontId="16" fillId="0" borderId="89" xfId="0" applyNumberFormat="1" applyFont="1" applyBorder="1" applyAlignment="1">
      <alignment horizontal="left"/>
    </xf>
    <xf numFmtId="0" fontId="16" fillId="0" borderId="43" xfId="0" applyNumberFormat="1" applyFont="1" applyBorder="1" applyAlignment="1">
      <alignment horizontal="center"/>
    </xf>
    <xf numFmtId="0" fontId="21" fillId="0" borderId="3" xfId="0" applyFont="1" applyFill="1" applyBorder="1" applyAlignment="1">
      <alignment horizontal="left" indent="1"/>
    </xf>
    <xf numFmtId="0" fontId="19" fillId="0" borderId="3" xfId="0" applyFont="1" applyFill="1" applyBorder="1" applyAlignment="1">
      <alignment horizontal="left" indent="2"/>
    </xf>
    <xf numFmtId="0" fontId="17" fillId="0" borderId="3" xfId="0" applyFont="1" applyBorder="1" applyAlignment="1">
      <alignment horizontal="right" indent="1"/>
    </xf>
    <xf numFmtId="0" fontId="19" fillId="0" borderId="3" xfId="0" applyNumberFormat="1" applyFont="1" applyBorder="1" applyAlignment="1" applyProtection="1">
      <alignment horizontal="right" indent="1"/>
    </xf>
    <xf numFmtId="0" fontId="16" fillId="0" borderId="47" xfId="0" applyNumberFormat="1" applyFont="1" applyBorder="1"/>
    <xf numFmtId="0" fontId="18" fillId="0" borderId="47" xfId="0" applyNumberFormat="1" applyFont="1" applyBorder="1" applyAlignment="1">
      <alignment horizontal="left" indent="1"/>
    </xf>
    <xf numFmtId="0" fontId="19" fillId="0" borderId="47" xfId="0" applyNumberFormat="1" applyFont="1" applyFill="1" applyBorder="1" applyAlignment="1">
      <alignment horizontal="left" indent="2"/>
    </xf>
    <xf numFmtId="0" fontId="14" fillId="0" borderId="47" xfId="0" applyFont="1" applyBorder="1" applyAlignment="1">
      <alignment horizontal="left" indent="2"/>
    </xf>
    <xf numFmtId="0" fontId="16" fillId="0" borderId="56" xfId="0" applyFont="1" applyBorder="1"/>
    <xf numFmtId="0" fontId="16" fillId="0" borderId="12" xfId="0" applyFont="1" applyBorder="1"/>
    <xf numFmtId="0" fontId="16" fillId="0" borderId="17" xfId="0" applyFont="1" applyBorder="1"/>
    <xf numFmtId="0" fontId="16" fillId="0" borderId="3" xfId="0" applyFont="1" applyFill="1" applyBorder="1" applyAlignment="1">
      <alignment horizontal="left" indent="1"/>
    </xf>
    <xf numFmtId="0" fontId="16" fillId="2" borderId="7" xfId="0" applyFont="1" applyFill="1" applyBorder="1" applyAlignment="1">
      <alignment horizontal="center" vertical="top" wrapText="1"/>
    </xf>
    <xf numFmtId="0" fontId="16" fillId="2" borderId="11" xfId="0" applyFont="1" applyFill="1" applyBorder="1" applyAlignment="1">
      <alignment horizontal="center" vertical="top" wrapText="1"/>
    </xf>
    <xf numFmtId="0" fontId="13" fillId="0" borderId="47" xfId="0" applyFont="1" applyFill="1" applyBorder="1" applyAlignment="1">
      <alignment horizontal="left" vertical="top" wrapText="1" indent="3"/>
    </xf>
    <xf numFmtId="0" fontId="14" fillId="0" borderId="0" xfId="0" applyFont="1" applyFill="1" applyAlignment="1">
      <alignment horizontal="right"/>
    </xf>
    <xf numFmtId="166" fontId="14" fillId="0" borderId="0" xfId="0" applyNumberFormat="1" applyFont="1" applyFill="1"/>
    <xf numFmtId="0" fontId="14" fillId="0" borderId="0" xfId="0" applyFont="1" applyFill="1" applyBorder="1" applyAlignment="1" applyProtection="1">
      <protection locked="0"/>
    </xf>
    <xf numFmtId="0" fontId="25" fillId="0" borderId="0" xfId="0" applyFont="1" applyFill="1"/>
    <xf numFmtId="0" fontId="14" fillId="0" borderId="0" xfId="0" applyFont="1" applyFill="1" applyAlignment="1">
      <alignment vertical="top"/>
    </xf>
    <xf numFmtId="0" fontId="14" fillId="0" borderId="0" xfId="0" applyFont="1" applyFill="1" applyAlignment="1"/>
    <xf numFmtId="0" fontId="14" fillId="0" borderId="0" xfId="0" applyFont="1" applyFill="1" applyAlignment="1">
      <alignment wrapText="1"/>
    </xf>
    <xf numFmtId="175" fontId="14" fillId="0" borderId="0" xfId="0" applyNumberFormat="1" applyFont="1" applyFill="1" applyProtection="1">
      <protection locked="0"/>
    </xf>
    <xf numFmtId="0" fontId="16" fillId="0" borderId="0" xfId="0" applyNumberFormat="1" applyFont="1" applyBorder="1"/>
    <xf numFmtId="0" fontId="18" fillId="0" borderId="12" xfId="0" applyFont="1" applyBorder="1"/>
    <xf numFmtId="0" fontId="14" fillId="0" borderId="11" xfId="0" applyFont="1" applyBorder="1" applyAlignment="1">
      <alignment horizontal="center"/>
    </xf>
    <xf numFmtId="175" fontId="16" fillId="0" borderId="75" xfId="0" applyNumberFormat="1" applyFont="1" applyBorder="1"/>
    <xf numFmtId="0" fontId="14" fillId="0" borderId="1" xfId="0" applyFont="1" applyBorder="1" applyAlignment="1">
      <alignment horizontal="center"/>
    </xf>
    <xf numFmtId="0" fontId="14" fillId="0" borderId="5" xfId="0" applyFont="1" applyBorder="1" applyAlignment="1">
      <alignment horizontal="center"/>
    </xf>
    <xf numFmtId="175" fontId="16" fillId="0" borderId="105" xfId="0" applyNumberFormat="1" applyFont="1" applyBorder="1" applyAlignment="1">
      <alignment horizontal="right"/>
    </xf>
    <xf numFmtId="175" fontId="16" fillId="0" borderId="80" xfId="0" applyNumberFormat="1" applyFont="1" applyBorder="1" applyAlignment="1">
      <alignment horizontal="right"/>
    </xf>
    <xf numFmtId="175" fontId="16" fillId="0" borderId="85" xfId="0" applyNumberFormat="1" applyFont="1" applyBorder="1" applyAlignment="1">
      <alignment horizontal="right"/>
    </xf>
    <xf numFmtId="0" fontId="16" fillId="0" borderId="62" xfId="0" applyNumberFormat="1" applyFont="1" applyFill="1" applyBorder="1" applyAlignment="1">
      <alignment wrapText="1"/>
    </xf>
    <xf numFmtId="170" fontId="14" fillId="0" borderId="101" xfId="28" applyNumberFormat="1" applyFont="1" applyFill="1" applyBorder="1" applyAlignment="1">
      <alignment horizontal="center"/>
    </xf>
    <xf numFmtId="0" fontId="14" fillId="0" borderId="8" xfId="0" applyFont="1" applyBorder="1"/>
    <xf numFmtId="0" fontId="18" fillId="0" borderId="0" xfId="0" applyFont="1" applyBorder="1"/>
    <xf numFmtId="0" fontId="14" fillId="0" borderId="0" xfId="0" applyFont="1" applyFill="1" applyBorder="1" applyAlignment="1"/>
    <xf numFmtId="0" fontId="14" fillId="0" borderId="1" xfId="0" applyFont="1" applyBorder="1"/>
    <xf numFmtId="167" fontId="14" fillId="0" borderId="1" xfId="29" applyNumberFormat="1" applyFont="1" applyBorder="1" applyAlignment="1"/>
    <xf numFmtId="167" fontId="14" fillId="0" borderId="1" xfId="29" applyNumberFormat="1" applyFont="1" applyBorder="1"/>
    <xf numFmtId="10" fontId="14" fillId="0" borderId="1" xfId="29" applyNumberFormat="1" applyFont="1" applyFill="1" applyBorder="1" applyProtection="1"/>
    <xf numFmtId="0" fontId="14" fillId="0" borderId="0" xfId="0" applyFont="1" applyBorder="1" applyAlignment="1">
      <alignment wrapText="1"/>
    </xf>
    <xf numFmtId="175" fontId="14" fillId="0" borderId="1" xfId="0" applyNumberFormat="1" applyFont="1" applyBorder="1" applyAlignment="1">
      <alignment horizontal="left" wrapText="1"/>
    </xf>
    <xf numFmtId="175" fontId="14" fillId="0" borderId="11" xfId="0" applyNumberFormat="1" applyFont="1" applyBorder="1" applyAlignment="1">
      <alignment horizontal="left" wrapText="1"/>
    </xf>
    <xf numFmtId="0" fontId="14" fillId="0" borderId="7" xfId="0" applyFont="1" applyBorder="1" applyAlignment="1">
      <alignment horizontal="center"/>
    </xf>
    <xf numFmtId="0" fontId="18" fillId="0" borderId="7" xfId="0" applyFont="1" applyBorder="1"/>
    <xf numFmtId="0" fontId="14" fillId="0" borderId="11" xfId="0" applyFont="1" applyBorder="1"/>
    <xf numFmtId="0" fontId="14" fillId="0" borderId="9" xfId="0" applyFont="1" applyBorder="1"/>
    <xf numFmtId="0" fontId="14" fillId="0" borderId="10" xfId="0" applyFont="1" applyBorder="1"/>
    <xf numFmtId="167" fontId="14" fillId="0" borderId="5" xfId="29" applyNumberFormat="1" applyFont="1" applyBorder="1"/>
    <xf numFmtId="172" fontId="14" fillId="0" borderId="5" xfId="0" applyNumberFormat="1" applyFont="1" applyBorder="1"/>
    <xf numFmtId="0" fontId="14" fillId="0" borderId="9" xfId="0" applyFont="1" applyFill="1" applyBorder="1" applyAlignment="1"/>
    <xf numFmtId="175" fontId="14" fillId="0" borderId="5" xfId="0" applyNumberFormat="1" applyFont="1" applyFill="1" applyBorder="1"/>
    <xf numFmtId="0" fontId="14" fillId="0" borderId="78" xfId="0" applyFont="1" applyBorder="1"/>
    <xf numFmtId="170" fontId="14" fillId="0" borderId="36" xfId="0" applyNumberFormat="1" applyFont="1" applyBorder="1" applyAlignment="1">
      <alignment horizontal="center"/>
    </xf>
    <xf numFmtId="170" fontId="14" fillId="0" borderId="43" xfId="0" quotePrefix="1" applyNumberFormat="1" applyFont="1" applyBorder="1" applyAlignment="1">
      <alignment horizontal="center"/>
    </xf>
    <xf numFmtId="0" fontId="14" fillId="0" borderId="38" xfId="0" applyFont="1" applyBorder="1"/>
    <xf numFmtId="175" fontId="14" fillId="0" borderId="36" xfId="0" quotePrefix="1" applyNumberFormat="1" applyFont="1" applyBorder="1" applyAlignment="1">
      <alignment horizontal="center"/>
    </xf>
    <xf numFmtId="0" fontId="14" fillId="0" borderId="109" xfId="0" applyFont="1" applyBorder="1"/>
    <xf numFmtId="175" fontId="14" fillId="0" borderId="78" xfId="0" applyNumberFormat="1" applyFont="1" applyBorder="1" applyAlignment="1">
      <alignment horizontal="center"/>
    </xf>
    <xf numFmtId="0" fontId="14" fillId="0" borderId="101" xfId="0" applyFont="1" applyBorder="1"/>
    <xf numFmtId="170" fontId="14" fillId="0" borderId="66" xfId="0" applyNumberFormat="1" applyFont="1" applyBorder="1" applyAlignment="1">
      <alignment horizontal="center"/>
    </xf>
    <xf numFmtId="170" fontId="14" fillId="0" borderId="78" xfId="0" quotePrefix="1" applyNumberFormat="1" applyFont="1" applyBorder="1" applyAlignment="1">
      <alignment horizontal="center"/>
    </xf>
    <xf numFmtId="175" fontId="14" fillId="0" borderId="66" xfId="0" quotePrefix="1" applyNumberFormat="1" applyFont="1" applyBorder="1" applyAlignment="1">
      <alignment horizontal="center"/>
    </xf>
    <xf numFmtId="175" fontId="14" fillId="17" borderId="43" xfId="0" applyNumberFormat="1" applyFont="1" applyFill="1" applyBorder="1" applyProtection="1">
      <protection locked="0"/>
    </xf>
    <xf numFmtId="175" fontId="14" fillId="17" borderId="47" xfId="0" applyNumberFormat="1" applyFont="1" applyFill="1" applyBorder="1" applyProtection="1">
      <protection locked="0"/>
    </xf>
    <xf numFmtId="175" fontId="14" fillId="17" borderId="3" xfId="0" applyNumberFormat="1" applyFont="1" applyFill="1" applyBorder="1" applyAlignment="1" applyProtection="1">
      <alignment horizontal="right"/>
      <protection locked="0"/>
    </xf>
    <xf numFmtId="175" fontId="14" fillId="17" borderId="8" xfId="0" applyNumberFormat="1" applyFont="1" applyFill="1" applyBorder="1" applyProtection="1">
      <protection locked="0"/>
    </xf>
    <xf numFmtId="175" fontId="14" fillId="17" borderId="3" xfId="0" applyNumberFormat="1" applyFont="1" applyFill="1" applyBorder="1" applyProtection="1">
      <protection locked="0"/>
    </xf>
    <xf numFmtId="175" fontId="14" fillId="17" borderId="0" xfId="0" applyNumberFormat="1" applyFont="1" applyFill="1" applyBorder="1" applyProtection="1">
      <protection locked="0"/>
    </xf>
    <xf numFmtId="176" fontId="14" fillId="17" borderId="43" xfId="0" applyNumberFormat="1" applyFont="1" applyFill="1" applyBorder="1" applyProtection="1">
      <protection locked="0"/>
    </xf>
    <xf numFmtId="0" fontId="14" fillId="17" borderId="43" xfId="0" applyNumberFormat="1" applyFont="1" applyFill="1" applyBorder="1" applyAlignment="1" applyProtection="1">
      <alignment horizontal="center"/>
      <protection locked="0"/>
    </xf>
    <xf numFmtId="0" fontId="16" fillId="17" borderId="43" xfId="0" applyNumberFormat="1" applyFont="1" applyFill="1" applyBorder="1" applyAlignment="1" applyProtection="1">
      <alignment horizontal="center"/>
      <protection locked="0"/>
    </xf>
    <xf numFmtId="0" fontId="14" fillId="17" borderId="3" xfId="0" applyNumberFormat="1" applyFont="1" applyFill="1" applyBorder="1" applyAlignment="1" applyProtection="1">
      <alignment horizontal="left" indent="1"/>
      <protection locked="0"/>
    </xf>
    <xf numFmtId="0" fontId="19" fillId="17" borderId="3" xfId="0" applyNumberFormat="1" applyFont="1" applyFill="1" applyBorder="1" applyAlignment="1" applyProtection="1">
      <alignment horizontal="left" indent="1"/>
      <protection locked="0"/>
    </xf>
    <xf numFmtId="176" fontId="14" fillId="17" borderId="43" xfId="1" applyNumberFormat="1" applyFont="1" applyFill="1" applyBorder="1" applyAlignment="1" applyProtection="1">
      <alignment horizontal="center"/>
      <protection locked="0"/>
    </xf>
    <xf numFmtId="176" fontId="16" fillId="17" borderId="43" xfId="1" applyNumberFormat="1" applyFont="1" applyFill="1" applyBorder="1" applyAlignment="1" applyProtection="1">
      <alignment horizontal="center"/>
      <protection locked="0"/>
    </xf>
    <xf numFmtId="0" fontId="16" fillId="17" borderId="3" xfId="0" applyNumberFormat="1" applyFont="1" applyFill="1" applyBorder="1" applyAlignment="1" applyProtection="1">
      <alignment horizontal="left"/>
      <protection locked="0"/>
    </xf>
    <xf numFmtId="0" fontId="19" fillId="17" borderId="43" xfId="0" applyNumberFormat="1" applyFont="1" applyFill="1" applyBorder="1" applyAlignment="1" applyProtection="1">
      <alignment horizontal="center"/>
      <protection locked="0"/>
    </xf>
    <xf numFmtId="0" fontId="19" fillId="17" borderId="0" xfId="0" applyNumberFormat="1" applyFont="1" applyFill="1" applyBorder="1" applyAlignment="1" applyProtection="1">
      <alignment horizontal="center"/>
      <protection locked="0"/>
    </xf>
    <xf numFmtId="0" fontId="14" fillId="17" borderId="0" xfId="0" applyNumberFormat="1" applyFont="1" applyFill="1" applyBorder="1" applyProtection="1">
      <protection locked="0"/>
    </xf>
    <xf numFmtId="0" fontId="14" fillId="17" borderId="78" xfId="0" applyNumberFormat="1" applyFont="1" applyFill="1" applyBorder="1" applyProtection="1">
      <protection locked="0"/>
    </xf>
    <xf numFmtId="0" fontId="14" fillId="17" borderId="43" xfId="0" applyNumberFormat="1" applyFont="1" applyFill="1" applyBorder="1" applyProtection="1">
      <protection locked="0"/>
    </xf>
    <xf numFmtId="0" fontId="14" fillId="17" borderId="3" xfId="0" applyNumberFormat="1" applyFont="1" applyFill="1" applyBorder="1" applyProtection="1">
      <protection locked="0"/>
    </xf>
    <xf numFmtId="0" fontId="16" fillId="17" borderId="3" xfId="0" applyNumberFormat="1" applyFont="1" applyFill="1" applyBorder="1" applyProtection="1">
      <protection locked="0"/>
    </xf>
    <xf numFmtId="0" fontId="14" fillId="17" borderId="36" xfId="0" applyNumberFormat="1" applyFont="1" applyFill="1" applyBorder="1" applyProtection="1">
      <protection locked="0"/>
    </xf>
    <xf numFmtId="176" fontId="14" fillId="17" borderId="36" xfId="0" applyNumberFormat="1" applyFont="1" applyFill="1" applyBorder="1" applyProtection="1">
      <protection locked="0"/>
    </xf>
    <xf numFmtId="0" fontId="14" fillId="17" borderId="9" xfId="0" applyNumberFormat="1" applyFont="1" applyFill="1" applyBorder="1" applyProtection="1">
      <protection locked="0"/>
    </xf>
    <xf numFmtId="0" fontId="14" fillId="17" borderId="66" xfId="0" applyNumberFormat="1" applyFont="1" applyFill="1" applyBorder="1" applyProtection="1">
      <protection locked="0"/>
    </xf>
    <xf numFmtId="0" fontId="19" fillId="17" borderId="8" xfId="0" applyNumberFormat="1" applyFont="1" applyFill="1" applyBorder="1" applyAlignment="1" applyProtection="1">
      <alignment horizontal="center"/>
      <protection locked="0"/>
    </xf>
    <xf numFmtId="0" fontId="39" fillId="0" borderId="0" xfId="0" applyFont="1" applyAlignment="1">
      <alignment wrapText="1"/>
    </xf>
    <xf numFmtId="0" fontId="25" fillId="0" borderId="0" xfId="0" applyFont="1" applyProtection="1"/>
    <xf numFmtId="0" fontId="0" fillId="0" borderId="0" xfId="0" applyFont="1" applyProtection="1"/>
    <xf numFmtId="176" fontId="14" fillId="18" borderId="43" xfId="1" applyNumberFormat="1" applyFont="1" applyFill="1" applyBorder="1"/>
    <xf numFmtId="176" fontId="14" fillId="18" borderId="0" xfId="1" applyNumberFormat="1" applyFont="1" applyFill="1" applyBorder="1"/>
    <xf numFmtId="170" fontId="14" fillId="0" borderId="43" xfId="0" applyNumberFormat="1" applyFont="1" applyBorder="1" applyAlignment="1">
      <alignment horizontal="center"/>
    </xf>
    <xf numFmtId="170" fontId="14" fillId="0" borderId="78" xfId="0" applyNumberFormat="1" applyFont="1" applyBorder="1" applyAlignment="1">
      <alignment horizontal="center"/>
    </xf>
    <xf numFmtId="170" fontId="14" fillId="0" borderId="36" xfId="0" quotePrefix="1" applyNumberFormat="1" applyFont="1" applyBorder="1" applyAlignment="1">
      <alignment horizontal="center"/>
    </xf>
    <xf numFmtId="170" fontId="14" fillId="0" borderId="66" xfId="0" quotePrefix="1" applyNumberFormat="1" applyFont="1" applyBorder="1" applyAlignment="1">
      <alignment horizontal="center"/>
    </xf>
    <xf numFmtId="175" fontId="14" fillId="0" borderId="47" xfId="0" applyNumberFormat="1" applyFont="1" applyBorder="1" applyAlignment="1">
      <alignment horizontal="center"/>
    </xf>
    <xf numFmtId="170" fontId="14" fillId="0" borderId="37" xfId="0" applyNumberFormat="1" applyFont="1" applyBorder="1" applyAlignment="1">
      <alignment horizontal="center"/>
    </xf>
    <xf numFmtId="0" fontId="14" fillId="0" borderId="68" xfId="0" applyFont="1" applyBorder="1"/>
    <xf numFmtId="175" fontId="14" fillId="0" borderId="68" xfId="0" applyNumberFormat="1" applyFont="1" applyBorder="1" applyAlignment="1">
      <alignment horizontal="center"/>
    </xf>
    <xf numFmtId="170" fontId="14" fillId="0" borderId="68" xfId="0" quotePrefix="1" applyNumberFormat="1" applyFont="1" applyBorder="1" applyAlignment="1">
      <alignment horizontal="center"/>
    </xf>
    <xf numFmtId="170" fontId="14" fillId="0" borderId="37" xfId="0" quotePrefix="1" applyNumberFormat="1" applyFont="1" applyBorder="1" applyAlignment="1">
      <alignment horizontal="center"/>
    </xf>
    <xf numFmtId="170" fontId="14" fillId="0" borderId="64" xfId="0" applyNumberFormat="1" applyFont="1" applyBorder="1" applyAlignment="1">
      <alignment horizontal="center"/>
    </xf>
    <xf numFmtId="170" fontId="14" fillId="0" borderId="47" xfId="0" quotePrefix="1" applyNumberFormat="1" applyFont="1" applyBorder="1" applyAlignment="1">
      <alignment horizontal="center"/>
    </xf>
    <xf numFmtId="170" fontId="14" fillId="0" borderId="64" xfId="0" quotePrefix="1" applyNumberFormat="1" applyFont="1" applyBorder="1" applyAlignment="1">
      <alignment horizontal="center"/>
    </xf>
    <xf numFmtId="170" fontId="14" fillId="0" borderId="68" xfId="0" applyNumberFormat="1" applyFont="1" applyBorder="1" applyAlignment="1">
      <alignment horizontal="center"/>
    </xf>
    <xf numFmtId="175" fontId="14" fillId="0" borderId="37" xfId="0" quotePrefix="1" applyNumberFormat="1" applyFont="1" applyBorder="1" applyAlignment="1">
      <alignment horizontal="center"/>
    </xf>
    <xf numFmtId="170" fontId="14" fillId="0" borderId="47" xfId="0" applyNumberFormat="1" applyFont="1" applyBorder="1" applyAlignment="1">
      <alignment horizontal="center"/>
    </xf>
    <xf numFmtId="175" fontId="14" fillId="0" borderId="64" xfId="0" quotePrefix="1" applyNumberFormat="1" applyFont="1" applyBorder="1" applyAlignment="1">
      <alignment horizontal="center"/>
    </xf>
    <xf numFmtId="0" fontId="14" fillId="0" borderId="47" xfId="0" applyFont="1" applyBorder="1" applyAlignment="1">
      <alignment horizontal="center"/>
    </xf>
    <xf numFmtId="170" fontId="14" fillId="0" borderId="101" xfId="0" applyNumberFormat="1" applyFont="1" applyBorder="1" applyAlignment="1">
      <alignment horizontal="center"/>
    </xf>
    <xf numFmtId="0" fontId="40" fillId="0" borderId="12" xfId="0" applyFont="1" applyBorder="1"/>
    <xf numFmtId="0" fontId="41" fillId="0" borderId="3" xfId="0" applyFont="1" applyBorder="1"/>
    <xf numFmtId="0" fontId="42" fillId="0" borderId="3" xfId="0" applyFont="1" applyBorder="1"/>
    <xf numFmtId="0" fontId="41" fillId="0" borderId="11" xfId="0" applyFont="1" applyBorder="1" applyAlignment="1">
      <alignment horizontal="center"/>
    </xf>
    <xf numFmtId="0" fontId="41" fillId="0" borderId="6" xfId="0" applyFont="1" applyBorder="1" applyAlignment="1">
      <alignment horizontal="center"/>
    </xf>
    <xf numFmtId="0" fontId="41" fillId="0" borderId="104" xfId="0" applyFont="1" applyBorder="1" applyAlignment="1">
      <alignment horizontal="center"/>
    </xf>
    <xf numFmtId="0" fontId="41" fillId="0" borderId="38" xfId="0" applyFont="1" applyBorder="1" applyAlignment="1">
      <alignment horizontal="center"/>
    </xf>
    <xf numFmtId="0" fontId="41" fillId="0" borderId="75" xfId="0" applyFont="1" applyBorder="1"/>
    <xf numFmtId="0" fontId="41" fillId="0" borderId="104" xfId="0" applyFont="1" applyBorder="1"/>
    <xf numFmtId="0" fontId="41" fillId="0" borderId="38" xfId="0" applyFont="1" applyBorder="1"/>
    <xf numFmtId="0" fontId="41" fillId="0" borderId="1" xfId="0" applyFont="1" applyBorder="1" applyAlignment="1">
      <alignment horizontal="center"/>
    </xf>
    <xf numFmtId="0" fontId="41" fillId="0" borderId="0" xfId="0" applyFont="1" applyBorder="1" applyAlignment="1">
      <alignment horizontal="center"/>
    </xf>
    <xf numFmtId="175" fontId="41" fillId="0" borderId="101" xfId="0" applyNumberFormat="1" applyFont="1" applyBorder="1" applyAlignment="1">
      <alignment horizontal="center"/>
    </xf>
    <xf numFmtId="0" fontId="41" fillId="0" borderId="4" xfId="0" applyFont="1" applyBorder="1"/>
    <xf numFmtId="0" fontId="41" fillId="0" borderId="5" xfId="0" applyFont="1" applyBorder="1" applyAlignment="1">
      <alignment horizontal="center"/>
    </xf>
    <xf numFmtId="0" fontId="41" fillId="0" borderId="9" xfId="0" applyFont="1" applyBorder="1" applyAlignment="1">
      <alignment horizontal="center"/>
    </xf>
    <xf numFmtId="0" fontId="41" fillId="0" borderId="95" xfId="0" applyFont="1" applyBorder="1" applyAlignment="1">
      <alignment horizontal="center"/>
    </xf>
    <xf numFmtId="0" fontId="41" fillId="0" borderId="36" xfId="0" applyFont="1" applyBorder="1" applyAlignment="1">
      <alignment horizontal="center"/>
    </xf>
    <xf numFmtId="0" fontId="41" fillId="0" borderId="66" xfId="0" applyFont="1" applyBorder="1"/>
    <xf numFmtId="0" fontId="41" fillId="0" borderId="95" xfId="0" applyFont="1" applyBorder="1"/>
    <xf numFmtId="0" fontId="41" fillId="0" borderId="36" xfId="0" applyFont="1" applyBorder="1"/>
    <xf numFmtId="175" fontId="41" fillId="0" borderId="78" xfId="0" applyNumberFormat="1" applyFont="1" applyBorder="1" applyAlignment="1">
      <alignment horizontal="center"/>
    </xf>
    <xf numFmtId="0" fontId="43" fillId="0" borderId="101" xfId="0" applyFont="1" applyBorder="1" applyAlignment="1">
      <alignment horizontal="center"/>
    </xf>
    <xf numFmtId="0" fontId="43" fillId="0" borderId="78" xfId="0" applyFont="1" applyBorder="1" applyAlignment="1">
      <alignment horizontal="center"/>
    </xf>
    <xf numFmtId="164" fontId="14" fillId="18" borderId="78" xfId="1" applyNumberFormat="1" applyFont="1" applyFill="1" applyBorder="1" applyAlignment="1">
      <alignment horizontal="left" vertical="top" wrapText="1"/>
    </xf>
    <xf numFmtId="164" fontId="18" fillId="18" borderId="78" xfId="1" applyNumberFormat="1" applyFont="1" applyFill="1" applyBorder="1" applyAlignment="1">
      <alignment horizontal="left" vertical="top" wrapText="1"/>
    </xf>
    <xf numFmtId="168" fontId="14" fillId="18" borderId="43" xfId="0" applyNumberFormat="1" applyFont="1" applyFill="1" applyBorder="1" applyAlignment="1">
      <alignment horizontal="center"/>
    </xf>
    <xf numFmtId="168" fontId="14" fillId="18" borderId="78" xfId="0" applyNumberFormat="1" applyFont="1" applyFill="1" applyBorder="1" applyAlignment="1">
      <alignment horizontal="center"/>
    </xf>
    <xf numFmtId="0" fontId="14" fillId="18" borderId="43" xfId="0" applyNumberFormat="1" applyFont="1" applyFill="1" applyBorder="1" applyAlignment="1">
      <alignment horizontal="center"/>
    </xf>
    <xf numFmtId="0" fontId="14" fillId="18" borderId="8" xfId="0" applyNumberFormat="1" applyFont="1" applyFill="1" applyBorder="1" applyAlignment="1">
      <alignment horizontal="center"/>
    </xf>
    <xf numFmtId="176" fontId="14" fillId="18" borderId="43" xfId="0" applyNumberFormat="1" applyFont="1" applyFill="1" applyBorder="1" applyAlignment="1"/>
    <xf numFmtId="176" fontId="14" fillId="18" borderId="8" xfId="0" applyNumberFormat="1" applyFont="1" applyFill="1" applyBorder="1" applyAlignment="1"/>
    <xf numFmtId="168" fontId="16" fillId="18" borderId="38" xfId="0" applyNumberFormat="1" applyFont="1" applyFill="1" applyBorder="1"/>
    <xf numFmtId="168" fontId="16" fillId="18" borderId="75" xfId="0" applyNumberFormat="1" applyFont="1" applyFill="1" applyBorder="1"/>
    <xf numFmtId="168" fontId="16" fillId="18" borderId="0" xfId="0" applyNumberFormat="1" applyFont="1" applyFill="1" applyBorder="1" applyAlignment="1">
      <alignment horizontal="center"/>
    </xf>
    <xf numFmtId="168" fontId="16" fillId="18" borderId="8" xfId="0" applyNumberFormat="1" applyFont="1" applyFill="1" applyBorder="1"/>
    <xf numFmtId="14" fontId="14" fillId="18" borderId="43" xfId="0" applyNumberFormat="1" applyFont="1" applyFill="1" applyBorder="1" applyAlignment="1">
      <alignment horizontal="center"/>
    </xf>
    <xf numFmtId="14" fontId="14" fillId="18" borderId="78" xfId="0" applyNumberFormat="1" applyFont="1" applyFill="1" applyBorder="1" applyAlignment="1">
      <alignment horizontal="center"/>
    </xf>
    <xf numFmtId="14" fontId="14" fillId="18" borderId="0" xfId="0" applyNumberFormat="1" applyFont="1" applyFill="1" applyBorder="1" applyAlignment="1">
      <alignment horizontal="center"/>
    </xf>
    <xf numFmtId="14" fontId="14" fillId="18" borderId="8" xfId="0" applyNumberFormat="1" applyFont="1" applyFill="1" applyBorder="1" applyAlignment="1">
      <alignment horizontal="center"/>
    </xf>
    <xf numFmtId="168" fontId="16" fillId="18" borderId="43" xfId="0" applyNumberFormat="1" applyFont="1" applyFill="1" applyBorder="1"/>
    <xf numFmtId="168" fontId="16" fillId="18" borderId="78" xfId="0" applyNumberFormat="1" applyFont="1" applyFill="1" applyBorder="1"/>
    <xf numFmtId="168" fontId="16" fillId="18" borderId="43" xfId="0" applyNumberFormat="1" applyFont="1" applyFill="1" applyBorder="1" applyAlignment="1">
      <alignment horizontal="center"/>
    </xf>
    <xf numFmtId="168" fontId="16" fillId="18" borderId="78" xfId="0" applyNumberFormat="1" applyFont="1" applyFill="1" applyBorder="1" applyAlignment="1">
      <alignment horizontal="center"/>
    </xf>
    <xf numFmtId="0" fontId="16" fillId="18" borderId="43" xfId="0" applyNumberFormat="1" applyFont="1" applyFill="1" applyBorder="1" applyAlignment="1">
      <alignment horizontal="center"/>
    </xf>
    <xf numFmtId="0" fontId="16" fillId="18" borderId="8" xfId="0" applyNumberFormat="1" applyFont="1" applyFill="1" applyBorder="1" applyAlignment="1">
      <alignment horizontal="center"/>
    </xf>
    <xf numFmtId="43" fontId="14" fillId="18" borderId="43" xfId="1" applyFont="1" applyFill="1" applyBorder="1" applyAlignment="1">
      <alignment horizontal="center"/>
    </xf>
    <xf numFmtId="43" fontId="14" fillId="18" borderId="78" xfId="1" applyFont="1" applyFill="1" applyBorder="1" applyAlignment="1">
      <alignment horizontal="center"/>
    </xf>
    <xf numFmtId="168" fontId="14" fillId="18" borderId="43" xfId="0" applyNumberFormat="1" applyFont="1" applyFill="1" applyBorder="1"/>
    <xf numFmtId="168" fontId="14" fillId="18" borderId="78" xfId="0" applyNumberFormat="1" applyFont="1" applyFill="1" applyBorder="1"/>
    <xf numFmtId="43" fontId="14" fillId="18" borderId="8" xfId="1" applyFont="1" applyFill="1" applyBorder="1" applyAlignment="1">
      <alignment horizontal="center"/>
    </xf>
    <xf numFmtId="168" fontId="14" fillId="18" borderId="8" xfId="0" applyNumberFormat="1" applyFont="1" applyFill="1" applyBorder="1"/>
    <xf numFmtId="0" fontId="16" fillId="0" borderId="12" xfId="0" applyFont="1" applyBorder="1" applyAlignment="1">
      <alignment wrapText="1"/>
    </xf>
    <xf numFmtId="0" fontId="14" fillId="0" borderId="104" xfId="0" applyFont="1" applyBorder="1"/>
    <xf numFmtId="175" fontId="14" fillId="0" borderId="66" xfId="0" applyNumberFormat="1" applyFont="1" applyBorder="1"/>
    <xf numFmtId="175" fontId="14" fillId="0" borderId="95" xfId="0" applyNumberFormat="1" applyFont="1" applyBorder="1"/>
    <xf numFmtId="175" fontId="14" fillId="0" borderId="5" xfId="0" applyNumberFormat="1" applyFont="1" applyBorder="1"/>
    <xf numFmtId="0" fontId="7" fillId="0" borderId="0" xfId="12" applyAlignment="1" applyProtection="1">
      <alignment vertical="center"/>
    </xf>
    <xf numFmtId="0" fontId="7" fillId="0" borderId="0" xfId="12" applyAlignment="1" applyProtection="1"/>
    <xf numFmtId="176" fontId="14" fillId="0" borderId="43" xfId="1" applyNumberFormat="1" applyFont="1" applyBorder="1" applyAlignment="1" applyProtection="1">
      <alignment horizontal="center"/>
      <protection locked="0"/>
    </xf>
    <xf numFmtId="176" fontId="14" fillId="0" borderId="43" xfId="1" applyNumberFormat="1" applyFont="1" applyBorder="1" applyProtection="1">
      <protection locked="0"/>
    </xf>
    <xf numFmtId="176" fontId="14" fillId="0" borderId="43" xfId="1" applyNumberFormat="1" applyFont="1" applyFill="1" applyBorder="1" applyProtection="1">
      <protection locked="0"/>
    </xf>
    <xf numFmtId="176" fontId="14" fillId="0" borderId="0" xfId="1" applyNumberFormat="1" applyFont="1" applyFill="1" applyBorder="1" applyProtection="1">
      <protection locked="0"/>
    </xf>
    <xf numFmtId="0" fontId="18" fillId="0" borderId="11" xfId="0" applyFont="1" applyBorder="1" applyAlignment="1">
      <alignment horizontal="left"/>
    </xf>
    <xf numFmtId="0" fontId="18" fillId="0" borderId="7" xfId="0" applyFont="1" applyBorder="1" applyAlignment="1">
      <alignment horizontal="center"/>
    </xf>
    <xf numFmtId="0" fontId="51" fillId="0" borderId="3" xfId="0" applyFont="1" applyBorder="1"/>
    <xf numFmtId="0" fontId="52" fillId="0" borderId="1" xfId="0" applyFont="1" applyBorder="1" applyAlignment="1">
      <alignment horizontal="center"/>
    </xf>
    <xf numFmtId="0" fontId="52" fillId="0" borderId="0" xfId="0" applyFont="1" applyBorder="1" applyAlignment="1">
      <alignment horizontal="center"/>
    </xf>
    <xf numFmtId="0" fontId="53" fillId="0" borderId="101" xfId="0" applyFont="1" applyBorder="1" applyAlignment="1">
      <alignment horizontal="center"/>
    </xf>
    <xf numFmtId="0" fontId="53" fillId="0" borderId="78" xfId="0" applyFont="1" applyBorder="1" applyAlignment="1">
      <alignment horizontal="center"/>
    </xf>
    <xf numFmtId="0" fontId="54" fillId="0" borderId="0" xfId="0" applyFont="1"/>
    <xf numFmtId="0" fontId="14" fillId="0" borderId="104" xfId="0" applyFont="1" applyBorder="1" applyAlignment="1">
      <alignment horizontal="center"/>
    </xf>
    <xf numFmtId="0" fontId="14" fillId="0" borderId="95" xfId="0" applyFont="1" applyBorder="1" applyAlignment="1">
      <alignment horizontal="center"/>
    </xf>
    <xf numFmtId="0" fontId="19" fillId="0" borderId="0" xfId="0" applyNumberFormat="1" applyFont="1" applyBorder="1" applyAlignment="1" applyProtection="1">
      <alignment horizontal="left"/>
    </xf>
    <xf numFmtId="170" fontId="14" fillId="18" borderId="43" xfId="1" applyNumberFormat="1" applyFont="1" applyFill="1" applyBorder="1" applyAlignment="1">
      <alignment horizontal="center"/>
    </xf>
    <xf numFmtId="170" fontId="14" fillId="18" borderId="68" xfId="1" applyNumberFormat="1" applyFont="1" applyFill="1" applyBorder="1" applyAlignment="1">
      <alignment horizontal="center"/>
    </xf>
    <xf numFmtId="170" fontId="14" fillId="18" borderId="78" xfId="1" applyNumberFormat="1" applyFont="1" applyFill="1" applyBorder="1" applyAlignment="1">
      <alignment horizontal="center"/>
    </xf>
    <xf numFmtId="170" fontId="14" fillId="18" borderId="0" xfId="1" applyNumberFormat="1" applyFont="1" applyFill="1" applyBorder="1" applyAlignment="1">
      <alignment horizontal="center"/>
    </xf>
    <xf numFmtId="0" fontId="14" fillId="18" borderId="0" xfId="0" applyFont="1" applyFill="1" applyAlignment="1">
      <alignment horizontal="center"/>
    </xf>
    <xf numFmtId="0" fontId="14" fillId="18" borderId="0" xfId="0" applyFont="1" applyFill="1"/>
    <xf numFmtId="0" fontId="14" fillId="18" borderId="8" xfId="0" applyFont="1" applyFill="1" applyBorder="1"/>
    <xf numFmtId="0" fontId="14" fillId="18" borderId="9" xfId="0" applyFont="1" applyFill="1" applyBorder="1" applyAlignment="1">
      <alignment horizontal="center"/>
    </xf>
    <xf numFmtId="0" fontId="14" fillId="18" borderId="9" xfId="0" applyFont="1" applyFill="1" applyBorder="1"/>
    <xf numFmtId="0" fontId="14" fillId="18" borderId="10" xfId="0" applyFont="1" applyFill="1" applyBorder="1"/>
    <xf numFmtId="175" fontId="14" fillId="0" borderId="45" xfId="0" applyNumberFormat="1" applyFont="1" applyBorder="1" applyAlignment="1">
      <alignment horizontal="center"/>
    </xf>
    <xf numFmtId="175" fontId="14" fillId="0" borderId="38" xfId="0" applyNumberFormat="1" applyFont="1" applyBorder="1" applyAlignment="1">
      <alignment horizontal="center"/>
    </xf>
    <xf numFmtId="175" fontId="14" fillId="0" borderId="67" xfId="0" applyNumberFormat="1" applyFont="1" applyBorder="1" applyAlignment="1">
      <alignment horizontal="center"/>
    </xf>
    <xf numFmtId="175" fontId="14" fillId="0" borderId="75" xfId="0" applyNumberFormat="1" applyFont="1" applyBorder="1" applyAlignment="1">
      <alignment horizontal="center"/>
    </xf>
    <xf numFmtId="175" fontId="14" fillId="0" borderId="64" xfId="0" applyNumberFormat="1" applyFont="1" applyBorder="1" applyAlignment="1">
      <alignment horizontal="center"/>
    </xf>
    <xf numFmtId="175" fontId="14" fillId="0" borderId="36" xfId="0" applyNumberFormat="1" applyFont="1" applyBorder="1" applyAlignment="1">
      <alignment horizontal="center"/>
    </xf>
    <xf numFmtId="175" fontId="14" fillId="0" borderId="37" xfId="0" applyNumberFormat="1" applyFont="1" applyBorder="1"/>
    <xf numFmtId="175" fontId="14" fillId="0" borderId="64" xfId="0" applyNumberFormat="1" applyFont="1" applyBorder="1"/>
    <xf numFmtId="0" fontId="18" fillId="0" borderId="45" xfId="0" applyFont="1" applyBorder="1" applyAlignment="1">
      <alignment horizontal="center"/>
    </xf>
    <xf numFmtId="0" fontId="18" fillId="0" borderId="38" xfId="0" applyFont="1" applyBorder="1" applyAlignment="1">
      <alignment horizontal="center"/>
    </xf>
    <xf numFmtId="168" fontId="14" fillId="0" borderId="75" xfId="0" applyNumberFormat="1" applyFont="1" applyBorder="1"/>
    <xf numFmtId="170" fontId="14" fillId="0" borderId="43" xfId="28" applyNumberFormat="1" applyFont="1" applyBorder="1" applyAlignment="1">
      <alignment horizontal="center"/>
    </xf>
    <xf numFmtId="168" fontId="14" fillId="0" borderId="78" xfId="0" applyNumberFormat="1" applyFont="1" applyBorder="1"/>
    <xf numFmtId="170" fontId="14" fillId="0" borderId="47" xfId="28" applyNumberFormat="1" applyFont="1" applyBorder="1" applyAlignment="1">
      <alignment horizontal="center"/>
    </xf>
    <xf numFmtId="170" fontId="14" fillId="0" borderId="78" xfId="28" applyNumberFormat="1" applyFont="1" applyBorder="1" applyAlignment="1">
      <alignment horizontal="center"/>
    </xf>
    <xf numFmtId="175" fontId="14" fillId="18" borderId="47" xfId="0" applyNumberFormat="1" applyFont="1" applyFill="1" applyBorder="1" applyAlignment="1">
      <alignment horizontal="center"/>
    </xf>
    <xf numFmtId="175" fontId="14" fillId="18" borderId="43" xfId="0" applyNumberFormat="1" applyFont="1" applyFill="1" applyBorder="1" applyAlignment="1">
      <alignment horizontal="center"/>
    </xf>
    <xf numFmtId="175" fontId="14" fillId="18" borderId="78" xfId="0" applyNumberFormat="1" applyFont="1" applyFill="1" applyBorder="1"/>
    <xf numFmtId="175" fontId="14" fillId="18" borderId="47" xfId="0" applyNumberFormat="1" applyFont="1" applyFill="1" applyBorder="1"/>
    <xf numFmtId="175" fontId="14" fillId="18" borderId="43" xfId="0" applyNumberFormat="1" applyFont="1" applyFill="1" applyBorder="1"/>
    <xf numFmtId="0" fontId="14" fillId="0" borderId="110" xfId="0" applyFont="1" applyBorder="1" applyAlignment="1">
      <alignment horizontal="center"/>
    </xf>
    <xf numFmtId="0" fontId="14" fillId="0" borderId="111" xfId="0" applyFont="1" applyBorder="1" applyAlignment="1">
      <alignment horizontal="center"/>
    </xf>
    <xf numFmtId="168" fontId="14" fillId="0" borderId="112" xfId="0" applyNumberFormat="1" applyFont="1" applyBorder="1"/>
    <xf numFmtId="168" fontId="14" fillId="0" borderId="110" xfId="0" applyNumberFormat="1" applyFont="1" applyBorder="1"/>
    <xf numFmtId="168" fontId="14" fillId="0" borderId="111" xfId="0" applyNumberFormat="1" applyFont="1" applyBorder="1"/>
    <xf numFmtId="168" fontId="14" fillId="0" borderId="113" xfId="0" applyNumberFormat="1" applyFont="1" applyBorder="1"/>
    <xf numFmtId="168" fontId="14" fillId="0" borderId="114" xfId="0" applyNumberFormat="1" applyFont="1" applyBorder="1"/>
    <xf numFmtId="168" fontId="14" fillId="0" borderId="115" xfId="0" applyNumberFormat="1" applyFont="1" applyBorder="1"/>
    <xf numFmtId="175" fontId="16" fillId="0" borderId="116" xfId="0" applyNumberFormat="1" applyFont="1" applyBorder="1"/>
    <xf numFmtId="175" fontId="16" fillId="0" borderId="117" xfId="0" applyNumberFormat="1" applyFont="1" applyBorder="1"/>
    <xf numFmtId="175" fontId="16" fillId="0" borderId="118" xfId="0" applyNumberFormat="1" applyFont="1" applyBorder="1"/>
    <xf numFmtId="49" fontId="16" fillId="0" borderId="12" xfId="0" applyNumberFormat="1" applyFont="1" applyFill="1" applyBorder="1" applyAlignment="1">
      <alignment horizontal="center" vertical="center" wrapText="1"/>
    </xf>
    <xf numFmtId="0" fontId="16" fillId="0" borderId="45" xfId="0" applyFont="1" applyFill="1" applyBorder="1" applyAlignment="1">
      <alignment vertical="center"/>
    </xf>
    <xf numFmtId="0" fontId="16" fillId="0" borderId="64" xfId="0" applyFont="1" applyFill="1" applyBorder="1" applyAlignment="1">
      <alignment vertical="center"/>
    </xf>
    <xf numFmtId="0" fontId="14" fillId="0" borderId="47" xfId="0" applyNumberFormat="1" applyFont="1" applyBorder="1" applyAlignment="1">
      <alignment horizontal="center"/>
    </xf>
    <xf numFmtId="0" fontId="14" fillId="0" borderId="63" xfId="0" applyNumberFormat="1" applyFont="1" applyBorder="1" applyAlignment="1">
      <alignment horizontal="center"/>
    </xf>
    <xf numFmtId="0" fontId="14" fillId="0" borderId="47" xfId="0" applyNumberFormat="1" applyFont="1" applyFill="1" applyBorder="1" applyAlignment="1">
      <alignment horizontal="center"/>
    </xf>
    <xf numFmtId="0" fontId="14" fillId="0" borderId="63" xfId="0" applyNumberFormat="1" applyFont="1" applyFill="1" applyBorder="1" applyAlignment="1">
      <alignment horizontal="center"/>
    </xf>
    <xf numFmtId="0" fontId="14" fillId="0" borderId="56" xfId="0" applyNumberFormat="1" applyFont="1" applyFill="1" applyBorder="1" applyAlignment="1">
      <alignment horizontal="center"/>
    </xf>
    <xf numFmtId="0" fontId="16" fillId="0" borderId="75" xfId="0" applyFont="1" applyBorder="1" applyAlignment="1" applyProtection="1">
      <alignment horizontal="center"/>
    </xf>
    <xf numFmtId="0" fontId="55" fillId="19" borderId="0" xfId="21" applyFont="1" applyFill="1"/>
    <xf numFmtId="0" fontId="56" fillId="0" borderId="0" xfId="21" applyFont="1"/>
    <xf numFmtId="0" fontId="56" fillId="0" borderId="0" xfId="23" applyFont="1"/>
    <xf numFmtId="0" fontId="46" fillId="0" borderId="0" xfId="26"/>
    <xf numFmtId="0" fontId="55" fillId="19" borderId="0" xfId="21" applyFont="1" applyFill="1" applyAlignment="1">
      <alignment horizontal="center"/>
    </xf>
    <xf numFmtId="43" fontId="55" fillId="20" borderId="0" xfId="2" applyFont="1" applyFill="1" applyAlignment="1">
      <alignment horizontal="center"/>
    </xf>
    <xf numFmtId="43" fontId="55" fillId="21" borderId="0" xfId="2" applyFont="1" applyFill="1" applyAlignment="1">
      <alignment horizontal="center"/>
    </xf>
    <xf numFmtId="43" fontId="57" fillId="22" borderId="0" xfId="2" applyFont="1" applyFill="1" applyAlignment="1">
      <alignment horizontal="center"/>
    </xf>
    <xf numFmtId="43" fontId="55" fillId="23" borderId="0" xfId="2" applyFont="1" applyFill="1"/>
    <xf numFmtId="43" fontId="55" fillId="24" borderId="0" xfId="2" applyFont="1" applyFill="1"/>
    <xf numFmtId="43" fontId="55" fillId="25" borderId="0" xfId="2" applyFont="1" applyFill="1"/>
    <xf numFmtId="43" fontId="55" fillId="26" borderId="0" xfId="2" applyFont="1" applyFill="1"/>
    <xf numFmtId="13" fontId="55" fillId="21" borderId="0" xfId="2" quotePrefix="1" applyNumberFormat="1" applyFont="1" applyFill="1"/>
    <xf numFmtId="0" fontId="25" fillId="0" borderId="0" xfId="21" applyNumberFormat="1" applyFont="1" applyFill="1"/>
    <xf numFmtId="0" fontId="25" fillId="0" borderId="0" xfId="21" applyFont="1" applyFill="1" applyBorder="1"/>
    <xf numFmtId="0" fontId="14" fillId="0" borderId="3" xfId="26" applyFont="1" applyBorder="1" applyAlignment="1">
      <alignment horizontal="left" indent="1"/>
    </xf>
    <xf numFmtId="43" fontId="56" fillId="20" borderId="0" xfId="2" applyFont="1" applyFill="1"/>
    <xf numFmtId="43" fontId="56" fillId="21" borderId="0" xfId="2" applyFont="1" applyFill="1"/>
    <xf numFmtId="43" fontId="56" fillId="22" borderId="0" xfId="2" applyFont="1" applyFill="1"/>
    <xf numFmtId="43" fontId="46" fillId="23" borderId="0" xfId="2" applyFont="1" applyFill="1"/>
    <xf numFmtId="43" fontId="56" fillId="24" borderId="0" xfId="2" applyFont="1" applyFill="1"/>
    <xf numFmtId="43" fontId="56" fillId="25" borderId="0" xfId="2" applyFont="1" applyFill="1"/>
    <xf numFmtId="43" fontId="56" fillId="26" borderId="0" xfId="2" applyFont="1" applyFill="1"/>
    <xf numFmtId="0" fontId="14" fillId="0" borderId="3" xfId="26" applyFont="1" applyFill="1" applyBorder="1" applyAlignment="1">
      <alignment horizontal="left" indent="1"/>
    </xf>
    <xf numFmtId="0" fontId="25" fillId="0" borderId="0" xfId="23" applyNumberFormat="1" applyFont="1" applyFill="1"/>
    <xf numFmtId="0" fontId="25" fillId="0" borderId="0" xfId="23" applyFont="1" applyFill="1" applyBorder="1"/>
    <xf numFmtId="0" fontId="19" fillId="0" borderId="3" xfId="26" applyNumberFormat="1" applyFont="1" applyBorder="1" applyAlignment="1">
      <alignment horizontal="left" indent="2"/>
    </xf>
    <xf numFmtId="43" fontId="58" fillId="24" borderId="65" xfId="2" applyFont="1" applyFill="1" applyBorder="1"/>
    <xf numFmtId="43" fontId="56" fillId="0" borderId="0" xfId="2" applyFont="1" applyFill="1"/>
    <xf numFmtId="43" fontId="46" fillId="0" borderId="0" xfId="26" applyNumberFormat="1"/>
    <xf numFmtId="43" fontId="25" fillId="23" borderId="0" xfId="2" applyFont="1" applyFill="1"/>
    <xf numFmtId="175" fontId="14" fillId="0" borderId="0" xfId="0" applyNumberFormat="1" applyFont="1" applyFill="1"/>
    <xf numFmtId="43" fontId="14" fillId="0" borderId="0" xfId="0" applyNumberFormat="1" applyFont="1"/>
    <xf numFmtId="43" fontId="0" fillId="0" borderId="0" xfId="0" applyNumberFormat="1"/>
    <xf numFmtId="10" fontId="0" fillId="24" borderId="0" xfId="0" applyNumberFormat="1" applyFill="1"/>
    <xf numFmtId="1" fontId="0" fillId="0" borderId="0" xfId="0" quotePrefix="1" applyNumberFormat="1" applyFill="1"/>
    <xf numFmtId="0" fontId="0" fillId="24" borderId="0" xfId="0" applyFill="1"/>
    <xf numFmtId="0" fontId="14" fillId="0" borderId="3" xfId="0" applyFont="1" applyFill="1" applyBorder="1" applyAlignment="1" applyProtection="1">
      <alignment horizontal="left" indent="1"/>
      <protection locked="0"/>
    </xf>
    <xf numFmtId="0" fontId="25" fillId="0" borderId="0" xfId="21" applyNumberFormat="1" applyFont="1" applyFill="1" applyBorder="1"/>
    <xf numFmtId="0" fontId="3" fillId="27" borderId="11" xfId="0" applyFont="1" applyFill="1" applyBorder="1" applyAlignment="1" applyProtection="1">
      <alignment horizontal="center"/>
      <protection locked="0"/>
    </xf>
    <xf numFmtId="17" fontId="3" fillId="27" borderId="6" xfId="0" quotePrefix="1" applyNumberFormat="1" applyFont="1" applyFill="1" applyBorder="1" applyProtection="1">
      <protection locked="0"/>
    </xf>
    <xf numFmtId="0" fontId="3" fillId="27" borderId="6" xfId="0" applyFont="1" applyFill="1" applyBorder="1" applyProtection="1">
      <protection locked="0"/>
    </xf>
    <xf numFmtId="0" fontId="3" fillId="27" borderId="7" xfId="0" applyFont="1" applyFill="1" applyBorder="1" applyProtection="1">
      <protection locked="0"/>
    </xf>
    <xf numFmtId="0" fontId="3" fillId="27" borderId="1" xfId="0" applyFont="1" applyFill="1" applyBorder="1" applyAlignment="1" applyProtection="1">
      <alignment horizontal="center"/>
      <protection locked="0"/>
    </xf>
    <xf numFmtId="0" fontId="3" fillId="27" borderId="0" xfId="0" quotePrefix="1" applyFont="1" applyFill="1" applyBorder="1" applyProtection="1">
      <protection locked="0"/>
    </xf>
    <xf numFmtId="0" fontId="3" fillId="27" borderId="0" xfId="0" applyFont="1" applyFill="1" applyBorder="1" applyProtection="1">
      <protection locked="0"/>
    </xf>
    <xf numFmtId="0" fontId="3" fillId="27" borderId="8" xfId="0" applyFont="1" applyFill="1" applyBorder="1" applyProtection="1">
      <protection locked="0"/>
    </xf>
    <xf numFmtId="0" fontId="3" fillId="27" borderId="0" xfId="0" applyFont="1" applyFill="1" applyAlignment="1" applyProtection="1">
      <alignment horizontal="center"/>
      <protection locked="0"/>
    </xf>
    <xf numFmtId="0" fontId="3" fillId="27" borderId="0" xfId="0" applyFont="1" applyFill="1" applyAlignment="1" applyProtection="1">
      <alignment wrapText="1"/>
      <protection locked="0"/>
    </xf>
    <xf numFmtId="0" fontId="3" fillId="27" borderId="0" xfId="0" applyFont="1" applyFill="1" applyProtection="1">
      <protection locked="0"/>
    </xf>
    <xf numFmtId="0" fontId="3" fillId="27" borderId="0" xfId="0" applyFont="1" applyFill="1" applyAlignment="1" applyProtection="1">
      <alignment horizontal="left"/>
      <protection locked="0"/>
    </xf>
    <xf numFmtId="0" fontId="32" fillId="27" borderId="107" xfId="0" applyFont="1" applyFill="1" applyBorder="1" applyAlignment="1" applyProtection="1">
      <alignment horizontal="justify" vertical="center" wrapText="1"/>
      <protection locked="0"/>
    </xf>
    <xf numFmtId="0" fontId="2" fillId="27" borderId="7" xfId="0" applyFont="1" applyFill="1" applyBorder="1" applyAlignment="1" applyProtection="1">
      <alignment vertical="center"/>
      <protection locked="0"/>
    </xf>
    <xf numFmtId="0" fontId="7" fillId="27" borderId="8" xfId="12" applyFill="1" applyBorder="1" applyAlignment="1" applyProtection="1">
      <alignment horizontal="justify" vertical="top" wrapText="1"/>
      <protection locked="0"/>
    </xf>
    <xf numFmtId="0" fontId="7" fillId="27" borderId="8" xfId="12" applyFill="1" applyBorder="1" applyAlignment="1" applyProtection="1">
      <alignment horizontal="left" vertical="top" wrapText="1"/>
      <protection locked="0"/>
    </xf>
    <xf numFmtId="0" fontId="35" fillId="27" borderId="34" xfId="0" applyFont="1" applyFill="1" applyBorder="1" applyAlignment="1" applyProtection="1">
      <alignment horizontal="justify" wrapText="1"/>
      <protection locked="0"/>
    </xf>
    <xf numFmtId="182" fontId="35" fillId="27" borderId="7" xfId="0" applyNumberFormat="1" applyFont="1" applyFill="1" applyBorder="1" applyAlignment="1" applyProtection="1">
      <alignment horizontal="justify" wrapText="1"/>
      <protection locked="0"/>
    </xf>
    <xf numFmtId="3" fontId="35" fillId="27" borderId="34" xfId="0" quotePrefix="1" applyNumberFormat="1" applyFont="1" applyFill="1" applyBorder="1" applyAlignment="1" applyProtection="1">
      <alignment horizontal="justify" wrapText="1"/>
      <protection locked="0"/>
    </xf>
    <xf numFmtId="3" fontId="35" fillId="27" borderId="7" xfId="0" quotePrefix="1" applyNumberFormat="1" applyFont="1" applyFill="1" applyBorder="1" applyAlignment="1" applyProtection="1">
      <alignment horizontal="justify" wrapText="1"/>
      <protection locked="0"/>
    </xf>
    <xf numFmtId="0" fontId="35" fillId="27" borderId="34" xfId="0" applyNumberFormat="1" applyFont="1" applyFill="1" applyBorder="1" applyAlignment="1" applyProtection="1">
      <alignment horizontal="justify" wrapText="1"/>
      <protection locked="0"/>
    </xf>
    <xf numFmtId="0" fontId="35" fillId="27" borderId="34" xfId="0" quotePrefix="1" applyNumberFormat="1" applyFont="1" applyFill="1" applyBorder="1" applyAlignment="1" applyProtection="1">
      <alignment horizontal="justify" wrapText="1"/>
      <protection locked="0"/>
    </xf>
    <xf numFmtId="0" fontId="7" fillId="27" borderId="34" xfId="12" applyNumberFormat="1" applyFill="1" applyBorder="1" applyAlignment="1" applyProtection="1">
      <alignment horizontal="justify" wrapText="1"/>
      <protection locked="0"/>
    </xf>
    <xf numFmtId="0" fontId="35" fillId="27" borderId="7" xfId="0" applyFont="1" applyFill="1" applyBorder="1" applyAlignment="1" applyProtection="1">
      <alignment horizontal="justify" wrapText="1"/>
      <protection locked="0"/>
    </xf>
    <xf numFmtId="0" fontId="35" fillId="27" borderId="34" xfId="0" quotePrefix="1" applyFont="1" applyFill="1" applyBorder="1" applyAlignment="1" applyProtection="1">
      <alignment horizontal="justify" wrapText="1"/>
      <protection locked="0"/>
    </xf>
    <xf numFmtId="0" fontId="7" fillId="27" borderId="7" xfId="12" applyFill="1" applyBorder="1" applyAlignment="1" applyProtection="1">
      <alignment horizontal="justify" wrapText="1"/>
      <protection locked="0"/>
    </xf>
    <xf numFmtId="175" fontId="14" fillId="27" borderId="43" xfId="0" applyNumberFormat="1" applyFont="1" applyFill="1" applyBorder="1" applyProtection="1">
      <protection locked="0"/>
    </xf>
    <xf numFmtId="175" fontId="14" fillId="27" borderId="68" xfId="0" applyNumberFormat="1" applyFont="1" applyFill="1" applyBorder="1" applyProtection="1">
      <protection locked="0"/>
    </xf>
    <xf numFmtId="175" fontId="14" fillId="27" borderId="47" xfId="0" applyNumberFormat="1" applyFont="1" applyFill="1" applyBorder="1" applyProtection="1">
      <protection locked="0"/>
    </xf>
    <xf numFmtId="175" fontId="14" fillId="27" borderId="78" xfId="0" applyNumberFormat="1" applyFont="1" applyFill="1" applyBorder="1" applyProtection="1">
      <protection locked="0"/>
    </xf>
    <xf numFmtId="175" fontId="14" fillId="27" borderId="101" xfId="0" applyNumberFormat="1" applyFont="1" applyFill="1" applyBorder="1" applyProtection="1">
      <protection locked="0"/>
    </xf>
    <xf numFmtId="175" fontId="14" fillId="27" borderId="46" xfId="0" applyNumberFormat="1" applyFont="1" applyFill="1" applyBorder="1" applyProtection="1">
      <protection locked="0"/>
    </xf>
    <xf numFmtId="175" fontId="16" fillId="27" borderId="46" xfId="0" applyNumberFormat="1" applyFont="1" applyFill="1" applyBorder="1" applyProtection="1">
      <protection locked="0"/>
    </xf>
    <xf numFmtId="175" fontId="14" fillId="27" borderId="43" xfId="0" applyNumberFormat="1" applyFont="1" applyFill="1" applyBorder="1" applyAlignment="1" applyProtection="1">
      <alignment horizontal="right"/>
      <protection locked="0"/>
    </xf>
    <xf numFmtId="175" fontId="14" fillId="27" borderId="8" xfId="0" applyNumberFormat="1" applyFont="1" applyFill="1" applyBorder="1" applyAlignment="1" applyProtection="1">
      <alignment horizontal="right"/>
      <protection locked="0"/>
    </xf>
    <xf numFmtId="175" fontId="14" fillId="27" borderId="3" xfId="0" applyNumberFormat="1" applyFont="1" applyFill="1" applyBorder="1" applyAlignment="1" applyProtection="1">
      <alignment horizontal="right"/>
      <protection locked="0"/>
    </xf>
    <xf numFmtId="175" fontId="14" fillId="27" borderId="0" xfId="0" applyNumberFormat="1" applyFont="1" applyFill="1" applyBorder="1" applyAlignment="1" applyProtection="1">
      <alignment horizontal="right"/>
      <protection locked="0"/>
    </xf>
    <xf numFmtId="0" fontId="16" fillId="27" borderId="3" xfId="0" applyFont="1" applyFill="1" applyBorder="1" applyAlignment="1" applyProtection="1">
      <alignment horizontal="left" indent="1"/>
      <protection locked="0"/>
    </xf>
    <xf numFmtId="0" fontId="14" fillId="27" borderId="3" xfId="0" applyFont="1" applyFill="1" applyBorder="1" applyAlignment="1" applyProtection="1">
      <alignment horizontal="left" indent="1"/>
      <protection locked="0"/>
    </xf>
    <xf numFmtId="0" fontId="14" fillId="27" borderId="47" xfId="0" applyFont="1" applyFill="1" applyBorder="1" applyAlignment="1" applyProtection="1">
      <alignment horizontal="left" indent="1"/>
      <protection locked="0"/>
    </xf>
    <xf numFmtId="0" fontId="16" fillId="27" borderId="47" xfId="0" applyFont="1" applyFill="1" applyBorder="1" applyAlignment="1" applyProtection="1">
      <alignment horizontal="left" indent="1"/>
      <protection locked="0"/>
    </xf>
    <xf numFmtId="175" fontId="14" fillId="27" borderId="8" xfId="0" applyNumberFormat="1" applyFont="1" applyFill="1" applyBorder="1" applyProtection="1">
      <protection locked="0"/>
    </xf>
    <xf numFmtId="175" fontId="14" fillId="27" borderId="3" xfId="0" applyNumberFormat="1" applyFont="1" applyFill="1" applyBorder="1" applyProtection="1">
      <protection locked="0"/>
    </xf>
    <xf numFmtId="175" fontId="14" fillId="27" borderId="0" xfId="0" applyNumberFormat="1" applyFont="1" applyFill="1" applyBorder="1" applyProtection="1">
      <protection locked="0"/>
    </xf>
    <xf numFmtId="175" fontId="14" fillId="27" borderId="43" xfId="1" applyNumberFormat="1" applyFont="1" applyFill="1" applyBorder="1" applyProtection="1">
      <protection locked="0"/>
    </xf>
    <xf numFmtId="175" fontId="14" fillId="27" borderId="8" xfId="1" applyNumberFormat="1" applyFont="1" applyFill="1" applyBorder="1" applyProtection="1">
      <protection locked="0"/>
    </xf>
    <xf numFmtId="175" fontId="14" fillId="27" borderId="3" xfId="1" applyNumberFormat="1" applyFont="1" applyFill="1" applyBorder="1" applyProtection="1">
      <protection locked="0"/>
    </xf>
    <xf numFmtId="175" fontId="14" fillId="27" borderId="0" xfId="1" applyNumberFormat="1" applyFont="1" applyFill="1" applyBorder="1" applyProtection="1">
      <protection locked="0"/>
    </xf>
    <xf numFmtId="175" fontId="14" fillId="27" borderId="47" xfId="1" applyNumberFormat="1" applyFont="1" applyFill="1" applyBorder="1" applyProtection="1">
      <protection locked="0"/>
    </xf>
    <xf numFmtId="175" fontId="14" fillId="27" borderId="78" xfId="1" applyNumberFormat="1" applyFont="1" applyFill="1" applyBorder="1" applyProtection="1">
      <protection locked="0"/>
    </xf>
    <xf numFmtId="175" fontId="16" fillId="27" borderId="43" xfId="0" applyNumberFormat="1" applyFont="1" applyFill="1" applyBorder="1" applyProtection="1">
      <protection locked="0"/>
    </xf>
    <xf numFmtId="175" fontId="16" fillId="27" borderId="8" xfId="0" applyNumberFormat="1" applyFont="1" applyFill="1" applyBorder="1" applyProtection="1">
      <protection locked="0"/>
    </xf>
    <xf numFmtId="175" fontId="16" fillId="27" borderId="3" xfId="0" applyNumberFormat="1" applyFont="1" applyFill="1" applyBorder="1" applyProtection="1">
      <protection locked="0"/>
    </xf>
    <xf numFmtId="175" fontId="16" fillId="27" borderId="0" xfId="0" applyNumberFormat="1" applyFont="1" applyFill="1" applyBorder="1" applyProtection="1">
      <protection locked="0"/>
    </xf>
    <xf numFmtId="175" fontId="16" fillId="27" borderId="72" xfId="0" applyNumberFormat="1" applyFont="1" applyFill="1" applyBorder="1" applyProtection="1">
      <protection locked="0"/>
    </xf>
    <xf numFmtId="175" fontId="16" fillId="27" borderId="47" xfId="0" applyNumberFormat="1" applyFont="1" applyFill="1" applyBorder="1" applyProtection="1">
      <protection locked="0"/>
    </xf>
    <xf numFmtId="9" fontId="14" fillId="27" borderId="0" xfId="28" applyFont="1" applyFill="1" applyAlignment="1" applyProtection="1">
      <alignment horizontal="center"/>
      <protection locked="0"/>
    </xf>
    <xf numFmtId="0" fontId="14" fillId="27" borderId="0" xfId="0" applyFont="1" applyFill="1" applyProtection="1">
      <protection locked="0"/>
    </xf>
    <xf numFmtId="0" fontId="21" fillId="27" borderId="0" xfId="0" applyFont="1" applyFill="1" applyProtection="1">
      <protection locked="0"/>
    </xf>
    <xf numFmtId="0" fontId="14" fillId="27" borderId="0" xfId="0" applyFont="1" applyFill="1"/>
    <xf numFmtId="175" fontId="14" fillId="27" borderId="72" xfId="0" applyNumberFormat="1" applyFont="1" applyFill="1" applyBorder="1" applyProtection="1">
      <protection locked="0"/>
    </xf>
    <xf numFmtId="175" fontId="14" fillId="27" borderId="73" xfId="0" applyNumberFormat="1" applyFont="1" applyFill="1" applyBorder="1" applyProtection="1">
      <protection locked="0"/>
    </xf>
    <xf numFmtId="175" fontId="14" fillId="27" borderId="69" xfId="0" applyNumberFormat="1" applyFont="1" applyFill="1" applyBorder="1" applyProtection="1">
      <protection locked="0"/>
    </xf>
    <xf numFmtId="175" fontId="14" fillId="27" borderId="74" xfId="0" applyNumberFormat="1" applyFont="1" applyFill="1" applyBorder="1" applyProtection="1">
      <protection locked="0"/>
    </xf>
    <xf numFmtId="175" fontId="14" fillId="27" borderId="71" xfId="0" applyNumberFormat="1" applyFont="1" applyFill="1" applyBorder="1" applyProtection="1">
      <protection locked="0"/>
    </xf>
    <xf numFmtId="175" fontId="14" fillId="27" borderId="99" xfId="0" applyNumberFormat="1" applyFont="1" applyFill="1" applyBorder="1" applyProtection="1">
      <protection locked="0"/>
    </xf>
    <xf numFmtId="176" fontId="14" fillId="27" borderId="43" xfId="0" applyNumberFormat="1" applyFont="1" applyFill="1" applyBorder="1" applyProtection="1">
      <protection locked="0"/>
    </xf>
    <xf numFmtId="176" fontId="14" fillId="27" borderId="8" xfId="0" applyNumberFormat="1" applyFont="1" applyFill="1" applyBorder="1" applyProtection="1">
      <protection locked="0"/>
    </xf>
    <xf numFmtId="176" fontId="14" fillId="27" borderId="3" xfId="1" applyNumberFormat="1" applyFont="1" applyFill="1" applyBorder="1" applyProtection="1">
      <protection locked="0"/>
    </xf>
    <xf numFmtId="176" fontId="14" fillId="27" borderId="0" xfId="0" applyNumberFormat="1" applyFont="1" applyFill="1" applyBorder="1" applyProtection="1">
      <protection locked="0"/>
    </xf>
    <xf numFmtId="176" fontId="14" fillId="27" borderId="47" xfId="0" applyNumberFormat="1" applyFont="1" applyFill="1" applyBorder="1" applyProtection="1">
      <protection locked="0"/>
    </xf>
    <xf numFmtId="176" fontId="14" fillId="27" borderId="43" xfId="1" applyNumberFormat="1" applyFont="1" applyFill="1" applyBorder="1" applyProtection="1">
      <protection locked="0"/>
    </xf>
    <xf numFmtId="176" fontId="14" fillId="27" borderId="8" xfId="1" applyNumberFormat="1" applyFont="1" applyFill="1" applyBorder="1" applyProtection="1">
      <protection locked="0"/>
    </xf>
    <xf numFmtId="176" fontId="14" fillId="27" borderId="0" xfId="1" applyNumberFormat="1" applyFont="1" applyFill="1" applyBorder="1" applyProtection="1">
      <protection locked="0"/>
    </xf>
    <xf numFmtId="176" fontId="14" fillId="27" borderId="47" xfId="1" applyNumberFormat="1" applyFont="1" applyFill="1" applyBorder="1" applyProtection="1">
      <protection locked="0"/>
    </xf>
    <xf numFmtId="176" fontId="14" fillId="27" borderId="72" xfId="0" applyNumberFormat="1" applyFont="1" applyFill="1" applyBorder="1" applyProtection="1">
      <protection locked="0"/>
    </xf>
    <xf numFmtId="176" fontId="14" fillId="27" borderId="73" xfId="0" applyNumberFormat="1" applyFont="1" applyFill="1" applyBorder="1" applyProtection="1">
      <protection locked="0"/>
    </xf>
    <xf numFmtId="176" fontId="14" fillId="27" borderId="69" xfId="1" applyNumberFormat="1" applyFont="1" applyFill="1" applyBorder="1" applyProtection="1">
      <protection locked="0"/>
    </xf>
    <xf numFmtId="176" fontId="14" fillId="27" borderId="72" xfId="1" applyNumberFormat="1" applyFont="1" applyFill="1" applyBorder="1" applyProtection="1">
      <protection locked="0"/>
    </xf>
    <xf numFmtId="176" fontId="14" fillId="27" borderId="74" xfId="1" applyNumberFormat="1" applyFont="1" applyFill="1" applyBorder="1" applyProtection="1">
      <protection locked="0"/>
    </xf>
    <xf numFmtId="176" fontId="14" fillId="27" borderId="71" xfId="0" applyNumberFormat="1" applyFont="1" applyFill="1" applyBorder="1" applyProtection="1">
      <protection locked="0"/>
    </xf>
    <xf numFmtId="168" fontId="14" fillId="27" borderId="43" xfId="0" applyNumberFormat="1" applyFont="1" applyFill="1" applyBorder="1" applyProtection="1">
      <protection locked="0"/>
    </xf>
    <xf numFmtId="168" fontId="14" fillId="27" borderId="8" xfId="0" applyNumberFormat="1" applyFont="1" applyFill="1" applyBorder="1" applyProtection="1">
      <protection locked="0"/>
    </xf>
    <xf numFmtId="168" fontId="14" fillId="27" borderId="3" xfId="0" applyNumberFormat="1" applyFont="1" applyFill="1" applyBorder="1" applyProtection="1">
      <protection locked="0"/>
    </xf>
    <xf numFmtId="168" fontId="14" fillId="27" borderId="0" xfId="0" applyNumberFormat="1" applyFont="1" applyFill="1" applyBorder="1" applyProtection="1">
      <protection locked="0"/>
    </xf>
    <xf numFmtId="168" fontId="14" fillId="27" borderId="47" xfId="0" applyNumberFormat="1" applyFont="1" applyFill="1" applyBorder="1" applyProtection="1">
      <protection locked="0"/>
    </xf>
    <xf numFmtId="168" fontId="14" fillId="27" borderId="72" xfId="0" applyNumberFormat="1" applyFont="1" applyFill="1" applyBorder="1" applyProtection="1">
      <protection locked="0"/>
    </xf>
    <xf numFmtId="168" fontId="14" fillId="27" borderId="73" xfId="0" applyNumberFormat="1" applyFont="1" applyFill="1" applyBorder="1" applyProtection="1">
      <protection locked="0"/>
    </xf>
    <xf numFmtId="168" fontId="14" fillId="27" borderId="69" xfId="0" applyNumberFormat="1" applyFont="1" applyFill="1" applyBorder="1" applyProtection="1">
      <protection locked="0"/>
    </xf>
    <xf numFmtId="168" fontId="14" fillId="27" borderId="74" xfId="0" applyNumberFormat="1" applyFont="1" applyFill="1" applyBorder="1" applyProtection="1">
      <protection locked="0"/>
    </xf>
    <xf numFmtId="168" fontId="16" fillId="27" borderId="43" xfId="0" applyNumberFormat="1" applyFont="1" applyFill="1" applyBorder="1" applyProtection="1">
      <protection locked="0"/>
    </xf>
    <xf numFmtId="168" fontId="16" fillId="27" borderId="8" xfId="0" applyNumberFormat="1" applyFont="1" applyFill="1" applyBorder="1" applyProtection="1">
      <protection locked="0"/>
    </xf>
    <xf numFmtId="168" fontId="16" fillId="27" borderId="3" xfId="0" applyNumberFormat="1" applyFont="1" applyFill="1" applyBorder="1" applyProtection="1">
      <protection locked="0"/>
    </xf>
    <xf numFmtId="168" fontId="16" fillId="27" borderId="0" xfId="0" applyNumberFormat="1" applyFont="1" applyFill="1" applyBorder="1" applyProtection="1">
      <protection locked="0"/>
    </xf>
    <xf numFmtId="168" fontId="16" fillId="27" borderId="47" xfId="0" applyNumberFormat="1" applyFont="1" applyFill="1" applyBorder="1" applyProtection="1">
      <protection locked="0"/>
    </xf>
    <xf numFmtId="168" fontId="14" fillId="27" borderId="71" xfId="0" applyNumberFormat="1" applyFont="1" applyFill="1" applyBorder="1" applyProtection="1">
      <protection locked="0"/>
    </xf>
    <xf numFmtId="0" fontId="19" fillId="27" borderId="3" xfId="0" applyFont="1" applyFill="1" applyBorder="1" applyAlignment="1" applyProtection="1">
      <alignment horizontal="left" indent="1"/>
      <protection locked="0"/>
    </xf>
    <xf numFmtId="0" fontId="19" fillId="27" borderId="3" xfId="0" applyFont="1" applyFill="1" applyBorder="1" applyProtection="1">
      <protection locked="0"/>
    </xf>
    <xf numFmtId="175" fontId="14" fillId="27" borderId="1" xfId="0" applyNumberFormat="1" applyFont="1" applyFill="1" applyBorder="1" applyProtection="1">
      <protection locked="0"/>
    </xf>
    <xf numFmtId="175" fontId="14" fillId="27" borderId="119" xfId="0" applyNumberFormat="1" applyFont="1" applyFill="1" applyBorder="1" applyProtection="1">
      <protection locked="0"/>
    </xf>
    <xf numFmtId="175" fontId="14" fillId="27" borderId="100" xfId="0" applyNumberFormat="1" applyFont="1" applyFill="1" applyBorder="1" applyProtection="1">
      <protection locked="0"/>
    </xf>
    <xf numFmtId="0" fontId="14" fillId="27" borderId="4" xfId="0" applyFont="1" applyFill="1" applyBorder="1" applyProtection="1">
      <protection locked="0"/>
    </xf>
    <xf numFmtId="175" fontId="14" fillId="27" borderId="38" xfId="0" applyNumberFormat="1" applyFont="1" applyFill="1" applyBorder="1" applyProtection="1">
      <protection locked="0"/>
    </xf>
    <xf numFmtId="175" fontId="14" fillId="27" borderId="7" xfId="0" applyNumberFormat="1" applyFont="1" applyFill="1" applyBorder="1" applyProtection="1">
      <protection locked="0"/>
    </xf>
    <xf numFmtId="175" fontId="14" fillId="27" borderId="12" xfId="0" applyNumberFormat="1" applyFont="1" applyFill="1" applyBorder="1" applyProtection="1">
      <protection locked="0"/>
    </xf>
    <xf numFmtId="175" fontId="14" fillId="27" borderId="6" xfId="0" applyNumberFormat="1" applyFont="1" applyFill="1" applyBorder="1" applyProtection="1">
      <protection locked="0"/>
    </xf>
    <xf numFmtId="175" fontId="14" fillId="27" borderId="45" xfId="0" applyNumberFormat="1" applyFont="1" applyFill="1" applyBorder="1" applyProtection="1">
      <protection locked="0"/>
    </xf>
    <xf numFmtId="175" fontId="14" fillId="27" borderId="36" xfId="0" applyNumberFormat="1" applyFont="1" applyFill="1" applyBorder="1" applyProtection="1">
      <protection locked="0"/>
    </xf>
    <xf numFmtId="175" fontId="14" fillId="27" borderId="10" xfId="0" applyNumberFormat="1" applyFont="1" applyFill="1" applyBorder="1" applyProtection="1">
      <protection locked="0"/>
    </xf>
    <xf numFmtId="175" fontId="14" fillId="27" borderId="4" xfId="0" applyNumberFormat="1" applyFont="1" applyFill="1" applyBorder="1" applyProtection="1">
      <protection locked="0"/>
    </xf>
    <xf numFmtId="175" fontId="14" fillId="27" borderId="9" xfId="0" applyNumberFormat="1" applyFont="1" applyFill="1" applyBorder="1" applyProtection="1">
      <protection locked="0"/>
    </xf>
    <xf numFmtId="175" fontId="14" fillId="27" borderId="64" xfId="0" applyNumberFormat="1" applyFont="1" applyFill="1" applyBorder="1" applyProtection="1">
      <protection locked="0"/>
    </xf>
    <xf numFmtId="0" fontId="14" fillId="27" borderId="3" xfId="0" applyFont="1" applyFill="1" applyBorder="1" applyAlignment="1" applyProtection="1">
      <alignment vertical="top" wrapText="1"/>
      <protection locked="0"/>
    </xf>
    <xf numFmtId="0" fontId="14" fillId="27" borderId="43" xfId="0" applyFont="1" applyFill="1" applyBorder="1" applyAlignment="1" applyProtection="1">
      <alignment vertical="top" wrapText="1"/>
      <protection locked="0"/>
    </xf>
    <xf numFmtId="175" fontId="14" fillId="27" borderId="43" xfId="0" applyNumberFormat="1" applyFont="1" applyFill="1" applyBorder="1" applyAlignment="1" applyProtection="1">
      <alignment vertical="top" wrapText="1"/>
      <protection locked="0"/>
    </xf>
    <xf numFmtId="175" fontId="14" fillId="27" borderId="8" xfId="0" applyNumberFormat="1" applyFont="1" applyFill="1" applyBorder="1" applyAlignment="1" applyProtection="1">
      <alignment vertical="top" wrapText="1"/>
      <protection locked="0"/>
    </xf>
    <xf numFmtId="175" fontId="14" fillId="27" borderId="3" xfId="0" applyNumberFormat="1" applyFont="1" applyFill="1" applyBorder="1" applyAlignment="1" applyProtection="1">
      <alignment vertical="top" wrapText="1"/>
      <protection locked="0"/>
    </xf>
    <xf numFmtId="175" fontId="14" fillId="27" borderId="0" xfId="0" applyNumberFormat="1" applyFont="1" applyFill="1" applyBorder="1" applyAlignment="1" applyProtection="1">
      <alignment vertical="top" wrapText="1"/>
      <protection locked="0"/>
    </xf>
    <xf numFmtId="175" fontId="14" fillId="27" borderId="47" xfId="0" applyNumberFormat="1" applyFont="1" applyFill="1" applyBorder="1" applyAlignment="1" applyProtection="1">
      <alignment vertical="top" wrapText="1"/>
      <protection locked="0"/>
    </xf>
    <xf numFmtId="0" fontId="16" fillId="27" borderId="43" xfId="0" applyFont="1" applyFill="1" applyBorder="1" applyAlignment="1" applyProtection="1">
      <alignment horizontal="center" vertical="top" wrapText="1"/>
      <protection locked="0"/>
    </xf>
    <xf numFmtId="0" fontId="16" fillId="27" borderId="8" xfId="0" applyFont="1" applyFill="1" applyBorder="1" applyAlignment="1" applyProtection="1">
      <alignment horizontal="left" vertical="top" wrapText="1"/>
      <protection locked="0"/>
    </xf>
    <xf numFmtId="167" fontId="14" fillId="27" borderId="8" xfId="28" applyNumberFormat="1" applyFont="1" applyFill="1" applyBorder="1" applyAlignment="1" applyProtection="1">
      <alignment horizontal="center" vertical="top" wrapText="1"/>
      <protection locked="0"/>
    </xf>
    <xf numFmtId="167" fontId="14" fillId="27" borderId="1" xfId="28" applyNumberFormat="1" applyFont="1" applyFill="1" applyBorder="1" applyAlignment="1" applyProtection="1">
      <alignment horizontal="center" vertical="top" wrapText="1"/>
      <protection locked="0"/>
    </xf>
    <xf numFmtId="167" fontId="14" fillId="27" borderId="11" xfId="28" applyNumberFormat="1" applyFont="1" applyFill="1" applyBorder="1" applyAlignment="1" applyProtection="1">
      <alignment horizontal="center" vertical="top" wrapText="1"/>
      <protection locked="0"/>
    </xf>
    <xf numFmtId="0" fontId="14" fillId="27" borderId="1" xfId="0" applyFont="1" applyFill="1" applyBorder="1" applyAlignment="1" applyProtection="1">
      <alignment horizontal="left" vertical="top" wrapText="1"/>
      <protection locked="0"/>
    </xf>
    <xf numFmtId="0" fontId="14" fillId="27" borderId="8" xfId="0" applyFont="1" applyFill="1" applyBorder="1" applyAlignment="1" applyProtection="1">
      <alignment horizontal="left" vertical="top" wrapText="1"/>
      <protection locked="0"/>
    </xf>
    <xf numFmtId="0" fontId="19" fillId="27" borderId="5" xfId="0" applyFont="1" applyFill="1" applyBorder="1" applyAlignment="1" applyProtection="1">
      <alignment horizontal="left" wrapText="1"/>
      <protection locked="0"/>
    </xf>
    <xf numFmtId="0" fontId="14" fillId="27" borderId="0" xfId="0" applyFont="1" applyFill="1" applyBorder="1" applyAlignment="1" applyProtection="1">
      <alignment horizontal="left" vertical="top" wrapText="1"/>
      <protection locked="0"/>
    </xf>
    <xf numFmtId="175" fontId="14" fillId="27" borderId="78" xfId="0" applyNumberFormat="1" applyFont="1" applyFill="1" applyBorder="1" applyAlignment="1" applyProtection="1">
      <alignment vertical="top" wrapText="1"/>
      <protection locked="0"/>
    </xf>
    <xf numFmtId="175" fontId="14" fillId="27" borderId="1" xfId="0" applyNumberFormat="1" applyFont="1" applyFill="1" applyBorder="1" applyAlignment="1" applyProtection="1">
      <alignment vertical="top" wrapText="1"/>
      <protection locked="0"/>
    </xf>
    <xf numFmtId="0" fontId="16" fillId="27" borderId="5" xfId="0" applyFont="1" applyFill="1" applyBorder="1" applyAlignment="1" applyProtection="1">
      <alignment horizontal="left" vertical="top" wrapText="1"/>
      <protection locked="0"/>
    </xf>
    <xf numFmtId="0" fontId="14" fillId="27" borderId="44" xfId="0" applyFont="1" applyFill="1" applyBorder="1" applyAlignment="1" applyProtection="1">
      <alignment horizontal="left" vertical="top" wrapText="1"/>
      <protection locked="0"/>
    </xf>
    <xf numFmtId="167" fontId="14" fillId="27" borderId="49" xfId="28" applyNumberFormat="1" applyFont="1" applyFill="1" applyBorder="1" applyAlignment="1" applyProtection="1">
      <alignment horizontal="center" vertical="top" wrapText="1"/>
      <protection locked="0"/>
    </xf>
    <xf numFmtId="167" fontId="14" fillId="27" borderId="44" xfId="28" applyNumberFormat="1" applyFont="1" applyFill="1" applyBorder="1" applyAlignment="1" applyProtection="1">
      <alignment horizontal="center" vertical="top" wrapText="1"/>
      <protection locked="0"/>
    </xf>
    <xf numFmtId="0" fontId="16" fillId="27" borderId="2" xfId="0" applyFont="1" applyFill="1" applyBorder="1" applyAlignment="1" applyProtection="1">
      <alignment horizontal="left" wrapText="1" indent="1"/>
      <protection locked="0"/>
    </xf>
    <xf numFmtId="0" fontId="14" fillId="27" borderId="5" xfId="0" applyFont="1" applyFill="1" applyBorder="1" applyAlignment="1" applyProtection="1">
      <alignment horizontal="left" vertical="top" wrapText="1"/>
      <protection locked="0"/>
    </xf>
    <xf numFmtId="167" fontId="14" fillId="27" borderId="10" xfId="28" applyNumberFormat="1" applyFont="1" applyFill="1" applyBorder="1" applyAlignment="1" applyProtection="1">
      <alignment horizontal="center" vertical="top" wrapText="1"/>
      <protection locked="0"/>
    </xf>
    <xf numFmtId="167" fontId="14" fillId="27" borderId="5" xfId="28" applyNumberFormat="1" applyFont="1" applyFill="1" applyBorder="1" applyAlignment="1" applyProtection="1">
      <alignment horizontal="center" vertical="top" wrapText="1"/>
      <protection locked="0"/>
    </xf>
    <xf numFmtId="176" fontId="14" fillId="27" borderId="101" xfId="28" applyNumberFormat="1" applyFont="1" applyFill="1" applyBorder="1" applyAlignment="1" applyProtection="1">
      <alignment horizontal="center" vertical="top" wrapText="1"/>
      <protection locked="0"/>
    </xf>
    <xf numFmtId="176" fontId="14" fillId="27" borderId="43" xfId="28" applyNumberFormat="1" applyFont="1" applyFill="1" applyBorder="1" applyAlignment="1" applyProtection="1">
      <alignment horizontal="center" vertical="top" wrapText="1"/>
      <protection locked="0"/>
    </xf>
    <xf numFmtId="176" fontId="14" fillId="27" borderId="8" xfId="28" applyNumberFormat="1" applyFont="1" applyFill="1" applyBorder="1" applyAlignment="1" applyProtection="1">
      <alignment horizontal="center" vertical="top" wrapText="1"/>
      <protection locked="0"/>
    </xf>
    <xf numFmtId="176" fontId="14" fillId="27" borderId="3" xfId="28" applyNumberFormat="1" applyFont="1" applyFill="1" applyBorder="1" applyAlignment="1" applyProtection="1">
      <alignment horizontal="center" vertical="top" wrapText="1"/>
      <protection locked="0"/>
    </xf>
    <xf numFmtId="176" fontId="14" fillId="27" borderId="0" xfId="28" applyNumberFormat="1" applyFont="1" applyFill="1" applyBorder="1" applyAlignment="1" applyProtection="1">
      <alignment horizontal="center" vertical="top" wrapText="1"/>
      <protection locked="0"/>
    </xf>
    <xf numFmtId="176" fontId="14" fillId="27" borderId="45" xfId="28" applyNumberFormat="1" applyFont="1" applyFill="1" applyBorder="1" applyAlignment="1" applyProtection="1">
      <alignment horizontal="center" vertical="top" wrapText="1"/>
      <protection locked="0"/>
    </xf>
    <xf numFmtId="0" fontId="19" fillId="27" borderId="2" xfId="0" applyFont="1" applyFill="1" applyBorder="1" applyAlignment="1" applyProtection="1">
      <alignment horizontal="left" wrapText="1" indent="1"/>
      <protection locked="0"/>
    </xf>
    <xf numFmtId="176" fontId="14" fillId="27" borderId="47" xfId="28" applyNumberFormat="1" applyFont="1" applyFill="1" applyBorder="1" applyAlignment="1" applyProtection="1">
      <alignment horizontal="center" vertical="top" wrapText="1"/>
      <protection locked="0"/>
    </xf>
    <xf numFmtId="0" fontId="19" fillId="27" borderId="11" xfId="0" applyFont="1" applyFill="1" applyBorder="1" applyAlignment="1" applyProtection="1">
      <alignment horizontal="left" wrapText="1" indent="1"/>
      <protection locked="0"/>
    </xf>
    <xf numFmtId="0" fontId="14" fillId="27" borderId="7" xfId="0" applyFont="1" applyFill="1" applyBorder="1" applyAlignment="1" applyProtection="1">
      <alignment horizontal="left" vertical="top" wrapText="1"/>
      <protection locked="0"/>
    </xf>
    <xf numFmtId="176" fontId="14" fillId="27" borderId="104" xfId="28" applyNumberFormat="1" applyFont="1" applyFill="1" applyBorder="1" applyAlignment="1" applyProtection="1">
      <alignment horizontal="center" vertical="top" wrapText="1"/>
      <protection locked="0"/>
    </xf>
    <xf numFmtId="176" fontId="14" fillId="27" borderId="38" xfId="28" applyNumberFormat="1" applyFont="1" applyFill="1" applyBorder="1" applyAlignment="1" applyProtection="1">
      <alignment horizontal="center" vertical="top" wrapText="1"/>
      <protection locked="0"/>
    </xf>
    <xf numFmtId="176" fontId="14" fillId="27" borderId="7" xfId="28" applyNumberFormat="1" applyFont="1" applyFill="1" applyBorder="1" applyAlignment="1" applyProtection="1">
      <alignment horizontal="center" vertical="top" wrapText="1"/>
      <protection locked="0"/>
    </xf>
    <xf numFmtId="176" fontId="14" fillId="27" borderId="12" xfId="28" applyNumberFormat="1" applyFont="1" applyFill="1" applyBorder="1" applyAlignment="1" applyProtection="1">
      <alignment horizontal="center" vertical="top" wrapText="1"/>
      <protection locked="0"/>
    </xf>
    <xf numFmtId="176" fontId="14" fillId="27" borderId="6" xfId="28" applyNumberFormat="1" applyFont="1" applyFill="1" applyBorder="1" applyAlignment="1" applyProtection="1">
      <alignment horizontal="center" vertical="top" wrapText="1"/>
      <protection locked="0"/>
    </xf>
    <xf numFmtId="0" fontId="14" fillId="27" borderId="8" xfId="0" applyFont="1" applyFill="1" applyBorder="1" applyAlignment="1" applyProtection="1">
      <alignment horizontal="left" wrapText="1"/>
      <protection locked="0"/>
    </xf>
    <xf numFmtId="176" fontId="14" fillId="27" borderId="101" xfId="0" applyNumberFormat="1" applyFont="1" applyFill="1" applyBorder="1" applyAlignment="1" applyProtection="1">
      <alignment horizontal="center" vertical="top" wrapText="1"/>
      <protection locked="0"/>
    </xf>
    <xf numFmtId="176" fontId="14" fillId="27" borderId="43" xfId="0" applyNumberFormat="1" applyFont="1" applyFill="1" applyBorder="1" applyAlignment="1" applyProtection="1">
      <alignment horizontal="center" vertical="top" wrapText="1"/>
      <protection locked="0"/>
    </xf>
    <xf numFmtId="176" fontId="14" fillId="27" borderId="8" xfId="0" applyNumberFormat="1" applyFont="1" applyFill="1" applyBorder="1" applyAlignment="1" applyProtection="1">
      <alignment horizontal="center" vertical="top" wrapText="1"/>
      <protection locked="0"/>
    </xf>
    <xf numFmtId="176" fontId="14" fillId="27" borderId="3" xfId="0" applyNumberFormat="1" applyFont="1" applyFill="1" applyBorder="1" applyAlignment="1" applyProtection="1">
      <alignment horizontal="center" vertical="top" wrapText="1"/>
      <protection locked="0"/>
    </xf>
    <xf numFmtId="176" fontId="14" fillId="27" borderId="0" xfId="0" applyNumberFormat="1" applyFont="1" applyFill="1" applyBorder="1" applyAlignment="1" applyProtection="1">
      <alignment horizontal="center" vertical="top" wrapText="1"/>
      <protection locked="0"/>
    </xf>
    <xf numFmtId="176" fontId="14" fillId="27" borderId="47" xfId="0" applyNumberFormat="1" applyFont="1" applyFill="1" applyBorder="1" applyAlignment="1" applyProtection="1">
      <alignment horizontal="center" vertical="top" wrapText="1"/>
      <protection locked="0"/>
    </xf>
    <xf numFmtId="0" fontId="16" fillId="27" borderId="11" xfId="0" applyFont="1" applyFill="1" applyBorder="1" applyAlignment="1" applyProtection="1">
      <alignment horizontal="left" vertical="top" wrapText="1"/>
      <protection locked="0"/>
    </xf>
    <xf numFmtId="176" fontId="14" fillId="27" borderId="104" xfId="1" applyNumberFormat="1" applyFont="1" applyFill="1" applyBorder="1" applyAlignment="1" applyProtection="1">
      <alignment horizontal="center" vertical="top" wrapText="1"/>
      <protection locked="0"/>
    </xf>
    <xf numFmtId="176" fontId="14" fillId="27" borderId="38" xfId="1" applyNumberFormat="1" applyFont="1" applyFill="1" applyBorder="1" applyAlignment="1" applyProtection="1">
      <alignment horizontal="center" vertical="top" wrapText="1"/>
      <protection locked="0"/>
    </xf>
    <xf numFmtId="176" fontId="14" fillId="27" borderId="7" xfId="1" applyNumberFormat="1" applyFont="1" applyFill="1" applyBorder="1" applyAlignment="1" applyProtection="1">
      <alignment horizontal="center" vertical="top" wrapText="1"/>
      <protection locked="0"/>
    </xf>
    <xf numFmtId="176" fontId="14" fillId="27" borderId="12" xfId="1" applyNumberFormat="1" applyFont="1" applyFill="1" applyBorder="1" applyAlignment="1" applyProtection="1">
      <alignment horizontal="center" vertical="top" wrapText="1"/>
      <protection locked="0"/>
    </xf>
    <xf numFmtId="176" fontId="14" fillId="27" borderId="6" xfId="1" applyNumberFormat="1" applyFont="1" applyFill="1" applyBorder="1" applyAlignment="1" applyProtection="1">
      <alignment horizontal="center" vertical="top" wrapText="1"/>
      <protection locked="0"/>
    </xf>
    <xf numFmtId="176" fontId="14" fillId="27" borderId="45" xfId="1" applyNumberFormat="1" applyFont="1" applyFill="1" applyBorder="1" applyAlignment="1" applyProtection="1">
      <alignment horizontal="center" vertical="top" wrapText="1"/>
      <protection locked="0"/>
    </xf>
    <xf numFmtId="176" fontId="14" fillId="27" borderId="101" xfId="1" applyNumberFormat="1" applyFont="1" applyFill="1" applyBorder="1" applyAlignment="1" applyProtection="1">
      <alignment horizontal="center" vertical="top" wrapText="1"/>
      <protection locked="0"/>
    </xf>
    <xf numFmtId="176" fontId="14" fillId="27" borderId="43" xfId="1" applyNumberFormat="1" applyFont="1" applyFill="1" applyBorder="1" applyAlignment="1" applyProtection="1">
      <alignment horizontal="center" vertical="top" wrapText="1"/>
      <protection locked="0"/>
    </xf>
    <xf numFmtId="176" fontId="14" fillId="27" borderId="8" xfId="1" applyNumberFormat="1" applyFont="1" applyFill="1" applyBorder="1" applyAlignment="1" applyProtection="1">
      <alignment horizontal="center" vertical="top" wrapText="1"/>
      <protection locked="0"/>
    </xf>
    <xf numFmtId="176" fontId="14" fillId="27" borderId="3" xfId="1" applyNumberFormat="1" applyFont="1" applyFill="1" applyBorder="1" applyAlignment="1" applyProtection="1">
      <alignment horizontal="center" vertical="top" wrapText="1"/>
      <protection locked="0"/>
    </xf>
    <xf numFmtId="176" fontId="14" fillId="27" borderId="0" xfId="1" applyNumberFormat="1" applyFont="1" applyFill="1" applyBorder="1" applyAlignment="1" applyProtection="1">
      <alignment horizontal="center" vertical="top" wrapText="1"/>
      <protection locked="0"/>
    </xf>
    <xf numFmtId="176" fontId="14" fillId="27" borderId="47" xfId="1" applyNumberFormat="1" applyFont="1" applyFill="1" applyBorder="1" applyAlignment="1" applyProtection="1">
      <alignment horizontal="center" vertical="top" wrapText="1"/>
      <protection locked="0"/>
    </xf>
    <xf numFmtId="0" fontId="14" fillId="27" borderId="10" xfId="0" applyFont="1" applyFill="1" applyBorder="1" applyAlignment="1" applyProtection="1">
      <alignment horizontal="left" vertical="top" wrapText="1"/>
      <protection locked="0"/>
    </xf>
    <xf numFmtId="176" fontId="14" fillId="27" borderId="95" xfId="0" applyNumberFormat="1" applyFont="1" applyFill="1" applyBorder="1" applyAlignment="1" applyProtection="1">
      <alignment horizontal="center" vertical="top" wrapText="1"/>
      <protection locked="0"/>
    </xf>
    <xf numFmtId="176" fontId="14" fillId="27" borderId="36" xfId="0" applyNumberFormat="1" applyFont="1" applyFill="1" applyBorder="1" applyAlignment="1" applyProtection="1">
      <alignment horizontal="center" vertical="top" wrapText="1"/>
      <protection locked="0"/>
    </xf>
    <xf numFmtId="176" fontId="14" fillId="27" borderId="10" xfId="0" applyNumberFormat="1" applyFont="1" applyFill="1" applyBorder="1" applyAlignment="1" applyProtection="1">
      <alignment horizontal="center" vertical="top" wrapText="1"/>
      <protection locked="0"/>
    </xf>
    <xf numFmtId="176" fontId="14" fillId="27" borderId="4" xfId="0" applyNumberFormat="1" applyFont="1" applyFill="1" applyBorder="1" applyAlignment="1" applyProtection="1">
      <alignment horizontal="center" vertical="top" wrapText="1"/>
      <protection locked="0"/>
    </xf>
    <xf numFmtId="176" fontId="14" fillId="27" borderId="9" xfId="0" applyNumberFormat="1" applyFont="1" applyFill="1" applyBorder="1" applyAlignment="1" applyProtection="1">
      <alignment horizontal="center" vertical="top" wrapText="1"/>
      <protection locked="0"/>
    </xf>
    <xf numFmtId="176" fontId="14" fillId="27" borderId="64" xfId="0" applyNumberFormat="1" applyFont="1" applyFill="1" applyBorder="1" applyAlignment="1" applyProtection="1">
      <alignment horizontal="center" vertical="top" wrapText="1"/>
      <protection locked="0"/>
    </xf>
    <xf numFmtId="0" fontId="14" fillId="27" borderId="47" xfId="28" applyNumberFormat="1" applyFont="1" applyFill="1" applyBorder="1" applyAlignment="1" applyProtection="1">
      <alignment horizontal="center" vertical="top" wrapText="1"/>
      <protection locked="0"/>
    </xf>
    <xf numFmtId="0" fontId="14" fillId="27" borderId="43" xfId="0" applyNumberFormat="1" applyFont="1" applyFill="1" applyBorder="1" applyAlignment="1" applyProtection="1">
      <alignment horizontal="center" vertical="top" wrapText="1"/>
      <protection locked="0"/>
    </xf>
    <xf numFmtId="0" fontId="14" fillId="27" borderId="8" xfId="0" applyNumberFormat="1" applyFont="1" applyFill="1" applyBorder="1" applyAlignment="1" applyProtection="1">
      <alignment horizontal="center" vertical="top" wrapText="1"/>
      <protection locked="0"/>
    </xf>
    <xf numFmtId="0" fontId="14" fillId="27" borderId="3" xfId="0" applyNumberFormat="1" applyFont="1" applyFill="1" applyBorder="1" applyAlignment="1" applyProtection="1">
      <alignment horizontal="center" vertical="top" wrapText="1"/>
      <protection locked="0"/>
    </xf>
    <xf numFmtId="0" fontId="14" fillId="27" borderId="0" xfId="0" applyNumberFormat="1" applyFont="1" applyFill="1" applyBorder="1" applyAlignment="1" applyProtection="1">
      <alignment horizontal="center" vertical="top" wrapText="1"/>
      <protection locked="0"/>
    </xf>
    <xf numFmtId="167" fontId="14" fillId="27" borderId="47" xfId="28" applyNumberFormat="1" applyFont="1" applyFill="1" applyBorder="1" applyAlignment="1" applyProtection="1">
      <alignment horizontal="center" vertical="top" wrapText="1"/>
      <protection locked="0"/>
    </xf>
    <xf numFmtId="167" fontId="14" fillId="27" borderId="43" xfId="28" applyNumberFormat="1" applyFont="1" applyFill="1" applyBorder="1" applyAlignment="1" applyProtection="1">
      <alignment horizontal="center" vertical="top" wrapText="1"/>
      <protection locked="0"/>
    </xf>
    <xf numFmtId="167" fontId="14" fillId="27" borderId="3" xfId="28" applyNumberFormat="1" applyFont="1" applyFill="1" applyBorder="1" applyAlignment="1" applyProtection="1">
      <alignment horizontal="center" vertical="top" wrapText="1"/>
      <protection locked="0"/>
    </xf>
    <xf numFmtId="167" fontId="14" fillId="27" borderId="0" xfId="28" applyNumberFormat="1" applyFont="1" applyFill="1" applyBorder="1" applyAlignment="1" applyProtection="1">
      <alignment horizontal="center" vertical="top" wrapText="1"/>
      <protection locked="0"/>
    </xf>
    <xf numFmtId="167" fontId="14" fillId="27" borderId="47" xfId="0" applyNumberFormat="1" applyFont="1" applyFill="1" applyBorder="1" applyAlignment="1" applyProtection="1">
      <alignment horizontal="center" vertical="top" wrapText="1"/>
      <protection locked="0"/>
    </xf>
    <xf numFmtId="167" fontId="14" fillId="27" borderId="43" xfId="0" applyNumberFormat="1" applyFont="1" applyFill="1" applyBorder="1" applyAlignment="1" applyProtection="1">
      <alignment horizontal="center" vertical="top" wrapText="1"/>
      <protection locked="0"/>
    </xf>
    <xf numFmtId="167" fontId="14" fillId="27" borderId="8" xfId="0" applyNumberFormat="1" applyFont="1" applyFill="1" applyBorder="1" applyAlignment="1" applyProtection="1">
      <alignment horizontal="center" vertical="top" wrapText="1"/>
      <protection locked="0"/>
    </xf>
    <xf numFmtId="167" fontId="14" fillId="27" borderId="3" xfId="0" applyNumberFormat="1" applyFont="1" applyFill="1" applyBorder="1" applyAlignment="1" applyProtection="1">
      <alignment horizontal="center" vertical="top" wrapText="1"/>
      <protection locked="0"/>
    </xf>
    <xf numFmtId="167" fontId="14" fillId="27" borderId="0" xfId="0" applyNumberFormat="1" applyFont="1" applyFill="1" applyBorder="1" applyAlignment="1" applyProtection="1">
      <alignment horizontal="center" vertical="top" wrapText="1"/>
      <protection locked="0"/>
    </xf>
    <xf numFmtId="167" fontId="14" fillId="27" borderId="2" xfId="0" applyNumberFormat="1" applyFont="1" applyFill="1" applyBorder="1" applyAlignment="1" applyProtection="1">
      <alignment horizontal="center"/>
      <protection locked="0"/>
    </xf>
    <xf numFmtId="0" fontId="14" fillId="27" borderId="78" xfId="0" applyNumberFormat="1" applyFont="1" applyFill="1" applyBorder="1" applyAlignment="1" applyProtection="1">
      <alignment horizontal="left" vertical="top" wrapText="1"/>
      <protection locked="0"/>
    </xf>
    <xf numFmtId="175" fontId="14" fillId="27" borderId="78" xfId="1" applyNumberFormat="1" applyFont="1" applyFill="1" applyBorder="1" applyAlignment="1" applyProtection="1">
      <alignment horizontal="left" vertical="top" wrapText="1"/>
      <protection locked="0"/>
    </xf>
    <xf numFmtId="175" fontId="14" fillId="27" borderId="43" xfId="0" applyNumberFormat="1" applyFont="1" applyFill="1" applyBorder="1" applyAlignment="1" applyProtection="1">
      <alignment horizontal="center" vertical="top" wrapText="1"/>
      <protection locked="0"/>
    </xf>
    <xf numFmtId="175" fontId="14" fillId="27" borderId="68" xfId="0" applyNumberFormat="1" applyFont="1" applyFill="1" applyBorder="1" applyAlignment="1" applyProtection="1">
      <alignment horizontal="center" vertical="top" wrapText="1"/>
      <protection locked="0"/>
    </xf>
    <xf numFmtId="175" fontId="14" fillId="27" borderId="1" xfId="0" applyNumberFormat="1" applyFont="1" applyFill="1" applyBorder="1" applyAlignment="1" applyProtection="1">
      <alignment horizontal="center" vertical="top" wrapText="1"/>
      <protection locked="0"/>
    </xf>
    <xf numFmtId="175" fontId="14" fillId="27" borderId="0" xfId="0" applyNumberFormat="1" applyFont="1" applyFill="1" applyBorder="1" applyAlignment="1" applyProtection="1">
      <alignment horizontal="center" vertical="top" wrapText="1"/>
      <protection locked="0"/>
    </xf>
    <xf numFmtId="175" fontId="14" fillId="27" borderId="8" xfId="0" applyNumberFormat="1" applyFont="1" applyFill="1" applyBorder="1" applyAlignment="1" applyProtection="1">
      <alignment horizontal="center" vertical="top" wrapText="1"/>
      <protection locked="0"/>
    </xf>
    <xf numFmtId="175" fontId="14" fillId="27" borderId="3" xfId="28" applyNumberFormat="1" applyFont="1" applyFill="1" applyBorder="1" applyAlignment="1" applyProtection="1">
      <alignment horizontal="center" vertical="top" wrapText="1"/>
      <protection locked="0"/>
    </xf>
    <xf numFmtId="175" fontId="14" fillId="27" borderId="43" xfId="28" applyNumberFormat="1" applyFont="1" applyFill="1" applyBorder="1" applyAlignment="1" applyProtection="1">
      <alignment horizontal="center" vertical="top" wrapText="1"/>
      <protection locked="0"/>
    </xf>
    <xf numFmtId="175" fontId="14" fillId="27" borderId="68" xfId="28" applyNumberFormat="1" applyFont="1" applyFill="1" applyBorder="1" applyAlignment="1" applyProtection="1">
      <alignment horizontal="center" vertical="top" wrapText="1"/>
      <protection locked="0"/>
    </xf>
    <xf numFmtId="175" fontId="14" fillId="27" borderId="1" xfId="28" applyNumberFormat="1" applyFont="1" applyFill="1" applyBorder="1" applyAlignment="1" applyProtection="1">
      <alignment horizontal="center" vertical="top" wrapText="1"/>
      <protection locked="0"/>
    </xf>
    <xf numFmtId="175" fontId="14" fillId="27" borderId="0" xfId="28" applyNumberFormat="1" applyFont="1" applyFill="1" applyBorder="1" applyAlignment="1" applyProtection="1">
      <alignment horizontal="center" vertical="top" wrapText="1"/>
      <protection locked="0"/>
    </xf>
    <xf numFmtId="175" fontId="14" fillId="27" borderId="8" xfId="28" applyNumberFormat="1" applyFont="1" applyFill="1" applyBorder="1" applyAlignment="1" applyProtection="1">
      <alignment horizontal="center" vertical="top" wrapText="1"/>
      <protection locked="0"/>
    </xf>
    <xf numFmtId="0" fontId="14" fillId="27" borderId="99" xfId="0" applyNumberFormat="1" applyFont="1" applyFill="1" applyBorder="1" applyAlignment="1" applyProtection="1">
      <alignment horizontal="left" vertical="top" wrapText="1"/>
      <protection locked="0"/>
    </xf>
    <xf numFmtId="175" fontId="14" fillId="27" borderId="99" xfId="28" applyNumberFormat="1" applyFont="1" applyFill="1" applyBorder="1" applyAlignment="1" applyProtection="1">
      <alignment horizontal="center" vertical="top" wrapText="1"/>
      <protection locked="0"/>
    </xf>
    <xf numFmtId="175" fontId="14" fillId="27" borderId="69" xfId="28" applyNumberFormat="1" applyFont="1" applyFill="1" applyBorder="1" applyAlignment="1" applyProtection="1">
      <alignment horizontal="center" vertical="top" wrapText="1"/>
      <protection locked="0"/>
    </xf>
    <xf numFmtId="175" fontId="14" fillId="27" borderId="72" xfId="28" applyNumberFormat="1" applyFont="1" applyFill="1" applyBorder="1" applyAlignment="1" applyProtection="1">
      <alignment horizontal="center" vertical="top" wrapText="1"/>
      <protection locked="0"/>
    </xf>
    <xf numFmtId="175" fontId="14" fillId="27" borderId="70" xfId="28" applyNumberFormat="1" applyFont="1" applyFill="1" applyBorder="1" applyAlignment="1" applyProtection="1">
      <alignment horizontal="center" vertical="top" wrapText="1"/>
      <protection locked="0"/>
    </xf>
    <xf numFmtId="175" fontId="14" fillId="27" borderId="100" xfId="28" applyNumberFormat="1" applyFont="1" applyFill="1" applyBorder="1" applyAlignment="1" applyProtection="1">
      <alignment horizontal="center" vertical="top" wrapText="1"/>
      <protection locked="0"/>
    </xf>
    <xf numFmtId="175" fontId="14" fillId="27" borderId="74" xfId="28" applyNumberFormat="1" applyFont="1" applyFill="1" applyBorder="1" applyAlignment="1" applyProtection="1">
      <alignment horizontal="center" vertical="top" wrapText="1"/>
      <protection locked="0"/>
    </xf>
    <xf numFmtId="175" fontId="14" fillId="27" borderId="73" xfId="28" applyNumberFormat="1" applyFont="1" applyFill="1" applyBorder="1" applyAlignment="1" applyProtection="1">
      <alignment horizontal="center" vertical="top" wrapText="1"/>
      <protection locked="0"/>
    </xf>
    <xf numFmtId="0" fontId="14" fillId="27" borderId="3" xfId="0" applyNumberFormat="1" applyFont="1" applyFill="1" applyBorder="1" applyAlignment="1" applyProtection="1">
      <alignment horizontal="left" vertical="top" wrapText="1" indent="1"/>
      <protection locked="0"/>
    </xf>
    <xf numFmtId="176" fontId="14" fillId="27" borderId="78" xfId="1" applyNumberFormat="1" applyFont="1" applyFill="1" applyBorder="1" applyAlignment="1" applyProtection="1">
      <alignment horizontal="left" vertical="top" wrapText="1"/>
      <protection locked="0"/>
    </xf>
    <xf numFmtId="176" fontId="14" fillId="27" borderId="78" xfId="5" applyNumberFormat="1" applyFont="1" applyFill="1" applyBorder="1" applyAlignment="1" applyProtection="1">
      <alignment horizontal="left" vertical="top" wrapText="1"/>
      <protection locked="0"/>
    </xf>
    <xf numFmtId="176" fontId="14" fillId="27" borderId="68" xfId="28" applyNumberFormat="1" applyFont="1" applyFill="1" applyBorder="1" applyAlignment="1" applyProtection="1">
      <alignment horizontal="center" vertical="top" wrapText="1"/>
      <protection locked="0"/>
    </xf>
    <xf numFmtId="176" fontId="14" fillId="27" borderId="1" xfId="28" applyNumberFormat="1" applyFont="1" applyFill="1" applyBorder="1" applyAlignment="1" applyProtection="1">
      <alignment horizontal="center" vertical="top" wrapText="1"/>
      <protection locked="0"/>
    </xf>
    <xf numFmtId="0" fontId="14" fillId="27" borderId="69" xfId="0" applyNumberFormat="1" applyFont="1" applyFill="1" applyBorder="1" applyAlignment="1" applyProtection="1">
      <alignment horizontal="left" vertical="top" wrapText="1" indent="1"/>
      <protection locked="0"/>
    </xf>
    <xf numFmtId="176" fontId="14" fillId="27" borderId="99" xfId="1" applyNumberFormat="1" applyFont="1" applyFill="1" applyBorder="1" applyAlignment="1" applyProtection="1">
      <alignment horizontal="left" vertical="top" wrapText="1"/>
      <protection locked="0"/>
    </xf>
    <xf numFmtId="176" fontId="14" fillId="27" borderId="99" xfId="5" applyNumberFormat="1" applyFont="1" applyFill="1" applyBorder="1" applyAlignment="1" applyProtection="1">
      <alignment horizontal="left" vertical="top" wrapText="1"/>
      <protection locked="0"/>
    </xf>
    <xf numFmtId="176" fontId="14" fillId="27" borderId="69" xfId="0" applyNumberFormat="1" applyFont="1" applyFill="1" applyBorder="1" applyAlignment="1" applyProtection="1">
      <alignment horizontal="center" vertical="top" wrapText="1"/>
      <protection locked="0"/>
    </xf>
    <xf numFmtId="176" fontId="14" fillId="27" borderId="72" xfId="0" applyNumberFormat="1" applyFont="1" applyFill="1" applyBorder="1" applyAlignment="1" applyProtection="1">
      <alignment horizontal="center" vertical="top" wrapText="1"/>
      <protection locked="0"/>
    </xf>
    <xf numFmtId="176" fontId="14" fillId="27" borderId="70" xfId="0" applyNumberFormat="1" applyFont="1" applyFill="1" applyBorder="1" applyAlignment="1" applyProtection="1">
      <alignment horizontal="center" vertical="top" wrapText="1"/>
      <protection locked="0"/>
    </xf>
    <xf numFmtId="176" fontId="14" fillId="27" borderId="100" xfId="0" applyNumberFormat="1" applyFont="1" applyFill="1" applyBorder="1" applyAlignment="1" applyProtection="1">
      <alignment horizontal="center" vertical="top" wrapText="1"/>
      <protection locked="0"/>
    </xf>
    <xf numFmtId="176" fontId="14" fillId="27" borderId="74" xfId="0" applyNumberFormat="1" applyFont="1" applyFill="1" applyBorder="1" applyAlignment="1" applyProtection="1">
      <alignment horizontal="center" vertical="top" wrapText="1"/>
      <protection locked="0"/>
    </xf>
    <xf numFmtId="176" fontId="14" fillId="27" borderId="73" xfId="0" applyNumberFormat="1" applyFont="1" applyFill="1" applyBorder="1" applyAlignment="1" applyProtection="1">
      <alignment horizontal="center" vertical="top" wrapText="1"/>
      <protection locked="0"/>
    </xf>
    <xf numFmtId="164" fontId="14" fillId="27" borderId="78" xfId="1" applyNumberFormat="1" applyFont="1" applyFill="1" applyBorder="1" applyAlignment="1" applyProtection="1">
      <alignment horizontal="left" vertical="top" wrapText="1"/>
      <protection locked="0"/>
    </xf>
    <xf numFmtId="2" fontId="14" fillId="27" borderId="3" xfId="1" applyNumberFormat="1" applyFont="1" applyFill="1" applyBorder="1" applyAlignment="1" applyProtection="1">
      <alignment horizontal="center" vertical="top" wrapText="1"/>
      <protection locked="0"/>
    </xf>
    <xf numFmtId="2" fontId="14" fillId="27" borderId="43" xfId="1" applyNumberFormat="1" applyFont="1" applyFill="1" applyBorder="1" applyAlignment="1" applyProtection="1">
      <alignment horizontal="center" vertical="top" wrapText="1"/>
      <protection locked="0"/>
    </xf>
    <xf numFmtId="2" fontId="14" fillId="27" borderId="68" xfId="1" applyNumberFormat="1" applyFont="1" applyFill="1" applyBorder="1" applyAlignment="1" applyProtection="1">
      <alignment horizontal="center" vertical="top" wrapText="1"/>
      <protection locked="0"/>
    </xf>
    <xf numFmtId="2" fontId="14" fillId="27" borderId="1" xfId="1" applyNumberFormat="1" applyFont="1" applyFill="1" applyBorder="1" applyAlignment="1" applyProtection="1">
      <alignment horizontal="center" vertical="top" wrapText="1"/>
      <protection locked="0"/>
    </xf>
    <xf numFmtId="2" fontId="14" fillId="27" borderId="0" xfId="1" applyNumberFormat="1" applyFont="1" applyFill="1" applyBorder="1" applyAlignment="1" applyProtection="1">
      <alignment horizontal="center" vertical="top" wrapText="1"/>
      <protection locked="0"/>
    </xf>
    <xf numFmtId="2" fontId="14" fillId="27" borderId="8" xfId="1" applyNumberFormat="1" applyFont="1" applyFill="1" applyBorder="1" applyAlignment="1" applyProtection="1">
      <alignment horizontal="center" vertical="top" wrapText="1"/>
      <protection locked="0"/>
    </xf>
    <xf numFmtId="164" fontId="14" fillId="27" borderId="99" xfId="1" applyNumberFormat="1" applyFont="1" applyFill="1" applyBorder="1" applyAlignment="1" applyProtection="1">
      <alignment horizontal="left" vertical="top" wrapText="1"/>
      <protection locked="0"/>
    </xf>
    <xf numFmtId="164" fontId="14" fillId="27" borderId="72" xfId="1" applyNumberFormat="1" applyFont="1" applyFill="1" applyBorder="1" applyProtection="1">
      <protection locked="0"/>
    </xf>
    <xf numFmtId="164" fontId="14" fillId="27" borderId="70" xfId="1" applyNumberFormat="1" applyFont="1" applyFill="1" applyBorder="1" applyProtection="1">
      <protection locked="0"/>
    </xf>
    <xf numFmtId="164" fontId="14" fillId="27" borderId="100" xfId="1" applyNumberFormat="1" applyFont="1" applyFill="1" applyBorder="1" applyProtection="1">
      <protection locked="0"/>
    </xf>
    <xf numFmtId="164" fontId="14" fillId="27" borderId="119" xfId="1" applyNumberFormat="1" applyFont="1" applyFill="1" applyBorder="1" applyProtection="1">
      <protection locked="0"/>
    </xf>
    <xf numFmtId="164" fontId="14" fillId="27" borderId="99" xfId="1" applyNumberFormat="1" applyFont="1" applyFill="1" applyBorder="1" applyProtection="1">
      <protection locked="0"/>
    </xf>
    <xf numFmtId="164" fontId="14" fillId="27" borderId="3" xfId="1" applyNumberFormat="1" applyFont="1" applyFill="1" applyBorder="1" applyAlignment="1" applyProtection="1">
      <alignment horizontal="center" vertical="top" wrapText="1"/>
      <protection locked="0"/>
    </xf>
    <xf numFmtId="164" fontId="14" fillId="27" borderId="43" xfId="1" applyNumberFormat="1" applyFont="1" applyFill="1" applyBorder="1" applyAlignment="1" applyProtection="1">
      <alignment horizontal="center" vertical="top" wrapText="1"/>
      <protection locked="0"/>
    </xf>
    <xf numFmtId="164" fontId="14" fillId="27" borderId="68" xfId="1" applyNumberFormat="1" applyFont="1" applyFill="1" applyBorder="1" applyAlignment="1" applyProtection="1">
      <alignment horizontal="center" vertical="top" wrapText="1"/>
      <protection locked="0"/>
    </xf>
    <xf numFmtId="164" fontId="14" fillId="27" borderId="1" xfId="1" applyNumberFormat="1" applyFont="1" applyFill="1" applyBorder="1" applyAlignment="1" applyProtection="1">
      <alignment horizontal="center" vertical="top" wrapText="1"/>
      <protection locked="0"/>
    </xf>
    <xf numFmtId="164" fontId="14" fillId="27" borderId="0" xfId="1" applyNumberFormat="1" applyFont="1" applyFill="1" applyBorder="1" applyAlignment="1" applyProtection="1">
      <alignment horizontal="center" vertical="top" wrapText="1"/>
      <protection locked="0"/>
    </xf>
    <xf numFmtId="164" fontId="14" fillId="27" borderId="8" xfId="1" applyNumberFormat="1" applyFont="1" applyFill="1" applyBorder="1" applyAlignment="1" applyProtection="1">
      <alignment horizontal="center" vertical="top" wrapText="1"/>
      <protection locked="0"/>
    </xf>
    <xf numFmtId="164" fontId="14" fillId="27" borderId="100" xfId="1" applyNumberFormat="1" applyFont="1" applyFill="1" applyBorder="1" applyAlignment="1" applyProtection="1">
      <alignment horizontal="left" vertical="top" wrapText="1"/>
      <protection locked="0"/>
    </xf>
    <xf numFmtId="164" fontId="14" fillId="27" borderId="69" xfId="1" applyNumberFormat="1" applyFont="1" applyFill="1" applyBorder="1" applyAlignment="1" applyProtection="1">
      <alignment horizontal="center" vertical="top" wrapText="1"/>
      <protection locked="0"/>
    </xf>
    <xf numFmtId="164" fontId="14" fillId="27" borderId="72" xfId="1" applyNumberFormat="1" applyFont="1" applyFill="1" applyBorder="1" applyAlignment="1" applyProtection="1">
      <alignment horizontal="center" vertical="top" wrapText="1"/>
      <protection locked="0"/>
    </xf>
    <xf numFmtId="164" fontId="14" fillId="27" borderId="70" xfId="1" applyNumberFormat="1" applyFont="1" applyFill="1" applyBorder="1" applyAlignment="1" applyProtection="1">
      <alignment horizontal="center" vertical="top" wrapText="1"/>
      <protection locked="0"/>
    </xf>
    <xf numFmtId="164" fontId="14" fillId="27" borderId="100" xfId="1" applyNumberFormat="1" applyFont="1" applyFill="1" applyBorder="1" applyAlignment="1" applyProtection="1">
      <alignment horizontal="center" vertical="top" wrapText="1"/>
      <protection locked="0"/>
    </xf>
    <xf numFmtId="164" fontId="14" fillId="27" borderId="74" xfId="1" applyNumberFormat="1" applyFont="1" applyFill="1" applyBorder="1" applyAlignment="1" applyProtection="1">
      <alignment horizontal="center" vertical="top" wrapText="1"/>
      <protection locked="0"/>
    </xf>
    <xf numFmtId="164" fontId="14" fillId="27" borderId="73" xfId="1" applyNumberFormat="1" applyFont="1" applyFill="1" applyBorder="1" applyAlignment="1" applyProtection="1">
      <alignment horizontal="center" vertical="top" wrapText="1"/>
      <protection locked="0"/>
    </xf>
    <xf numFmtId="0" fontId="16" fillId="27" borderId="3" xfId="0" applyNumberFormat="1" applyFont="1" applyFill="1" applyBorder="1" applyAlignment="1" applyProtection="1">
      <alignment horizontal="left" vertical="top" wrapText="1" indent="1"/>
      <protection locked="0"/>
    </xf>
    <xf numFmtId="164" fontId="14" fillId="27" borderId="1" xfId="1" applyNumberFormat="1" applyFont="1" applyFill="1" applyBorder="1" applyAlignment="1" applyProtection="1">
      <alignment horizontal="left" vertical="top" wrapText="1"/>
      <protection locked="0"/>
    </xf>
    <xf numFmtId="0" fontId="16" fillId="27" borderId="69" xfId="0" applyNumberFormat="1" applyFont="1" applyFill="1" applyBorder="1" applyAlignment="1" applyProtection="1">
      <alignment horizontal="left" vertical="top" wrapText="1" indent="1"/>
      <protection locked="0"/>
    </xf>
    <xf numFmtId="164" fontId="14" fillId="27" borderId="88" xfId="1" applyNumberFormat="1" applyFont="1" applyFill="1" applyBorder="1" applyAlignment="1" applyProtection="1">
      <alignment horizontal="left" vertical="top" wrapText="1"/>
      <protection locked="0"/>
    </xf>
    <xf numFmtId="164" fontId="14" fillId="27" borderId="87" xfId="1" applyNumberFormat="1" applyFont="1" applyFill="1" applyBorder="1" applyAlignment="1" applyProtection="1">
      <alignment horizontal="left" vertical="top" wrapText="1"/>
      <protection locked="0"/>
    </xf>
    <xf numFmtId="164" fontId="14" fillId="27" borderId="62" xfId="1" applyNumberFormat="1" applyFont="1" applyFill="1" applyBorder="1" applyAlignment="1" applyProtection="1">
      <alignment horizontal="center" vertical="top" wrapText="1"/>
      <protection locked="0"/>
    </xf>
    <xf numFmtId="164" fontId="14" fillId="27" borderId="60" xfId="1" applyNumberFormat="1" applyFont="1" applyFill="1" applyBorder="1" applyAlignment="1" applyProtection="1">
      <alignment horizontal="center" vertical="top" wrapText="1"/>
      <protection locked="0"/>
    </xf>
    <xf numFmtId="164" fontId="14" fillId="27" borderId="103" xfId="1" applyNumberFormat="1" applyFont="1" applyFill="1" applyBorder="1" applyAlignment="1" applyProtection="1">
      <alignment horizontal="center" vertical="top" wrapText="1"/>
      <protection locked="0"/>
    </xf>
    <xf numFmtId="164" fontId="14" fillId="27" borderId="88" xfId="1" applyNumberFormat="1" applyFont="1" applyFill="1" applyBorder="1" applyAlignment="1" applyProtection="1">
      <alignment horizontal="center" vertical="top" wrapText="1"/>
      <protection locked="0"/>
    </xf>
    <xf numFmtId="164" fontId="14" fillId="27" borderId="59" xfId="1" applyNumberFormat="1" applyFont="1" applyFill="1" applyBorder="1" applyAlignment="1" applyProtection="1">
      <alignment horizontal="center" vertical="top" wrapText="1"/>
      <protection locked="0"/>
    </xf>
    <xf numFmtId="164" fontId="14" fillId="27" borderId="61" xfId="1" applyNumberFormat="1" applyFont="1" applyFill="1" applyBorder="1" applyAlignment="1" applyProtection="1">
      <alignment horizontal="center" vertical="top" wrapText="1"/>
      <protection locked="0"/>
    </xf>
    <xf numFmtId="167" fontId="14" fillId="27" borderId="68" xfId="0" applyNumberFormat="1" applyFont="1" applyFill="1" applyBorder="1" applyAlignment="1" applyProtection="1">
      <alignment horizontal="center" vertical="top" wrapText="1"/>
      <protection locked="0"/>
    </xf>
    <xf numFmtId="167" fontId="14" fillId="27" borderId="1" xfId="0" applyNumberFormat="1" applyFont="1" applyFill="1" applyBorder="1" applyAlignment="1" applyProtection="1">
      <alignment horizontal="center" vertical="top" wrapText="1"/>
      <protection locked="0"/>
    </xf>
    <xf numFmtId="167" fontId="14" fillId="27" borderId="3" xfId="1" applyNumberFormat="1" applyFont="1" applyFill="1" applyBorder="1" applyAlignment="1" applyProtection="1">
      <alignment horizontal="center" vertical="top" wrapText="1"/>
      <protection locked="0"/>
    </xf>
    <xf numFmtId="167" fontId="14" fillId="27" borderId="43" xfId="1" applyNumberFormat="1" applyFont="1" applyFill="1" applyBorder="1" applyAlignment="1" applyProtection="1">
      <alignment horizontal="center" vertical="top" wrapText="1"/>
      <protection locked="0"/>
    </xf>
    <xf numFmtId="167" fontId="14" fillId="27" borderId="68" xfId="1" applyNumberFormat="1" applyFont="1" applyFill="1" applyBorder="1" applyAlignment="1" applyProtection="1">
      <alignment horizontal="center" vertical="top" wrapText="1"/>
      <protection locked="0"/>
    </xf>
    <xf numFmtId="167" fontId="14" fillId="27" borderId="0" xfId="1" applyNumberFormat="1" applyFont="1" applyFill="1" applyBorder="1" applyAlignment="1" applyProtection="1">
      <alignment horizontal="center" vertical="top" wrapText="1"/>
      <protection locked="0"/>
    </xf>
    <xf numFmtId="167" fontId="14" fillId="27" borderId="8" xfId="1" applyNumberFormat="1" applyFont="1" applyFill="1" applyBorder="1" applyAlignment="1" applyProtection="1">
      <alignment horizontal="center" vertical="top" wrapText="1"/>
      <protection locked="0"/>
    </xf>
    <xf numFmtId="0" fontId="19" fillId="27" borderId="0" xfId="0" applyFont="1" applyFill="1" applyProtection="1">
      <protection locked="0"/>
    </xf>
    <xf numFmtId="0" fontId="16" fillId="27" borderId="0" xfId="0" applyNumberFormat="1" applyFont="1" applyFill="1" applyBorder="1" applyAlignment="1" applyProtection="1">
      <alignment horizontal="center"/>
      <protection locked="0"/>
    </xf>
    <xf numFmtId="0" fontId="14" fillId="27" borderId="0" xfId="0" applyNumberFormat="1" applyFont="1" applyFill="1" applyBorder="1" applyAlignment="1" applyProtection="1">
      <alignment horizontal="center"/>
      <protection locked="0"/>
    </xf>
    <xf numFmtId="0" fontId="14" fillId="27" borderId="43" xfId="0" applyNumberFormat="1" applyFont="1" applyFill="1" applyBorder="1" applyAlignment="1" applyProtection="1">
      <alignment horizontal="center"/>
      <protection locked="0"/>
    </xf>
    <xf numFmtId="0" fontId="14" fillId="27" borderId="78" xfId="0" applyNumberFormat="1" applyFont="1" applyFill="1" applyBorder="1" applyAlignment="1" applyProtection="1">
      <alignment horizontal="center"/>
      <protection locked="0"/>
    </xf>
    <xf numFmtId="0" fontId="14" fillId="27" borderId="8" xfId="0" applyNumberFormat="1" applyFont="1" applyFill="1" applyBorder="1" applyAlignment="1" applyProtection="1">
      <alignment horizontal="center"/>
      <protection locked="0"/>
    </xf>
    <xf numFmtId="176" fontId="16" fillId="27" borderId="43" xfId="0" applyNumberFormat="1" applyFont="1" applyFill="1" applyBorder="1" applyAlignment="1" applyProtection="1">
      <protection locked="0"/>
    </xf>
    <xf numFmtId="176" fontId="16" fillId="27" borderId="78" xfId="0" applyNumberFormat="1" applyFont="1" applyFill="1" applyBorder="1" applyAlignment="1" applyProtection="1">
      <protection locked="0"/>
    </xf>
    <xf numFmtId="176" fontId="14" fillId="27" borderId="0" xfId="1" applyNumberFormat="1" applyFont="1" applyFill="1" applyBorder="1" applyAlignment="1" applyProtection="1">
      <protection locked="0"/>
    </xf>
    <xf numFmtId="176" fontId="16" fillId="27" borderId="8" xfId="0" applyNumberFormat="1" applyFont="1" applyFill="1" applyBorder="1" applyAlignment="1" applyProtection="1">
      <protection locked="0"/>
    </xf>
    <xf numFmtId="176" fontId="14" fillId="27" borderId="43" xfId="0" applyNumberFormat="1" applyFont="1" applyFill="1" applyBorder="1" applyAlignment="1" applyProtection="1">
      <protection locked="0"/>
    </xf>
    <xf numFmtId="176" fontId="14" fillId="27" borderId="78" xfId="0" applyNumberFormat="1" applyFont="1" applyFill="1" applyBorder="1" applyAlignment="1" applyProtection="1">
      <protection locked="0"/>
    </xf>
    <xf numFmtId="176" fontId="14" fillId="27" borderId="8" xfId="0" applyNumberFormat="1" applyFont="1" applyFill="1" applyBorder="1" applyAlignment="1" applyProtection="1">
      <protection locked="0"/>
    </xf>
    <xf numFmtId="14" fontId="14" fillId="27" borderId="43" xfId="0" applyNumberFormat="1" applyFont="1" applyFill="1" applyBorder="1" applyAlignment="1" applyProtection="1">
      <alignment horizontal="center"/>
      <protection locked="0"/>
    </xf>
    <xf numFmtId="14" fontId="14" fillId="27" borderId="8" xfId="0" applyNumberFormat="1" applyFont="1" applyFill="1" applyBorder="1" applyAlignment="1" applyProtection="1">
      <alignment horizontal="center"/>
      <protection locked="0"/>
    </xf>
    <xf numFmtId="14" fontId="14" fillId="27" borderId="3" xfId="0" applyNumberFormat="1" applyFont="1" applyFill="1" applyBorder="1" applyAlignment="1" applyProtection="1">
      <alignment horizontal="center"/>
      <protection locked="0"/>
    </xf>
    <xf numFmtId="0" fontId="16" fillId="27" borderId="43" xfId="0" applyNumberFormat="1" applyFont="1" applyFill="1" applyBorder="1" applyAlignment="1" applyProtection="1">
      <alignment horizontal="center"/>
      <protection locked="0"/>
    </xf>
    <xf numFmtId="0" fontId="16" fillId="27" borderId="8" xfId="0" applyNumberFormat="1" applyFont="1" applyFill="1" applyBorder="1" applyAlignment="1" applyProtection="1">
      <alignment horizontal="center"/>
      <protection locked="0"/>
    </xf>
    <xf numFmtId="0" fontId="16" fillId="27" borderId="3" xfId="0" applyNumberFormat="1" applyFont="1" applyFill="1" applyBorder="1" applyAlignment="1" applyProtection="1">
      <alignment horizontal="center"/>
      <protection locked="0"/>
    </xf>
    <xf numFmtId="0" fontId="14" fillId="27" borderId="3" xfId="0" applyNumberFormat="1" applyFont="1" applyFill="1" applyBorder="1" applyAlignment="1" applyProtection="1">
      <alignment horizontal="center"/>
      <protection locked="0"/>
    </xf>
    <xf numFmtId="176" fontId="16" fillId="27" borderId="43" xfId="1" applyNumberFormat="1" applyFont="1" applyFill="1" applyBorder="1" applyAlignment="1" applyProtection="1">
      <protection locked="0"/>
    </xf>
    <xf numFmtId="176" fontId="16" fillId="27" borderId="8" xfId="1" applyNumberFormat="1" applyFont="1" applyFill="1" applyBorder="1" applyAlignment="1" applyProtection="1">
      <protection locked="0"/>
    </xf>
    <xf numFmtId="176" fontId="14" fillId="27" borderId="3" xfId="1" applyNumberFormat="1" applyFont="1" applyFill="1" applyBorder="1" applyAlignment="1" applyProtection="1">
      <protection locked="0"/>
    </xf>
    <xf numFmtId="176" fontId="14" fillId="27" borderId="43" xfId="1" applyNumberFormat="1" applyFont="1" applyFill="1" applyBorder="1" applyAlignment="1" applyProtection="1">
      <protection locked="0"/>
    </xf>
    <xf numFmtId="176" fontId="14" fillId="27" borderId="8" xfId="1" applyNumberFormat="1" applyFont="1" applyFill="1" applyBorder="1" applyAlignment="1" applyProtection="1">
      <protection locked="0"/>
    </xf>
    <xf numFmtId="174" fontId="14" fillId="27" borderId="43" xfId="1" applyNumberFormat="1" applyFont="1" applyFill="1" applyBorder="1" applyProtection="1">
      <protection locked="0"/>
    </xf>
    <xf numFmtId="174" fontId="14" fillId="27" borderId="8" xfId="1" applyNumberFormat="1" applyFont="1" applyFill="1" applyBorder="1" applyProtection="1">
      <protection locked="0"/>
    </xf>
    <xf numFmtId="174" fontId="14" fillId="27" borderId="3" xfId="1" applyNumberFormat="1" applyFont="1" applyFill="1" applyBorder="1" applyProtection="1">
      <protection locked="0"/>
    </xf>
    <xf numFmtId="176" fontId="14" fillId="27" borderId="78" xfId="1" applyNumberFormat="1" applyFont="1" applyFill="1" applyBorder="1" applyAlignment="1" applyProtection="1">
      <protection locked="0"/>
    </xf>
    <xf numFmtId="174" fontId="14" fillId="27" borderId="78" xfId="1" applyNumberFormat="1" applyFont="1" applyFill="1" applyBorder="1" applyProtection="1">
      <protection locked="0"/>
    </xf>
    <xf numFmtId="174" fontId="14" fillId="27" borderId="0" xfId="1" applyNumberFormat="1" applyFont="1" applyFill="1" applyBorder="1" applyProtection="1">
      <protection locked="0"/>
    </xf>
    <xf numFmtId="174" fontId="14" fillId="27" borderId="43" xfId="0" applyNumberFormat="1" applyFont="1" applyFill="1" applyBorder="1" applyProtection="1">
      <protection locked="0"/>
    </xf>
    <xf numFmtId="174" fontId="14" fillId="27" borderId="8" xfId="0" applyNumberFormat="1" applyFont="1" applyFill="1" applyBorder="1" applyProtection="1">
      <protection locked="0"/>
    </xf>
    <xf numFmtId="174" fontId="14" fillId="27" borderId="3" xfId="0" applyNumberFormat="1" applyFont="1" applyFill="1" applyBorder="1" applyProtection="1">
      <protection locked="0"/>
    </xf>
    <xf numFmtId="174" fontId="14" fillId="27" borderId="78" xfId="0" applyNumberFormat="1" applyFont="1" applyFill="1" applyBorder="1" applyProtection="1">
      <protection locked="0"/>
    </xf>
    <xf numFmtId="174" fontId="14" fillId="27" borderId="0" xfId="0" applyNumberFormat="1" applyFont="1" applyFill="1" applyBorder="1" applyProtection="1">
      <protection locked="0"/>
    </xf>
    <xf numFmtId="43" fontId="14" fillId="27" borderId="43" xfId="1" applyFont="1" applyFill="1" applyBorder="1" applyProtection="1">
      <protection locked="0"/>
    </xf>
    <xf numFmtId="43" fontId="14" fillId="27" borderId="8" xfId="1" applyFont="1" applyFill="1" applyBorder="1" applyProtection="1">
      <protection locked="0"/>
    </xf>
    <xf numFmtId="43" fontId="14" fillId="27" borderId="3" xfId="1" applyFont="1" applyFill="1" applyBorder="1" applyProtection="1">
      <protection locked="0"/>
    </xf>
    <xf numFmtId="43" fontId="14" fillId="27" borderId="78" xfId="1" applyFont="1" applyFill="1" applyBorder="1" applyProtection="1">
      <protection locked="0"/>
    </xf>
    <xf numFmtId="43" fontId="14" fillId="27" borderId="0" xfId="1" applyFont="1" applyFill="1" applyBorder="1" applyProtection="1">
      <protection locked="0"/>
    </xf>
    <xf numFmtId="170" fontId="14" fillId="27" borderId="43" xfId="0" applyNumberFormat="1" applyFont="1" applyFill="1" applyBorder="1" applyAlignment="1" applyProtection="1">
      <alignment horizontal="center"/>
      <protection locked="0"/>
    </xf>
    <xf numFmtId="170" fontId="14" fillId="27" borderId="8" xfId="0" applyNumberFormat="1" applyFont="1" applyFill="1" applyBorder="1" applyAlignment="1" applyProtection="1">
      <alignment horizontal="center"/>
      <protection locked="0"/>
    </xf>
    <xf numFmtId="170" fontId="14" fillId="27" borderId="3" xfId="0" applyNumberFormat="1" applyFont="1" applyFill="1" applyBorder="1" applyAlignment="1" applyProtection="1">
      <alignment horizontal="center"/>
      <protection locked="0"/>
    </xf>
    <xf numFmtId="170" fontId="14" fillId="27" borderId="0" xfId="0" applyNumberFormat="1" applyFont="1" applyFill="1" applyBorder="1" applyAlignment="1" applyProtection="1">
      <alignment horizontal="center"/>
      <protection locked="0"/>
    </xf>
    <xf numFmtId="170" fontId="14" fillId="27" borderId="43" xfId="28" applyNumberFormat="1" applyFont="1" applyFill="1" applyBorder="1" applyAlignment="1" applyProtection="1">
      <alignment horizontal="center"/>
      <protection locked="0"/>
    </xf>
    <xf numFmtId="170" fontId="14" fillId="27" borderId="8" xfId="28" applyNumberFormat="1" applyFont="1" applyFill="1" applyBorder="1" applyAlignment="1" applyProtection="1">
      <alignment horizontal="center"/>
      <protection locked="0"/>
    </xf>
    <xf numFmtId="170" fontId="14" fillId="27" borderId="3" xfId="28" applyNumberFormat="1" applyFont="1" applyFill="1" applyBorder="1" applyAlignment="1" applyProtection="1">
      <alignment horizontal="center"/>
      <protection locked="0"/>
    </xf>
    <xf numFmtId="170" fontId="14" fillId="27" borderId="78" xfId="28" applyNumberFormat="1" applyFont="1" applyFill="1" applyBorder="1" applyAlignment="1" applyProtection="1">
      <alignment horizontal="center"/>
      <protection locked="0"/>
    </xf>
    <xf numFmtId="170" fontId="14" fillId="27" borderId="0" xfId="28" applyNumberFormat="1" applyFont="1" applyFill="1" applyBorder="1" applyAlignment="1" applyProtection="1">
      <alignment horizontal="center"/>
      <protection locked="0"/>
    </xf>
    <xf numFmtId="175" fontId="14" fillId="27" borderId="43" xfId="28" applyNumberFormat="1" applyFont="1" applyFill="1" applyBorder="1" applyAlignment="1" applyProtection="1">
      <alignment horizontal="center"/>
      <protection locked="0"/>
    </xf>
    <xf numFmtId="175" fontId="14" fillId="27" borderId="8" xfId="28" applyNumberFormat="1" applyFont="1" applyFill="1" applyBorder="1" applyAlignment="1" applyProtection="1">
      <alignment horizontal="center"/>
      <protection locked="0"/>
    </xf>
    <xf numFmtId="175" fontId="14" fillId="27" borderId="3" xfId="28" applyNumberFormat="1" applyFont="1" applyFill="1" applyBorder="1" applyAlignment="1" applyProtection="1">
      <alignment horizontal="center"/>
      <protection locked="0"/>
    </xf>
    <xf numFmtId="175" fontId="14" fillId="27" borderId="78" xfId="28" applyNumberFormat="1" applyFont="1" applyFill="1" applyBorder="1" applyAlignment="1" applyProtection="1">
      <alignment horizontal="center"/>
      <protection locked="0"/>
    </xf>
    <xf numFmtId="175" fontId="14" fillId="27" borderId="0" xfId="28" applyNumberFormat="1" applyFont="1" applyFill="1" applyBorder="1" applyAlignment="1" applyProtection="1">
      <alignment horizontal="center"/>
      <protection locked="0"/>
    </xf>
    <xf numFmtId="175" fontId="14" fillId="27" borderId="46" xfId="28" applyNumberFormat="1" applyFont="1" applyFill="1" applyBorder="1" applyAlignment="1" applyProtection="1">
      <alignment horizontal="center"/>
      <protection locked="0"/>
    </xf>
    <xf numFmtId="175" fontId="14" fillId="27" borderId="49" xfId="28" applyNumberFormat="1" applyFont="1" applyFill="1" applyBorder="1" applyAlignment="1" applyProtection="1">
      <alignment horizontal="center"/>
      <protection locked="0"/>
    </xf>
    <xf numFmtId="175" fontId="14" fillId="27" borderId="50" xfId="28" applyNumberFormat="1" applyFont="1" applyFill="1" applyBorder="1" applyAlignment="1" applyProtection="1">
      <alignment horizontal="center"/>
      <protection locked="0"/>
    </xf>
    <xf numFmtId="175" fontId="14" fillId="27" borderId="80" xfId="28" applyNumberFormat="1" applyFont="1" applyFill="1" applyBorder="1" applyAlignment="1" applyProtection="1">
      <alignment horizontal="center"/>
      <protection locked="0"/>
    </xf>
    <xf numFmtId="175" fontId="14" fillId="27" borderId="48" xfId="28" applyNumberFormat="1" applyFont="1" applyFill="1" applyBorder="1" applyAlignment="1" applyProtection="1">
      <alignment horizontal="center"/>
      <protection locked="0"/>
    </xf>
    <xf numFmtId="175" fontId="14" fillId="27" borderId="49" xfId="0" applyNumberFormat="1" applyFont="1" applyFill="1" applyBorder="1" applyProtection="1">
      <protection locked="0"/>
    </xf>
    <xf numFmtId="175" fontId="14" fillId="27" borderId="72" xfId="28" applyNumberFormat="1" applyFont="1" applyFill="1" applyBorder="1" applyAlignment="1" applyProtection="1">
      <alignment horizontal="center"/>
      <protection locked="0"/>
    </xf>
    <xf numFmtId="175" fontId="14" fillId="27" borderId="73" xfId="28" applyNumberFormat="1" applyFont="1" applyFill="1" applyBorder="1" applyAlignment="1" applyProtection="1">
      <alignment horizontal="center"/>
      <protection locked="0"/>
    </xf>
    <xf numFmtId="175" fontId="14" fillId="27" borderId="69" xfId="28" applyNumberFormat="1" applyFont="1" applyFill="1" applyBorder="1" applyAlignment="1" applyProtection="1">
      <alignment horizontal="center"/>
      <protection locked="0"/>
    </xf>
    <xf numFmtId="175" fontId="14" fillId="27" borderId="99" xfId="28" applyNumberFormat="1" applyFont="1" applyFill="1" applyBorder="1" applyAlignment="1" applyProtection="1">
      <alignment horizontal="center"/>
      <protection locked="0"/>
    </xf>
    <xf numFmtId="175" fontId="14" fillId="27" borderId="74" xfId="28" applyNumberFormat="1" applyFont="1" applyFill="1" applyBorder="1" applyAlignment="1" applyProtection="1">
      <alignment horizontal="center"/>
      <protection locked="0"/>
    </xf>
    <xf numFmtId="176" fontId="14" fillId="27" borderId="78" xfId="1" applyNumberFormat="1" applyFont="1" applyFill="1" applyBorder="1" applyProtection="1">
      <protection locked="0"/>
    </xf>
    <xf numFmtId="176" fontId="14" fillId="27" borderId="78" xfId="0" applyNumberFormat="1" applyFont="1" applyFill="1" applyBorder="1" applyProtection="1">
      <protection locked="0"/>
    </xf>
    <xf numFmtId="0" fontId="14" fillId="27" borderId="43" xfId="1" applyNumberFormat="1" applyFont="1" applyFill="1" applyBorder="1" applyAlignment="1" applyProtection="1">
      <alignment horizontal="center"/>
      <protection locked="0"/>
    </xf>
    <xf numFmtId="0" fontId="14" fillId="27" borderId="78" xfId="1" applyNumberFormat="1" applyFont="1" applyFill="1" applyBorder="1" applyAlignment="1" applyProtection="1">
      <alignment horizontal="center"/>
      <protection locked="0"/>
    </xf>
    <xf numFmtId="174" fontId="16" fillId="27" borderId="43" xfId="0" applyNumberFormat="1" applyFont="1" applyFill="1" applyBorder="1" applyProtection="1">
      <protection locked="0"/>
    </xf>
    <xf numFmtId="174" fontId="16" fillId="27" borderId="78" xfId="0" applyNumberFormat="1" applyFont="1" applyFill="1" applyBorder="1" applyProtection="1">
      <protection locked="0"/>
    </xf>
    <xf numFmtId="178" fontId="14" fillId="27" borderId="43" xfId="1" applyNumberFormat="1" applyFont="1" applyFill="1" applyBorder="1" applyProtection="1">
      <protection locked="0"/>
    </xf>
    <xf numFmtId="178" fontId="14" fillId="27" borderId="78" xfId="1" applyNumberFormat="1" applyFont="1" applyFill="1" applyBorder="1" applyProtection="1">
      <protection locked="0"/>
    </xf>
    <xf numFmtId="175" fontId="14" fillId="27" borderId="46" xfId="1" applyNumberFormat="1" applyFont="1" applyFill="1" applyBorder="1" applyProtection="1">
      <protection locked="0"/>
    </xf>
    <xf numFmtId="175" fontId="14" fillId="27" borderId="80" xfId="1" applyNumberFormat="1" applyFont="1" applyFill="1" applyBorder="1" applyProtection="1">
      <protection locked="0"/>
    </xf>
    <xf numFmtId="179" fontId="14" fillId="27" borderId="43" xfId="1" applyNumberFormat="1" applyFont="1" applyFill="1" applyBorder="1" applyAlignment="1" applyProtection="1">
      <alignment vertical="top" wrapText="1"/>
      <protection locked="0"/>
    </xf>
    <xf numFmtId="179" fontId="14" fillId="27" borderId="8" xfId="1" applyNumberFormat="1" applyFont="1" applyFill="1" applyBorder="1" applyAlignment="1" applyProtection="1">
      <alignment vertical="top" wrapText="1"/>
      <protection locked="0"/>
    </xf>
    <xf numFmtId="179" fontId="14" fillId="27" borderId="3" xfId="1" applyNumberFormat="1" applyFont="1" applyFill="1" applyBorder="1" applyAlignment="1" applyProtection="1">
      <alignment vertical="top" wrapText="1"/>
      <protection locked="0"/>
    </xf>
    <xf numFmtId="179" fontId="14" fillId="27" borderId="0" xfId="1" applyNumberFormat="1" applyFont="1" applyFill="1" applyBorder="1" applyAlignment="1" applyProtection="1">
      <alignment vertical="top" wrapText="1"/>
      <protection locked="0"/>
    </xf>
    <xf numFmtId="180" fontId="14" fillId="27" borderId="1" xfId="28" applyNumberFormat="1" applyFont="1" applyFill="1" applyBorder="1" applyAlignment="1" applyProtection="1">
      <alignment vertical="top" wrapText="1"/>
      <protection locked="0"/>
    </xf>
    <xf numFmtId="175" fontId="14" fillId="27" borderId="43" xfId="0" applyNumberFormat="1" applyFont="1" applyFill="1" applyBorder="1" applyAlignment="1" applyProtection="1">
      <protection locked="0"/>
    </xf>
    <xf numFmtId="175" fontId="14" fillId="27" borderId="8" xfId="0" applyNumberFormat="1" applyFont="1" applyFill="1" applyBorder="1" applyAlignment="1" applyProtection="1">
      <protection locked="0"/>
    </xf>
    <xf numFmtId="175" fontId="14" fillId="27" borderId="3" xfId="0" applyNumberFormat="1" applyFont="1" applyFill="1" applyBorder="1" applyAlignment="1" applyProtection="1">
      <protection locked="0"/>
    </xf>
    <xf numFmtId="175" fontId="14" fillId="27" borderId="0" xfId="0" applyNumberFormat="1" applyFont="1" applyFill="1" applyBorder="1" applyAlignment="1" applyProtection="1">
      <protection locked="0"/>
    </xf>
    <xf numFmtId="175" fontId="14" fillId="27" borderId="47" xfId="0" applyNumberFormat="1" applyFont="1" applyFill="1" applyBorder="1" applyAlignment="1" applyProtection="1">
      <protection locked="0"/>
    </xf>
    <xf numFmtId="0" fontId="14" fillId="27" borderId="3" xfId="0" applyNumberFormat="1" applyFont="1" applyFill="1" applyBorder="1" applyAlignment="1" applyProtection="1">
      <alignment horizontal="left" indent="1"/>
      <protection locked="0"/>
    </xf>
    <xf numFmtId="0" fontId="14" fillId="27" borderId="68" xfId="0" applyNumberFormat="1" applyFont="1" applyFill="1" applyBorder="1" applyAlignment="1" applyProtection="1">
      <alignment horizontal="center"/>
      <protection locked="0"/>
    </xf>
    <xf numFmtId="181" fontId="14" fillId="27" borderId="78" xfId="0" applyNumberFormat="1" applyFont="1" applyFill="1" applyBorder="1" applyAlignment="1" applyProtection="1">
      <alignment horizontal="center"/>
      <protection locked="0"/>
    </xf>
    <xf numFmtId="175" fontId="14" fillId="27" borderId="78" xfId="0" applyNumberFormat="1" applyFont="1" applyFill="1" applyBorder="1" applyAlignment="1" applyProtection="1">
      <protection locked="0"/>
    </xf>
    <xf numFmtId="0" fontId="14" fillId="27" borderId="3" xfId="0" applyNumberFormat="1" applyFont="1" applyFill="1" applyBorder="1" applyAlignment="1" applyProtection="1">
      <alignment horizontal="left" indent="2"/>
      <protection locked="0"/>
    </xf>
    <xf numFmtId="175" fontId="14" fillId="27" borderId="46" xfId="0" applyNumberFormat="1" applyFont="1" applyFill="1" applyBorder="1" applyAlignment="1" applyProtection="1">
      <protection locked="0"/>
    </xf>
    <xf numFmtId="175" fontId="14" fillId="27" borderId="49" xfId="0" applyNumberFormat="1" applyFont="1" applyFill="1" applyBorder="1" applyAlignment="1" applyProtection="1">
      <protection locked="0"/>
    </xf>
    <xf numFmtId="175" fontId="14" fillId="27" borderId="50" xfId="0" applyNumberFormat="1" applyFont="1" applyFill="1" applyBorder="1" applyAlignment="1" applyProtection="1">
      <protection locked="0"/>
    </xf>
    <xf numFmtId="175" fontId="14" fillId="27" borderId="48" xfId="0" applyNumberFormat="1" applyFont="1" applyFill="1" applyBorder="1" applyAlignment="1" applyProtection="1">
      <protection locked="0"/>
    </xf>
    <xf numFmtId="175" fontId="14" fillId="27" borderId="51" xfId="0" applyNumberFormat="1" applyFont="1" applyFill="1" applyBorder="1" applyAlignment="1" applyProtection="1">
      <protection locked="0"/>
    </xf>
    <xf numFmtId="175" fontId="14" fillId="27" borderId="72" xfId="0" applyNumberFormat="1" applyFont="1" applyFill="1" applyBorder="1" applyAlignment="1" applyProtection="1">
      <protection locked="0"/>
    </xf>
    <xf numFmtId="175" fontId="14" fillId="27" borderId="73" xfId="0" applyNumberFormat="1" applyFont="1" applyFill="1" applyBorder="1" applyAlignment="1" applyProtection="1">
      <protection locked="0"/>
    </xf>
    <xf numFmtId="175" fontId="14" fillId="27" borderId="69" xfId="0" applyNumberFormat="1" applyFont="1" applyFill="1" applyBorder="1" applyAlignment="1" applyProtection="1">
      <protection locked="0"/>
    </xf>
    <xf numFmtId="175" fontId="14" fillId="27" borderId="74" xfId="0" applyNumberFormat="1" applyFont="1" applyFill="1" applyBorder="1" applyAlignment="1" applyProtection="1">
      <protection locked="0"/>
    </xf>
    <xf numFmtId="175" fontId="14" fillId="27" borderId="71" xfId="0" applyNumberFormat="1" applyFont="1" applyFill="1" applyBorder="1" applyAlignment="1" applyProtection="1">
      <protection locked="0"/>
    </xf>
    <xf numFmtId="0" fontId="19" fillId="27" borderId="3" xfId="0" applyNumberFormat="1" applyFont="1" applyFill="1" applyBorder="1" applyAlignment="1" applyProtection="1">
      <alignment horizontal="left" indent="2"/>
      <protection locked="0"/>
    </xf>
    <xf numFmtId="175" fontId="14" fillId="27" borderId="60" xfId="0" applyNumberFormat="1" applyFont="1" applyFill="1" applyBorder="1" applyAlignment="1" applyProtection="1">
      <protection locked="0"/>
    </xf>
    <xf numFmtId="175" fontId="14" fillId="27" borderId="61" xfId="0" applyNumberFormat="1" applyFont="1" applyFill="1" applyBorder="1" applyAlignment="1" applyProtection="1">
      <protection locked="0"/>
    </xf>
    <xf numFmtId="175" fontId="14" fillId="27" borderId="62" xfId="0" applyNumberFormat="1" applyFont="1" applyFill="1" applyBorder="1" applyAlignment="1" applyProtection="1">
      <protection locked="0"/>
    </xf>
    <xf numFmtId="175" fontId="14" fillId="27" borderId="59" xfId="0" applyNumberFormat="1" applyFont="1" applyFill="1" applyBorder="1" applyAlignment="1" applyProtection="1">
      <protection locked="0"/>
    </xf>
    <xf numFmtId="175" fontId="14" fillId="27" borderId="63" xfId="0" applyNumberFormat="1" applyFont="1" applyFill="1" applyBorder="1" applyAlignment="1" applyProtection="1">
      <protection locked="0"/>
    </xf>
    <xf numFmtId="0" fontId="14" fillId="27" borderId="3" xfId="0" applyNumberFormat="1" applyFont="1" applyFill="1" applyBorder="1" applyAlignment="1" applyProtection="1">
      <alignment horizontal="left" wrapText="1" indent="2"/>
      <protection locked="0"/>
    </xf>
    <xf numFmtId="175" fontId="14" fillId="27" borderId="43" xfId="1" applyNumberFormat="1" applyFont="1" applyFill="1" applyBorder="1" applyAlignment="1" applyProtection="1">
      <protection locked="0"/>
    </xf>
    <xf numFmtId="175" fontId="14" fillId="27" borderId="0" xfId="1" applyNumberFormat="1" applyFont="1" applyFill="1" applyBorder="1" applyAlignment="1" applyProtection="1">
      <protection locked="0"/>
    </xf>
    <xf numFmtId="175" fontId="14" fillId="27" borderId="3" xfId="1" applyNumberFormat="1" applyFont="1" applyFill="1" applyBorder="1" applyAlignment="1" applyProtection="1">
      <protection locked="0"/>
    </xf>
    <xf numFmtId="175" fontId="14" fillId="27" borderId="47" xfId="1" applyNumberFormat="1" applyFont="1" applyFill="1" applyBorder="1" applyAlignment="1" applyProtection="1">
      <protection locked="0"/>
    </xf>
    <xf numFmtId="175" fontId="14" fillId="27" borderId="8" xfId="1" applyNumberFormat="1" applyFont="1" applyFill="1" applyBorder="1" applyAlignment="1" applyProtection="1">
      <protection locked="0"/>
    </xf>
    <xf numFmtId="0" fontId="19" fillId="27" borderId="3" xfId="0" applyNumberFormat="1" applyFont="1" applyFill="1" applyBorder="1" applyAlignment="1" applyProtection="1">
      <alignment horizontal="left" indent="1"/>
      <protection locked="0"/>
    </xf>
    <xf numFmtId="0" fontId="16" fillId="27" borderId="3" xfId="0" applyNumberFormat="1" applyFont="1" applyFill="1" applyBorder="1" applyAlignment="1" applyProtection="1">
      <alignment horizontal="left" indent="1"/>
      <protection locked="0"/>
    </xf>
    <xf numFmtId="176" fontId="14" fillId="27" borderId="43" xfId="1" applyNumberFormat="1" applyFont="1" applyFill="1" applyBorder="1" applyAlignment="1" applyProtection="1">
      <alignment horizontal="center"/>
      <protection locked="0"/>
    </xf>
    <xf numFmtId="176" fontId="14" fillId="27" borderId="3" xfId="5" applyNumberFormat="1" applyFont="1" applyFill="1" applyBorder="1" applyProtection="1">
      <protection locked="0"/>
    </xf>
    <xf numFmtId="176" fontId="14" fillId="27" borderId="43" xfId="5" applyNumberFormat="1" applyFont="1" applyFill="1" applyBorder="1" applyProtection="1">
      <protection locked="0"/>
    </xf>
    <xf numFmtId="176" fontId="14" fillId="27" borderId="78" xfId="5" applyNumberFormat="1" applyFont="1" applyFill="1" applyBorder="1" applyProtection="1">
      <protection locked="0"/>
    </xf>
    <xf numFmtId="176" fontId="16" fillId="27" borderId="3" xfId="28" applyNumberFormat="1" applyFont="1" applyFill="1" applyBorder="1" applyAlignment="1" applyProtection="1">
      <alignment horizontal="center"/>
      <protection locked="0"/>
    </xf>
    <xf numFmtId="176" fontId="16" fillId="27" borderId="43" xfId="28" applyNumberFormat="1" applyFont="1" applyFill="1" applyBorder="1" applyAlignment="1" applyProtection="1">
      <alignment horizontal="center"/>
      <protection locked="0"/>
    </xf>
    <xf numFmtId="176" fontId="16" fillId="27" borderId="78" xfId="28" applyNumberFormat="1" applyFont="1" applyFill="1" applyBorder="1" applyAlignment="1" applyProtection="1">
      <alignment horizontal="center"/>
      <protection locked="0"/>
    </xf>
    <xf numFmtId="176" fontId="16" fillId="27" borderId="43" xfId="1" applyNumberFormat="1" applyFont="1" applyFill="1" applyBorder="1" applyProtection="1">
      <protection locked="0"/>
    </xf>
    <xf numFmtId="176" fontId="16" fillId="27" borderId="43" xfId="1" applyNumberFormat="1" applyFont="1" applyFill="1" applyBorder="1" applyAlignment="1" applyProtection="1">
      <alignment horizontal="center"/>
      <protection locked="0"/>
    </xf>
    <xf numFmtId="176" fontId="16" fillId="27" borderId="8" xfId="1" applyNumberFormat="1" applyFont="1" applyFill="1" applyBorder="1" applyAlignment="1" applyProtection="1">
      <alignment horizontal="center"/>
      <protection locked="0"/>
    </xf>
    <xf numFmtId="176" fontId="16" fillId="27" borderId="36" xfId="1" applyNumberFormat="1" applyFont="1" applyFill="1" applyBorder="1" applyProtection="1">
      <protection locked="0"/>
    </xf>
    <xf numFmtId="176" fontId="16" fillId="27" borderId="36" xfId="1" applyNumberFormat="1" applyFont="1" applyFill="1" applyBorder="1" applyAlignment="1" applyProtection="1">
      <alignment horizontal="center"/>
      <protection locked="0"/>
    </xf>
    <xf numFmtId="176" fontId="16" fillId="27" borderId="10" xfId="1" applyNumberFormat="1" applyFont="1" applyFill="1" applyBorder="1" applyAlignment="1" applyProtection="1">
      <alignment horizontal="center"/>
      <protection locked="0"/>
    </xf>
    <xf numFmtId="175" fontId="14" fillId="27" borderId="50" xfId="0" applyNumberFormat="1" applyFont="1" applyFill="1" applyBorder="1" applyProtection="1">
      <protection locked="0"/>
    </xf>
    <xf numFmtId="174" fontId="14" fillId="27" borderId="47" xfId="0" applyNumberFormat="1" applyFont="1" applyFill="1" applyBorder="1" applyProtection="1">
      <protection locked="0"/>
    </xf>
    <xf numFmtId="174" fontId="16" fillId="27" borderId="71" xfId="0" applyNumberFormat="1" applyFont="1" applyFill="1" applyBorder="1" applyProtection="1">
      <protection locked="0"/>
    </xf>
    <xf numFmtId="174" fontId="16" fillId="27" borderId="72" xfId="0" applyNumberFormat="1" applyFont="1" applyFill="1" applyBorder="1" applyProtection="1">
      <protection locked="0"/>
    </xf>
    <xf numFmtId="174" fontId="16" fillId="27" borderId="73" xfId="0" applyNumberFormat="1" applyFont="1" applyFill="1" applyBorder="1" applyProtection="1">
      <protection locked="0"/>
    </xf>
    <xf numFmtId="174" fontId="16" fillId="27" borderId="69" xfId="0" applyNumberFormat="1" applyFont="1" applyFill="1" applyBorder="1" applyProtection="1">
      <protection locked="0"/>
    </xf>
    <xf numFmtId="174" fontId="16" fillId="27" borderId="74" xfId="0" applyNumberFormat="1" applyFont="1" applyFill="1" applyBorder="1" applyProtection="1">
      <protection locked="0"/>
    </xf>
    <xf numFmtId="0" fontId="14" fillId="27" borderId="3" xfId="0" applyNumberFormat="1" applyFont="1" applyFill="1" applyBorder="1" applyAlignment="1" applyProtection="1">
      <protection locked="0"/>
    </xf>
    <xf numFmtId="0" fontId="14" fillId="27" borderId="43" xfId="0" applyNumberFormat="1" applyFont="1" applyFill="1" applyBorder="1" applyAlignment="1" applyProtection="1">
      <protection locked="0"/>
    </xf>
    <xf numFmtId="181" fontId="14" fillId="27" borderId="43" xfId="0" applyNumberFormat="1" applyFont="1" applyFill="1" applyBorder="1" applyAlignment="1" applyProtection="1">
      <alignment horizontal="center"/>
      <protection locked="0"/>
    </xf>
    <xf numFmtId="181" fontId="14" fillId="27" borderId="43" xfId="0" quotePrefix="1" applyNumberFormat="1" applyFont="1" applyFill="1" applyBorder="1" applyAlignment="1" applyProtection="1">
      <alignment horizontal="center"/>
      <protection locked="0"/>
    </xf>
    <xf numFmtId="0" fontId="16" fillId="27" borderId="4" xfId="0" applyNumberFormat="1" applyFont="1" applyFill="1" applyBorder="1" applyAlignment="1" applyProtection="1">
      <protection locked="0"/>
    </xf>
    <xf numFmtId="0" fontId="14" fillId="27" borderId="36" xfId="0" applyNumberFormat="1" applyFont="1" applyFill="1" applyBorder="1" applyAlignment="1" applyProtection="1">
      <alignment horizontal="center"/>
      <protection locked="0"/>
    </xf>
    <xf numFmtId="0" fontId="14" fillId="27" borderId="36" xfId="0" applyNumberFormat="1" applyFont="1" applyFill="1" applyBorder="1" applyAlignment="1" applyProtection="1">
      <protection locked="0"/>
    </xf>
    <xf numFmtId="0" fontId="14" fillId="27" borderId="36" xfId="0" applyFont="1" applyFill="1" applyBorder="1" applyAlignment="1" applyProtection="1">
      <alignment horizontal="center"/>
      <protection locked="0"/>
    </xf>
    <xf numFmtId="175" fontId="16" fillId="27" borderId="10" xfId="0" applyNumberFormat="1" applyFont="1" applyFill="1" applyBorder="1" applyProtection="1">
      <protection locked="0"/>
    </xf>
    <xf numFmtId="175" fontId="16" fillId="27" borderId="43" xfId="0" applyNumberFormat="1" applyFont="1" applyFill="1" applyBorder="1" applyAlignment="1" applyProtection="1">
      <alignment horizontal="center"/>
      <protection locked="0"/>
    </xf>
    <xf numFmtId="175" fontId="16" fillId="27" borderId="0" xfId="0" applyNumberFormat="1" applyFont="1" applyFill="1" applyBorder="1" applyAlignment="1" applyProtection="1">
      <alignment horizontal="center"/>
      <protection locked="0"/>
    </xf>
    <xf numFmtId="175" fontId="16" fillId="27" borderId="3" xfId="0" applyNumberFormat="1" applyFont="1" applyFill="1" applyBorder="1" applyAlignment="1" applyProtection="1">
      <alignment horizontal="center"/>
      <protection locked="0"/>
    </xf>
    <xf numFmtId="175" fontId="16" fillId="27" borderId="8" xfId="0" applyNumberFormat="1" applyFont="1" applyFill="1" applyBorder="1" applyAlignment="1" applyProtection="1">
      <alignment horizontal="center"/>
      <protection locked="0"/>
    </xf>
    <xf numFmtId="175" fontId="16" fillId="27" borderId="49" xfId="0" applyNumberFormat="1" applyFont="1" applyFill="1" applyBorder="1" applyProtection="1">
      <protection locked="0"/>
    </xf>
    <xf numFmtId="175" fontId="14" fillId="27" borderId="48" xfId="0" applyNumberFormat="1" applyFont="1" applyFill="1" applyBorder="1" applyProtection="1">
      <protection locked="0"/>
    </xf>
    <xf numFmtId="175" fontId="16" fillId="27" borderId="50" xfId="0" applyNumberFormat="1" applyFont="1" applyFill="1" applyBorder="1" applyProtection="1">
      <protection locked="0"/>
    </xf>
    <xf numFmtId="175" fontId="16" fillId="27" borderId="48" xfId="0" applyNumberFormat="1" applyFont="1" applyFill="1" applyBorder="1" applyProtection="1">
      <protection locked="0"/>
    </xf>
    <xf numFmtId="175" fontId="16" fillId="27" borderId="73" xfId="0" applyNumberFormat="1" applyFont="1" applyFill="1" applyBorder="1" applyProtection="1">
      <protection locked="0"/>
    </xf>
    <xf numFmtId="175" fontId="16" fillId="27" borderId="69" xfId="0" applyNumberFormat="1" applyFont="1" applyFill="1" applyBorder="1" applyProtection="1">
      <protection locked="0"/>
    </xf>
    <xf numFmtId="175" fontId="16" fillId="27" borderId="74" xfId="0" applyNumberFormat="1" applyFont="1" applyFill="1" applyBorder="1" applyProtection="1">
      <protection locked="0"/>
    </xf>
    <xf numFmtId="175" fontId="14" fillId="27" borderId="66" xfId="0" applyNumberFormat="1" applyFont="1" applyFill="1" applyBorder="1" applyProtection="1">
      <protection locked="0"/>
    </xf>
    <xf numFmtId="0" fontId="19" fillId="27" borderId="43" xfId="0" applyNumberFormat="1" applyFont="1" applyFill="1" applyBorder="1" applyAlignment="1" applyProtection="1">
      <alignment horizontal="center"/>
      <protection locked="0"/>
    </xf>
    <xf numFmtId="0" fontId="19" fillId="27" borderId="8" xfId="0" applyNumberFormat="1" applyFont="1" applyFill="1" applyBorder="1" applyAlignment="1" applyProtection="1">
      <alignment horizontal="center"/>
      <protection locked="0"/>
    </xf>
    <xf numFmtId="0" fontId="14" fillId="27" borderId="0" xfId="0" applyNumberFormat="1" applyFont="1" applyFill="1" applyBorder="1" applyProtection="1">
      <protection locked="0"/>
    </xf>
    <xf numFmtId="0" fontId="14" fillId="27" borderId="78" xfId="0" applyNumberFormat="1" applyFont="1" applyFill="1" applyBorder="1" applyProtection="1">
      <protection locked="0"/>
    </xf>
    <xf numFmtId="0" fontId="16" fillId="27" borderId="3" xfId="0" applyNumberFormat="1" applyFont="1" applyFill="1" applyBorder="1" applyProtection="1">
      <protection locked="0"/>
    </xf>
    <xf numFmtId="0" fontId="16" fillId="27" borderId="0" xfId="1" applyNumberFormat="1" applyFont="1" applyFill="1" applyBorder="1" applyAlignment="1" applyProtection="1">
      <alignment horizontal="center"/>
      <protection locked="0"/>
    </xf>
    <xf numFmtId="175" fontId="16" fillId="27" borderId="68" xfId="0" applyNumberFormat="1" applyFont="1" applyFill="1" applyBorder="1" applyAlignment="1" applyProtection="1">
      <alignment horizontal="center"/>
      <protection locked="0"/>
    </xf>
    <xf numFmtId="0" fontId="14" fillId="27" borderId="43" xfId="0" applyNumberFormat="1" applyFont="1" applyFill="1" applyBorder="1" applyProtection="1">
      <protection locked="0"/>
    </xf>
    <xf numFmtId="0" fontId="14" fillId="27" borderId="8" xfId="0" applyNumberFormat="1" applyFont="1" applyFill="1" applyBorder="1" applyProtection="1">
      <protection locked="0"/>
    </xf>
    <xf numFmtId="0" fontId="14" fillId="27" borderId="0" xfId="1" applyNumberFormat="1" applyFont="1" applyFill="1" applyBorder="1" applyAlignment="1" applyProtection="1">
      <alignment horizontal="center"/>
      <protection locked="0"/>
    </xf>
    <xf numFmtId="175" fontId="14" fillId="27" borderId="68" xfId="1" applyNumberFormat="1" applyFont="1" applyFill="1" applyBorder="1" applyProtection="1">
      <protection locked="0"/>
    </xf>
    <xf numFmtId="0" fontId="16" fillId="27" borderId="69" xfId="0" applyNumberFormat="1" applyFont="1" applyFill="1" applyBorder="1" applyAlignment="1" applyProtection="1">
      <alignment horizontal="left" indent="1"/>
      <protection locked="0"/>
    </xf>
    <xf numFmtId="0" fontId="14" fillId="27" borderId="72" xfId="0" applyNumberFormat="1" applyFont="1" applyFill="1" applyBorder="1" applyProtection="1">
      <protection locked="0"/>
    </xf>
    <xf numFmtId="176" fontId="14" fillId="27" borderId="72" xfId="1" applyNumberFormat="1" applyFont="1" applyFill="1" applyBorder="1" applyAlignment="1" applyProtection="1">
      <alignment horizontal="center"/>
      <protection locked="0"/>
    </xf>
    <xf numFmtId="0" fontId="14" fillId="27" borderId="73" xfId="0" applyNumberFormat="1" applyFont="1" applyFill="1" applyBorder="1" applyProtection="1">
      <protection locked="0"/>
    </xf>
    <xf numFmtId="0" fontId="14" fillId="27" borderId="74" xfId="1" applyNumberFormat="1" applyFont="1" applyFill="1" applyBorder="1" applyAlignment="1" applyProtection="1">
      <alignment horizontal="center"/>
      <protection locked="0"/>
    </xf>
    <xf numFmtId="175" fontId="14" fillId="27" borderId="70" xfId="0" applyNumberFormat="1" applyFont="1" applyFill="1" applyBorder="1" applyProtection="1">
      <protection locked="0"/>
    </xf>
    <xf numFmtId="0" fontId="17" fillId="27" borderId="3" xfId="0" applyNumberFormat="1" applyFont="1" applyFill="1" applyBorder="1" applyProtection="1">
      <protection locked="0"/>
    </xf>
    <xf numFmtId="0" fontId="14" fillId="27" borderId="4" xfId="0" applyNumberFormat="1" applyFont="1" applyFill="1" applyBorder="1" applyAlignment="1" applyProtection="1">
      <alignment horizontal="left" indent="1"/>
      <protection locked="0"/>
    </xf>
    <xf numFmtId="0" fontId="14" fillId="27" borderId="36" xfId="0" applyNumberFormat="1" applyFont="1" applyFill="1" applyBorder="1" applyProtection="1">
      <protection locked="0"/>
    </xf>
    <xf numFmtId="176" fontId="14" fillId="27" borderId="36" xfId="1" applyNumberFormat="1" applyFont="1" applyFill="1" applyBorder="1" applyAlignment="1" applyProtection="1">
      <alignment horizontal="center"/>
      <protection locked="0"/>
    </xf>
    <xf numFmtId="0" fontId="14" fillId="27" borderId="10" xfId="0" applyNumberFormat="1" applyFont="1" applyFill="1" applyBorder="1" applyProtection="1">
      <protection locked="0"/>
    </xf>
    <xf numFmtId="0" fontId="14" fillId="27" borderId="9" xfId="1" applyNumberFormat="1" applyFont="1" applyFill="1" applyBorder="1" applyAlignment="1" applyProtection="1">
      <alignment horizontal="center"/>
      <protection locked="0"/>
    </xf>
    <xf numFmtId="175" fontId="14" fillId="27" borderId="37" xfId="0" applyNumberFormat="1" applyFont="1" applyFill="1" applyBorder="1" applyProtection="1">
      <protection locked="0"/>
    </xf>
    <xf numFmtId="0" fontId="13" fillId="0" borderId="3" xfId="0" applyFont="1" applyFill="1" applyBorder="1" applyAlignment="1">
      <alignment horizontal="left" vertical="top" wrapText="1" indent="3"/>
    </xf>
    <xf numFmtId="174" fontId="14" fillId="0" borderId="3" xfId="33" applyNumberFormat="1" applyFont="1" applyBorder="1"/>
    <xf numFmtId="174" fontId="14" fillId="0" borderId="43" xfId="33" applyNumberFormat="1" applyFont="1" applyBorder="1"/>
    <xf numFmtId="174" fontId="14" fillId="0" borderId="8" xfId="33" applyNumberFormat="1" applyFont="1" applyBorder="1"/>
    <xf numFmtId="174" fontId="14" fillId="0" borderId="0" xfId="33" applyNumberFormat="1" applyFont="1" applyBorder="1"/>
    <xf numFmtId="174" fontId="14" fillId="0" borderId="3" xfId="33" applyNumberFormat="1" applyFont="1" applyFill="1" applyBorder="1"/>
    <xf numFmtId="174" fontId="14" fillId="0" borderId="43" xfId="33" applyNumberFormat="1" applyFont="1" applyFill="1" applyBorder="1"/>
    <xf numFmtId="174" fontId="14" fillId="0" borderId="8" xfId="33" applyNumberFormat="1" applyFont="1" applyFill="1" applyBorder="1"/>
    <xf numFmtId="174" fontId="14" fillId="0" borderId="12" xfId="33" applyNumberFormat="1" applyFont="1" applyBorder="1"/>
    <xf numFmtId="174" fontId="14" fillId="0" borderId="38" xfId="33" applyNumberFormat="1" applyFont="1" applyBorder="1"/>
    <xf numFmtId="174" fontId="14" fillId="0" borderId="7" xfId="33" applyNumberFormat="1" applyFont="1" applyBorder="1"/>
    <xf numFmtId="174" fontId="14" fillId="0" borderId="6" xfId="33" applyNumberFormat="1" applyFont="1" applyBorder="1"/>
    <xf numFmtId="174" fontId="16" fillId="0" borderId="3" xfId="33" applyNumberFormat="1" applyFont="1" applyBorder="1"/>
    <xf numFmtId="174" fontId="16" fillId="0" borderId="43" xfId="33" applyNumberFormat="1" applyFont="1" applyBorder="1"/>
    <xf numFmtId="174" fontId="16" fillId="0" borderId="8" xfId="33" applyNumberFormat="1" applyFont="1" applyBorder="1"/>
    <xf numFmtId="174" fontId="16" fillId="0" borderId="0" xfId="33" applyNumberFormat="1" applyFont="1" applyBorder="1"/>
    <xf numFmtId="174" fontId="14" fillId="0" borderId="4" xfId="33" applyNumberFormat="1" applyFont="1" applyBorder="1"/>
    <xf numFmtId="174" fontId="14" fillId="0" borderId="36" xfId="33" applyNumberFormat="1" applyFont="1" applyBorder="1"/>
    <xf numFmtId="174" fontId="14" fillId="0" borderId="10" xfId="33" applyNumberFormat="1" applyFont="1" applyBorder="1"/>
    <xf numFmtId="174" fontId="14" fillId="0" borderId="9" xfId="33" applyNumberFormat="1" applyFont="1" applyBorder="1"/>
    <xf numFmtId="175" fontId="14" fillId="0" borderId="43" xfId="33" applyNumberFormat="1" applyFont="1" applyFill="1" applyBorder="1"/>
    <xf numFmtId="175" fontId="14" fillId="0" borderId="0" xfId="33" applyNumberFormat="1" applyFont="1" applyFill="1" applyBorder="1"/>
    <xf numFmtId="175" fontId="14" fillId="0" borderId="47" xfId="33" applyNumberFormat="1" applyFont="1" applyFill="1" applyBorder="1"/>
    <xf numFmtId="175" fontId="14" fillId="0" borderId="46" xfId="33" applyNumberFormat="1" applyFont="1" applyFill="1" applyBorder="1"/>
    <xf numFmtId="175" fontId="14" fillId="0" borderId="68" xfId="33" applyNumberFormat="1" applyFont="1" applyFill="1" applyBorder="1"/>
    <xf numFmtId="175" fontId="14" fillId="0" borderId="78" xfId="33" applyNumberFormat="1" applyFont="1" applyFill="1" applyBorder="1"/>
    <xf numFmtId="164" fontId="14" fillId="0" borderId="43" xfId="34" applyNumberFormat="1" applyFont="1" applyFill="1" applyBorder="1"/>
    <xf numFmtId="164" fontId="14" fillId="0" borderId="8" xfId="34" applyNumberFormat="1" applyFont="1" applyFill="1" applyBorder="1"/>
    <xf numFmtId="164" fontId="14" fillId="0" borderId="3" xfId="34" applyNumberFormat="1" applyFont="1" applyFill="1" applyBorder="1"/>
    <xf numFmtId="164" fontId="14" fillId="0" borderId="0" xfId="34" applyNumberFormat="1" applyFont="1" applyFill="1" applyBorder="1"/>
    <xf numFmtId="174" fontId="14" fillId="0" borderId="0" xfId="33" applyNumberFormat="1" applyFont="1" applyFill="1" applyBorder="1"/>
    <xf numFmtId="174" fontId="14" fillId="0" borderId="36" xfId="33" applyNumberFormat="1" applyFont="1" applyFill="1" applyBorder="1"/>
    <xf numFmtId="174" fontId="14" fillId="0" borderId="10" xfId="33" applyNumberFormat="1" applyFont="1" applyFill="1" applyBorder="1"/>
    <xf numFmtId="174" fontId="14" fillId="0" borderId="4" xfId="33" applyNumberFormat="1" applyFont="1" applyFill="1" applyBorder="1"/>
    <xf numFmtId="174" fontId="14" fillId="0" borderId="9" xfId="33" applyNumberFormat="1" applyFont="1" applyFill="1" applyBorder="1"/>
    <xf numFmtId="175" fontId="16" fillId="0" borderId="43" xfId="33" applyNumberFormat="1" applyFont="1" applyFill="1" applyBorder="1" applyProtection="1"/>
    <xf numFmtId="175" fontId="14" fillId="0" borderId="51" xfId="33" applyNumberFormat="1" applyFont="1" applyFill="1" applyBorder="1"/>
    <xf numFmtId="175" fontId="14" fillId="0" borderId="81" xfId="33" applyNumberFormat="1" applyFont="1" applyFill="1" applyBorder="1"/>
    <xf numFmtId="175" fontId="14" fillId="0" borderId="80" xfId="33" applyNumberFormat="1" applyFont="1" applyFill="1" applyBorder="1"/>
    <xf numFmtId="175" fontId="14" fillId="0" borderId="48" xfId="33" applyNumberFormat="1" applyFont="1" applyFill="1" applyBorder="1"/>
    <xf numFmtId="175" fontId="14" fillId="0" borderId="63" xfId="33" applyNumberFormat="1" applyFont="1" applyFill="1" applyBorder="1"/>
    <xf numFmtId="175" fontId="14" fillId="0" borderId="60" xfId="33" applyNumberFormat="1" applyFont="1" applyFill="1" applyBorder="1"/>
    <xf numFmtId="175" fontId="14" fillId="0" borderId="103" xfId="33" applyNumberFormat="1" applyFont="1" applyFill="1" applyBorder="1"/>
    <xf numFmtId="175" fontId="14" fillId="0" borderId="87" xfId="33" applyNumberFormat="1" applyFont="1" applyFill="1" applyBorder="1"/>
    <xf numFmtId="175" fontId="14" fillId="0" borderId="59" xfId="33" applyNumberFormat="1" applyFont="1" applyFill="1" applyBorder="1"/>
    <xf numFmtId="175" fontId="14" fillId="0" borderId="71" xfId="33" applyNumberFormat="1" applyFont="1" applyFill="1" applyBorder="1"/>
    <xf numFmtId="175" fontId="14" fillId="0" borderId="72" xfId="33" applyNumberFormat="1" applyFont="1" applyFill="1" applyBorder="1"/>
    <xf numFmtId="175" fontId="14" fillId="0" borderId="70" xfId="33" applyNumberFormat="1" applyFont="1" applyFill="1" applyBorder="1"/>
    <xf numFmtId="175" fontId="14" fillId="0" borderId="99" xfId="33" applyNumberFormat="1" applyFont="1" applyFill="1" applyBorder="1"/>
    <xf numFmtId="175" fontId="14" fillId="0" borderId="74" xfId="33" applyNumberFormat="1" applyFont="1" applyFill="1" applyBorder="1"/>
    <xf numFmtId="175" fontId="14" fillId="0" borderId="63" xfId="33" applyNumberFormat="1" applyFont="1" applyFill="1" applyBorder="1" applyAlignment="1">
      <alignment vertical="top"/>
    </xf>
    <xf numFmtId="175" fontId="14" fillId="0" borderId="60" xfId="33" applyNumberFormat="1" applyFont="1" applyFill="1" applyBorder="1" applyAlignment="1">
      <alignment vertical="top"/>
    </xf>
    <xf numFmtId="175" fontId="14" fillId="0" borderId="103" xfId="33" applyNumberFormat="1" applyFont="1" applyFill="1" applyBorder="1" applyAlignment="1">
      <alignment vertical="top"/>
    </xf>
    <xf numFmtId="175" fontId="14" fillId="0" borderId="87" xfId="33" applyNumberFormat="1" applyFont="1" applyFill="1" applyBorder="1" applyAlignment="1">
      <alignment vertical="top"/>
    </xf>
    <xf numFmtId="175" fontId="14" fillId="0" borderId="59" xfId="33" applyNumberFormat="1" applyFont="1" applyFill="1" applyBorder="1" applyAlignment="1">
      <alignment vertical="top"/>
    </xf>
    <xf numFmtId="175" fontId="14" fillId="0" borderId="51" xfId="33" applyNumberFormat="1" applyFont="1" applyFill="1" applyBorder="1" applyAlignment="1">
      <alignment vertical="top"/>
    </xf>
    <xf numFmtId="175" fontId="14" fillId="0" borderId="46" xfId="33" applyNumberFormat="1" applyFont="1" applyFill="1" applyBorder="1" applyAlignment="1">
      <alignment vertical="top"/>
    </xf>
    <xf numFmtId="175" fontId="14" fillId="0" borderId="81" xfId="33" applyNumberFormat="1" applyFont="1" applyFill="1" applyBorder="1" applyAlignment="1">
      <alignment vertical="top"/>
    </xf>
    <xf numFmtId="175" fontId="14" fillId="0" borderId="80" xfId="33" applyNumberFormat="1" applyFont="1" applyFill="1" applyBorder="1" applyAlignment="1">
      <alignment vertical="top"/>
    </xf>
    <xf numFmtId="175" fontId="14" fillId="0" borderId="48" xfId="33" applyNumberFormat="1" applyFont="1" applyFill="1" applyBorder="1" applyAlignment="1">
      <alignment vertical="top"/>
    </xf>
    <xf numFmtId="175" fontId="14" fillId="0" borderId="43" xfId="82" applyNumberFormat="1" applyFont="1" applyFill="1" applyBorder="1"/>
    <xf numFmtId="175" fontId="14" fillId="0" borderId="0" xfId="82" applyNumberFormat="1" applyFont="1" applyFill="1" applyBorder="1"/>
    <xf numFmtId="175" fontId="14" fillId="0" borderId="47" xfId="82" applyNumberFormat="1" applyFont="1" applyFill="1" applyBorder="1"/>
    <xf numFmtId="175" fontId="14" fillId="0" borderId="3" xfId="82" applyNumberFormat="1" applyFont="1" applyFill="1" applyBorder="1"/>
    <xf numFmtId="175" fontId="14" fillId="0" borderId="8" xfId="82" applyNumberFormat="1" applyFont="1" applyFill="1" applyBorder="1"/>
    <xf numFmtId="175" fontId="16" fillId="0" borderId="9" xfId="82" applyNumberFormat="1" applyFont="1" applyBorder="1"/>
    <xf numFmtId="175" fontId="16" fillId="0" borderId="36" xfId="82" applyNumberFormat="1" applyFont="1" applyBorder="1"/>
    <xf numFmtId="175" fontId="16" fillId="0" borderId="10" xfId="82" applyNumberFormat="1" applyFont="1" applyBorder="1"/>
    <xf numFmtId="175" fontId="16" fillId="0" borderId="4" xfId="82" applyNumberFormat="1" applyFont="1" applyBorder="1"/>
    <xf numFmtId="175" fontId="16" fillId="0" borderId="64" xfId="82" applyNumberFormat="1" applyFont="1" applyBorder="1"/>
    <xf numFmtId="175" fontId="16" fillId="0" borderId="60" xfId="82" applyNumberFormat="1" applyFont="1" applyFill="1" applyBorder="1"/>
    <xf numFmtId="175" fontId="16" fillId="0" borderId="61" xfId="82" applyNumberFormat="1" applyFont="1" applyFill="1" applyBorder="1"/>
    <xf numFmtId="175" fontId="16" fillId="0" borderId="62" xfId="82" applyNumberFormat="1" applyFont="1" applyFill="1" applyBorder="1"/>
    <xf numFmtId="175" fontId="16" fillId="0" borderId="59" xfId="82" applyNumberFormat="1" applyFont="1" applyFill="1" applyBorder="1"/>
    <xf numFmtId="175" fontId="14" fillId="0" borderId="43" xfId="82" applyNumberFormat="1" applyFont="1" applyFill="1" applyBorder="1" applyProtection="1"/>
    <xf numFmtId="175" fontId="14" fillId="0" borderId="8" xfId="82" applyNumberFormat="1" applyFont="1" applyFill="1" applyBorder="1" applyProtection="1"/>
    <xf numFmtId="175" fontId="14" fillId="0" borderId="3" xfId="82" applyNumberFormat="1" applyFont="1" applyFill="1" applyBorder="1" applyProtection="1"/>
    <xf numFmtId="175" fontId="14" fillId="0" borderId="0" xfId="82" applyNumberFormat="1" applyFont="1" applyFill="1" applyBorder="1" applyProtection="1"/>
    <xf numFmtId="175" fontId="14" fillId="0" borderId="47" xfId="82" applyNumberFormat="1" applyFont="1" applyFill="1" applyBorder="1" applyProtection="1"/>
    <xf numFmtId="175" fontId="16" fillId="0" borderId="63" xfId="82" applyNumberFormat="1" applyFont="1" applyFill="1" applyBorder="1"/>
    <xf numFmtId="175" fontId="16" fillId="0" borderId="43" xfId="82" applyNumberFormat="1" applyFont="1" applyFill="1" applyBorder="1" applyProtection="1"/>
    <xf numFmtId="175" fontId="16" fillId="0" borderId="8" xfId="82" applyNumberFormat="1" applyFont="1" applyFill="1" applyBorder="1" applyProtection="1"/>
    <xf numFmtId="175" fontId="16" fillId="0" borderId="3" xfId="82" applyNumberFormat="1" applyFont="1" applyFill="1" applyBorder="1" applyProtection="1"/>
    <xf numFmtId="175" fontId="16" fillId="0" borderId="0" xfId="82" applyNumberFormat="1" applyFont="1" applyFill="1" applyBorder="1" applyProtection="1"/>
    <xf numFmtId="175" fontId="16" fillId="0" borderId="47" xfId="82" applyNumberFormat="1" applyFont="1" applyFill="1" applyBorder="1" applyProtection="1"/>
    <xf numFmtId="175" fontId="16" fillId="0" borderId="68" xfId="82" applyNumberFormat="1" applyFont="1" applyFill="1" applyBorder="1" applyProtection="1"/>
    <xf numFmtId="175" fontId="16" fillId="0" borderId="78" xfId="82" applyNumberFormat="1" applyFont="1" applyFill="1" applyBorder="1" applyProtection="1"/>
    <xf numFmtId="175" fontId="16" fillId="0" borderId="101" xfId="82" applyNumberFormat="1" applyFont="1" applyFill="1" applyBorder="1" applyProtection="1"/>
    <xf numFmtId="175" fontId="14" fillId="0" borderId="43" xfId="83" applyNumberFormat="1" applyFont="1" applyFill="1" applyBorder="1" applyProtection="1"/>
    <xf numFmtId="175" fontId="14" fillId="0" borderId="8" xfId="83" applyNumberFormat="1" applyFont="1" applyFill="1" applyBorder="1" applyProtection="1"/>
    <xf numFmtId="175" fontId="14" fillId="0" borderId="3" xfId="83" applyNumberFormat="1" applyFont="1" applyFill="1" applyBorder="1" applyProtection="1"/>
    <xf numFmtId="175" fontId="14" fillId="0" borderId="0" xfId="83" applyNumberFormat="1" applyFont="1" applyFill="1" applyBorder="1" applyProtection="1"/>
    <xf numFmtId="175" fontId="14" fillId="0" borderId="47" xfId="83" applyNumberFormat="1" applyFont="1" applyFill="1" applyBorder="1" applyProtection="1"/>
    <xf numFmtId="175" fontId="14" fillId="0" borderId="0" xfId="126" applyNumberFormat="1" applyFont="1" applyBorder="1"/>
    <xf numFmtId="175" fontId="14" fillId="0" borderId="43" xfId="126" applyNumberFormat="1" applyFont="1" applyBorder="1"/>
    <xf numFmtId="175" fontId="14" fillId="0" borderId="8" xfId="126" applyNumberFormat="1" applyFont="1" applyBorder="1"/>
    <xf numFmtId="175" fontId="14" fillId="0" borderId="3" xfId="126" applyNumberFormat="1" applyFont="1" applyBorder="1"/>
    <xf numFmtId="175" fontId="14" fillId="0" borderId="47" xfId="126" applyNumberFormat="1" applyFont="1" applyBorder="1"/>
    <xf numFmtId="175" fontId="16" fillId="0" borderId="46" xfId="126" applyNumberFormat="1" applyFont="1" applyFill="1" applyBorder="1"/>
    <xf numFmtId="175" fontId="16" fillId="0" borderId="51" xfId="126" applyNumberFormat="1" applyFont="1" applyFill="1" applyBorder="1"/>
    <xf numFmtId="175" fontId="16" fillId="0" borderId="9" xfId="126" applyNumberFormat="1" applyFont="1" applyBorder="1"/>
    <xf numFmtId="175" fontId="16" fillId="0" borderId="36" xfId="126" applyNumberFormat="1" applyFont="1" applyBorder="1"/>
    <xf numFmtId="175" fontId="16" fillId="0" borderId="10" xfId="126" applyNumberFormat="1" applyFont="1" applyBorder="1"/>
    <xf numFmtId="175" fontId="16" fillId="0" borderId="4" xfId="126" applyNumberFormat="1" applyFont="1" applyBorder="1"/>
    <xf numFmtId="175" fontId="16" fillId="0" borderId="64" xfId="126" applyNumberFormat="1" applyFont="1" applyBorder="1"/>
    <xf numFmtId="175" fontId="14" fillId="0" borderId="46" xfId="126" applyNumberFormat="1" applyFont="1" applyFill="1" applyBorder="1" applyProtection="1"/>
    <xf numFmtId="175" fontId="14" fillId="0" borderId="51" xfId="126" applyNumberFormat="1" applyFont="1" applyFill="1" applyBorder="1" applyProtection="1"/>
    <xf numFmtId="175" fontId="16" fillId="0" borderId="46" xfId="126" applyNumberFormat="1" applyFont="1" applyFill="1" applyBorder="1" applyProtection="1"/>
    <xf numFmtId="175" fontId="16" fillId="0" borderId="51" xfId="126" applyNumberFormat="1" applyFont="1" applyFill="1" applyBorder="1" applyProtection="1"/>
    <xf numFmtId="175" fontId="14" fillId="0" borderId="80" xfId="126" applyNumberFormat="1" applyFont="1" applyFill="1" applyBorder="1" applyProtection="1"/>
    <xf numFmtId="175" fontId="16" fillId="0" borderId="60" xfId="126" applyNumberFormat="1" applyFont="1" applyFill="1" applyBorder="1" applyProtection="1"/>
    <xf numFmtId="175" fontId="16" fillId="0" borderId="63" xfId="126" applyNumberFormat="1" applyFont="1" applyFill="1" applyBorder="1" applyProtection="1"/>
    <xf numFmtId="175" fontId="14" fillId="0" borderId="81" xfId="126" applyNumberFormat="1" applyFont="1" applyFill="1" applyBorder="1" applyProtection="1"/>
    <xf numFmtId="175" fontId="14" fillId="0" borderId="105" xfId="126" applyNumberFormat="1" applyFont="1" applyFill="1" applyBorder="1" applyProtection="1"/>
    <xf numFmtId="175" fontId="16" fillId="0" borderId="103" xfId="126" applyNumberFormat="1" applyFont="1" applyFill="1" applyBorder="1" applyProtection="1"/>
    <xf numFmtId="175" fontId="16" fillId="0" borderId="87" xfId="126" applyNumberFormat="1" applyFont="1" applyFill="1" applyBorder="1" applyProtection="1"/>
    <xf numFmtId="175" fontId="16" fillId="0" borderId="108" xfId="126" applyNumberFormat="1" applyFont="1" applyFill="1" applyBorder="1" applyProtection="1"/>
    <xf numFmtId="175" fontId="16" fillId="0" borderId="81" xfId="126" applyNumberFormat="1" applyFont="1" applyFill="1" applyBorder="1" applyProtection="1"/>
    <xf numFmtId="175" fontId="16" fillId="0" borderId="80" xfId="126" applyNumberFormat="1" applyFont="1" applyFill="1" applyBorder="1" applyProtection="1"/>
    <xf numFmtId="175" fontId="16" fillId="0" borderId="105" xfId="126" applyNumberFormat="1" applyFont="1" applyFill="1" applyBorder="1" applyProtection="1"/>
    <xf numFmtId="175" fontId="16" fillId="0" borderId="81" xfId="126" applyNumberFormat="1" applyFont="1" applyFill="1" applyBorder="1"/>
    <xf numFmtId="175" fontId="16" fillId="0" borderId="80" xfId="126" applyNumberFormat="1" applyFont="1" applyFill="1" applyBorder="1"/>
    <xf numFmtId="175" fontId="16" fillId="0" borderId="105" xfId="126" applyNumberFormat="1" applyFont="1" applyFill="1" applyBorder="1"/>
    <xf numFmtId="175" fontId="14" fillId="27" borderId="43" xfId="126" applyNumberFormat="1" applyFont="1" applyFill="1" applyBorder="1" applyProtection="1">
      <protection locked="0"/>
    </xf>
    <xf numFmtId="175" fontId="14" fillId="27" borderId="68" xfId="126" applyNumberFormat="1" applyFont="1" applyFill="1" applyBorder="1" applyProtection="1">
      <protection locked="0"/>
    </xf>
    <xf numFmtId="175" fontId="14" fillId="27" borderId="47" xfId="126" applyNumberFormat="1" applyFont="1" applyFill="1" applyBorder="1" applyProtection="1">
      <protection locked="0"/>
    </xf>
    <xf numFmtId="175" fontId="14" fillId="27" borderId="78" xfId="126" applyNumberFormat="1" applyFont="1" applyFill="1" applyBorder="1" applyProtection="1">
      <protection locked="0"/>
    </xf>
    <xf numFmtId="175" fontId="14" fillId="27" borderId="101" xfId="126" applyNumberFormat="1" applyFont="1" applyFill="1" applyBorder="1" applyProtection="1">
      <protection locked="0"/>
    </xf>
    <xf numFmtId="175" fontId="14" fillId="27" borderId="46" xfId="126" applyNumberFormat="1" applyFont="1" applyFill="1" applyBorder="1" applyProtection="1">
      <protection locked="0"/>
    </xf>
    <xf numFmtId="175" fontId="14" fillId="27" borderId="81" xfId="126" applyNumberFormat="1" applyFont="1" applyFill="1" applyBorder="1" applyProtection="1">
      <protection locked="0"/>
    </xf>
    <xf numFmtId="175" fontId="14" fillId="27" borderId="51" xfId="126" applyNumberFormat="1" applyFont="1" applyFill="1" applyBorder="1" applyProtection="1">
      <protection locked="0"/>
    </xf>
    <xf numFmtId="175" fontId="14" fillId="27" borderId="80" xfId="126" applyNumberFormat="1" applyFont="1" applyFill="1" applyBorder="1" applyProtection="1">
      <protection locked="0"/>
    </xf>
    <xf numFmtId="175" fontId="14" fillId="27" borderId="105" xfId="126" applyNumberFormat="1" applyFont="1" applyFill="1" applyBorder="1" applyProtection="1">
      <protection locked="0"/>
    </xf>
    <xf numFmtId="175" fontId="16" fillId="27" borderId="46" xfId="126" applyNumberFormat="1" applyFont="1" applyFill="1" applyBorder="1" applyProtection="1">
      <protection locked="0"/>
    </xf>
    <xf numFmtId="175" fontId="16" fillId="27" borderId="81" xfId="126" applyNumberFormat="1" applyFont="1" applyFill="1" applyBorder="1" applyProtection="1">
      <protection locked="0"/>
    </xf>
    <xf numFmtId="175" fontId="16" fillId="27" borderId="51" xfId="126" applyNumberFormat="1" applyFont="1" applyFill="1" applyBorder="1" applyProtection="1">
      <protection locked="0"/>
    </xf>
    <xf numFmtId="175" fontId="16" fillId="27" borderId="80" xfId="126" applyNumberFormat="1" applyFont="1" applyFill="1" applyBorder="1" applyProtection="1">
      <protection locked="0"/>
    </xf>
    <xf numFmtId="175" fontId="16" fillId="27" borderId="105" xfId="126" applyNumberFormat="1" applyFont="1" applyFill="1" applyBorder="1" applyProtection="1">
      <protection locked="0"/>
    </xf>
    <xf numFmtId="175" fontId="14" fillId="0" borderId="0" xfId="215" applyNumberFormat="1" applyFont="1" applyBorder="1" applyAlignment="1">
      <alignment horizontal="right"/>
    </xf>
    <xf numFmtId="175" fontId="14" fillId="0" borderId="43" xfId="215" applyNumberFormat="1" applyFont="1" applyBorder="1" applyAlignment="1">
      <alignment horizontal="right"/>
    </xf>
    <xf numFmtId="175" fontId="14" fillId="0" borderId="8" xfId="215" applyNumberFormat="1" applyFont="1" applyBorder="1" applyAlignment="1">
      <alignment horizontal="right"/>
    </xf>
    <xf numFmtId="175" fontId="14" fillId="0" borderId="3" xfId="215" applyNumberFormat="1" applyFont="1" applyBorder="1" applyAlignment="1">
      <alignment horizontal="right"/>
    </xf>
    <xf numFmtId="175" fontId="14" fillId="0" borderId="43" xfId="215" applyNumberFormat="1" applyFont="1" applyBorder="1" applyAlignment="1">
      <alignment horizontal="center"/>
    </xf>
    <xf numFmtId="175" fontId="16" fillId="0" borderId="53" xfId="215" applyNumberFormat="1" applyFont="1" applyFill="1" applyBorder="1" applyProtection="1"/>
    <xf numFmtId="175" fontId="14" fillId="0" borderId="43" xfId="215" applyNumberFormat="1" applyFont="1" applyBorder="1" applyAlignment="1" applyProtection="1">
      <alignment horizontal="right"/>
    </xf>
    <xf numFmtId="175" fontId="14" fillId="0" borderId="8" xfId="215" applyNumberFormat="1" applyFont="1" applyBorder="1" applyAlignment="1" applyProtection="1">
      <alignment horizontal="right"/>
    </xf>
    <xf numFmtId="175" fontId="14" fillId="0" borderId="3" xfId="215" applyNumberFormat="1" applyFont="1" applyBorder="1" applyAlignment="1" applyProtection="1">
      <alignment horizontal="right"/>
    </xf>
    <xf numFmtId="175" fontId="14" fillId="0" borderId="0" xfId="215" applyNumberFormat="1" applyFont="1" applyBorder="1" applyAlignment="1" applyProtection="1">
      <alignment horizontal="right"/>
    </xf>
    <xf numFmtId="175" fontId="14" fillId="0" borderId="47" xfId="215" applyNumberFormat="1" applyFont="1" applyBorder="1" applyAlignment="1" applyProtection="1">
      <alignment horizontal="right"/>
    </xf>
    <xf numFmtId="175" fontId="14" fillId="0" borderId="43" xfId="215" applyNumberFormat="1" applyFont="1" applyBorder="1" applyProtection="1"/>
    <xf numFmtId="175" fontId="14" fillId="0" borderId="8" xfId="215" applyNumberFormat="1" applyFont="1" applyBorder="1" applyProtection="1"/>
    <xf numFmtId="175" fontId="14" fillId="0" borderId="3" xfId="215" applyNumberFormat="1" applyFont="1" applyBorder="1" applyProtection="1"/>
    <xf numFmtId="175" fontId="14" fillId="0" borderId="0" xfId="215" applyNumberFormat="1" applyFont="1" applyBorder="1" applyProtection="1"/>
    <xf numFmtId="175" fontId="14" fillId="0" borderId="47" xfId="215" applyNumberFormat="1" applyFont="1" applyBorder="1" applyProtection="1"/>
    <xf numFmtId="175" fontId="16" fillId="0" borderId="55" xfId="215" applyNumberFormat="1" applyFont="1" applyBorder="1" applyProtection="1"/>
    <xf numFmtId="175" fontId="16" fillId="0" borderId="52" xfId="215" applyNumberFormat="1" applyFont="1" applyBorder="1" applyProtection="1"/>
    <xf numFmtId="175" fontId="16" fillId="0" borderId="53" xfId="215" applyNumberFormat="1" applyFont="1" applyBorder="1" applyProtection="1"/>
    <xf numFmtId="175" fontId="16" fillId="0" borderId="54" xfId="215" applyNumberFormat="1" applyFont="1" applyBorder="1" applyProtection="1"/>
    <xf numFmtId="175" fontId="16" fillId="0" borderId="56" xfId="215" applyNumberFormat="1" applyFont="1" applyBorder="1" applyProtection="1"/>
    <xf numFmtId="175" fontId="14" fillId="0" borderId="47" xfId="215" applyNumberFormat="1" applyFont="1" applyBorder="1" applyAlignment="1">
      <alignment horizontal="right"/>
    </xf>
    <xf numFmtId="175" fontId="14" fillId="0" borderId="78" xfId="215" applyNumberFormat="1" applyFont="1" applyBorder="1" applyAlignment="1">
      <alignment horizontal="right"/>
    </xf>
    <xf numFmtId="175" fontId="16" fillId="0" borderId="60" xfId="215" applyNumberFormat="1" applyFont="1" applyBorder="1" applyAlignment="1" applyProtection="1">
      <alignment horizontal="right"/>
    </xf>
    <xf numFmtId="175" fontId="16" fillId="0" borderId="61" xfId="215" applyNumberFormat="1" applyFont="1" applyBorder="1" applyAlignment="1" applyProtection="1">
      <alignment horizontal="right"/>
    </xf>
    <xf numFmtId="175" fontId="16" fillId="0" borderId="62" xfId="215" applyNumberFormat="1" applyFont="1" applyBorder="1" applyAlignment="1" applyProtection="1">
      <alignment horizontal="right"/>
    </xf>
    <xf numFmtId="175" fontId="16" fillId="0" borderId="59" xfId="215" applyNumberFormat="1" applyFont="1" applyBorder="1" applyAlignment="1" applyProtection="1">
      <alignment horizontal="right"/>
    </xf>
    <xf numFmtId="175" fontId="16" fillId="0" borderId="63" xfId="215" applyNumberFormat="1" applyFont="1" applyBorder="1" applyAlignment="1" applyProtection="1">
      <alignment horizontal="right"/>
    </xf>
    <xf numFmtId="175" fontId="16" fillId="0" borderId="60" xfId="215" applyNumberFormat="1" applyFont="1" applyBorder="1" applyProtection="1"/>
    <xf numFmtId="175" fontId="16" fillId="0" borderId="61" xfId="215" applyNumberFormat="1" applyFont="1" applyBorder="1" applyProtection="1"/>
    <xf numFmtId="175" fontId="16" fillId="0" borderId="62" xfId="215" applyNumberFormat="1" applyFont="1" applyBorder="1" applyProtection="1"/>
    <xf numFmtId="175" fontId="16" fillId="0" borderId="59" xfId="215" applyNumberFormat="1" applyFont="1" applyBorder="1" applyProtection="1"/>
    <xf numFmtId="175" fontId="16" fillId="0" borderId="63" xfId="215" applyNumberFormat="1" applyFont="1" applyBorder="1" applyProtection="1"/>
    <xf numFmtId="175" fontId="14" fillId="0" borderId="43" xfId="215" applyNumberFormat="1" applyFont="1" applyFill="1" applyBorder="1" applyAlignment="1" applyProtection="1">
      <alignment horizontal="right"/>
    </xf>
    <xf numFmtId="175" fontId="14" fillId="0" borderId="43" xfId="215" applyNumberFormat="1" applyFont="1" applyFill="1" applyBorder="1" applyAlignment="1" applyProtection="1">
      <alignment horizontal="center"/>
    </xf>
    <xf numFmtId="175" fontId="14" fillId="0" borderId="8" xfId="215" applyNumberFormat="1" applyFont="1" applyFill="1" applyBorder="1" applyAlignment="1" applyProtection="1">
      <alignment horizontal="right"/>
    </xf>
    <xf numFmtId="175" fontId="14" fillId="0" borderId="3" xfId="215" applyNumberFormat="1" applyFont="1" applyFill="1" applyBorder="1" applyAlignment="1" applyProtection="1">
      <alignment horizontal="right"/>
    </xf>
    <xf numFmtId="175" fontId="14" fillId="0" borderId="78" xfId="215" applyNumberFormat="1" applyFont="1" applyBorder="1" applyAlignment="1" applyProtection="1">
      <alignment horizontal="right"/>
    </xf>
    <xf numFmtId="175" fontId="14" fillId="0" borderId="47" xfId="215" applyNumberFormat="1" applyFont="1" applyFill="1" applyBorder="1" applyAlignment="1" applyProtection="1">
      <alignment horizontal="right"/>
    </xf>
    <xf numFmtId="175" fontId="16" fillId="0" borderId="87" xfId="215" applyNumberFormat="1" applyFont="1" applyBorder="1" applyProtection="1"/>
    <xf numFmtId="175" fontId="14" fillId="0" borderId="101" xfId="215" applyNumberFormat="1" applyFont="1" applyBorder="1" applyAlignment="1" applyProtection="1">
      <alignment horizontal="right"/>
    </xf>
    <xf numFmtId="175" fontId="14" fillId="0" borderId="71" xfId="215" applyNumberFormat="1" applyFont="1" applyBorder="1" applyAlignment="1">
      <alignment horizontal="right"/>
    </xf>
    <xf numFmtId="175" fontId="16" fillId="0" borderId="87" xfId="215" applyNumberFormat="1" applyFont="1" applyBorder="1" applyAlignment="1" applyProtection="1">
      <alignment horizontal="right"/>
    </xf>
    <xf numFmtId="175" fontId="14" fillId="0" borderId="78" xfId="215" applyNumberFormat="1" applyFont="1" applyBorder="1" applyProtection="1"/>
    <xf numFmtId="175" fontId="14" fillId="0" borderId="78" xfId="215" applyNumberFormat="1" applyFont="1" applyFill="1" applyBorder="1" applyAlignment="1" applyProtection="1">
      <alignment horizontal="right"/>
    </xf>
    <xf numFmtId="175" fontId="16" fillId="0" borderId="85" xfId="215" applyNumberFormat="1" applyFont="1" applyBorder="1" applyProtection="1"/>
    <xf numFmtId="175" fontId="16" fillId="0" borderId="48" xfId="361" applyNumberFormat="1" applyFont="1" applyBorder="1"/>
    <xf numFmtId="175" fontId="16" fillId="0" borderId="46" xfId="361" applyNumberFormat="1" applyFont="1" applyBorder="1"/>
    <xf numFmtId="175" fontId="16" fillId="0" borderId="49" xfId="361" applyNumberFormat="1" applyFont="1" applyBorder="1"/>
    <xf numFmtId="175" fontId="16" fillId="0" borderId="50" xfId="361" applyNumberFormat="1" applyFont="1" applyBorder="1"/>
    <xf numFmtId="175" fontId="16" fillId="0" borderId="51" xfId="361" applyNumberFormat="1" applyFont="1" applyBorder="1"/>
    <xf numFmtId="175" fontId="16" fillId="0" borderId="0" xfId="361" applyNumberFormat="1" applyFont="1" applyBorder="1"/>
    <xf numFmtId="175" fontId="16" fillId="0" borderId="43" xfId="361" applyNumberFormat="1" applyFont="1" applyBorder="1"/>
    <xf numFmtId="175" fontId="16" fillId="0" borderId="8" xfId="361" applyNumberFormat="1" applyFont="1" applyBorder="1"/>
    <xf numFmtId="175" fontId="16" fillId="0" borderId="3" xfId="361" applyNumberFormat="1" applyFont="1" applyBorder="1"/>
    <xf numFmtId="175" fontId="16" fillId="0" borderId="47" xfId="361" applyNumberFormat="1" applyFont="1" applyBorder="1"/>
    <xf numFmtId="175" fontId="16" fillId="0" borderId="53" xfId="361" applyNumberFormat="1" applyFont="1" applyFill="1" applyBorder="1"/>
    <xf numFmtId="175" fontId="16" fillId="0" borderId="55" xfId="361" applyNumberFormat="1" applyFont="1" applyBorder="1"/>
    <xf numFmtId="175" fontId="16" fillId="0" borderId="52" xfId="361" applyNumberFormat="1" applyFont="1" applyBorder="1"/>
    <xf numFmtId="175" fontId="16" fillId="0" borderId="53" xfId="361" applyNumberFormat="1" applyFont="1" applyBorder="1"/>
    <xf numFmtId="175" fontId="16" fillId="0" borderId="54" xfId="361" applyNumberFormat="1" applyFont="1" applyBorder="1"/>
    <xf numFmtId="175" fontId="16" fillId="0" borderId="56" xfId="361" applyNumberFormat="1" applyFont="1" applyBorder="1"/>
    <xf numFmtId="175" fontId="16" fillId="0" borderId="43" xfId="361" applyNumberFormat="1" applyFont="1" applyBorder="1" applyAlignment="1">
      <alignment horizontal="right"/>
    </xf>
    <xf numFmtId="175" fontId="16" fillId="0" borderId="8" xfId="361" applyNumberFormat="1" applyFont="1" applyBorder="1" applyAlignment="1">
      <alignment horizontal="right"/>
    </xf>
    <xf numFmtId="175" fontId="16" fillId="0" borderId="3" xfId="361" applyNumberFormat="1" applyFont="1" applyBorder="1" applyAlignment="1">
      <alignment horizontal="right"/>
    </xf>
    <xf numFmtId="175" fontId="16" fillId="0" borderId="0" xfId="361" applyNumberFormat="1" applyFont="1" applyBorder="1" applyAlignment="1">
      <alignment horizontal="right"/>
    </xf>
    <xf numFmtId="175" fontId="16" fillId="0" borderId="47" xfId="361" applyNumberFormat="1" applyFont="1" applyBorder="1" applyAlignment="1">
      <alignment horizontal="right"/>
    </xf>
    <xf numFmtId="175" fontId="14" fillId="9" borderId="43" xfId="361" applyNumberFormat="1" applyFont="1" applyFill="1" applyBorder="1" applyProtection="1">
      <protection locked="0"/>
    </xf>
    <xf numFmtId="175" fontId="14" fillId="9" borderId="8" xfId="361" applyNumberFormat="1" applyFont="1" applyFill="1" applyBorder="1" applyProtection="1">
      <protection locked="0"/>
    </xf>
    <xf numFmtId="175" fontId="14" fillId="9" borderId="3" xfId="361" applyNumberFormat="1" applyFont="1" applyFill="1" applyBorder="1" applyProtection="1">
      <protection locked="0"/>
    </xf>
    <xf numFmtId="175" fontId="14" fillId="9" borderId="0" xfId="361" applyNumberFormat="1" applyFont="1" applyFill="1" applyBorder="1" applyProtection="1">
      <protection locked="0"/>
    </xf>
    <xf numFmtId="175" fontId="14" fillId="9" borderId="47" xfId="361" applyNumberFormat="1" applyFont="1" applyFill="1" applyBorder="1" applyProtection="1">
      <protection locked="0"/>
    </xf>
    <xf numFmtId="175" fontId="16" fillId="0" borderId="46" xfId="361" applyNumberFormat="1" applyFont="1" applyBorder="1" applyAlignment="1" applyProtection="1">
      <alignment horizontal="right"/>
    </xf>
    <xf numFmtId="175" fontId="16" fillId="0" borderId="49" xfId="361" applyNumberFormat="1" applyFont="1" applyBorder="1" applyAlignment="1" applyProtection="1">
      <alignment horizontal="right"/>
    </xf>
    <xf numFmtId="175" fontId="16" fillId="0" borderId="50" xfId="361" applyNumberFormat="1" applyFont="1" applyBorder="1" applyAlignment="1" applyProtection="1">
      <alignment horizontal="right"/>
    </xf>
    <xf numFmtId="175" fontId="16" fillId="0" borderId="48" xfId="361" applyNumberFormat="1" applyFont="1" applyBorder="1" applyAlignment="1" applyProtection="1">
      <alignment horizontal="right"/>
    </xf>
    <xf numFmtId="175" fontId="16" fillId="0" borderId="51" xfId="361" applyNumberFormat="1" applyFont="1" applyBorder="1" applyAlignment="1" applyProtection="1">
      <alignment horizontal="right"/>
    </xf>
    <xf numFmtId="175" fontId="14" fillId="0" borderId="36" xfId="361" applyNumberFormat="1" applyFont="1" applyBorder="1" applyProtection="1"/>
    <xf numFmtId="175" fontId="14" fillId="0" borderId="10" xfId="361" applyNumberFormat="1" applyFont="1" applyBorder="1" applyProtection="1"/>
    <xf numFmtId="175" fontId="14" fillId="0" borderId="4" xfId="361" applyNumberFormat="1" applyFont="1" applyBorder="1" applyProtection="1"/>
    <xf numFmtId="175" fontId="14" fillId="0" borderId="9" xfId="361" applyNumberFormat="1" applyFont="1" applyBorder="1" applyProtection="1"/>
    <xf numFmtId="175" fontId="14" fillId="0" borderId="64" xfId="361" applyNumberFormat="1" applyFont="1" applyBorder="1" applyProtection="1"/>
    <xf numFmtId="175" fontId="14" fillId="0" borderId="38" xfId="361" applyNumberFormat="1" applyFont="1" applyBorder="1" applyProtection="1"/>
    <xf numFmtId="175" fontId="14" fillId="0" borderId="7" xfId="361" applyNumberFormat="1" applyFont="1" applyBorder="1" applyProtection="1"/>
    <xf numFmtId="175" fontId="14" fillId="0" borderId="12" xfId="361" applyNumberFormat="1" applyFont="1" applyBorder="1" applyProtection="1"/>
    <xf numFmtId="175" fontId="14" fillId="0" borderId="6" xfId="361" applyNumberFormat="1" applyFont="1" applyBorder="1" applyProtection="1"/>
    <xf numFmtId="175" fontId="14" fillId="0" borderId="45" xfId="361" applyNumberFormat="1" applyFont="1" applyBorder="1" applyProtection="1"/>
    <xf numFmtId="175" fontId="16" fillId="0" borderId="43" xfId="361" applyNumberFormat="1" applyFont="1" applyBorder="1" applyAlignment="1" applyProtection="1">
      <alignment horizontal="right"/>
    </xf>
    <xf numFmtId="175" fontId="16" fillId="0" borderId="8" xfId="361" applyNumberFormat="1" applyFont="1" applyBorder="1" applyAlignment="1" applyProtection="1">
      <alignment horizontal="right"/>
    </xf>
    <xf numFmtId="175" fontId="16" fillId="0" borderId="3" xfId="361" applyNumberFormat="1" applyFont="1" applyBorder="1" applyAlignment="1" applyProtection="1">
      <alignment horizontal="right"/>
    </xf>
    <xf numFmtId="175" fontId="16" fillId="0" borderId="0" xfId="361" applyNumberFormat="1" applyFont="1" applyBorder="1" applyAlignment="1" applyProtection="1">
      <alignment horizontal="right"/>
    </xf>
    <xf numFmtId="175" fontId="16" fillId="0" borderId="47" xfId="361" applyNumberFormat="1" applyFont="1" applyBorder="1" applyAlignment="1" applyProtection="1">
      <alignment horizontal="right"/>
    </xf>
    <xf numFmtId="175" fontId="14" fillId="17" borderId="43" xfId="361" applyNumberFormat="1" applyFont="1" applyFill="1" applyBorder="1" applyProtection="1">
      <protection locked="0"/>
    </xf>
    <xf numFmtId="175" fontId="14" fillId="17" borderId="47" xfId="361" applyNumberFormat="1" applyFont="1" applyFill="1" applyBorder="1" applyProtection="1">
      <protection locked="0"/>
    </xf>
    <xf numFmtId="175" fontId="14" fillId="17" borderId="8" xfId="361" applyNumberFormat="1" applyFont="1" applyFill="1" applyBorder="1" applyProtection="1">
      <protection locked="0"/>
    </xf>
    <xf numFmtId="175" fontId="14" fillId="17" borderId="3" xfId="361" applyNumberFormat="1" applyFont="1" applyFill="1" applyBorder="1" applyProtection="1">
      <protection locked="0"/>
    </xf>
    <xf numFmtId="175" fontId="14" fillId="17" borderId="0" xfId="361" applyNumberFormat="1" applyFont="1" applyFill="1" applyBorder="1" applyProtection="1">
      <protection locked="0"/>
    </xf>
    <xf numFmtId="175" fontId="14" fillId="27" borderId="43" xfId="361" applyNumberFormat="1" applyFont="1" applyFill="1" applyBorder="1" applyProtection="1">
      <protection locked="0"/>
    </xf>
    <xf numFmtId="175" fontId="14" fillId="27" borderId="47" xfId="361" applyNumberFormat="1" applyFont="1" applyFill="1" applyBorder="1" applyProtection="1">
      <protection locked="0"/>
    </xf>
    <xf numFmtId="175" fontId="14" fillId="27" borderId="43" xfId="361" applyNumberFormat="1" applyFont="1" applyFill="1" applyBorder="1" applyAlignment="1" applyProtection="1">
      <alignment horizontal="right"/>
      <protection locked="0"/>
    </xf>
    <xf numFmtId="175" fontId="14" fillId="27" borderId="8" xfId="361" applyNumberFormat="1" applyFont="1" applyFill="1" applyBorder="1" applyAlignment="1" applyProtection="1">
      <alignment horizontal="right"/>
      <protection locked="0"/>
    </xf>
    <xf numFmtId="175" fontId="14" fillId="27" borderId="3" xfId="361" applyNumberFormat="1" applyFont="1" applyFill="1" applyBorder="1" applyAlignment="1" applyProtection="1">
      <alignment horizontal="right"/>
      <protection locked="0"/>
    </xf>
    <xf numFmtId="175" fontId="14" fillId="27" borderId="0" xfId="361" applyNumberFormat="1" applyFont="1" applyFill="1" applyBorder="1" applyAlignment="1" applyProtection="1">
      <alignment horizontal="right"/>
      <protection locked="0"/>
    </xf>
    <xf numFmtId="175" fontId="14" fillId="27" borderId="47" xfId="361" applyNumberFormat="1" applyFont="1" applyFill="1" applyBorder="1" applyAlignment="1" applyProtection="1">
      <alignment horizontal="right"/>
      <protection locked="0"/>
    </xf>
    <xf numFmtId="175" fontId="14" fillId="27" borderId="8" xfId="361" applyNumberFormat="1" applyFont="1" applyFill="1" applyBorder="1" applyProtection="1">
      <protection locked="0"/>
    </xf>
    <xf numFmtId="175" fontId="14" fillId="27" borderId="3" xfId="361" applyNumberFormat="1" applyFont="1" applyFill="1" applyBorder="1" applyProtection="1">
      <protection locked="0"/>
    </xf>
    <xf numFmtId="175" fontId="14" fillId="27" borderId="0" xfId="361" applyNumberFormat="1" applyFont="1" applyFill="1" applyBorder="1" applyProtection="1">
      <protection locked="0"/>
    </xf>
    <xf numFmtId="175" fontId="14" fillId="0" borderId="0" xfId="718" applyNumberFormat="1" applyFont="1" applyBorder="1"/>
    <xf numFmtId="175" fontId="14" fillId="0" borderId="43" xfId="718" applyNumberFormat="1" applyFont="1" applyBorder="1"/>
    <xf numFmtId="175" fontId="14" fillId="0" borderId="8" xfId="718" applyNumberFormat="1" applyFont="1" applyBorder="1"/>
    <xf numFmtId="175" fontId="14" fillId="0" borderId="3" xfId="718" applyNumberFormat="1" applyFont="1" applyBorder="1"/>
    <xf numFmtId="175" fontId="14" fillId="0" borderId="47" xfId="718" applyNumberFormat="1" applyFont="1" applyBorder="1"/>
    <xf numFmtId="175" fontId="14" fillId="0" borderId="43" xfId="718" applyNumberFormat="1" applyFont="1" applyFill="1" applyBorder="1"/>
    <xf numFmtId="175" fontId="16" fillId="0" borderId="46" xfId="718" applyNumberFormat="1" applyFont="1" applyBorder="1"/>
    <xf numFmtId="175" fontId="16" fillId="0" borderId="49" xfId="718" applyNumberFormat="1" applyFont="1" applyBorder="1"/>
    <xf numFmtId="175" fontId="16" fillId="0" borderId="50" xfId="718" applyNumberFormat="1" applyFont="1" applyBorder="1"/>
    <xf numFmtId="175" fontId="16" fillId="0" borderId="51" xfId="718" applyNumberFormat="1" applyFont="1" applyBorder="1"/>
    <xf numFmtId="175" fontId="16" fillId="0" borderId="43" xfId="718" applyNumberFormat="1" applyFont="1" applyBorder="1"/>
    <xf numFmtId="175" fontId="16" fillId="0" borderId="8" xfId="718" applyNumberFormat="1" applyFont="1" applyBorder="1"/>
    <xf numFmtId="175" fontId="16" fillId="0" borderId="3" xfId="718" applyNumberFormat="1" applyFont="1" applyBorder="1"/>
    <xf numFmtId="175" fontId="16" fillId="0" borderId="47" xfId="718" applyNumberFormat="1" applyFont="1" applyBorder="1"/>
    <xf numFmtId="175" fontId="16" fillId="0" borderId="53" xfId="718" applyNumberFormat="1" applyFont="1" applyFill="1" applyBorder="1"/>
    <xf numFmtId="175" fontId="16" fillId="0" borderId="55" xfId="718" applyNumberFormat="1" applyFont="1" applyBorder="1"/>
    <xf numFmtId="175" fontId="16" fillId="0" borderId="52" xfId="718" applyNumberFormat="1" applyFont="1" applyBorder="1"/>
    <xf numFmtId="175" fontId="16" fillId="0" borderId="53" xfId="718" applyNumberFormat="1" applyFont="1" applyBorder="1"/>
    <xf numFmtId="175" fontId="16" fillId="0" borderId="56" xfId="718" applyNumberFormat="1" applyFont="1" applyBorder="1"/>
    <xf numFmtId="175" fontId="16" fillId="0" borderId="46" xfId="718" applyNumberFormat="1" applyFont="1" applyBorder="1" applyAlignment="1">
      <alignment vertical="top"/>
    </xf>
    <xf numFmtId="175" fontId="16" fillId="0" borderId="49" xfId="718" applyNumberFormat="1" applyFont="1" applyBorder="1" applyAlignment="1">
      <alignment vertical="top"/>
    </xf>
    <xf numFmtId="175" fontId="16" fillId="0" borderId="50" xfId="718" applyNumberFormat="1" applyFont="1" applyBorder="1" applyAlignment="1">
      <alignment vertical="top"/>
    </xf>
    <xf numFmtId="175" fontId="16" fillId="0" borderId="51" xfId="718" applyNumberFormat="1" applyFont="1" applyBorder="1" applyAlignment="1">
      <alignment vertical="top"/>
    </xf>
    <xf numFmtId="175" fontId="16" fillId="0" borderId="55" xfId="718" applyNumberFormat="1" applyFont="1" applyFill="1" applyBorder="1"/>
    <xf numFmtId="175" fontId="16" fillId="0" borderId="52" xfId="718" applyNumberFormat="1" applyFont="1" applyFill="1" applyBorder="1"/>
    <xf numFmtId="175" fontId="14" fillId="0" borderId="78" xfId="718" applyNumberFormat="1" applyFont="1" applyBorder="1"/>
    <xf numFmtId="175" fontId="14" fillId="0" borderId="43" xfId="718" applyNumberFormat="1" applyFont="1" applyFill="1" applyBorder="1" applyProtection="1"/>
    <xf numFmtId="175" fontId="14" fillId="0" borderId="0" xfId="718" applyNumberFormat="1" applyFont="1" applyFill="1" applyBorder="1" applyProtection="1"/>
    <xf numFmtId="175" fontId="14" fillId="0" borderId="47" xfId="718" applyNumberFormat="1" applyFont="1" applyFill="1" applyBorder="1" applyProtection="1"/>
    <xf numFmtId="175" fontId="14" fillId="0" borderId="78" xfId="718" applyNumberFormat="1" applyFont="1" applyFill="1" applyBorder="1" applyProtection="1"/>
    <xf numFmtId="175" fontId="14" fillId="0" borderId="43" xfId="718" applyNumberFormat="1" applyFont="1" applyFill="1" applyBorder="1" applyProtection="1">
      <protection locked="0"/>
    </xf>
    <xf numFmtId="175" fontId="14" fillId="0" borderId="47" xfId="718" applyNumberFormat="1" applyFont="1" applyFill="1" applyBorder="1" applyProtection="1">
      <protection locked="0"/>
    </xf>
    <xf numFmtId="175" fontId="14" fillId="0" borderId="8" xfId="718" applyNumberFormat="1" applyFont="1" applyFill="1" applyBorder="1" applyProtection="1">
      <protection locked="0"/>
    </xf>
    <xf numFmtId="175" fontId="14" fillId="0" borderId="3" xfId="718" applyNumberFormat="1" applyFont="1" applyFill="1" applyBorder="1" applyProtection="1">
      <protection locked="0"/>
    </xf>
    <xf numFmtId="175" fontId="14" fillId="0" borderId="0" xfId="718" applyNumberFormat="1" applyFont="1" applyFill="1" applyBorder="1" applyProtection="1">
      <protection locked="0"/>
    </xf>
    <xf numFmtId="175" fontId="16" fillId="0" borderId="60" xfId="718" applyNumberFormat="1" applyFont="1" applyBorder="1" applyAlignment="1">
      <alignment vertical="top"/>
    </xf>
    <xf numFmtId="175" fontId="16" fillId="0" borderId="61" xfId="718" applyNumberFormat="1" applyFont="1" applyBorder="1" applyAlignment="1">
      <alignment vertical="top"/>
    </xf>
    <xf numFmtId="175" fontId="16" fillId="0" borderId="62" xfId="718" applyNumberFormat="1" applyFont="1" applyBorder="1" applyAlignment="1">
      <alignment vertical="top"/>
    </xf>
    <xf numFmtId="175" fontId="16" fillId="0" borderId="63" xfId="718" applyNumberFormat="1" applyFont="1" applyBorder="1" applyAlignment="1">
      <alignment vertical="top"/>
    </xf>
    <xf numFmtId="175" fontId="14" fillId="0" borderId="68" xfId="718" applyNumberFormat="1" applyFont="1" applyFill="1" applyBorder="1" applyProtection="1"/>
    <xf numFmtId="175" fontId="14" fillId="27" borderId="43" xfId="718" applyNumberFormat="1" applyFont="1" applyFill="1" applyBorder="1" applyProtection="1">
      <protection locked="0"/>
    </xf>
    <xf numFmtId="175" fontId="14" fillId="27" borderId="68" xfId="718" applyNumberFormat="1" applyFont="1" applyFill="1" applyBorder="1" applyProtection="1">
      <protection locked="0"/>
    </xf>
    <xf numFmtId="175" fontId="14" fillId="27" borderId="47" xfId="718" applyNumberFormat="1" applyFont="1" applyFill="1" applyBorder="1" applyProtection="1">
      <protection locked="0"/>
    </xf>
    <xf numFmtId="175" fontId="14" fillId="27" borderId="78" xfId="718" applyNumberFormat="1" applyFont="1" applyFill="1" applyBorder="1" applyProtection="1">
      <protection locked="0"/>
    </xf>
    <xf numFmtId="175" fontId="14" fillId="27" borderId="8" xfId="718" applyNumberFormat="1" applyFont="1" applyFill="1" applyBorder="1" applyProtection="1">
      <protection locked="0"/>
    </xf>
    <xf numFmtId="175" fontId="14" fillId="27" borderId="3" xfId="718" applyNumberFormat="1" applyFont="1" applyFill="1" applyBorder="1" applyProtection="1">
      <protection locked="0"/>
    </xf>
    <xf numFmtId="175" fontId="14" fillId="27" borderId="0" xfId="718" applyNumberFormat="1" applyFont="1" applyFill="1" applyBorder="1" applyProtection="1">
      <protection locked="0"/>
    </xf>
    <xf numFmtId="175" fontId="14" fillId="27" borderId="43" xfId="833" applyNumberFormat="1" applyFont="1" applyFill="1" applyBorder="1" applyProtection="1">
      <protection locked="0"/>
    </xf>
    <xf numFmtId="175" fontId="14" fillId="27" borderId="8" xfId="833" applyNumberFormat="1" applyFont="1" applyFill="1" applyBorder="1" applyProtection="1">
      <protection locked="0"/>
    </xf>
    <xf numFmtId="175" fontId="14" fillId="27" borderId="3" xfId="833" applyNumberFormat="1" applyFont="1" applyFill="1" applyBorder="1" applyProtection="1">
      <protection locked="0"/>
    </xf>
    <xf numFmtId="175" fontId="14" fillId="27" borderId="0" xfId="833" applyNumberFormat="1" applyFont="1" applyFill="1" applyBorder="1" applyProtection="1">
      <protection locked="0"/>
    </xf>
    <xf numFmtId="175" fontId="14" fillId="27" borderId="47" xfId="833" applyNumberFormat="1" applyFont="1" applyFill="1" applyBorder="1" applyProtection="1">
      <protection locked="0"/>
    </xf>
    <xf numFmtId="175" fontId="16" fillId="27" borderId="3" xfId="833" applyNumberFormat="1" applyFont="1" applyFill="1" applyBorder="1" applyProtection="1">
      <protection locked="0"/>
    </xf>
    <xf numFmtId="175" fontId="16" fillId="27" borderId="43" xfId="833" applyNumberFormat="1" applyFont="1" applyFill="1" applyBorder="1" applyProtection="1">
      <protection locked="0"/>
    </xf>
    <xf numFmtId="175" fontId="16" fillId="27" borderId="8" xfId="833" applyNumberFormat="1" applyFont="1" applyFill="1" applyBorder="1" applyProtection="1">
      <protection locked="0"/>
    </xf>
    <xf numFmtId="175" fontId="16" fillId="27" borderId="47" xfId="833" applyNumberFormat="1" applyFont="1" applyFill="1" applyBorder="1" applyProtection="1">
      <protection locked="0"/>
    </xf>
    <xf numFmtId="175" fontId="14" fillId="0" borderId="0" xfId="362" applyNumberFormat="1" applyFont="1" applyBorder="1" applyAlignment="1">
      <alignment horizontal="right"/>
    </xf>
    <xf numFmtId="175" fontId="14" fillId="0" borderId="43" xfId="362" applyNumberFormat="1" applyFont="1" applyBorder="1" applyAlignment="1">
      <alignment horizontal="right"/>
    </xf>
    <xf numFmtId="175" fontId="14" fillId="0" borderId="8" xfId="362" applyNumberFormat="1" applyFont="1" applyBorder="1" applyAlignment="1">
      <alignment horizontal="right"/>
    </xf>
    <xf numFmtId="175" fontId="14" fillId="0" borderId="3" xfId="362" applyNumberFormat="1" applyFont="1" applyBorder="1" applyAlignment="1">
      <alignment horizontal="right"/>
    </xf>
    <xf numFmtId="175" fontId="14" fillId="0" borderId="0" xfId="362" applyNumberFormat="1" applyFont="1" applyBorder="1"/>
    <xf numFmtId="175" fontId="14" fillId="0" borderId="43" xfId="362" applyNumberFormat="1" applyFont="1" applyBorder="1"/>
    <xf numFmtId="175" fontId="14" fillId="0" borderId="8" xfId="362" applyNumberFormat="1" applyFont="1" applyBorder="1"/>
    <xf numFmtId="175" fontId="14" fillId="0" borderId="3" xfId="362" applyNumberFormat="1" applyFont="1" applyBorder="1"/>
    <xf numFmtId="175" fontId="16" fillId="0" borderId="48" xfId="362" applyNumberFormat="1" applyFont="1" applyBorder="1"/>
    <xf numFmtId="175" fontId="16" fillId="0" borderId="46" xfId="362" applyNumberFormat="1" applyFont="1" applyBorder="1"/>
    <xf numFmtId="175" fontId="16" fillId="0" borderId="49" xfId="362" applyNumberFormat="1" applyFont="1" applyBorder="1"/>
    <xf numFmtId="175" fontId="16" fillId="0" borderId="50" xfId="362" applyNumberFormat="1" applyFont="1" applyBorder="1"/>
    <xf numFmtId="175" fontId="16" fillId="0" borderId="0" xfId="362" applyNumberFormat="1" applyFont="1" applyBorder="1"/>
    <xf numFmtId="175" fontId="16" fillId="0" borderId="43" xfId="362" applyNumberFormat="1" applyFont="1" applyBorder="1"/>
    <xf numFmtId="175" fontId="16" fillId="0" borderId="8" xfId="362" applyNumberFormat="1" applyFont="1" applyBorder="1"/>
    <xf numFmtId="175" fontId="16" fillId="0" borderId="3" xfId="362" applyNumberFormat="1" applyFont="1" applyBorder="1"/>
    <xf numFmtId="175" fontId="16" fillId="0" borderId="54" xfId="362" applyNumberFormat="1" applyFont="1" applyFill="1" applyBorder="1"/>
    <xf numFmtId="175" fontId="16" fillId="0" borderId="53" xfId="362" applyNumberFormat="1" applyFont="1" applyFill="1" applyBorder="1"/>
    <xf numFmtId="175" fontId="16" fillId="0" borderId="55" xfId="362" applyNumberFormat="1" applyFont="1" applyBorder="1"/>
    <xf numFmtId="175" fontId="16" fillId="0" borderId="52" xfId="362" applyNumberFormat="1" applyFont="1" applyBorder="1"/>
    <xf numFmtId="175" fontId="16" fillId="0" borderId="53" xfId="362" applyNumberFormat="1" applyFont="1" applyBorder="1"/>
    <xf numFmtId="175" fontId="16" fillId="0" borderId="54" xfId="362" applyNumberFormat="1" applyFont="1" applyBorder="1"/>
    <xf numFmtId="175" fontId="14" fillId="0" borderId="43" xfId="1853" applyNumberFormat="1" applyFont="1" applyBorder="1"/>
    <xf numFmtId="175" fontId="16" fillId="0" borderId="48" xfId="362" applyNumberFormat="1" applyFont="1" applyFill="1" applyBorder="1"/>
    <xf numFmtId="175" fontId="16" fillId="0" borderId="46" xfId="362" applyNumberFormat="1" applyFont="1" applyFill="1" applyBorder="1"/>
    <xf numFmtId="175" fontId="16" fillId="0" borderId="49" xfId="362" applyNumberFormat="1" applyFont="1" applyFill="1" applyBorder="1"/>
    <xf numFmtId="175" fontId="16" fillId="0" borderId="50" xfId="362" applyNumberFormat="1" applyFont="1" applyFill="1" applyBorder="1"/>
    <xf numFmtId="175" fontId="14" fillId="0" borderId="3" xfId="1853" applyNumberFormat="1" applyFont="1" applyBorder="1" applyAlignment="1">
      <alignment horizontal="right"/>
    </xf>
    <xf numFmtId="175" fontId="14" fillId="0" borderId="8" xfId="1853" applyNumberFormat="1" applyFont="1" applyBorder="1" applyAlignment="1">
      <alignment horizontal="right"/>
    </xf>
    <xf numFmtId="175" fontId="14" fillId="0" borderId="43" xfId="362" applyNumberFormat="1" applyFont="1" applyBorder="1" applyAlignment="1">
      <alignment horizontal="center"/>
    </xf>
    <xf numFmtId="175" fontId="16" fillId="0" borderId="53" xfId="362" applyNumberFormat="1" applyFont="1" applyBorder="1" applyAlignment="1">
      <alignment horizontal="center"/>
    </xf>
    <xf numFmtId="175" fontId="16" fillId="0" borderId="55" xfId="362" applyNumberFormat="1" applyFont="1" applyBorder="1" applyAlignment="1">
      <alignment horizontal="right"/>
    </xf>
    <xf numFmtId="175" fontId="16" fillId="0" borderId="52" xfId="362" applyNumberFormat="1" applyFont="1" applyBorder="1" applyAlignment="1">
      <alignment horizontal="right"/>
    </xf>
    <xf numFmtId="175" fontId="16" fillId="0" borderId="53" xfId="362" applyNumberFormat="1" applyFont="1" applyBorder="1" applyAlignment="1">
      <alignment horizontal="right"/>
    </xf>
    <xf numFmtId="175" fontId="16" fillId="0" borderId="54" xfId="362" applyNumberFormat="1" applyFont="1" applyBorder="1" applyAlignment="1">
      <alignment horizontal="right"/>
    </xf>
    <xf numFmtId="175" fontId="16" fillId="0" borderId="55" xfId="362" applyNumberFormat="1" applyFont="1" applyFill="1" applyBorder="1"/>
    <xf numFmtId="175" fontId="16" fillId="0" borderId="52" xfId="362" applyNumberFormat="1" applyFont="1" applyFill="1" applyBorder="1"/>
    <xf numFmtId="175" fontId="14" fillId="0" borderId="0" xfId="362" applyNumberFormat="1" applyFont="1" applyFill="1" applyBorder="1" applyAlignment="1">
      <alignment horizontal="right"/>
    </xf>
    <xf numFmtId="175" fontId="16" fillId="0" borderId="43" xfId="362" applyNumberFormat="1" applyFont="1" applyFill="1" applyBorder="1" applyProtection="1"/>
    <xf numFmtId="175" fontId="16" fillId="0" borderId="8" xfId="362" applyNumberFormat="1" applyFont="1" applyFill="1" applyBorder="1" applyProtection="1"/>
    <xf numFmtId="175" fontId="16" fillId="0" borderId="3" xfId="362" applyNumberFormat="1" applyFont="1" applyFill="1" applyBorder="1" applyProtection="1"/>
    <xf numFmtId="175" fontId="16" fillId="0" borderId="0" xfId="362" applyNumberFormat="1" applyFont="1" applyFill="1" applyBorder="1" applyProtection="1"/>
    <xf numFmtId="175" fontId="16" fillId="0" borderId="47" xfId="362" applyNumberFormat="1" applyFont="1" applyFill="1" applyBorder="1" applyProtection="1"/>
    <xf numFmtId="175" fontId="14" fillId="0" borderId="47" xfId="362" applyNumberFormat="1" applyFont="1" applyBorder="1" applyAlignment="1">
      <alignment horizontal="right"/>
    </xf>
    <xf numFmtId="175" fontId="14" fillId="0" borderId="78" xfId="362" applyNumberFormat="1" applyFont="1" applyBorder="1" applyAlignment="1">
      <alignment horizontal="right"/>
    </xf>
    <xf numFmtId="175" fontId="16" fillId="0" borderId="46" xfId="362" applyNumberFormat="1" applyFont="1" applyFill="1" applyBorder="1" applyAlignment="1">
      <alignment horizontal="center"/>
    </xf>
    <xf numFmtId="175" fontId="16" fillId="0" borderId="49" xfId="362" applyNumberFormat="1" applyFont="1" applyFill="1" applyBorder="1" applyAlignment="1">
      <alignment horizontal="right"/>
    </xf>
    <xf numFmtId="175" fontId="16" fillId="0" borderId="50" xfId="362" applyNumberFormat="1" applyFont="1" applyFill="1" applyBorder="1" applyAlignment="1">
      <alignment horizontal="right"/>
    </xf>
    <xf numFmtId="175" fontId="16" fillId="0" borderId="46" xfId="362" applyNumberFormat="1" applyFont="1" applyFill="1" applyBorder="1" applyAlignment="1">
      <alignment horizontal="right"/>
    </xf>
    <xf numFmtId="175" fontId="16" fillId="0" borderId="48" xfId="362" applyNumberFormat="1" applyFont="1" applyFill="1" applyBorder="1" applyAlignment="1">
      <alignment horizontal="right"/>
    </xf>
    <xf numFmtId="175" fontId="16" fillId="0" borderId="68" xfId="362" applyNumberFormat="1" applyFont="1" applyFill="1" applyBorder="1" applyProtection="1"/>
    <xf numFmtId="175" fontId="16" fillId="0" borderId="78" xfId="362" applyNumberFormat="1" applyFont="1" applyFill="1" applyBorder="1" applyProtection="1"/>
    <xf numFmtId="175" fontId="14" fillId="0" borderId="43" xfId="362" applyNumberFormat="1" applyFont="1" applyFill="1" applyBorder="1" applyAlignment="1" applyProtection="1">
      <alignment horizontal="right"/>
    </xf>
    <xf numFmtId="175" fontId="14" fillId="0" borderId="0" xfId="362" applyNumberFormat="1" applyFont="1" applyFill="1" applyBorder="1" applyAlignment="1" applyProtection="1">
      <alignment horizontal="right"/>
    </xf>
    <xf numFmtId="175" fontId="14" fillId="0" borderId="43" xfId="362" applyNumberFormat="1" applyFont="1" applyFill="1" applyBorder="1" applyAlignment="1" applyProtection="1">
      <alignment horizontal="center"/>
    </xf>
    <xf numFmtId="175" fontId="14" fillId="0" borderId="8" xfId="362" applyNumberFormat="1" applyFont="1" applyFill="1" applyBorder="1" applyAlignment="1" applyProtection="1">
      <alignment horizontal="right"/>
    </xf>
    <xf numFmtId="175" fontId="14" fillId="0" borderId="3" xfId="362" applyNumberFormat="1" applyFont="1" applyFill="1" applyBorder="1" applyAlignment="1" applyProtection="1">
      <alignment horizontal="right"/>
    </xf>
    <xf numFmtId="175" fontId="14" fillId="27" borderId="43" xfId="362" applyNumberFormat="1" applyFont="1" applyFill="1" applyBorder="1" applyProtection="1">
      <protection locked="0"/>
    </xf>
    <xf numFmtId="175" fontId="14" fillId="27" borderId="47" xfId="362" applyNumberFormat="1" applyFont="1" applyFill="1" applyBorder="1" applyProtection="1">
      <protection locked="0"/>
    </xf>
    <xf numFmtId="175" fontId="14" fillId="27" borderId="78" xfId="362" applyNumberFormat="1" applyFont="1" applyFill="1" applyBorder="1" applyProtection="1">
      <protection locked="0"/>
    </xf>
    <xf numFmtId="175" fontId="14" fillId="27" borderId="8" xfId="362" applyNumberFormat="1" applyFont="1" applyFill="1" applyBorder="1" applyProtection="1">
      <protection locked="0"/>
    </xf>
    <xf numFmtId="175" fontId="14" fillId="27" borderId="3" xfId="362" applyNumberFormat="1" applyFont="1" applyFill="1" applyBorder="1" applyProtection="1">
      <protection locked="0"/>
    </xf>
    <xf numFmtId="175" fontId="14" fillId="27" borderId="0" xfId="362" applyNumberFormat="1" applyFont="1" applyFill="1" applyBorder="1" applyProtection="1">
      <protection locked="0"/>
    </xf>
    <xf numFmtId="175" fontId="14" fillId="27" borderId="43" xfId="1853" applyNumberFormat="1" applyFont="1" applyFill="1" applyBorder="1" applyProtection="1">
      <protection locked="0"/>
    </xf>
    <xf numFmtId="175" fontId="14" fillId="27" borderId="8" xfId="1853" applyNumberFormat="1" applyFont="1" applyFill="1" applyBorder="1" applyProtection="1">
      <protection locked="0"/>
    </xf>
    <xf numFmtId="175" fontId="14" fillId="27" borderId="3" xfId="1853" applyNumberFormat="1" applyFont="1" applyFill="1" applyBorder="1" applyProtection="1">
      <protection locked="0"/>
    </xf>
    <xf numFmtId="175" fontId="14" fillId="27" borderId="0" xfId="1853" applyNumberFormat="1" applyFont="1" applyFill="1" applyBorder="1" applyProtection="1">
      <protection locked="0"/>
    </xf>
    <xf numFmtId="175" fontId="14" fillId="27" borderId="47" xfId="1853" applyNumberFormat="1" applyFont="1" applyFill="1" applyBorder="1" applyProtection="1">
      <protection locked="0"/>
    </xf>
    <xf numFmtId="175" fontId="14" fillId="27" borderId="78" xfId="1853" applyNumberFormat="1" applyFont="1" applyFill="1" applyBorder="1" applyProtection="1">
      <protection locked="0"/>
    </xf>
    <xf numFmtId="175" fontId="16" fillId="27" borderId="43" xfId="362" applyNumberFormat="1" applyFont="1" applyFill="1" applyBorder="1" applyProtection="1">
      <protection locked="0"/>
    </xf>
    <xf numFmtId="175" fontId="16" fillId="27" borderId="8" xfId="362" applyNumberFormat="1" applyFont="1" applyFill="1" applyBorder="1" applyProtection="1">
      <protection locked="0"/>
    </xf>
    <xf numFmtId="175" fontId="16" fillId="27" borderId="3" xfId="362" applyNumberFormat="1" applyFont="1" applyFill="1" applyBorder="1" applyProtection="1">
      <protection locked="0"/>
    </xf>
    <xf numFmtId="175" fontId="16" fillId="27" borderId="0" xfId="362" applyNumberFormat="1" applyFont="1" applyFill="1" applyBorder="1" applyProtection="1">
      <protection locked="0"/>
    </xf>
    <xf numFmtId="175" fontId="16" fillId="27" borderId="71" xfId="362" applyNumberFormat="1" applyFont="1" applyFill="1" applyBorder="1" applyProtection="1">
      <protection locked="0"/>
    </xf>
    <xf numFmtId="175" fontId="16" fillId="27" borderId="72" xfId="362" applyNumberFormat="1" applyFont="1" applyFill="1" applyBorder="1" applyProtection="1">
      <protection locked="0"/>
    </xf>
    <xf numFmtId="175" fontId="16" fillId="27" borderId="99" xfId="362" applyNumberFormat="1" applyFont="1" applyFill="1" applyBorder="1" applyProtection="1">
      <protection locked="0"/>
    </xf>
    <xf numFmtId="175" fontId="16" fillId="0" borderId="46" xfId="3618" applyNumberFormat="1" applyFont="1" applyBorder="1" applyAlignment="1">
      <alignment horizontal="right"/>
    </xf>
    <xf numFmtId="175" fontId="16" fillId="0" borderId="38" xfId="3618" applyNumberFormat="1" applyFont="1" applyBorder="1" applyAlignment="1">
      <alignment horizontal="center"/>
    </xf>
    <xf numFmtId="175" fontId="16" fillId="0" borderId="6" xfId="3618" applyNumberFormat="1" applyFont="1" applyBorder="1" applyAlignment="1">
      <alignment horizontal="center"/>
    </xf>
    <xf numFmtId="175" fontId="16" fillId="0" borderId="12" xfId="3618" applyNumberFormat="1" applyFont="1" applyBorder="1" applyAlignment="1">
      <alignment horizontal="center"/>
    </xf>
    <xf numFmtId="175" fontId="16" fillId="0" borderId="7" xfId="3618" applyNumberFormat="1" applyFont="1" applyBorder="1" applyAlignment="1">
      <alignment horizontal="center"/>
    </xf>
    <xf numFmtId="175" fontId="16" fillId="0" borderId="43" xfId="3618" applyNumberFormat="1" applyFont="1" applyBorder="1" applyAlignment="1">
      <alignment horizontal="center"/>
    </xf>
    <xf numFmtId="175" fontId="16" fillId="0" borderId="0" xfId="3618" applyNumberFormat="1" applyFont="1" applyBorder="1" applyAlignment="1">
      <alignment horizontal="center"/>
    </xf>
    <xf numFmtId="175" fontId="16" fillId="0" borderId="3" xfId="3618" applyNumberFormat="1" applyFont="1" applyBorder="1" applyAlignment="1">
      <alignment horizontal="center"/>
    </xf>
    <xf numFmtId="175" fontId="16" fillId="0" borderId="8" xfId="3618" applyNumberFormat="1" applyFont="1" applyBorder="1" applyAlignment="1">
      <alignment horizontal="center"/>
    </xf>
    <xf numFmtId="175" fontId="14" fillId="0" borderId="36" xfId="3618" applyNumberFormat="1" applyFont="1" applyBorder="1"/>
    <xf numFmtId="175" fontId="14" fillId="0" borderId="10" xfId="3618" applyNumberFormat="1" applyFont="1" applyBorder="1"/>
    <xf numFmtId="175" fontId="14" fillId="0" borderId="4" xfId="3618" applyNumberFormat="1" applyFont="1" applyBorder="1"/>
    <xf numFmtId="175" fontId="14" fillId="0" borderId="9" xfId="3618" applyNumberFormat="1" applyFont="1" applyBorder="1"/>
    <xf numFmtId="175" fontId="16" fillId="0" borderId="0" xfId="3618" applyNumberFormat="1" applyFont="1" applyFill="1" applyBorder="1" applyAlignment="1">
      <alignment horizontal="right"/>
    </xf>
    <xf numFmtId="175" fontId="16" fillId="0" borderId="43" xfId="3618" applyNumberFormat="1" applyFont="1" applyBorder="1" applyAlignment="1">
      <alignment horizontal="right"/>
    </xf>
    <xf numFmtId="175" fontId="16" fillId="0" borderId="8" xfId="3618" applyNumberFormat="1" applyFont="1" applyBorder="1" applyAlignment="1">
      <alignment horizontal="right"/>
    </xf>
    <xf numFmtId="175" fontId="16" fillId="0" borderId="3" xfId="3618" applyNumberFormat="1" applyFont="1" applyBorder="1" applyAlignment="1">
      <alignment horizontal="right"/>
    </xf>
    <xf numFmtId="175" fontId="16" fillId="0" borderId="0" xfId="3618" applyNumberFormat="1" applyFont="1" applyBorder="1" applyAlignment="1">
      <alignment horizontal="right"/>
    </xf>
    <xf numFmtId="175" fontId="16" fillId="0" borderId="8" xfId="4372" applyNumberFormat="1" applyFont="1" applyBorder="1" applyAlignment="1">
      <alignment horizontal="right"/>
    </xf>
    <xf numFmtId="175" fontId="14" fillId="9" borderId="43" xfId="3618" applyNumberFormat="1" applyFont="1" applyFill="1" applyBorder="1" applyAlignment="1" applyProtection="1">
      <alignment horizontal="right"/>
      <protection locked="0"/>
    </xf>
    <xf numFmtId="175" fontId="14" fillId="9" borderId="8" xfId="3618" applyNumberFormat="1" applyFont="1" applyFill="1" applyBorder="1" applyAlignment="1" applyProtection="1">
      <alignment horizontal="right"/>
      <protection locked="0"/>
    </xf>
    <xf numFmtId="175" fontId="14" fillId="9" borderId="3" xfId="3618" applyNumberFormat="1" applyFont="1" applyFill="1" applyBorder="1" applyAlignment="1" applyProtection="1">
      <alignment horizontal="right"/>
      <protection locked="0"/>
    </xf>
    <xf numFmtId="175" fontId="14" fillId="9" borderId="0" xfId="3618" applyNumberFormat="1" applyFont="1" applyFill="1" applyBorder="1" applyAlignment="1" applyProtection="1">
      <alignment horizontal="right"/>
      <protection locked="0"/>
    </xf>
    <xf numFmtId="175" fontId="16" fillId="0" borderId="35" xfId="3618" applyNumberFormat="1" applyFont="1" applyBorder="1"/>
    <xf numFmtId="175" fontId="16" fillId="0" borderId="17" xfId="3618" applyNumberFormat="1" applyFont="1" applyBorder="1"/>
    <xf numFmtId="175" fontId="16" fillId="0" borderId="76" xfId="3618" applyNumberFormat="1" applyFont="1" applyBorder="1"/>
    <xf numFmtId="175" fontId="16" fillId="0" borderId="34" xfId="3618" applyNumberFormat="1" applyFont="1" applyBorder="1"/>
    <xf numFmtId="175" fontId="16" fillId="0" borderId="105" xfId="3618" applyNumberFormat="1" applyFont="1" applyBorder="1" applyAlignment="1">
      <alignment horizontal="right"/>
    </xf>
    <xf numFmtId="175" fontId="16" fillId="0" borderId="80" xfId="3618" applyNumberFormat="1" applyFont="1" applyBorder="1" applyAlignment="1">
      <alignment horizontal="right"/>
    </xf>
    <xf numFmtId="175" fontId="16" fillId="0" borderId="44" xfId="3618" applyNumberFormat="1" applyFont="1" applyBorder="1" applyAlignment="1">
      <alignment horizontal="right"/>
    </xf>
    <xf numFmtId="175" fontId="16" fillId="0" borderId="85" xfId="3618" applyNumberFormat="1" applyFont="1" applyBorder="1" applyAlignment="1">
      <alignment horizontal="right"/>
    </xf>
    <xf numFmtId="175" fontId="16" fillId="0" borderId="89" xfId="3618" applyNumberFormat="1" applyFont="1" applyBorder="1" applyAlignment="1">
      <alignment horizontal="right"/>
    </xf>
    <xf numFmtId="175" fontId="14" fillId="17" borderId="43" xfId="3618" applyNumberFormat="1" applyFont="1" applyFill="1" applyBorder="1" applyAlignment="1" applyProtection="1">
      <alignment horizontal="right"/>
      <protection locked="0"/>
    </xf>
    <xf numFmtId="175" fontId="14" fillId="17" borderId="8" xfId="3618" applyNumberFormat="1" applyFont="1" applyFill="1" applyBorder="1" applyAlignment="1" applyProtection="1">
      <alignment horizontal="right"/>
      <protection locked="0"/>
    </xf>
    <xf numFmtId="175" fontId="14" fillId="17" borderId="3" xfId="3618" applyNumberFormat="1" applyFont="1" applyFill="1" applyBorder="1" applyAlignment="1" applyProtection="1">
      <alignment horizontal="right"/>
      <protection locked="0"/>
    </xf>
    <xf numFmtId="175" fontId="14" fillId="17" borderId="0" xfId="3618" applyNumberFormat="1" applyFont="1" applyFill="1" applyBorder="1" applyAlignment="1" applyProtection="1">
      <alignment horizontal="right"/>
      <protection locked="0"/>
    </xf>
    <xf numFmtId="175" fontId="14" fillId="27" borderId="43" xfId="3618" applyNumberFormat="1" applyFont="1" applyFill="1" applyBorder="1" applyAlignment="1" applyProtection="1">
      <alignment horizontal="right"/>
      <protection locked="0"/>
    </xf>
    <xf numFmtId="175" fontId="14" fillId="27" borderId="8" xfId="3618" applyNumberFormat="1" applyFont="1" applyFill="1" applyBorder="1" applyAlignment="1" applyProtection="1">
      <alignment horizontal="right"/>
      <protection locked="0"/>
    </xf>
    <xf numFmtId="175" fontId="14" fillId="27" borderId="3" xfId="3618" applyNumberFormat="1" applyFont="1" applyFill="1" applyBorder="1" applyAlignment="1" applyProtection="1">
      <alignment horizontal="right"/>
      <protection locked="0"/>
    </xf>
    <xf numFmtId="175" fontId="14" fillId="27" borderId="0" xfId="3618" applyNumberFormat="1" applyFont="1" applyFill="1" applyBorder="1" applyAlignment="1" applyProtection="1">
      <alignment horizontal="right"/>
      <protection locked="0"/>
    </xf>
    <xf numFmtId="175" fontId="14" fillId="0" borderId="0" xfId="9638" applyNumberFormat="1" applyFont="1" applyBorder="1"/>
    <xf numFmtId="175" fontId="14" fillId="0" borderId="43" xfId="9638" applyNumberFormat="1" applyFont="1" applyBorder="1"/>
    <xf numFmtId="175" fontId="14" fillId="0" borderId="8" xfId="9638" applyNumberFormat="1" applyFont="1" applyBorder="1"/>
    <xf numFmtId="175" fontId="14" fillId="0" borderId="3" xfId="9638" applyNumberFormat="1" applyFont="1" applyBorder="1"/>
    <xf numFmtId="175" fontId="14" fillId="0" borderId="47" xfId="9638" applyNumberFormat="1" applyFont="1" applyBorder="1"/>
    <xf numFmtId="175" fontId="14" fillId="0" borderId="43" xfId="9638" applyNumberFormat="1" applyFont="1" applyFill="1" applyBorder="1"/>
    <xf numFmtId="175" fontId="14" fillId="0" borderId="0" xfId="9638" applyNumberFormat="1" applyFont="1" applyFill="1" applyBorder="1"/>
    <xf numFmtId="175" fontId="14" fillId="0" borderId="47" xfId="9638" applyNumberFormat="1" applyFont="1" applyFill="1" applyBorder="1"/>
    <xf numFmtId="175" fontId="16" fillId="0" borderId="48" xfId="9638" applyNumberFormat="1" applyFont="1" applyBorder="1"/>
    <xf numFmtId="175" fontId="16" fillId="0" borderId="46" xfId="9638" applyNumberFormat="1" applyFont="1" applyBorder="1"/>
    <xf numFmtId="175" fontId="16" fillId="0" borderId="49" xfId="9638" applyNumberFormat="1" applyFont="1" applyBorder="1"/>
    <xf numFmtId="175" fontId="16" fillId="0" borderId="50" xfId="9638" applyNumberFormat="1" applyFont="1" applyBorder="1"/>
    <xf numFmtId="175" fontId="16" fillId="0" borderId="51" xfId="9638" applyNumberFormat="1" applyFont="1" applyBorder="1"/>
    <xf numFmtId="175" fontId="16" fillId="0" borderId="55" xfId="9638" applyNumberFormat="1" applyFont="1" applyBorder="1"/>
    <xf numFmtId="175" fontId="16" fillId="0" borderId="52" xfId="9638" applyNumberFormat="1" applyFont="1" applyBorder="1"/>
    <xf numFmtId="175" fontId="16" fillId="0" borderId="53" xfId="9638" applyNumberFormat="1" applyFont="1" applyBorder="1"/>
    <xf numFmtId="175" fontId="16" fillId="0" borderId="54" xfId="9638" applyNumberFormat="1" applyFont="1" applyBorder="1"/>
    <xf numFmtId="175" fontId="16" fillId="0" borderId="56" xfId="9638" applyNumberFormat="1" applyFont="1" applyBorder="1"/>
    <xf numFmtId="175" fontId="14" fillId="0" borderId="3" xfId="9638" applyNumberFormat="1" applyFont="1" applyFill="1" applyBorder="1"/>
    <xf numFmtId="175" fontId="14" fillId="0" borderId="8" xfId="9638" applyNumberFormat="1" applyFont="1" applyFill="1" applyBorder="1"/>
    <xf numFmtId="175" fontId="16" fillId="0" borderId="59" xfId="9638" applyNumberFormat="1" applyFont="1" applyBorder="1"/>
    <xf numFmtId="175" fontId="16" fillId="0" borderId="60" xfId="9638" applyNumberFormat="1" applyFont="1" applyBorder="1"/>
    <xf numFmtId="175" fontId="16" fillId="0" borderId="61" xfId="9638" applyNumberFormat="1" applyFont="1" applyBorder="1"/>
    <xf numFmtId="175" fontId="16" fillId="0" borderId="62" xfId="9638" applyNumberFormat="1" applyFont="1" applyBorder="1"/>
    <xf numFmtId="175" fontId="16" fillId="0" borderId="63" xfId="9638" applyNumberFormat="1" applyFont="1" applyBorder="1"/>
    <xf numFmtId="175" fontId="16" fillId="0" borderId="9" xfId="9638" applyNumberFormat="1" applyFont="1" applyBorder="1"/>
    <xf numFmtId="175" fontId="16" fillId="0" borderId="36" xfId="9638" applyNumberFormat="1" applyFont="1" applyBorder="1"/>
    <xf numFmtId="175" fontId="16" fillId="0" borderId="10" xfId="9638" applyNumberFormat="1" applyFont="1" applyBorder="1"/>
    <xf numFmtId="175" fontId="16" fillId="0" borderId="4" xfId="9638" applyNumberFormat="1" applyFont="1" applyBorder="1"/>
    <xf numFmtId="175" fontId="16" fillId="0" borderId="64" xfId="9638" applyNumberFormat="1" applyFont="1" applyBorder="1"/>
    <xf numFmtId="175" fontId="16" fillId="0" borderId="59" xfId="9638" applyNumberFormat="1" applyFont="1" applyFill="1" applyBorder="1"/>
    <xf numFmtId="175" fontId="16" fillId="0" borderId="105" xfId="9638" applyNumberFormat="1" applyFont="1" applyBorder="1"/>
    <xf numFmtId="175" fontId="14" fillId="27" borderId="43" xfId="9638" applyNumberFormat="1" applyFont="1" applyFill="1" applyBorder="1" applyProtection="1">
      <protection locked="0"/>
    </xf>
    <xf numFmtId="175" fontId="14" fillId="27" borderId="47" xfId="9638" applyNumberFormat="1" applyFont="1" applyFill="1" applyBorder="1" applyProtection="1">
      <protection locked="0"/>
    </xf>
    <xf numFmtId="175" fontId="14" fillId="27" borderId="8" xfId="9638" applyNumberFormat="1" applyFont="1" applyFill="1" applyBorder="1" applyProtection="1">
      <protection locked="0"/>
    </xf>
    <xf numFmtId="175" fontId="14" fillId="27" borderId="3" xfId="9638" applyNumberFormat="1" applyFont="1" applyFill="1" applyBorder="1" applyProtection="1">
      <protection locked="0"/>
    </xf>
    <xf numFmtId="175" fontId="14" fillId="27" borderId="0" xfId="9638" applyNumberFormat="1" applyFont="1" applyFill="1" applyBorder="1" applyProtection="1">
      <protection locked="0"/>
    </xf>
    <xf numFmtId="175" fontId="14" fillId="27" borderId="43" xfId="11109" applyNumberFormat="1" applyFont="1" applyFill="1" applyBorder="1" applyProtection="1">
      <protection locked="0"/>
    </xf>
    <xf numFmtId="175" fontId="14" fillId="27" borderId="8" xfId="11109" applyNumberFormat="1" applyFont="1" applyFill="1" applyBorder="1" applyProtection="1">
      <protection locked="0"/>
    </xf>
    <xf numFmtId="175" fontId="14" fillId="27" borderId="3" xfId="11109" applyNumberFormat="1" applyFont="1" applyFill="1" applyBorder="1" applyProtection="1">
      <protection locked="0"/>
    </xf>
    <xf numFmtId="175" fontId="14" fillId="27" borderId="47" xfId="11109" applyNumberFormat="1" applyFont="1" applyFill="1" applyBorder="1" applyProtection="1">
      <protection locked="0"/>
    </xf>
    <xf numFmtId="175" fontId="14" fillId="0" borderId="0" xfId="24715" applyNumberFormat="1" applyFont="1" applyBorder="1"/>
    <xf numFmtId="175" fontId="14" fillId="0" borderId="43" xfId="24715" applyNumberFormat="1" applyFont="1" applyBorder="1"/>
    <xf numFmtId="175" fontId="14" fillId="0" borderId="8" xfId="24715" applyNumberFormat="1" applyFont="1" applyBorder="1"/>
    <xf numFmtId="175" fontId="14" fillId="0" borderId="3" xfId="24715" applyNumberFormat="1" applyFont="1" applyBorder="1"/>
    <xf numFmtId="175" fontId="14" fillId="0" borderId="47" xfId="24715" applyNumberFormat="1" applyFont="1" applyBorder="1"/>
    <xf numFmtId="175" fontId="14" fillId="0" borderId="43" xfId="24715" applyNumberFormat="1" applyFont="1" applyFill="1" applyBorder="1"/>
    <xf numFmtId="175" fontId="16" fillId="0" borderId="0" xfId="24715" applyNumberFormat="1" applyFont="1" applyBorder="1"/>
    <xf numFmtId="175" fontId="16" fillId="0" borderId="43" xfId="24715" applyNumberFormat="1" applyFont="1" applyBorder="1"/>
    <xf numFmtId="175" fontId="16" fillId="0" borderId="8" xfId="24715" applyNumberFormat="1" applyFont="1" applyBorder="1"/>
    <xf numFmtId="175" fontId="16" fillId="0" borderId="3" xfId="24715" applyNumberFormat="1" applyFont="1" applyBorder="1"/>
    <xf numFmtId="175" fontId="16" fillId="0" borderId="47" xfId="24715" applyNumberFormat="1" applyFont="1" applyBorder="1"/>
    <xf numFmtId="175" fontId="16" fillId="0" borderId="36" xfId="24715" applyNumberFormat="1" applyFont="1" applyBorder="1"/>
    <xf numFmtId="175" fontId="16" fillId="0" borderId="10" xfId="24715" applyNumberFormat="1" applyFont="1" applyBorder="1"/>
    <xf numFmtId="175" fontId="16" fillId="0" borderId="4" xfId="24715" applyNumberFormat="1" applyFont="1" applyBorder="1"/>
    <xf numFmtId="175" fontId="16" fillId="0" borderId="8" xfId="24715" applyNumberFormat="1" applyFont="1" applyFill="1" applyBorder="1"/>
    <xf numFmtId="175" fontId="16" fillId="0" borderId="36" xfId="24715" applyNumberFormat="1" applyFont="1" applyFill="1" applyBorder="1"/>
    <xf numFmtId="175" fontId="16" fillId="0" borderId="64" xfId="24715" applyNumberFormat="1" applyFont="1" applyFill="1" applyBorder="1"/>
    <xf numFmtId="175" fontId="16" fillId="0" borderId="60" xfId="24715" applyNumberFormat="1" applyFont="1" applyFill="1" applyBorder="1"/>
    <xf numFmtId="175" fontId="16" fillId="0" borderId="61" xfId="24715" applyNumberFormat="1" applyFont="1" applyFill="1" applyBorder="1"/>
    <xf numFmtId="175" fontId="16" fillId="0" borderId="62" xfId="24715" applyNumberFormat="1" applyFont="1" applyFill="1" applyBorder="1"/>
    <xf numFmtId="175" fontId="16" fillId="0" borderId="59" xfId="24715" applyNumberFormat="1" applyFont="1" applyFill="1" applyBorder="1"/>
    <xf numFmtId="175" fontId="16" fillId="0" borderId="9" xfId="24715" applyNumberFormat="1" applyFont="1" applyFill="1" applyBorder="1"/>
    <xf numFmtId="175" fontId="16" fillId="0" borderId="63" xfId="24715" applyNumberFormat="1" applyFont="1" applyFill="1" applyBorder="1"/>
    <xf numFmtId="175" fontId="14" fillId="0" borderId="43" xfId="24715" applyNumberFormat="1" applyFont="1" applyFill="1" applyBorder="1" applyProtection="1">
      <protection locked="0"/>
    </xf>
    <xf numFmtId="175" fontId="14" fillId="0" borderId="47" xfId="24715" applyNumberFormat="1" applyFont="1" applyFill="1" applyBorder="1" applyProtection="1">
      <protection locked="0"/>
    </xf>
    <xf numFmtId="175" fontId="14" fillId="0" borderId="8" xfId="24715" applyNumberFormat="1" applyFont="1" applyFill="1" applyBorder="1" applyProtection="1">
      <protection locked="0"/>
    </xf>
    <xf numFmtId="175" fontId="14" fillId="0" borderId="3" xfId="24715" applyNumberFormat="1" applyFont="1" applyFill="1" applyBorder="1" applyProtection="1">
      <protection locked="0"/>
    </xf>
    <xf numFmtId="175" fontId="14" fillId="0" borderId="0" xfId="24715" applyNumberFormat="1" applyFont="1" applyFill="1" applyBorder="1" applyProtection="1">
      <protection locked="0"/>
    </xf>
    <xf numFmtId="175" fontId="14" fillId="27" borderId="43" xfId="24715" applyNumberFormat="1" applyFont="1" applyFill="1" applyBorder="1" applyProtection="1">
      <protection locked="0"/>
    </xf>
    <xf numFmtId="175" fontId="14" fillId="27" borderId="47" xfId="24715" applyNumberFormat="1" applyFont="1" applyFill="1" applyBorder="1" applyProtection="1">
      <protection locked="0"/>
    </xf>
    <xf numFmtId="175" fontId="14" fillId="27" borderId="8" xfId="24715" applyNumberFormat="1" applyFont="1" applyFill="1" applyBorder="1" applyProtection="1">
      <protection locked="0"/>
    </xf>
    <xf numFmtId="175" fontId="14" fillId="27" borderId="3" xfId="24715" applyNumberFormat="1" applyFont="1" applyFill="1" applyBorder="1" applyProtection="1">
      <protection locked="0"/>
    </xf>
    <xf numFmtId="175" fontId="14" fillId="27" borderId="0" xfId="24715" applyNumberFormat="1" applyFont="1" applyFill="1" applyBorder="1" applyProtection="1">
      <protection locked="0"/>
    </xf>
    <xf numFmtId="175" fontId="14" fillId="27" borderId="43" xfId="28347" applyNumberFormat="1" applyFont="1" applyFill="1" applyBorder="1" applyProtection="1">
      <protection locked="0"/>
    </xf>
    <xf numFmtId="175" fontId="14" fillId="27" borderId="8" xfId="28347" applyNumberFormat="1" applyFont="1" applyFill="1" applyBorder="1" applyProtection="1">
      <protection locked="0"/>
    </xf>
    <xf numFmtId="175" fontId="14" fillId="27" borderId="3" xfId="28347" applyNumberFormat="1" applyFont="1" applyFill="1" applyBorder="1" applyProtection="1">
      <protection locked="0"/>
    </xf>
    <xf numFmtId="175" fontId="14" fillId="27" borderId="47" xfId="28347" applyNumberFormat="1" applyFont="1" applyFill="1" applyBorder="1" applyProtection="1">
      <protection locked="0"/>
    </xf>
    <xf numFmtId="175" fontId="16" fillId="27" borderId="43" xfId="24715" applyNumberFormat="1" applyFont="1" applyFill="1" applyBorder="1" applyProtection="1">
      <protection locked="0"/>
    </xf>
    <xf numFmtId="175" fontId="16" fillId="27" borderId="8" xfId="24715" applyNumberFormat="1" applyFont="1" applyFill="1" applyBorder="1" applyProtection="1">
      <protection locked="0"/>
    </xf>
    <xf numFmtId="175" fontId="16" fillId="27" borderId="3" xfId="24715" applyNumberFormat="1" applyFont="1" applyFill="1" applyBorder="1" applyProtection="1">
      <protection locked="0"/>
    </xf>
    <xf numFmtId="175" fontId="16" fillId="27" borderId="47" xfId="24715" applyNumberFormat="1" applyFont="1" applyFill="1" applyBorder="1" applyProtection="1">
      <protection locked="0"/>
    </xf>
    <xf numFmtId="175" fontId="16" fillId="0" borderId="104" xfId="0" applyNumberFormat="1" applyFont="1" applyBorder="1" applyAlignment="1">
      <alignment horizontal="center"/>
    </xf>
    <xf numFmtId="175" fontId="16" fillId="0" borderId="105" xfId="0" applyNumberFormat="1" applyFont="1" applyBorder="1"/>
    <xf numFmtId="175" fontId="14" fillId="0" borderId="101" xfId="0" applyNumberFormat="1" applyFont="1" applyBorder="1"/>
    <xf numFmtId="0" fontId="16" fillId="0" borderId="102" xfId="0" applyFont="1" applyFill="1" applyBorder="1" applyAlignment="1">
      <alignment horizontal="center" vertical="center" wrapText="1"/>
    </xf>
    <xf numFmtId="0" fontId="6" fillId="16" borderId="17" xfId="0" applyFont="1" applyFill="1" applyBorder="1" applyAlignment="1" applyProtection="1">
      <alignment horizontal="left"/>
    </xf>
    <xf numFmtId="0" fontId="6" fillId="16" borderId="35" xfId="0" applyFont="1" applyFill="1" applyBorder="1" applyAlignment="1" applyProtection="1">
      <alignment horizontal="left"/>
    </xf>
    <xf numFmtId="0" fontId="6" fillId="16" borderId="34" xfId="0" applyFont="1" applyFill="1" applyBorder="1" applyAlignment="1" applyProtection="1">
      <alignment horizontal="left"/>
    </xf>
    <xf numFmtId="0" fontId="6" fillId="5" borderId="17" xfId="0" applyFont="1" applyFill="1" applyBorder="1" applyAlignment="1" applyProtection="1">
      <alignment horizontal="left"/>
    </xf>
    <xf numFmtId="0" fontId="6" fillId="5" borderId="34" xfId="0" applyFont="1" applyFill="1" applyBorder="1" applyAlignment="1" applyProtection="1">
      <alignment horizontal="left"/>
    </xf>
    <xf numFmtId="0" fontId="6" fillId="6" borderId="17" xfId="0" applyFont="1" applyFill="1" applyBorder="1" applyAlignment="1" applyProtection="1">
      <alignment horizontal="center"/>
    </xf>
    <xf numFmtId="0" fontId="6" fillId="6" borderId="34" xfId="0" applyFont="1" applyFill="1" applyBorder="1" applyAlignment="1" applyProtection="1">
      <alignment horizontal="center"/>
    </xf>
    <xf numFmtId="0" fontId="6" fillId="11" borderId="17" xfId="0" applyFont="1" applyFill="1" applyBorder="1" applyAlignment="1" applyProtection="1">
      <alignment horizontal="center"/>
    </xf>
    <xf numFmtId="0" fontId="6" fillId="11" borderId="34" xfId="0" applyFont="1" applyFill="1" applyBorder="1" applyAlignment="1" applyProtection="1">
      <alignment horizontal="center"/>
    </xf>
    <xf numFmtId="0" fontId="6" fillId="5" borderId="35" xfId="0" applyFont="1" applyFill="1" applyBorder="1" applyAlignment="1" applyProtection="1">
      <alignment horizontal="left"/>
    </xf>
    <xf numFmtId="0" fontId="36" fillId="0" borderId="17" xfId="0" applyFont="1" applyBorder="1" applyAlignment="1" applyProtection="1">
      <alignment horizontal="justify" wrapText="1"/>
    </xf>
    <xf numFmtId="0" fontId="0" fillId="0" borderId="34" xfId="0" applyBorder="1" applyAlignment="1">
      <alignment horizontal="justify" wrapText="1"/>
    </xf>
    <xf numFmtId="0" fontId="32" fillId="0" borderId="121" xfId="0" applyFont="1" applyBorder="1" applyAlignment="1" applyProtection="1">
      <alignment horizontal="justify" vertical="center" wrapText="1"/>
    </xf>
    <xf numFmtId="0" fontId="0" fillId="0" borderId="122" xfId="0" applyBorder="1" applyAlignment="1">
      <alignment horizontal="justify" vertical="center" wrapText="1"/>
    </xf>
    <xf numFmtId="0" fontId="32" fillId="0" borderId="17" xfId="0" applyFont="1" applyBorder="1" applyAlignment="1" applyProtection="1">
      <alignment horizontal="justify" wrapText="1"/>
    </xf>
    <xf numFmtId="0" fontId="36" fillId="0" borderId="3" xfId="0" applyFont="1" applyFill="1" applyBorder="1" applyAlignment="1" applyProtection="1">
      <alignment horizontal="justify" wrapText="1"/>
    </xf>
    <xf numFmtId="0" fontId="0" fillId="0" borderId="8" xfId="0" applyFill="1" applyBorder="1" applyAlignment="1">
      <alignment horizontal="justify" wrapText="1"/>
    </xf>
    <xf numFmtId="0" fontId="30" fillId="0" borderId="125" xfId="0" applyFont="1" applyBorder="1" applyAlignment="1" applyProtection="1">
      <alignment horizontal="justify" vertical="center" wrapText="1"/>
    </xf>
    <xf numFmtId="0" fontId="31" fillId="0" borderId="126" xfId="0" applyFont="1" applyBorder="1" applyAlignment="1">
      <alignment horizontal="justify" vertical="center" wrapText="1"/>
    </xf>
    <xf numFmtId="0" fontId="36" fillId="0" borderId="12" xfId="0" applyFont="1" applyFill="1" applyBorder="1" applyAlignment="1" applyProtection="1">
      <alignment horizontal="justify" wrapText="1"/>
    </xf>
    <xf numFmtId="0" fontId="0" fillId="0" borderId="7" xfId="0" applyFill="1" applyBorder="1" applyAlignment="1">
      <alignment horizontal="justify" wrapText="1"/>
    </xf>
    <xf numFmtId="0" fontId="32" fillId="0" borderId="123" xfId="0" applyFont="1" applyBorder="1" applyAlignment="1" applyProtection="1">
      <alignment horizontal="justify" wrapText="1"/>
    </xf>
    <xf numFmtId="0" fontId="0" fillId="0" borderId="124" xfId="0" applyBorder="1" applyAlignment="1">
      <alignment horizontal="justify" wrapText="1"/>
    </xf>
    <xf numFmtId="0" fontId="32" fillId="0" borderId="125" xfId="0" applyFont="1" applyBorder="1" applyAlignment="1" applyProtection="1">
      <alignment horizontal="justify" vertical="center" wrapText="1"/>
    </xf>
    <xf numFmtId="0" fontId="0" fillId="0" borderId="126" xfId="0" applyBorder="1" applyAlignment="1">
      <alignment horizontal="justify" vertical="center" wrapText="1"/>
    </xf>
    <xf numFmtId="0" fontId="32" fillId="0" borderId="0" xfId="0" applyFont="1" applyBorder="1" applyAlignment="1" applyProtection="1">
      <alignment horizontal="justify" vertical="top" wrapText="1"/>
    </xf>
    <xf numFmtId="0" fontId="30" fillId="0" borderId="120" xfId="0" applyFont="1" applyBorder="1" applyAlignment="1" applyProtection="1">
      <alignment horizontal="justify" vertical="center" wrapText="1"/>
    </xf>
    <xf numFmtId="0" fontId="31" fillId="0" borderId="120" xfId="0" applyFont="1" applyBorder="1" applyAlignment="1">
      <alignment horizontal="justify" vertical="center" wrapText="1"/>
    </xf>
    <xf numFmtId="0" fontId="30" fillId="0" borderId="121" xfId="0" applyFont="1" applyBorder="1" applyAlignment="1" applyProtection="1">
      <alignment horizontal="justify" vertical="center"/>
    </xf>
    <xf numFmtId="0" fontId="0" fillId="0" borderId="122" xfId="0" applyBorder="1" applyAlignment="1">
      <alignment horizontal="justify" vertical="center"/>
    </xf>
    <xf numFmtId="0" fontId="34" fillId="0" borderId="0" xfId="0" applyFont="1" applyBorder="1" applyAlignment="1" applyProtection="1">
      <alignment horizontal="left" vertical="top" wrapText="1"/>
    </xf>
    <xf numFmtId="0" fontId="0" fillId="0" borderId="0" xfId="0" applyBorder="1" applyAlignment="1" applyProtection="1">
      <alignment horizontal="left" vertical="top" wrapText="1"/>
    </xf>
    <xf numFmtId="0" fontId="35" fillId="0" borderId="0" xfId="0" applyFont="1" applyBorder="1" applyAlignment="1" applyProtection="1">
      <alignment horizontal="justify" vertical="top"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6" fillId="0" borderId="41" xfId="0" applyFont="1" applyFill="1" applyBorder="1" applyAlignment="1">
      <alignment horizontal="center" vertical="center" wrapText="1"/>
    </xf>
    <xf numFmtId="0" fontId="16" fillId="0" borderId="39" xfId="0" applyFont="1" applyFill="1" applyBorder="1" applyAlignment="1">
      <alignment horizontal="center" vertical="center"/>
    </xf>
    <xf numFmtId="0" fontId="16" fillId="0" borderId="40" xfId="0" applyFont="1" applyFill="1" applyBorder="1" applyAlignment="1">
      <alignment horizontal="center" vertical="center"/>
    </xf>
    <xf numFmtId="0" fontId="11" fillId="0" borderId="9" xfId="0" applyFont="1" applyFill="1" applyBorder="1" applyAlignment="1">
      <alignment horizontal="left"/>
    </xf>
    <xf numFmtId="0" fontId="25" fillId="0" borderId="9" xfId="0" applyFont="1" applyBorder="1" applyAlignment="1"/>
    <xf numFmtId="0" fontId="19" fillId="0" borderId="0" xfId="0" applyFont="1" applyFill="1" applyBorder="1" applyAlignment="1" applyProtection="1">
      <alignment horizontal="left" vertical="top" wrapText="1"/>
    </xf>
    <xf numFmtId="0" fontId="16" fillId="0" borderId="41" xfId="0" applyFont="1" applyFill="1" applyBorder="1" applyAlignment="1">
      <alignment horizontal="center" vertical="center"/>
    </xf>
    <xf numFmtId="0" fontId="16" fillId="0" borderId="39" xfId="0" applyFont="1" applyFill="1" applyBorder="1" applyAlignment="1" applyProtection="1">
      <alignment horizontal="center" vertical="center"/>
    </xf>
    <xf numFmtId="0" fontId="16" fillId="0" borderId="40" xfId="0" applyFont="1" applyFill="1" applyBorder="1" applyAlignment="1" applyProtection="1">
      <alignment horizontal="center" vertical="center"/>
    </xf>
    <xf numFmtId="0" fontId="16" fillId="0" borderId="39" xfId="0" applyFont="1" applyFill="1" applyBorder="1" applyAlignment="1" applyProtection="1">
      <alignment horizontal="center" vertical="center" wrapText="1"/>
    </xf>
    <xf numFmtId="0" fontId="16" fillId="0" borderId="40" xfId="0" applyFont="1" applyFill="1" applyBorder="1" applyAlignment="1" applyProtection="1">
      <alignment horizontal="center" vertical="center" wrapText="1"/>
    </xf>
    <xf numFmtId="0" fontId="16" fillId="0" borderId="41" xfId="0" applyFont="1" applyFill="1" applyBorder="1" applyAlignment="1" applyProtection="1">
      <alignment horizontal="center" vertical="center" wrapText="1"/>
    </xf>
    <xf numFmtId="0" fontId="16" fillId="2" borderId="17" xfId="0" applyFont="1" applyFill="1" applyBorder="1" applyAlignment="1">
      <alignment horizontal="center" vertical="center" wrapText="1"/>
    </xf>
    <xf numFmtId="0" fontId="25" fillId="0" borderId="35" xfId="0" applyFont="1" applyBorder="1"/>
    <xf numFmtId="0" fontId="25" fillId="0" borderId="34" xfId="0" applyFont="1" applyBorder="1"/>
    <xf numFmtId="0" fontId="16" fillId="2" borderId="35"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9" fillId="0" borderId="0" xfId="0" applyFont="1" applyFill="1" applyBorder="1" applyAlignment="1" applyProtection="1">
      <alignment horizontal="left"/>
    </xf>
    <xf numFmtId="0" fontId="19" fillId="0" borderId="0" xfId="0" quotePrefix="1" applyFont="1" applyBorder="1" applyAlignment="1" applyProtection="1">
      <alignment horizontal="left" wrapText="1"/>
    </xf>
    <xf numFmtId="0" fontId="19" fillId="0" borderId="0" xfId="0" applyFont="1" applyBorder="1" applyAlignment="1" applyProtection="1">
      <alignment horizontal="left" wrapText="1"/>
    </xf>
    <xf numFmtId="0" fontId="16" fillId="0" borderId="41" xfId="0" applyFont="1" applyFill="1" applyBorder="1" applyAlignment="1" applyProtection="1">
      <alignment horizontal="center" vertical="center"/>
    </xf>
    <xf numFmtId="0" fontId="16" fillId="0" borderId="12" xfId="0" applyFont="1" applyFill="1" applyBorder="1" applyAlignment="1" applyProtection="1">
      <alignment horizontal="center" vertical="center"/>
    </xf>
    <xf numFmtId="0" fontId="16" fillId="0" borderId="4" xfId="0" applyFont="1" applyFill="1" applyBorder="1" applyAlignment="1" applyProtection="1">
      <alignment horizontal="center" vertical="center"/>
    </xf>
    <xf numFmtId="0" fontId="16" fillId="0" borderId="38" xfId="0" applyFont="1" applyFill="1" applyBorder="1" applyAlignment="1" applyProtection="1">
      <alignment horizontal="center" vertical="center"/>
    </xf>
    <xf numFmtId="0" fontId="16" fillId="0" borderId="36" xfId="0" applyFont="1" applyFill="1" applyBorder="1" applyAlignment="1" applyProtection="1">
      <alignment horizontal="center" vertical="center"/>
    </xf>
    <xf numFmtId="0" fontId="16" fillId="0" borderId="1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38"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38" xfId="0" applyFont="1" applyFill="1" applyBorder="1" applyAlignment="1" applyProtection="1">
      <alignment horizontal="center" vertical="top" wrapText="1"/>
    </xf>
    <xf numFmtId="0" fontId="16" fillId="0" borderId="36" xfId="0" applyFont="1" applyFill="1" applyBorder="1" applyAlignment="1" applyProtection="1">
      <alignment horizontal="center" vertical="top" wrapText="1"/>
    </xf>
    <xf numFmtId="0" fontId="16" fillId="0" borderId="11" xfId="0" applyFont="1" applyFill="1" applyBorder="1" applyAlignment="1">
      <alignment horizontal="center" vertical="top" wrapText="1"/>
    </xf>
    <xf numFmtId="0" fontId="16" fillId="0" borderId="5" xfId="0" applyFont="1" applyFill="1" applyBorder="1" applyAlignment="1">
      <alignment horizontal="center" vertical="top" wrapText="1"/>
    </xf>
    <xf numFmtId="0" fontId="16" fillId="0" borderId="36" xfId="0" applyFont="1" applyFill="1" applyBorder="1" applyAlignment="1">
      <alignment horizontal="center" vertical="center"/>
    </xf>
    <xf numFmtId="0" fontId="16" fillId="0" borderId="75" xfId="0" applyFont="1" applyFill="1" applyBorder="1" applyAlignment="1">
      <alignment horizontal="center" vertical="center" wrapText="1"/>
    </xf>
    <xf numFmtId="0" fontId="16" fillId="0" borderId="66"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9" fillId="0" borderId="0" xfId="0" applyFont="1" applyBorder="1" applyAlignment="1">
      <alignment horizontal="left" vertical="top" wrapText="1"/>
    </xf>
    <xf numFmtId="0" fontId="16" fillId="0" borderId="35" xfId="0" applyFont="1" applyFill="1" applyBorder="1" applyAlignment="1">
      <alignment horizontal="center" vertical="top" wrapText="1"/>
    </xf>
    <xf numFmtId="0" fontId="16" fillId="0" borderId="34" xfId="0" applyFont="1" applyFill="1" applyBorder="1" applyAlignment="1">
      <alignment horizontal="center" vertical="top" wrapText="1"/>
    </xf>
    <xf numFmtId="0" fontId="16" fillId="0" borderId="67"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0" borderId="45" xfId="0" applyFont="1" applyFill="1" applyBorder="1" applyAlignment="1">
      <alignment horizontal="center" vertical="center"/>
    </xf>
    <xf numFmtId="0" fontId="16" fillId="0" borderId="47" xfId="0" applyFont="1" applyFill="1" applyBorder="1" applyAlignment="1">
      <alignment horizontal="center" vertical="center"/>
    </xf>
    <xf numFmtId="0" fontId="16" fillId="0" borderId="127" xfId="0" applyFont="1" applyFill="1" applyBorder="1" applyAlignment="1">
      <alignment horizontal="center" vertical="center" wrapText="1"/>
    </xf>
    <xf numFmtId="0" fontId="25" fillId="0" borderId="40" xfId="0" applyFont="1" applyFill="1" applyBorder="1" applyAlignment="1">
      <alignment horizontal="center" vertical="center" wrapText="1"/>
    </xf>
    <xf numFmtId="0" fontId="25" fillId="0" borderId="41" xfId="0" applyFont="1" applyFill="1" applyBorder="1" applyAlignment="1">
      <alignment horizontal="center" vertical="center" wrapText="1"/>
    </xf>
    <xf numFmtId="0" fontId="16" fillId="0" borderId="11" xfId="0" applyFont="1" applyFill="1" applyBorder="1" applyAlignment="1">
      <alignment horizontal="center" vertical="center"/>
    </xf>
    <xf numFmtId="0" fontId="16" fillId="0" borderId="1" xfId="0" applyFont="1" applyFill="1" applyBorder="1" applyAlignment="1">
      <alignment horizontal="center" vertical="center"/>
    </xf>
    <xf numFmtId="0" fontId="19" fillId="0" borderId="0" xfId="0" applyNumberFormat="1" applyFont="1" applyBorder="1" applyAlignment="1" applyProtection="1">
      <alignment wrapText="1"/>
    </xf>
    <xf numFmtId="0" fontId="25" fillId="0" borderId="0" xfId="0" applyFont="1" applyAlignment="1" applyProtection="1">
      <alignment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45" xfId="0" applyFont="1" applyFill="1" applyBorder="1" applyAlignment="1">
      <alignment horizontal="center" vertical="center" wrapText="1"/>
    </xf>
    <xf numFmtId="0" fontId="16" fillId="0" borderId="64" xfId="0" applyFont="1" applyFill="1" applyBorder="1" applyAlignment="1">
      <alignment horizontal="center" vertical="center" wrapText="1"/>
    </xf>
    <xf numFmtId="49" fontId="16" fillId="0" borderId="1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3"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6" fillId="2" borderId="17" xfId="0" applyFont="1" applyFill="1" applyBorder="1" applyAlignment="1">
      <alignment horizontal="center"/>
    </xf>
    <xf numFmtId="0" fontId="6" fillId="2" borderId="35" xfId="0" applyFont="1" applyFill="1" applyBorder="1" applyAlignment="1">
      <alignment horizontal="center"/>
    </xf>
    <xf numFmtId="0" fontId="6" fillId="2" borderId="34" xfId="0" applyFont="1" applyFill="1" applyBorder="1" applyAlignment="1">
      <alignment horizontal="center"/>
    </xf>
    <xf numFmtId="0" fontId="6" fillId="2" borderId="1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128" xfId="0" applyFont="1" applyFill="1" applyBorder="1" applyAlignment="1">
      <alignment horizontal="center" vertical="center" wrapText="1"/>
    </xf>
    <xf numFmtId="0" fontId="6" fillId="2" borderId="129" xfId="0" applyFont="1" applyFill="1" applyBorder="1" applyAlignment="1">
      <alignment horizontal="center" vertical="center" wrapText="1"/>
    </xf>
    <xf numFmtId="0" fontId="6" fillId="2" borderId="130" xfId="0" applyFont="1" applyFill="1" applyBorder="1" applyAlignment="1">
      <alignment horizontal="center" vertical="center" wrapText="1"/>
    </xf>
    <xf numFmtId="0" fontId="6" fillId="5" borderId="17" xfId="0" applyFont="1" applyFill="1" applyBorder="1" applyAlignment="1">
      <alignment horizontal="center" vertical="top" wrapText="1"/>
    </xf>
    <xf numFmtId="0" fontId="6" fillId="5" borderId="34" xfId="0" applyFont="1" applyFill="1" applyBorder="1" applyAlignment="1">
      <alignment horizontal="center" vertical="top" wrapText="1"/>
    </xf>
    <xf numFmtId="0" fontId="6" fillId="14" borderId="17" xfId="0" applyFont="1" applyFill="1" applyBorder="1" applyAlignment="1">
      <alignment horizontal="center"/>
    </xf>
    <xf numFmtId="0" fontId="6" fillId="14" borderId="35" xfId="0" applyFont="1" applyFill="1" applyBorder="1" applyAlignment="1">
      <alignment horizontal="center"/>
    </xf>
    <xf numFmtId="0" fontId="6" fillId="14" borderId="34" xfId="0" applyFont="1" applyFill="1" applyBorder="1" applyAlignment="1">
      <alignment horizontal="center"/>
    </xf>
    <xf numFmtId="0" fontId="6" fillId="5" borderId="17" xfId="0" applyFont="1" applyFill="1" applyBorder="1" applyAlignment="1">
      <alignment horizontal="center"/>
    </xf>
    <xf numFmtId="0" fontId="6" fillId="5" borderId="35" xfId="0" applyFont="1" applyFill="1" applyBorder="1" applyAlignment="1">
      <alignment horizontal="center"/>
    </xf>
    <xf numFmtId="0" fontId="6" fillId="5" borderId="34" xfId="0" applyFont="1" applyFill="1" applyBorder="1" applyAlignment="1">
      <alignment horizontal="center"/>
    </xf>
  </cellXfs>
  <cellStyles count="57572">
    <cellStyle name="Comma" xfId="1" builtinId="3"/>
    <cellStyle name="Comma 11" xfId="833"/>
    <cellStyle name="Comma 11 2" xfId="2885"/>
    <cellStyle name="Comma 11 3" xfId="6148"/>
    <cellStyle name="Comma 11 4" xfId="14531"/>
    <cellStyle name="Comma 11 5" xfId="36341"/>
    <cellStyle name="Comma 12" xfId="1853"/>
    <cellStyle name="Comma 12 2" xfId="7103"/>
    <cellStyle name="Comma 12 3" xfId="15524"/>
    <cellStyle name="Comma 12 4" xfId="37334"/>
    <cellStyle name="Comma 13" xfId="4372"/>
    <cellStyle name="Comma 13 2" xfId="17964"/>
    <cellStyle name="Comma 13 3" xfId="39814"/>
    <cellStyle name="Comma 14" xfId="11109"/>
    <cellStyle name="Comma 14 2" xfId="46468"/>
    <cellStyle name="Comma 15" xfId="28347"/>
    <cellStyle name="Comma 2" xfId="2"/>
    <cellStyle name="Comma 2 10" xfId="875"/>
    <cellStyle name="Comma 2 10 2" xfId="4339"/>
    <cellStyle name="Comma 2 10 2 2" xfId="6189"/>
    <cellStyle name="Comma 2 10 2 2 2" xfId="17932"/>
    <cellStyle name="Comma 2 10 2 2 2 2" xfId="19748"/>
    <cellStyle name="Comma 2 10 2 2 2 2 2" xfId="53259"/>
    <cellStyle name="Comma 2 10 2 2 2 2 2 2" xfId="55074"/>
    <cellStyle name="Comma 2 10 2 2 2 3" xfId="33250"/>
    <cellStyle name="Comma 2 10 2 2 3" xfId="31434"/>
    <cellStyle name="Comma 2 10 2 2 3 2" xfId="41619"/>
    <cellStyle name="Comma 2 10 2 3" xfId="11414"/>
    <cellStyle name="Comma 2 10 2 3 2" xfId="39782"/>
    <cellStyle name="Comma 2 10 2 3 2 2" xfId="46765"/>
    <cellStyle name="Comma 2 10 2 4" xfId="24902"/>
    <cellStyle name="Comma 2 10 3" xfId="9535"/>
    <cellStyle name="Comma 2 10 3 2" xfId="14572"/>
    <cellStyle name="Comma 2 10 3 2 2" xfId="44917"/>
    <cellStyle name="Comma 2 10 3 2 2 2" xfId="49913"/>
    <cellStyle name="Comma 2 10 3 3" xfId="28083"/>
    <cellStyle name="Comma 2 10 4" xfId="23033"/>
    <cellStyle name="Comma 2 10 4 2" xfId="36382"/>
    <cellStyle name="Comma 2 11" xfId="1889"/>
    <cellStyle name="Comma 2 11 2" xfId="10792"/>
    <cellStyle name="Comma 2 11 2 2" xfId="15559"/>
    <cellStyle name="Comma 2 11 2 2 2" xfId="46154"/>
    <cellStyle name="Comma 2 11 2 2 2 2" xfId="50891"/>
    <cellStyle name="Comma 2 11 2 3" xfId="29065"/>
    <cellStyle name="Comma 2 11 3" xfId="24281"/>
    <cellStyle name="Comma 2 11 3 2" xfId="37370"/>
    <cellStyle name="Comma 2 12" xfId="4680"/>
    <cellStyle name="Comma 2 12 2" xfId="27777"/>
    <cellStyle name="Comma 2 12 2 2" xfId="40119"/>
    <cellStyle name="Comma 2 13" xfId="11676"/>
    <cellStyle name="Comma 2 2" xfId="3"/>
    <cellStyle name="Comma 2 2 10" xfId="3903"/>
    <cellStyle name="Comma 2 2 10 2" xfId="10757"/>
    <cellStyle name="Comma 2 2 10 2 2" xfId="39350"/>
    <cellStyle name="Comma 2 2 10 2 2 2" xfId="46119"/>
    <cellStyle name="Comma 2 2 10 3" xfId="24244"/>
    <cellStyle name="Comma 2 2 11" xfId="9883"/>
    <cellStyle name="Comma 2 2 11 2" xfId="27457"/>
    <cellStyle name="Comma 2 2 2" xfId="35"/>
    <cellStyle name="Comma 2 2 2 10" xfId="3675"/>
    <cellStyle name="Comma 2 2 2 10 2" xfId="24445"/>
    <cellStyle name="Comma 2 2 2 10 2 2" xfId="39128"/>
    <cellStyle name="Comma 2 2 2 11" xfId="9096"/>
    <cellStyle name="Comma 2 2 2 2" xfId="36"/>
    <cellStyle name="Comma 2 2 2 2 10" xfId="4496"/>
    <cellStyle name="Comma 2 2 2 2 10 2" xfId="24282"/>
    <cellStyle name="Comma 2 2 2 2 2" xfId="91"/>
    <cellStyle name="Comma 2 2 2 2 2 10" xfId="6123"/>
    <cellStyle name="Comma 2 2 2 2 2 2" xfId="92"/>
    <cellStyle name="Comma 2 2 2 2 2 2 2" xfId="183"/>
    <cellStyle name="Comma 2 2 2 2 2 2 2 2" xfId="184"/>
    <cellStyle name="Comma 2 2 2 2 2 2 2 2 2" xfId="332"/>
    <cellStyle name="Comma 2 2 2 2 2 2 2 2 2 2" xfId="333"/>
    <cellStyle name="Comma 2 2 2 2 2 2 2 2 2 2 2" xfId="661"/>
    <cellStyle name="Comma 2 2 2 2 2 2 2 2 2 2 2 2" xfId="662"/>
    <cellStyle name="Comma 2 2 2 2 2 2 2 2 2 2 2 2 2" xfId="1457"/>
    <cellStyle name="Comma 2 2 2 2 2 2 2 2 2 2 2 2 2 2" xfId="1458"/>
    <cellStyle name="Comma 2 2 2 2 2 2 2 2 2 2 2 2 2 2 2" xfId="3475"/>
    <cellStyle name="Comma 2 2 2 2 2 2 2 2 2 2 2 2 2 2 2 2" xfId="3476"/>
    <cellStyle name="Comma 2 2 2 2 2 2 2 2 2 2 2 2 2 2 2 2 2" xfId="8690"/>
    <cellStyle name="Comma 2 2 2 2 2 2 2 2 2 2 2 2 2 2 2 2 2 2" xfId="8691"/>
    <cellStyle name="Comma 2 2 2 2 2 2 2 2 2 2 2 2 2 2 2 2 2 2 2" xfId="22242"/>
    <cellStyle name="Comma 2 2 2 2 2 2 2 2 2 2 2 2 2 2 2 2 2 2 2 2" xfId="22243"/>
    <cellStyle name="Comma 2 2 2 2 2 2 2 2 2 2 2 2 2 2 2 2 2 2 2 2 2" xfId="57568"/>
    <cellStyle name="Comma 2 2 2 2 2 2 2 2 2 2 2 2 2 2 2 2 2 2 2 2 2 2" xfId="57569"/>
    <cellStyle name="Comma 2 2 2 2 2 2 2 2 2 2 2 2 2 2 2 2 2 2 2 3" xfId="35746"/>
    <cellStyle name="Comma 2 2 2 2 2 2 2 2 2 2 2 2 2 2 2 2 2 2 3" xfId="35745"/>
    <cellStyle name="Comma 2 2 2 2 2 2 2 2 2 2 2 2 2 2 2 2 2 2 3 2" xfId="44118"/>
    <cellStyle name="Comma 2 2 2 2 2 2 2 2 2 2 2 2 2 2 2 2 2 3" xfId="13916"/>
    <cellStyle name="Comma 2 2 2 2 2 2 2 2 2 2 2 2 2 2 2 2 2 3 2" xfId="44117"/>
    <cellStyle name="Comma 2 2 2 2 2 2 2 2 2 2 2 2 2 2 2 2 2 3 2 2" xfId="49262"/>
    <cellStyle name="Comma 2 2 2 2 2 2 2 2 2 2 2 2 2 2 2 2 2 4" xfId="27401"/>
    <cellStyle name="Comma 2 2 2 2 2 2 2 2 2 2 2 2 2 2 2 2 3" xfId="13915"/>
    <cellStyle name="Comma 2 2 2 2 2 2 2 2 2 2 2 2 2 2 2 2 3 2" xfId="17133"/>
    <cellStyle name="Comma 2 2 2 2 2 2 2 2 2 2 2 2 2 2 2 2 3 2 2" xfId="49261"/>
    <cellStyle name="Comma 2 2 2 2 2 2 2 2 2 2 2 2 2 2 2 2 3 2 2 2" xfId="52461"/>
    <cellStyle name="Comma 2 2 2 2 2 2 2 2 2 2 2 2 2 2 2 2 3 3" xfId="30635"/>
    <cellStyle name="Comma 2 2 2 2 2 2 2 2 2 2 2 2 2 2 2 2 4" xfId="27400"/>
    <cellStyle name="Comma 2 2 2 2 2 2 2 2 2 2 2 2 2 2 2 2 4 2" xfId="38945"/>
    <cellStyle name="Comma 2 2 2 2 2 2 2 2 2 2 2 2 2 2 2 3" xfId="5513"/>
    <cellStyle name="Comma 2 2 2 2 2 2 2 2 2 2 2 2 2 2 2 3 2" xfId="17132"/>
    <cellStyle name="Comma 2 2 2 2 2 2 2 2 2 2 2 2 2 2 2 3 2 2" xfId="19086"/>
    <cellStyle name="Comma 2 2 2 2 2 2 2 2 2 2 2 2 2 2 2 3 2 2 2" xfId="52460"/>
    <cellStyle name="Comma 2 2 2 2 2 2 2 2 2 2 2 2 2 2 2 3 2 2 2 2" xfId="54412"/>
    <cellStyle name="Comma 2 2 2 2 2 2 2 2 2 2 2 2 2 2 2 3 2 3" xfId="32587"/>
    <cellStyle name="Comma 2 2 2 2 2 2 2 2 2 2 2 2 2 2 2 3 3" xfId="30634"/>
    <cellStyle name="Comma 2 2 2 2 2 2 2 2 2 2 2 2 2 2 2 3 3 2" xfId="40950"/>
    <cellStyle name="Comma 2 2 2 2 2 2 2 2 2 2 2 2 2 2 2 4" xfId="10716"/>
    <cellStyle name="Comma 2 2 2 2 2 2 2 2 2 2 2 2 2 2 2 4 2" xfId="38944"/>
    <cellStyle name="Comma 2 2 2 2 2 2 2 2 2 2 2 2 2 2 2 4 2 2" xfId="46079"/>
    <cellStyle name="Comma 2 2 2 2 2 2 2 2 2 2 2 2 2 2 2 5" xfId="24202"/>
    <cellStyle name="Comma 2 2 2 2 2 2 2 2 2 2 2 2 2 2 3" xfId="5512"/>
    <cellStyle name="Comma 2 2 2 2 2 2 2 2 2 2 2 2 2 2 3 2" xfId="6766"/>
    <cellStyle name="Comma 2 2 2 2 2 2 2 2 2 2 2 2 2 2 3 2 2" xfId="19085"/>
    <cellStyle name="Comma 2 2 2 2 2 2 2 2 2 2 2 2 2 2 3 2 2 2" xfId="20319"/>
    <cellStyle name="Comma 2 2 2 2 2 2 2 2 2 2 2 2 2 2 3 2 2 2 2" xfId="54411"/>
    <cellStyle name="Comma 2 2 2 2 2 2 2 2 2 2 2 2 2 2 3 2 2 2 2 2" xfId="55645"/>
    <cellStyle name="Comma 2 2 2 2 2 2 2 2 2 2 2 2 2 2 3 2 2 3" xfId="33821"/>
    <cellStyle name="Comma 2 2 2 2 2 2 2 2 2 2 2 2 2 2 3 2 3" xfId="32586"/>
    <cellStyle name="Comma 2 2 2 2 2 2 2 2 2 2 2 2 2 2 3 2 3 2" xfId="42194"/>
    <cellStyle name="Comma 2 2 2 2 2 2 2 2 2 2 2 2 2 2 3 3" xfId="11989"/>
    <cellStyle name="Comma 2 2 2 2 2 2 2 2 2 2 2 2 2 2 3 3 2" xfId="40949"/>
    <cellStyle name="Comma 2 2 2 2 2 2 2 2 2 2 2 2 2 2 3 3 2 2" xfId="47337"/>
    <cellStyle name="Comma 2 2 2 2 2 2 2 2 2 2 2 2 2 2 3 4" xfId="25474"/>
    <cellStyle name="Comma 2 2 2 2 2 2 2 2 2 2 2 2 2 2 4" xfId="10715"/>
    <cellStyle name="Comma 2 2 2 2 2 2 2 2 2 2 2 2 2 2 4 2" xfId="15147"/>
    <cellStyle name="Comma 2 2 2 2 2 2 2 2 2 2 2 2 2 2 4 2 2" xfId="46078"/>
    <cellStyle name="Comma 2 2 2 2 2 2 2 2 2 2 2 2 2 2 4 2 2 2" xfId="50486"/>
    <cellStyle name="Comma 2 2 2 2 2 2 2 2 2 2 2 2 2 2 4 3" xfId="28660"/>
    <cellStyle name="Comma 2 2 2 2 2 2 2 2 2 2 2 2 2 2 5" xfId="24201"/>
    <cellStyle name="Comma 2 2 2 2 2 2 2 2 2 2 2 2 2 2 5 2" xfId="36955"/>
    <cellStyle name="Comma 2 2 2 2 2 2 2 2 2 2 2 2 2 3" xfId="2265"/>
    <cellStyle name="Comma 2 2 2 2 2 2 2 2 2 2 2 2 2 3 2" xfId="6765"/>
    <cellStyle name="Comma 2 2 2 2 2 2 2 2 2 2 2 2 2 3 2 2" xfId="7499"/>
    <cellStyle name="Comma 2 2 2 2 2 2 2 2 2 2 2 2 2 3 2 2 2" xfId="20318"/>
    <cellStyle name="Comma 2 2 2 2 2 2 2 2 2 2 2 2 2 3 2 2 2 2" xfId="21051"/>
    <cellStyle name="Comma 2 2 2 2 2 2 2 2 2 2 2 2 2 3 2 2 2 2 2" xfId="55644"/>
    <cellStyle name="Comma 2 2 2 2 2 2 2 2 2 2 2 2 2 3 2 2 2 2 2 2" xfId="56377"/>
    <cellStyle name="Comma 2 2 2 2 2 2 2 2 2 2 2 2 2 3 2 2 2 3" xfId="34554"/>
    <cellStyle name="Comma 2 2 2 2 2 2 2 2 2 2 2 2 2 3 2 2 3" xfId="33820"/>
    <cellStyle name="Comma 2 2 2 2 2 2 2 2 2 2 2 2 2 3 2 2 3 2" xfId="42926"/>
    <cellStyle name="Comma 2 2 2 2 2 2 2 2 2 2 2 2 2 3 2 3" xfId="12724"/>
    <cellStyle name="Comma 2 2 2 2 2 2 2 2 2 2 2 2 2 3 2 3 2" xfId="42193"/>
    <cellStyle name="Comma 2 2 2 2 2 2 2 2 2 2 2 2 2 3 2 3 2 2" xfId="48070"/>
    <cellStyle name="Comma 2 2 2 2 2 2 2 2 2 2 2 2 2 3 2 4" xfId="26208"/>
    <cellStyle name="Comma 2 2 2 2 2 2 2 2 2 2 2 2 2 3 3" xfId="11988"/>
    <cellStyle name="Comma 2 2 2 2 2 2 2 2 2 2 2 2 2 3 3 2" xfId="15929"/>
    <cellStyle name="Comma 2 2 2 2 2 2 2 2 2 2 2 2 2 3 3 2 2" xfId="47336"/>
    <cellStyle name="Comma 2 2 2 2 2 2 2 2 2 2 2 2 2 3 3 2 2 2" xfId="51261"/>
    <cellStyle name="Comma 2 2 2 2 2 2 2 2 2 2 2 2 2 3 3 3" xfId="29435"/>
    <cellStyle name="Comma 2 2 2 2 2 2 2 2 2 2 2 2 2 3 4" xfId="25473"/>
    <cellStyle name="Comma 2 2 2 2 2 2 2 2 2 2 2 2 2 3 4 2" xfId="37743"/>
    <cellStyle name="Comma 2 2 2 2 2 2 2 2 2 2 2 2 2 4" xfId="4281"/>
    <cellStyle name="Comma 2 2 2 2 2 2 2 2 2 2 2 2 2 4 2" xfId="15146"/>
    <cellStyle name="Comma 2 2 2 2 2 2 2 2 2 2 2 2 2 4 2 2" xfId="17874"/>
    <cellStyle name="Comma 2 2 2 2 2 2 2 2 2 2 2 2 2 4 2 2 2" xfId="50485"/>
    <cellStyle name="Comma 2 2 2 2 2 2 2 2 2 2 2 2 2 4 2 2 2 2" xfId="53201"/>
    <cellStyle name="Comma 2 2 2 2 2 2 2 2 2 2 2 2 2 4 2 3" xfId="31376"/>
    <cellStyle name="Comma 2 2 2 2 2 2 2 2 2 2 2 2 2 4 3" xfId="28659"/>
    <cellStyle name="Comma 2 2 2 2 2 2 2 2 2 2 2 2 2 4 3 2" xfId="39724"/>
    <cellStyle name="Comma 2 2 2 2 2 2 2 2 2 2 2 2 2 5" xfId="9472"/>
    <cellStyle name="Comma 2 2 2 2 2 2 2 2 2 2 2 2 2 5 2" xfId="36954"/>
    <cellStyle name="Comma 2 2 2 2 2 2 2 2 2 2 2 2 2 5 2 2" xfId="44854"/>
    <cellStyle name="Comma 2 2 2 2 2 2 2 2 2 2 2 2 2 6" xfId="22968"/>
    <cellStyle name="Comma 2 2 2 2 2 2 2 2 2 2 2 2 3" xfId="2264"/>
    <cellStyle name="Comma 2 2 2 2 2 2 2 2 2 2 2 2 3 2" xfId="2752"/>
    <cellStyle name="Comma 2 2 2 2 2 2 2 2 2 2 2 2 3 2 2" xfId="7498"/>
    <cellStyle name="Comma 2 2 2 2 2 2 2 2 2 2 2 2 3 2 2 2" xfId="7971"/>
    <cellStyle name="Comma 2 2 2 2 2 2 2 2 2 2 2 2 3 2 2 2 2" xfId="21050"/>
    <cellStyle name="Comma 2 2 2 2 2 2 2 2 2 2 2 2 3 2 2 2 2 2" xfId="21523"/>
    <cellStyle name="Comma 2 2 2 2 2 2 2 2 2 2 2 2 3 2 2 2 2 2 2" xfId="56376"/>
    <cellStyle name="Comma 2 2 2 2 2 2 2 2 2 2 2 2 3 2 2 2 2 2 2 2" xfId="56849"/>
    <cellStyle name="Comma 2 2 2 2 2 2 2 2 2 2 2 2 3 2 2 2 2 3" xfId="35026"/>
    <cellStyle name="Comma 2 2 2 2 2 2 2 2 2 2 2 2 3 2 2 2 3" xfId="34553"/>
    <cellStyle name="Comma 2 2 2 2 2 2 2 2 2 2 2 2 3 2 2 2 3 2" xfId="43398"/>
    <cellStyle name="Comma 2 2 2 2 2 2 2 2 2 2 2 2 3 2 2 3" xfId="13196"/>
    <cellStyle name="Comma 2 2 2 2 2 2 2 2 2 2 2 2 3 2 2 3 2" xfId="42925"/>
    <cellStyle name="Comma 2 2 2 2 2 2 2 2 2 2 2 2 3 2 2 3 2 2" xfId="48542"/>
    <cellStyle name="Comma 2 2 2 2 2 2 2 2 2 2 2 2 3 2 2 4" xfId="26680"/>
    <cellStyle name="Comma 2 2 2 2 2 2 2 2 2 2 2 2 3 2 3" xfId="12723"/>
    <cellStyle name="Comma 2 2 2 2 2 2 2 2 2 2 2 2 3 2 3 2" xfId="16411"/>
    <cellStyle name="Comma 2 2 2 2 2 2 2 2 2 2 2 2 3 2 3 2 2" xfId="48069"/>
    <cellStyle name="Comma 2 2 2 2 2 2 2 2 2 2 2 2 3 2 3 2 2 2" xfId="51741"/>
    <cellStyle name="Comma 2 2 2 2 2 2 2 2 2 2 2 2 3 2 3 3" xfId="29915"/>
    <cellStyle name="Comma 2 2 2 2 2 2 2 2 2 2 2 2 3 2 4" xfId="26207"/>
    <cellStyle name="Comma 2 2 2 2 2 2 2 2 2 2 2 2 3 2 4 2" xfId="38225"/>
    <cellStyle name="Comma 2 2 2 2 2 2 2 2 2 2 2 2 3 3" xfId="4788"/>
    <cellStyle name="Comma 2 2 2 2 2 2 2 2 2 2 2 2 3 3 2" xfId="15928"/>
    <cellStyle name="Comma 2 2 2 2 2 2 2 2 2 2 2 2 3 3 2 2" xfId="18365"/>
    <cellStyle name="Comma 2 2 2 2 2 2 2 2 2 2 2 2 3 3 2 2 2" xfId="51260"/>
    <cellStyle name="Comma 2 2 2 2 2 2 2 2 2 2 2 2 3 3 2 2 2 2" xfId="53691"/>
    <cellStyle name="Comma 2 2 2 2 2 2 2 2 2 2 2 2 3 3 2 3" xfId="31866"/>
    <cellStyle name="Comma 2 2 2 2 2 2 2 2 2 2 2 2 3 3 3" xfId="29434"/>
    <cellStyle name="Comma 2 2 2 2 2 2 2 2 2 2 2 2 3 3 3 2" xfId="40226"/>
    <cellStyle name="Comma 2 2 2 2 2 2 2 2 2 2 2 2 3 4" xfId="9991"/>
    <cellStyle name="Comma 2 2 2 2 2 2 2 2 2 2 2 2 3 4 2" xfId="37742"/>
    <cellStyle name="Comma 2 2 2 2 2 2 2 2 2 2 2 2 3 4 2 2" xfId="45358"/>
    <cellStyle name="Comma 2 2 2 2 2 2 2 2 2 2 2 2 3 5" xfId="23481"/>
    <cellStyle name="Comma 2 2 2 2 2 2 2 2 2 2 2 2 4" xfId="4280"/>
    <cellStyle name="Comma 2 2 2 2 2 2 2 2 2 2 2 2 4 2" xfId="5993"/>
    <cellStyle name="Comma 2 2 2 2 2 2 2 2 2 2 2 2 4 2 2" xfId="17873"/>
    <cellStyle name="Comma 2 2 2 2 2 2 2 2 2 2 2 2 4 2 2 2" xfId="19560"/>
    <cellStyle name="Comma 2 2 2 2 2 2 2 2 2 2 2 2 4 2 2 2 2" xfId="53200"/>
    <cellStyle name="Comma 2 2 2 2 2 2 2 2 2 2 2 2 4 2 2 2 2 2" xfId="54886"/>
    <cellStyle name="Comma 2 2 2 2 2 2 2 2 2 2 2 2 4 2 2 3" xfId="33061"/>
    <cellStyle name="Comma 2 2 2 2 2 2 2 2 2 2 2 2 4 2 3" xfId="31375"/>
    <cellStyle name="Comma 2 2 2 2 2 2 2 2 2 2 2 2 4 2 3 2" xfId="41427"/>
    <cellStyle name="Comma 2 2 2 2 2 2 2 2 2 2 2 2 4 3" xfId="11218"/>
    <cellStyle name="Comma 2 2 2 2 2 2 2 2 2 2 2 2 4 3 2" xfId="39723"/>
    <cellStyle name="Comma 2 2 2 2 2 2 2 2 2 2 2 2 4 3 2 2" xfId="46576"/>
    <cellStyle name="Comma 2 2 2 2 2 2 2 2 2 2 2 2 4 4" xfId="24711"/>
    <cellStyle name="Comma 2 2 2 2 2 2 2 2 2 2 2 2 5" xfId="9471"/>
    <cellStyle name="Comma 2 2 2 2 2 2 2 2 2 2 2 2 5 2" xfId="14377"/>
    <cellStyle name="Comma 2 2 2 2 2 2 2 2 2 2 2 2 5 2 2" xfId="44853"/>
    <cellStyle name="Comma 2 2 2 2 2 2 2 2 2 2 2 2 5 2 2 2" xfId="49722"/>
    <cellStyle name="Comma 2 2 2 2 2 2 2 2 2 2 2 2 5 3" xfId="27887"/>
    <cellStyle name="Comma 2 2 2 2 2 2 2 2 2 2 2 2 6" xfId="22967"/>
    <cellStyle name="Comma 2 2 2 2 2 2 2 2 2 2 2 2 6 2" xfId="36189"/>
    <cellStyle name="Comma 2 2 2 2 2 2 2 2 2 2 2 3" xfId="990"/>
    <cellStyle name="Comma 2 2 2 2 2 2 2 2 2 2 2 3 2" xfId="2751"/>
    <cellStyle name="Comma 2 2 2 2 2 2 2 2 2 2 2 3 2 2" xfId="3028"/>
    <cellStyle name="Comma 2 2 2 2 2 2 2 2 2 2 2 3 2 2 2" xfId="7970"/>
    <cellStyle name="Comma 2 2 2 2 2 2 2 2 2 2 2 3 2 2 2 2" xfId="8243"/>
    <cellStyle name="Comma 2 2 2 2 2 2 2 2 2 2 2 3 2 2 2 2 2" xfId="21522"/>
    <cellStyle name="Comma 2 2 2 2 2 2 2 2 2 2 2 3 2 2 2 2 2 2" xfId="21795"/>
    <cellStyle name="Comma 2 2 2 2 2 2 2 2 2 2 2 3 2 2 2 2 2 2 2" xfId="56848"/>
    <cellStyle name="Comma 2 2 2 2 2 2 2 2 2 2 2 3 2 2 2 2 2 2 2 2" xfId="57121"/>
    <cellStyle name="Comma 2 2 2 2 2 2 2 2 2 2 2 3 2 2 2 2 2 3" xfId="35298"/>
    <cellStyle name="Comma 2 2 2 2 2 2 2 2 2 2 2 3 2 2 2 2 3" xfId="35025"/>
    <cellStyle name="Comma 2 2 2 2 2 2 2 2 2 2 2 3 2 2 2 2 3 2" xfId="43670"/>
    <cellStyle name="Comma 2 2 2 2 2 2 2 2 2 2 2 3 2 2 2 3" xfId="13468"/>
    <cellStyle name="Comma 2 2 2 2 2 2 2 2 2 2 2 3 2 2 2 3 2" xfId="43397"/>
    <cellStyle name="Comma 2 2 2 2 2 2 2 2 2 2 2 3 2 2 2 3 2 2" xfId="48814"/>
    <cellStyle name="Comma 2 2 2 2 2 2 2 2 2 2 2 3 2 2 2 4" xfId="26953"/>
    <cellStyle name="Comma 2 2 2 2 2 2 2 2 2 2 2 3 2 2 3" xfId="13195"/>
    <cellStyle name="Comma 2 2 2 2 2 2 2 2 2 2 2 3 2 2 3 2" xfId="16685"/>
    <cellStyle name="Comma 2 2 2 2 2 2 2 2 2 2 2 3 2 2 3 2 2" xfId="48541"/>
    <cellStyle name="Comma 2 2 2 2 2 2 2 2 2 2 2 3 2 2 3 2 2 2" xfId="52013"/>
    <cellStyle name="Comma 2 2 2 2 2 2 2 2 2 2 2 3 2 2 3 3" xfId="30187"/>
    <cellStyle name="Comma 2 2 2 2 2 2 2 2 2 2 2 3 2 2 4" xfId="26679"/>
    <cellStyle name="Comma 2 2 2 2 2 2 2 2 2 2 2 3 2 2 4 2" xfId="38497"/>
    <cellStyle name="Comma 2 2 2 2 2 2 2 2 2 2 2 3 2 3" xfId="5064"/>
    <cellStyle name="Comma 2 2 2 2 2 2 2 2 2 2 2 3 2 3 2" xfId="16410"/>
    <cellStyle name="Comma 2 2 2 2 2 2 2 2 2 2 2 3 2 3 2 2" xfId="18637"/>
    <cellStyle name="Comma 2 2 2 2 2 2 2 2 2 2 2 3 2 3 2 2 2" xfId="51740"/>
    <cellStyle name="Comma 2 2 2 2 2 2 2 2 2 2 2 3 2 3 2 2 2 2" xfId="53963"/>
    <cellStyle name="Comma 2 2 2 2 2 2 2 2 2 2 2 3 2 3 2 3" xfId="32138"/>
    <cellStyle name="Comma 2 2 2 2 2 2 2 2 2 2 2 3 2 3 3" xfId="29914"/>
    <cellStyle name="Comma 2 2 2 2 2 2 2 2 2 2 2 3 2 3 3 2" xfId="40501"/>
    <cellStyle name="Comma 2 2 2 2 2 2 2 2 2 2 2 3 2 4" xfId="10267"/>
    <cellStyle name="Comma 2 2 2 2 2 2 2 2 2 2 2 3 2 4 2" xfId="38224"/>
    <cellStyle name="Comma 2 2 2 2 2 2 2 2 2 2 2 3 2 4 2 2" xfId="45630"/>
    <cellStyle name="Comma 2 2 2 2 2 2 2 2 2 2 2 3 2 5" xfId="23753"/>
    <cellStyle name="Comma 2 2 2 2 2 2 2 2 2 2 2 3 3" xfId="4787"/>
    <cellStyle name="Comma 2 2 2 2 2 2 2 2 2 2 2 3 3 2" xfId="6301"/>
    <cellStyle name="Comma 2 2 2 2 2 2 2 2 2 2 2 3 3 2 2" xfId="18364"/>
    <cellStyle name="Comma 2 2 2 2 2 2 2 2 2 2 2 3 3 2 2 2" xfId="19858"/>
    <cellStyle name="Comma 2 2 2 2 2 2 2 2 2 2 2 3 3 2 2 2 2" xfId="53690"/>
    <cellStyle name="Comma 2 2 2 2 2 2 2 2 2 2 2 3 3 2 2 2 2 2" xfId="55184"/>
    <cellStyle name="Comma 2 2 2 2 2 2 2 2 2 2 2 3 3 2 2 3" xfId="33360"/>
    <cellStyle name="Comma 2 2 2 2 2 2 2 2 2 2 2 3 3 2 3" xfId="31865"/>
    <cellStyle name="Comma 2 2 2 2 2 2 2 2 2 2 2 3 3 2 3 2" xfId="41730"/>
    <cellStyle name="Comma 2 2 2 2 2 2 2 2 2 2 2 3 3 3" xfId="11526"/>
    <cellStyle name="Comma 2 2 2 2 2 2 2 2 2 2 2 3 3 3 2" xfId="40225"/>
    <cellStyle name="Comma 2 2 2 2 2 2 2 2 2 2 2 3 3 3 2 2" xfId="46875"/>
    <cellStyle name="Comma 2 2 2 2 2 2 2 2 2 2 2 3 3 4" xfId="25012"/>
    <cellStyle name="Comma 2 2 2 2 2 2 2 2 2 2 2 3 4" xfId="9990"/>
    <cellStyle name="Comma 2 2 2 2 2 2 2 2 2 2 2 3 4 2" xfId="14684"/>
    <cellStyle name="Comma 2 2 2 2 2 2 2 2 2 2 2 3 4 2 2" xfId="45357"/>
    <cellStyle name="Comma 2 2 2 2 2 2 2 2 2 2 2 3 4 2 2 2" xfId="50023"/>
    <cellStyle name="Comma 2 2 2 2 2 2 2 2 2 2 2 3 4 3" xfId="28195"/>
    <cellStyle name="Comma 2 2 2 2 2 2 2 2 2 2 2 3 5" xfId="23480"/>
    <cellStyle name="Comma 2 2 2 2 2 2 2 2 2 2 2 3 5 2" xfId="36492"/>
    <cellStyle name="Comma 2 2 2 2 2 2 2 2 2 2 2 4" xfId="1786"/>
    <cellStyle name="Comma 2 2 2 2 2 2 2 2 2 2 2 4 2" xfId="5992"/>
    <cellStyle name="Comma 2 2 2 2 2 2 2 2 2 2 2 4 2 2" xfId="7039"/>
    <cellStyle name="Comma 2 2 2 2 2 2 2 2 2 2 2 4 2 2 2" xfId="19559"/>
    <cellStyle name="Comma 2 2 2 2 2 2 2 2 2 2 2 4 2 2 2 2" xfId="20592"/>
    <cellStyle name="Comma 2 2 2 2 2 2 2 2 2 2 2 4 2 2 2 2 2" xfId="54885"/>
    <cellStyle name="Comma 2 2 2 2 2 2 2 2 2 2 2 4 2 2 2 2 2 2" xfId="55918"/>
    <cellStyle name="Comma 2 2 2 2 2 2 2 2 2 2 2 4 2 2 2 3" xfId="34094"/>
    <cellStyle name="Comma 2 2 2 2 2 2 2 2 2 2 2 4 2 2 3" xfId="33060"/>
    <cellStyle name="Comma 2 2 2 2 2 2 2 2 2 2 2 4 2 2 3 2" xfId="42467"/>
    <cellStyle name="Comma 2 2 2 2 2 2 2 2 2 2 2 4 2 3" xfId="12263"/>
    <cellStyle name="Comma 2 2 2 2 2 2 2 2 2 2 2 4 2 3 2" xfId="41426"/>
    <cellStyle name="Comma 2 2 2 2 2 2 2 2 2 2 2 4 2 3 2 2" xfId="47610"/>
    <cellStyle name="Comma 2 2 2 2 2 2 2 2 2 2 2 4 2 4" xfId="25748"/>
    <cellStyle name="Comma 2 2 2 2 2 2 2 2 2 2 2 4 3" xfId="11217"/>
    <cellStyle name="Comma 2 2 2 2 2 2 2 2 2 2 2 4 3 2" xfId="15458"/>
    <cellStyle name="Comma 2 2 2 2 2 2 2 2 2 2 2 4 3 2 2" xfId="46575"/>
    <cellStyle name="Comma 2 2 2 2 2 2 2 2 2 2 2 4 3 2 2 2" xfId="50791"/>
    <cellStyle name="Comma 2 2 2 2 2 2 2 2 2 2 2 4 3 3" xfId="28965"/>
    <cellStyle name="Comma 2 2 2 2 2 2 2 2 2 2 2 4 4" xfId="24710"/>
    <cellStyle name="Comma 2 2 2 2 2 2 2 2 2 2 2 4 4 2" xfId="37268"/>
    <cellStyle name="Comma 2 2 2 2 2 2 2 2 2 2 2 5" xfId="3792"/>
    <cellStyle name="Comma 2 2 2 2 2 2 2 2 2 2 2 5 2" xfId="14376"/>
    <cellStyle name="Comma 2 2 2 2 2 2 2 2 2 2 2 5 2 2" xfId="17408"/>
    <cellStyle name="Comma 2 2 2 2 2 2 2 2 2 2 2 5 2 2 2" xfId="49721"/>
    <cellStyle name="Comma 2 2 2 2 2 2 2 2 2 2 2 5 2 2 2 2" xfId="52735"/>
    <cellStyle name="Comma 2 2 2 2 2 2 2 2 2 2 2 5 2 3" xfId="30909"/>
    <cellStyle name="Comma 2 2 2 2 2 2 2 2 2 2 2 5 3" xfId="27886"/>
    <cellStyle name="Comma 2 2 2 2 2 2 2 2 2 2 2 5 3 2" xfId="39243"/>
    <cellStyle name="Comma 2 2 2 2 2 2 2 2 2 2 2 6" xfId="8982"/>
    <cellStyle name="Comma 2 2 2 2 2 2 2 2 2 2 2 6 2" xfId="36188"/>
    <cellStyle name="Comma 2 2 2 2 2 2 2 2 2 2 2 6 2 2" xfId="44381"/>
    <cellStyle name="Comma 2 2 2 2 2 2 2 2 2 2 2 7" xfId="22489"/>
    <cellStyle name="Comma 2 2 2 2 2 2 2 2 2 2 3" xfId="989"/>
    <cellStyle name="Comma 2 2 2 2 2 2 2 2 2 2 3 2" xfId="1194"/>
    <cellStyle name="Comma 2 2 2 2 2 2 2 2 2 2 3 2 2" xfId="3027"/>
    <cellStyle name="Comma 2 2 2 2 2 2 2 2 2 2 3 2 2 2" xfId="3214"/>
    <cellStyle name="Comma 2 2 2 2 2 2 2 2 2 2 3 2 2 2 2" xfId="8242"/>
    <cellStyle name="Comma 2 2 2 2 2 2 2 2 2 2 3 2 2 2 2 2" xfId="8429"/>
    <cellStyle name="Comma 2 2 2 2 2 2 2 2 2 2 3 2 2 2 2 2 2" xfId="21794"/>
    <cellStyle name="Comma 2 2 2 2 2 2 2 2 2 2 3 2 2 2 2 2 2 2" xfId="21981"/>
    <cellStyle name="Comma 2 2 2 2 2 2 2 2 2 2 3 2 2 2 2 2 2 2 2" xfId="57120"/>
    <cellStyle name="Comma 2 2 2 2 2 2 2 2 2 2 3 2 2 2 2 2 2 2 2 2" xfId="57307"/>
    <cellStyle name="Comma 2 2 2 2 2 2 2 2 2 2 3 2 2 2 2 2 2 3" xfId="35484"/>
    <cellStyle name="Comma 2 2 2 2 2 2 2 2 2 2 3 2 2 2 2 2 3" xfId="35297"/>
    <cellStyle name="Comma 2 2 2 2 2 2 2 2 2 2 3 2 2 2 2 2 3 2" xfId="43856"/>
    <cellStyle name="Comma 2 2 2 2 2 2 2 2 2 2 3 2 2 2 2 3" xfId="13654"/>
    <cellStyle name="Comma 2 2 2 2 2 2 2 2 2 2 3 2 2 2 2 3 2" xfId="43669"/>
    <cellStyle name="Comma 2 2 2 2 2 2 2 2 2 2 3 2 2 2 2 3 2 2" xfId="49000"/>
    <cellStyle name="Comma 2 2 2 2 2 2 2 2 2 2 3 2 2 2 2 4" xfId="27139"/>
    <cellStyle name="Comma 2 2 2 2 2 2 2 2 2 2 3 2 2 2 3" xfId="13467"/>
    <cellStyle name="Comma 2 2 2 2 2 2 2 2 2 2 3 2 2 2 3 2" xfId="16871"/>
    <cellStyle name="Comma 2 2 2 2 2 2 2 2 2 2 3 2 2 2 3 2 2" xfId="48813"/>
    <cellStyle name="Comma 2 2 2 2 2 2 2 2 2 2 3 2 2 2 3 2 2 2" xfId="52199"/>
    <cellStyle name="Comma 2 2 2 2 2 2 2 2 2 2 3 2 2 2 3 3" xfId="30373"/>
    <cellStyle name="Comma 2 2 2 2 2 2 2 2 2 2 3 2 2 2 4" xfId="26952"/>
    <cellStyle name="Comma 2 2 2 2 2 2 2 2 2 2 3 2 2 2 4 2" xfId="38683"/>
    <cellStyle name="Comma 2 2 2 2 2 2 2 2 2 2 3 2 2 3" xfId="5251"/>
    <cellStyle name="Comma 2 2 2 2 2 2 2 2 2 2 3 2 2 3 2" xfId="16684"/>
    <cellStyle name="Comma 2 2 2 2 2 2 2 2 2 2 3 2 2 3 2 2" xfId="18824"/>
    <cellStyle name="Comma 2 2 2 2 2 2 2 2 2 2 3 2 2 3 2 2 2" xfId="52012"/>
    <cellStyle name="Comma 2 2 2 2 2 2 2 2 2 2 3 2 2 3 2 2 2 2" xfId="54150"/>
    <cellStyle name="Comma 2 2 2 2 2 2 2 2 2 2 3 2 2 3 2 3" xfId="32325"/>
    <cellStyle name="Comma 2 2 2 2 2 2 2 2 2 2 3 2 2 3 3" xfId="30186"/>
    <cellStyle name="Comma 2 2 2 2 2 2 2 2 2 2 3 2 2 3 3 2" xfId="40688"/>
    <cellStyle name="Comma 2 2 2 2 2 2 2 2 2 2 3 2 2 4" xfId="10454"/>
    <cellStyle name="Comma 2 2 2 2 2 2 2 2 2 2 3 2 2 4 2" xfId="38496"/>
    <cellStyle name="Comma 2 2 2 2 2 2 2 2 2 2 3 2 2 4 2 2" xfId="45817"/>
    <cellStyle name="Comma 2 2 2 2 2 2 2 2 2 2 3 2 2 5" xfId="23940"/>
    <cellStyle name="Comma 2 2 2 2 2 2 2 2 2 2 3 2 3" xfId="5063"/>
    <cellStyle name="Comma 2 2 2 2 2 2 2 2 2 2 3 2 3 2" xfId="6502"/>
    <cellStyle name="Comma 2 2 2 2 2 2 2 2 2 2 3 2 3 2 2" xfId="18636"/>
    <cellStyle name="Comma 2 2 2 2 2 2 2 2 2 2 3 2 3 2 2 2" xfId="20056"/>
    <cellStyle name="Comma 2 2 2 2 2 2 2 2 2 2 3 2 3 2 2 2 2" xfId="53962"/>
    <cellStyle name="Comma 2 2 2 2 2 2 2 2 2 2 3 2 3 2 2 2 2 2" xfId="55382"/>
    <cellStyle name="Comma 2 2 2 2 2 2 2 2 2 2 3 2 3 2 2 3" xfId="33558"/>
    <cellStyle name="Comma 2 2 2 2 2 2 2 2 2 2 3 2 3 2 3" xfId="32137"/>
    <cellStyle name="Comma 2 2 2 2 2 2 2 2 2 2 3 2 3 2 3 2" xfId="41930"/>
    <cellStyle name="Comma 2 2 2 2 2 2 2 2 2 2 3 2 3 3" xfId="11726"/>
    <cellStyle name="Comma 2 2 2 2 2 2 2 2 2 2 3 2 3 3 2" xfId="40500"/>
    <cellStyle name="Comma 2 2 2 2 2 2 2 2 2 2 3 2 3 3 2 2" xfId="47074"/>
    <cellStyle name="Comma 2 2 2 2 2 2 2 2 2 2 3 2 3 4" xfId="25211"/>
    <cellStyle name="Comma 2 2 2 2 2 2 2 2 2 2 3 2 4" xfId="10266"/>
    <cellStyle name="Comma 2 2 2 2 2 2 2 2 2 2 3 2 4 2" xfId="14884"/>
    <cellStyle name="Comma 2 2 2 2 2 2 2 2 2 2 3 2 4 2 2" xfId="45629"/>
    <cellStyle name="Comma 2 2 2 2 2 2 2 2 2 2 3 2 4 2 2 2" xfId="50223"/>
    <cellStyle name="Comma 2 2 2 2 2 2 2 2 2 2 3 2 4 3" xfId="28397"/>
    <cellStyle name="Comma 2 2 2 2 2 2 2 2 2 2 3 2 5" xfId="23752"/>
    <cellStyle name="Comma 2 2 2 2 2 2 2 2 2 2 3 2 5 2" xfId="36692"/>
    <cellStyle name="Comma 2 2 2 2 2 2 2 2 2 2 3 3" xfId="2002"/>
    <cellStyle name="Comma 2 2 2 2 2 2 2 2 2 2 3 3 2" xfId="6300"/>
    <cellStyle name="Comma 2 2 2 2 2 2 2 2 2 2 3 3 2 2" xfId="7236"/>
    <cellStyle name="Comma 2 2 2 2 2 2 2 2 2 2 3 3 2 2 2" xfId="19857"/>
    <cellStyle name="Comma 2 2 2 2 2 2 2 2 2 2 3 3 2 2 2 2" xfId="20788"/>
    <cellStyle name="Comma 2 2 2 2 2 2 2 2 2 2 3 3 2 2 2 2 2" xfId="55183"/>
    <cellStyle name="Comma 2 2 2 2 2 2 2 2 2 2 3 3 2 2 2 2 2 2" xfId="56114"/>
    <cellStyle name="Comma 2 2 2 2 2 2 2 2 2 2 3 3 2 2 2 3" xfId="34291"/>
    <cellStyle name="Comma 2 2 2 2 2 2 2 2 2 2 3 3 2 2 3" xfId="33359"/>
    <cellStyle name="Comma 2 2 2 2 2 2 2 2 2 2 3 3 2 2 3 2" xfId="42663"/>
    <cellStyle name="Comma 2 2 2 2 2 2 2 2 2 2 3 3 2 3" xfId="12461"/>
    <cellStyle name="Comma 2 2 2 2 2 2 2 2 2 2 3 3 2 3 2" xfId="41729"/>
    <cellStyle name="Comma 2 2 2 2 2 2 2 2 2 2 3 3 2 3 2 2" xfId="47807"/>
    <cellStyle name="Comma 2 2 2 2 2 2 2 2 2 2 3 3 2 4" xfId="25945"/>
    <cellStyle name="Comma 2 2 2 2 2 2 2 2 2 2 3 3 3" xfId="11525"/>
    <cellStyle name="Comma 2 2 2 2 2 2 2 2 2 2 3 3 3 2" xfId="15666"/>
    <cellStyle name="Comma 2 2 2 2 2 2 2 2 2 2 3 3 3 2 2" xfId="46874"/>
    <cellStyle name="Comma 2 2 2 2 2 2 2 2 2 2 3 3 3 2 2 2" xfId="50998"/>
    <cellStyle name="Comma 2 2 2 2 2 2 2 2 2 2 3 3 3 3" xfId="29172"/>
    <cellStyle name="Comma 2 2 2 2 2 2 2 2 2 2 3 3 4" xfId="25011"/>
    <cellStyle name="Comma 2 2 2 2 2 2 2 2 2 2 3 3 4 2" xfId="37480"/>
    <cellStyle name="Comma 2 2 2 2 2 2 2 2 2 2 3 4" xfId="4016"/>
    <cellStyle name="Comma 2 2 2 2 2 2 2 2 2 2 3 4 2" xfId="14683"/>
    <cellStyle name="Comma 2 2 2 2 2 2 2 2 2 2 3 4 2 2" xfId="17611"/>
    <cellStyle name="Comma 2 2 2 2 2 2 2 2 2 2 3 4 2 2 2" xfId="50022"/>
    <cellStyle name="Comma 2 2 2 2 2 2 2 2 2 2 3 4 2 2 2 2" xfId="52938"/>
    <cellStyle name="Comma 2 2 2 2 2 2 2 2 2 2 3 4 2 3" xfId="31113"/>
    <cellStyle name="Comma 2 2 2 2 2 2 2 2 2 2 3 4 3" xfId="28194"/>
    <cellStyle name="Comma 2 2 2 2 2 2 2 2 2 2 3 4 3 2" xfId="39460"/>
    <cellStyle name="Comma 2 2 2 2 2 2 2 2 2 2 3 5" xfId="9208"/>
    <cellStyle name="Comma 2 2 2 2 2 2 2 2 2 2 3 5 2" xfId="36491"/>
    <cellStyle name="Comma 2 2 2 2 2 2 2 2 2 2 3 5 2 2" xfId="44591"/>
    <cellStyle name="Comma 2 2 2 2 2 2 2 2 2 2 3 6" xfId="22705"/>
    <cellStyle name="Comma 2 2 2 2 2 2 2 2 2 2 4" xfId="1785"/>
    <cellStyle name="Comma 2 2 2 2 2 2 2 2 2 2 4 2" xfId="2447"/>
    <cellStyle name="Comma 2 2 2 2 2 2 2 2 2 2 4 2 2" xfId="7038"/>
    <cellStyle name="Comma 2 2 2 2 2 2 2 2 2 2 4 2 2 2" xfId="7679"/>
    <cellStyle name="Comma 2 2 2 2 2 2 2 2 2 2 4 2 2 2 2" xfId="20591"/>
    <cellStyle name="Comma 2 2 2 2 2 2 2 2 2 2 4 2 2 2 2 2" xfId="21231"/>
    <cellStyle name="Comma 2 2 2 2 2 2 2 2 2 2 4 2 2 2 2 2 2" xfId="55917"/>
    <cellStyle name="Comma 2 2 2 2 2 2 2 2 2 2 4 2 2 2 2 2 2 2" xfId="56557"/>
    <cellStyle name="Comma 2 2 2 2 2 2 2 2 2 2 4 2 2 2 2 3" xfId="34734"/>
    <cellStyle name="Comma 2 2 2 2 2 2 2 2 2 2 4 2 2 2 3" xfId="34093"/>
    <cellStyle name="Comma 2 2 2 2 2 2 2 2 2 2 4 2 2 2 3 2" xfId="43106"/>
    <cellStyle name="Comma 2 2 2 2 2 2 2 2 2 2 4 2 2 3" xfId="12904"/>
    <cellStyle name="Comma 2 2 2 2 2 2 2 2 2 2 4 2 2 3 2" xfId="42466"/>
    <cellStyle name="Comma 2 2 2 2 2 2 2 2 2 2 4 2 2 3 2 2" xfId="48250"/>
    <cellStyle name="Comma 2 2 2 2 2 2 2 2 2 2 4 2 2 4" xfId="26388"/>
    <cellStyle name="Comma 2 2 2 2 2 2 2 2 2 2 4 2 3" xfId="12262"/>
    <cellStyle name="Comma 2 2 2 2 2 2 2 2 2 2 4 2 3 2" xfId="16110"/>
    <cellStyle name="Comma 2 2 2 2 2 2 2 2 2 2 4 2 3 2 2" xfId="47609"/>
    <cellStyle name="Comma 2 2 2 2 2 2 2 2 2 2 4 2 3 2 2 2" xfId="51442"/>
    <cellStyle name="Comma 2 2 2 2 2 2 2 2 2 2 4 2 3 3" xfId="29616"/>
    <cellStyle name="Comma 2 2 2 2 2 2 2 2 2 2 4 2 4" xfId="25747"/>
    <cellStyle name="Comma 2 2 2 2 2 2 2 2 2 2 4 2 4 2" xfId="37925"/>
    <cellStyle name="Comma 2 2 2 2 2 2 2 2 2 2 4 3" xfId="4482"/>
    <cellStyle name="Comma 2 2 2 2 2 2 2 2 2 2 4 3 2" xfId="15457"/>
    <cellStyle name="Comma 2 2 2 2 2 2 2 2 2 2 4 3 2 2" xfId="18072"/>
    <cellStyle name="Comma 2 2 2 2 2 2 2 2 2 2 4 3 2 2 2" xfId="50790"/>
    <cellStyle name="Comma 2 2 2 2 2 2 2 2 2 2 4 3 2 2 2 2" xfId="53398"/>
    <cellStyle name="Comma 2 2 2 2 2 2 2 2 2 2 4 3 2 3" xfId="31573"/>
    <cellStyle name="Comma 2 2 2 2 2 2 2 2 2 2 4 3 3" xfId="28964"/>
    <cellStyle name="Comma 2 2 2 2 2 2 2 2 2 2 4 3 3 2" xfId="39924"/>
    <cellStyle name="Comma 2 2 2 2 2 2 2 2 2 2 4 4" xfId="9687"/>
    <cellStyle name="Comma 2 2 2 2 2 2 2 2 2 2 4 4 2" xfId="37267"/>
    <cellStyle name="Comma 2 2 2 2 2 2 2 2 2 2 4 4 2 2" xfId="45065"/>
    <cellStyle name="Comma 2 2 2 2 2 2 2 2 2 2 4 5" xfId="23188"/>
    <cellStyle name="Comma 2 2 2 2 2 2 2 2 2 2 5" xfId="3791"/>
    <cellStyle name="Comma 2 2 2 2 2 2 2 2 2 2 5 2" xfId="5689"/>
    <cellStyle name="Comma 2 2 2 2 2 2 2 2 2 2 5 2 2" xfId="17407"/>
    <cellStyle name="Comma 2 2 2 2 2 2 2 2 2 2 5 2 2 2" xfId="19261"/>
    <cellStyle name="Comma 2 2 2 2 2 2 2 2 2 2 5 2 2 2 2" xfId="52734"/>
    <cellStyle name="Comma 2 2 2 2 2 2 2 2 2 2 5 2 2 2 2 2" xfId="54587"/>
    <cellStyle name="Comma 2 2 2 2 2 2 2 2 2 2 5 2 2 3" xfId="32762"/>
    <cellStyle name="Comma 2 2 2 2 2 2 2 2 2 2 5 2 3" xfId="30908"/>
    <cellStyle name="Comma 2 2 2 2 2 2 2 2 2 2 5 2 3 2" xfId="41125"/>
    <cellStyle name="Comma 2 2 2 2 2 2 2 2 2 2 5 3" xfId="10907"/>
    <cellStyle name="Comma 2 2 2 2 2 2 2 2 2 2 5 3 2" xfId="39242"/>
    <cellStyle name="Comma 2 2 2 2 2 2 2 2 2 2 5 3 2 2" xfId="46269"/>
    <cellStyle name="Comma 2 2 2 2 2 2 2 2 2 2 5 4" xfId="24400"/>
    <cellStyle name="Comma 2 2 2 2 2 2 2 2 2 2 6" xfId="8981"/>
    <cellStyle name="Comma 2 2 2 2 2 2 2 2 2 2 6 2" xfId="14073"/>
    <cellStyle name="Comma 2 2 2 2 2 2 2 2 2 2 6 2 2" xfId="44380"/>
    <cellStyle name="Comma 2 2 2 2 2 2 2 2 2 2 6 2 2 2" xfId="49419"/>
    <cellStyle name="Comma 2 2 2 2 2 2 2 2 2 2 6 3" xfId="27572"/>
    <cellStyle name="Comma 2 2 2 2 2 2 2 2 2 2 7" xfId="22488"/>
    <cellStyle name="Comma 2 2 2 2 2 2 2 2 2 2 7 2" xfId="35885"/>
    <cellStyle name="Comma 2 2 2 2 2 2 2 2 2 3" xfId="479"/>
    <cellStyle name="Comma 2 2 2 2 2 2 2 2 2 3 2" xfId="1193"/>
    <cellStyle name="Comma 2 2 2 2 2 2 2 2 2 3 2 2" xfId="1294"/>
    <cellStyle name="Comma 2 2 2 2 2 2 2 2 2 3 2 2 2" xfId="3213"/>
    <cellStyle name="Comma 2 2 2 2 2 2 2 2 2 3 2 2 2 2" xfId="3312"/>
    <cellStyle name="Comma 2 2 2 2 2 2 2 2 2 3 2 2 2 2 2" xfId="8428"/>
    <cellStyle name="Comma 2 2 2 2 2 2 2 2 2 3 2 2 2 2 2 2" xfId="8527"/>
    <cellStyle name="Comma 2 2 2 2 2 2 2 2 2 3 2 2 2 2 2 2 2" xfId="21980"/>
    <cellStyle name="Comma 2 2 2 2 2 2 2 2 2 3 2 2 2 2 2 2 2 2" xfId="22079"/>
    <cellStyle name="Comma 2 2 2 2 2 2 2 2 2 3 2 2 2 2 2 2 2 2 2" xfId="57306"/>
    <cellStyle name="Comma 2 2 2 2 2 2 2 2 2 3 2 2 2 2 2 2 2 2 2 2" xfId="57405"/>
    <cellStyle name="Comma 2 2 2 2 2 2 2 2 2 3 2 2 2 2 2 2 2 3" xfId="35582"/>
    <cellStyle name="Comma 2 2 2 2 2 2 2 2 2 3 2 2 2 2 2 2 3" xfId="35483"/>
    <cellStyle name="Comma 2 2 2 2 2 2 2 2 2 3 2 2 2 2 2 2 3 2" xfId="43954"/>
    <cellStyle name="Comma 2 2 2 2 2 2 2 2 2 3 2 2 2 2 2 3" xfId="13752"/>
    <cellStyle name="Comma 2 2 2 2 2 2 2 2 2 3 2 2 2 2 2 3 2" xfId="43855"/>
    <cellStyle name="Comma 2 2 2 2 2 2 2 2 2 3 2 2 2 2 2 3 2 2" xfId="49098"/>
    <cellStyle name="Comma 2 2 2 2 2 2 2 2 2 3 2 2 2 2 2 4" xfId="27237"/>
    <cellStyle name="Comma 2 2 2 2 2 2 2 2 2 3 2 2 2 2 3" xfId="13653"/>
    <cellStyle name="Comma 2 2 2 2 2 2 2 2 2 3 2 2 2 2 3 2" xfId="16969"/>
    <cellStyle name="Comma 2 2 2 2 2 2 2 2 2 3 2 2 2 2 3 2 2" xfId="48999"/>
    <cellStyle name="Comma 2 2 2 2 2 2 2 2 2 3 2 2 2 2 3 2 2 2" xfId="52297"/>
    <cellStyle name="Comma 2 2 2 2 2 2 2 2 2 3 2 2 2 2 3 3" xfId="30471"/>
    <cellStyle name="Comma 2 2 2 2 2 2 2 2 2 3 2 2 2 2 4" xfId="27138"/>
    <cellStyle name="Comma 2 2 2 2 2 2 2 2 2 3 2 2 2 2 4 2" xfId="38781"/>
    <cellStyle name="Comma 2 2 2 2 2 2 2 2 2 3 2 2 2 3" xfId="5349"/>
    <cellStyle name="Comma 2 2 2 2 2 2 2 2 2 3 2 2 2 3 2" xfId="16870"/>
    <cellStyle name="Comma 2 2 2 2 2 2 2 2 2 3 2 2 2 3 2 2" xfId="18922"/>
    <cellStyle name="Comma 2 2 2 2 2 2 2 2 2 3 2 2 2 3 2 2 2" xfId="52198"/>
    <cellStyle name="Comma 2 2 2 2 2 2 2 2 2 3 2 2 2 3 2 2 2 2" xfId="54248"/>
    <cellStyle name="Comma 2 2 2 2 2 2 2 2 2 3 2 2 2 3 2 3" xfId="32423"/>
    <cellStyle name="Comma 2 2 2 2 2 2 2 2 2 3 2 2 2 3 3" xfId="30372"/>
    <cellStyle name="Comma 2 2 2 2 2 2 2 2 2 3 2 2 2 3 3 2" xfId="40786"/>
    <cellStyle name="Comma 2 2 2 2 2 2 2 2 2 3 2 2 2 4" xfId="10552"/>
    <cellStyle name="Comma 2 2 2 2 2 2 2 2 2 3 2 2 2 4 2" xfId="38682"/>
    <cellStyle name="Comma 2 2 2 2 2 2 2 2 2 3 2 2 2 4 2 2" xfId="45915"/>
    <cellStyle name="Comma 2 2 2 2 2 2 2 2 2 3 2 2 2 5" xfId="24038"/>
    <cellStyle name="Comma 2 2 2 2 2 2 2 2 2 3 2 2 3" xfId="5250"/>
    <cellStyle name="Comma 2 2 2 2 2 2 2 2 2 3 2 2 3 2" xfId="6602"/>
    <cellStyle name="Comma 2 2 2 2 2 2 2 2 2 3 2 2 3 2 2" xfId="18823"/>
    <cellStyle name="Comma 2 2 2 2 2 2 2 2 2 3 2 2 3 2 2 2" xfId="20155"/>
    <cellStyle name="Comma 2 2 2 2 2 2 2 2 2 3 2 2 3 2 2 2 2" xfId="54149"/>
    <cellStyle name="Comma 2 2 2 2 2 2 2 2 2 3 2 2 3 2 2 2 2 2" xfId="55481"/>
    <cellStyle name="Comma 2 2 2 2 2 2 2 2 2 3 2 2 3 2 2 3" xfId="33657"/>
    <cellStyle name="Comma 2 2 2 2 2 2 2 2 2 3 2 2 3 2 3" xfId="32324"/>
    <cellStyle name="Comma 2 2 2 2 2 2 2 2 2 3 2 2 3 2 3 2" xfId="42030"/>
    <cellStyle name="Comma 2 2 2 2 2 2 2 2 2 3 2 2 3 3" xfId="11825"/>
    <cellStyle name="Comma 2 2 2 2 2 2 2 2 2 3 2 2 3 3 2" xfId="40687"/>
    <cellStyle name="Comma 2 2 2 2 2 2 2 2 2 3 2 2 3 3 2 2" xfId="47173"/>
    <cellStyle name="Comma 2 2 2 2 2 2 2 2 2 3 2 2 3 4" xfId="25310"/>
    <cellStyle name="Comma 2 2 2 2 2 2 2 2 2 3 2 2 4" xfId="10453"/>
    <cellStyle name="Comma 2 2 2 2 2 2 2 2 2 3 2 2 4 2" xfId="14983"/>
    <cellStyle name="Comma 2 2 2 2 2 2 2 2 2 3 2 2 4 2 2" xfId="45816"/>
    <cellStyle name="Comma 2 2 2 2 2 2 2 2 2 3 2 2 4 2 2 2" xfId="50322"/>
    <cellStyle name="Comma 2 2 2 2 2 2 2 2 2 3 2 2 4 3" xfId="28496"/>
    <cellStyle name="Comma 2 2 2 2 2 2 2 2 2 3 2 2 5" xfId="23939"/>
    <cellStyle name="Comma 2 2 2 2 2 2 2 2 2 3 2 2 5 2" xfId="36791"/>
    <cellStyle name="Comma 2 2 2 2 2 2 2 2 2 3 2 3" xfId="2100"/>
    <cellStyle name="Comma 2 2 2 2 2 2 2 2 2 3 2 3 2" xfId="6501"/>
    <cellStyle name="Comma 2 2 2 2 2 2 2 2 2 3 2 3 2 2" xfId="7334"/>
    <cellStyle name="Comma 2 2 2 2 2 2 2 2 2 3 2 3 2 2 2" xfId="20055"/>
    <cellStyle name="Comma 2 2 2 2 2 2 2 2 2 3 2 3 2 2 2 2" xfId="20886"/>
    <cellStyle name="Comma 2 2 2 2 2 2 2 2 2 3 2 3 2 2 2 2 2" xfId="55381"/>
    <cellStyle name="Comma 2 2 2 2 2 2 2 2 2 3 2 3 2 2 2 2 2 2" xfId="56212"/>
    <cellStyle name="Comma 2 2 2 2 2 2 2 2 2 3 2 3 2 2 2 3" xfId="34389"/>
    <cellStyle name="Comma 2 2 2 2 2 2 2 2 2 3 2 3 2 2 3" xfId="33557"/>
    <cellStyle name="Comma 2 2 2 2 2 2 2 2 2 3 2 3 2 2 3 2" xfId="42761"/>
    <cellStyle name="Comma 2 2 2 2 2 2 2 2 2 3 2 3 2 3" xfId="12559"/>
    <cellStyle name="Comma 2 2 2 2 2 2 2 2 2 3 2 3 2 3 2" xfId="41929"/>
    <cellStyle name="Comma 2 2 2 2 2 2 2 2 2 3 2 3 2 3 2 2" xfId="47905"/>
    <cellStyle name="Comma 2 2 2 2 2 2 2 2 2 3 2 3 2 4" xfId="26043"/>
    <cellStyle name="Comma 2 2 2 2 2 2 2 2 2 3 2 3 3" xfId="11725"/>
    <cellStyle name="Comma 2 2 2 2 2 2 2 2 2 3 2 3 3 2" xfId="15764"/>
    <cellStyle name="Comma 2 2 2 2 2 2 2 2 2 3 2 3 3 2 2" xfId="47073"/>
    <cellStyle name="Comma 2 2 2 2 2 2 2 2 2 3 2 3 3 2 2 2" xfId="51096"/>
    <cellStyle name="Comma 2 2 2 2 2 2 2 2 2 3 2 3 3 3" xfId="29270"/>
    <cellStyle name="Comma 2 2 2 2 2 2 2 2 2 3 2 3 4" xfId="25210"/>
    <cellStyle name="Comma 2 2 2 2 2 2 2 2 2 3 2 3 4 2" xfId="37578"/>
    <cellStyle name="Comma 2 2 2 2 2 2 2 2 2 3 2 4" xfId="4116"/>
    <cellStyle name="Comma 2 2 2 2 2 2 2 2 2 3 2 4 2" xfId="14883"/>
    <cellStyle name="Comma 2 2 2 2 2 2 2 2 2 3 2 4 2 2" xfId="17709"/>
    <cellStyle name="Comma 2 2 2 2 2 2 2 2 2 3 2 4 2 2 2" xfId="50222"/>
    <cellStyle name="Comma 2 2 2 2 2 2 2 2 2 3 2 4 2 2 2 2" xfId="53036"/>
    <cellStyle name="Comma 2 2 2 2 2 2 2 2 2 3 2 4 2 3" xfId="31211"/>
    <cellStyle name="Comma 2 2 2 2 2 2 2 2 2 3 2 4 3" xfId="28396"/>
    <cellStyle name="Comma 2 2 2 2 2 2 2 2 2 3 2 4 3 2" xfId="39559"/>
    <cellStyle name="Comma 2 2 2 2 2 2 2 2 2 3 2 5" xfId="9307"/>
    <cellStyle name="Comma 2 2 2 2 2 2 2 2 2 3 2 5 2" xfId="36691"/>
    <cellStyle name="Comma 2 2 2 2 2 2 2 2 2 3 2 5 2 2" xfId="44689"/>
    <cellStyle name="Comma 2 2 2 2 2 2 2 2 2 3 2 6" xfId="22803"/>
    <cellStyle name="Comma 2 2 2 2 2 2 2 2 2 3 3" xfId="2001"/>
    <cellStyle name="Comma 2 2 2 2 2 2 2 2 2 3 3 2" xfId="2578"/>
    <cellStyle name="Comma 2 2 2 2 2 2 2 2 2 3 3 2 2" xfId="7235"/>
    <cellStyle name="Comma 2 2 2 2 2 2 2 2 2 3 3 2 2 2" xfId="7799"/>
    <cellStyle name="Comma 2 2 2 2 2 2 2 2 2 3 3 2 2 2 2" xfId="20787"/>
    <cellStyle name="Comma 2 2 2 2 2 2 2 2 2 3 3 2 2 2 2 2" xfId="21351"/>
    <cellStyle name="Comma 2 2 2 2 2 2 2 2 2 3 3 2 2 2 2 2 2" xfId="56113"/>
    <cellStyle name="Comma 2 2 2 2 2 2 2 2 2 3 3 2 2 2 2 2 2 2" xfId="56677"/>
    <cellStyle name="Comma 2 2 2 2 2 2 2 2 2 3 3 2 2 2 2 3" xfId="34854"/>
    <cellStyle name="Comma 2 2 2 2 2 2 2 2 2 3 3 2 2 2 3" xfId="34290"/>
    <cellStyle name="Comma 2 2 2 2 2 2 2 2 2 3 3 2 2 2 3 2" xfId="43226"/>
    <cellStyle name="Comma 2 2 2 2 2 2 2 2 2 3 3 2 2 3" xfId="13024"/>
    <cellStyle name="Comma 2 2 2 2 2 2 2 2 2 3 3 2 2 3 2" xfId="42662"/>
    <cellStyle name="Comma 2 2 2 2 2 2 2 2 2 3 3 2 2 3 2 2" xfId="48370"/>
    <cellStyle name="Comma 2 2 2 2 2 2 2 2 2 3 3 2 2 4" xfId="26508"/>
    <cellStyle name="Comma 2 2 2 2 2 2 2 2 2 3 3 2 3" xfId="12460"/>
    <cellStyle name="Comma 2 2 2 2 2 2 2 2 2 3 3 2 3 2" xfId="16237"/>
    <cellStyle name="Comma 2 2 2 2 2 2 2 2 2 3 3 2 3 2 2" xfId="47806"/>
    <cellStyle name="Comma 2 2 2 2 2 2 2 2 2 3 3 2 3 2 2 2" xfId="51567"/>
    <cellStyle name="Comma 2 2 2 2 2 2 2 2 2 3 3 2 3 3" xfId="29741"/>
    <cellStyle name="Comma 2 2 2 2 2 2 2 2 2 3 3 2 4" xfId="25944"/>
    <cellStyle name="Comma 2 2 2 2 2 2 2 2 2 3 3 2 4 2" xfId="38051"/>
    <cellStyle name="Comma 2 2 2 2 2 2 2 2 2 3 3 3" xfId="4611"/>
    <cellStyle name="Comma 2 2 2 2 2 2 2 2 2 3 3 3 2" xfId="15665"/>
    <cellStyle name="Comma 2 2 2 2 2 2 2 2 2 3 3 3 2 2" xfId="18192"/>
    <cellStyle name="Comma 2 2 2 2 2 2 2 2 2 3 3 3 2 2 2" xfId="50997"/>
    <cellStyle name="Comma 2 2 2 2 2 2 2 2 2 3 3 3 2 2 2 2" xfId="53518"/>
    <cellStyle name="Comma 2 2 2 2 2 2 2 2 2 3 3 3 2 3" xfId="31693"/>
    <cellStyle name="Comma 2 2 2 2 2 2 2 2 2 3 3 3 3" xfId="29171"/>
    <cellStyle name="Comma 2 2 2 2 2 2 2 2 2 3 3 3 3 2" xfId="40050"/>
    <cellStyle name="Comma 2 2 2 2 2 2 2 2 2 3 3 4" xfId="9815"/>
    <cellStyle name="Comma 2 2 2 2 2 2 2 2 2 3 3 4 2" xfId="37479"/>
    <cellStyle name="Comma 2 2 2 2 2 2 2 2 2 3 3 4 2 2" xfId="45185"/>
    <cellStyle name="Comma 2 2 2 2 2 2 2 2 2 3 3 5" xfId="23308"/>
    <cellStyle name="Comma 2 2 2 2 2 2 2 2 2 3 4" xfId="4015"/>
    <cellStyle name="Comma 2 2 2 2 2 2 2 2 2 3 4 2" xfId="5817"/>
    <cellStyle name="Comma 2 2 2 2 2 2 2 2 2 3 4 2 2" xfId="17610"/>
    <cellStyle name="Comma 2 2 2 2 2 2 2 2 2 3 4 2 2 2" xfId="19385"/>
    <cellStyle name="Comma 2 2 2 2 2 2 2 2 2 3 4 2 2 2 2" xfId="52937"/>
    <cellStyle name="Comma 2 2 2 2 2 2 2 2 2 3 4 2 2 2 2 2" xfId="54711"/>
    <cellStyle name="Comma 2 2 2 2 2 2 2 2 2 3 4 2 2 3" xfId="32886"/>
    <cellStyle name="Comma 2 2 2 2 2 2 2 2 2 3 4 2 3" xfId="31112"/>
    <cellStyle name="Comma 2 2 2 2 2 2 2 2 2 3 4 2 3 2" xfId="41252"/>
    <cellStyle name="Comma 2 2 2 2 2 2 2 2 2 3 4 3" xfId="11039"/>
    <cellStyle name="Comma 2 2 2 2 2 2 2 2 2 3 4 3 2" xfId="39459"/>
    <cellStyle name="Comma 2 2 2 2 2 2 2 2 2 3 4 3 2 2" xfId="46398"/>
    <cellStyle name="Comma 2 2 2 2 2 2 2 2 2 3 4 4" xfId="24533"/>
    <cellStyle name="Comma 2 2 2 2 2 2 2 2 2 3 5" xfId="9207"/>
    <cellStyle name="Comma 2 2 2 2 2 2 2 2 2 3 5 2" xfId="14200"/>
    <cellStyle name="Comma 2 2 2 2 2 2 2 2 2 3 5 2 2" xfId="44590"/>
    <cellStyle name="Comma 2 2 2 2 2 2 2 2 2 3 5 2 2 2" xfId="49545"/>
    <cellStyle name="Comma 2 2 2 2 2 2 2 2 2 3 5 3" xfId="27706"/>
    <cellStyle name="Comma 2 2 2 2 2 2 2 2 2 3 6" xfId="22704"/>
    <cellStyle name="Comma 2 2 2 2 2 2 2 2 2 3 6 2" xfId="36012"/>
    <cellStyle name="Comma 2 2 2 2 2 2 2 2 2 4" xfId="800"/>
    <cellStyle name="Comma 2 2 2 2 2 2 2 2 2 4 2" xfId="2446"/>
    <cellStyle name="Comma 2 2 2 2 2 2 2 2 2 4 2 2" xfId="2856"/>
    <cellStyle name="Comma 2 2 2 2 2 2 2 2 2 4 2 2 2" xfId="7678"/>
    <cellStyle name="Comma 2 2 2 2 2 2 2 2 2 4 2 2 2 2" xfId="8072"/>
    <cellStyle name="Comma 2 2 2 2 2 2 2 2 2 4 2 2 2 2 2" xfId="21230"/>
    <cellStyle name="Comma 2 2 2 2 2 2 2 2 2 4 2 2 2 2 2 2" xfId="21624"/>
    <cellStyle name="Comma 2 2 2 2 2 2 2 2 2 4 2 2 2 2 2 2 2" xfId="56556"/>
    <cellStyle name="Comma 2 2 2 2 2 2 2 2 2 4 2 2 2 2 2 2 2 2" xfId="56950"/>
    <cellStyle name="Comma 2 2 2 2 2 2 2 2 2 4 2 2 2 2 2 3" xfId="35127"/>
    <cellStyle name="Comma 2 2 2 2 2 2 2 2 2 4 2 2 2 2 3" xfId="34733"/>
    <cellStyle name="Comma 2 2 2 2 2 2 2 2 2 4 2 2 2 2 3 2" xfId="43499"/>
    <cellStyle name="Comma 2 2 2 2 2 2 2 2 2 4 2 2 2 3" xfId="13297"/>
    <cellStyle name="Comma 2 2 2 2 2 2 2 2 2 4 2 2 2 3 2" xfId="43105"/>
    <cellStyle name="Comma 2 2 2 2 2 2 2 2 2 4 2 2 2 3 2 2" xfId="48643"/>
    <cellStyle name="Comma 2 2 2 2 2 2 2 2 2 4 2 2 2 4" xfId="26781"/>
    <cellStyle name="Comma 2 2 2 2 2 2 2 2 2 4 2 2 3" xfId="12903"/>
    <cellStyle name="Comma 2 2 2 2 2 2 2 2 2 4 2 2 3 2" xfId="16514"/>
    <cellStyle name="Comma 2 2 2 2 2 2 2 2 2 4 2 2 3 2 2" xfId="48249"/>
    <cellStyle name="Comma 2 2 2 2 2 2 2 2 2 4 2 2 3 2 2 2" xfId="51842"/>
    <cellStyle name="Comma 2 2 2 2 2 2 2 2 2 4 2 2 3 3" xfId="30016"/>
    <cellStyle name="Comma 2 2 2 2 2 2 2 2 2 4 2 2 4" xfId="26387"/>
    <cellStyle name="Comma 2 2 2 2 2 2 2 2 2 4 2 2 4 2" xfId="38326"/>
    <cellStyle name="Comma 2 2 2 2 2 2 2 2 2 4 2 3" xfId="4892"/>
    <cellStyle name="Comma 2 2 2 2 2 2 2 2 2 4 2 3 2" xfId="16109"/>
    <cellStyle name="Comma 2 2 2 2 2 2 2 2 2 4 2 3 2 2" xfId="18466"/>
    <cellStyle name="Comma 2 2 2 2 2 2 2 2 2 4 2 3 2 2 2" xfId="51441"/>
    <cellStyle name="Comma 2 2 2 2 2 2 2 2 2 4 2 3 2 2 2 2" xfId="53792"/>
    <cellStyle name="Comma 2 2 2 2 2 2 2 2 2 4 2 3 2 3" xfId="31967"/>
    <cellStyle name="Comma 2 2 2 2 2 2 2 2 2 4 2 3 3" xfId="29615"/>
    <cellStyle name="Comma 2 2 2 2 2 2 2 2 2 4 2 3 3 2" xfId="40329"/>
    <cellStyle name="Comma 2 2 2 2 2 2 2 2 2 4 2 4" xfId="10095"/>
    <cellStyle name="Comma 2 2 2 2 2 2 2 2 2 4 2 4 2" xfId="37924"/>
    <cellStyle name="Comma 2 2 2 2 2 2 2 2 2 4 2 4 2 2" xfId="45459"/>
    <cellStyle name="Comma 2 2 2 2 2 2 2 2 2 4 2 5" xfId="23582"/>
    <cellStyle name="Comma 2 2 2 2 2 2 2 2 2 4 3" xfId="4481"/>
    <cellStyle name="Comma 2 2 2 2 2 2 2 2 2 4 3 2" xfId="6116"/>
    <cellStyle name="Comma 2 2 2 2 2 2 2 2 2 4 3 2 2" xfId="18071"/>
    <cellStyle name="Comma 2 2 2 2 2 2 2 2 2 4 3 2 2 2" xfId="19678"/>
    <cellStyle name="Comma 2 2 2 2 2 2 2 2 2 4 3 2 2 2 2" xfId="53397"/>
    <cellStyle name="Comma 2 2 2 2 2 2 2 2 2 4 3 2 2 2 2 2" xfId="55004"/>
    <cellStyle name="Comma 2 2 2 2 2 2 2 2 2 4 3 2 2 3" xfId="33179"/>
    <cellStyle name="Comma 2 2 2 2 2 2 2 2 2 4 3 2 3" xfId="31572"/>
    <cellStyle name="Comma 2 2 2 2 2 2 2 2 2 4 3 2 3 2" xfId="41549"/>
    <cellStyle name="Comma 2 2 2 2 2 2 2 2 2 4 3 3" xfId="11342"/>
    <cellStyle name="Comma 2 2 2 2 2 2 2 2 2 4 3 3 2" xfId="39923"/>
    <cellStyle name="Comma 2 2 2 2 2 2 2 2 2 4 3 3 2 2" xfId="46695"/>
    <cellStyle name="Comma 2 2 2 2 2 2 2 2 2 4 3 4" xfId="24832"/>
    <cellStyle name="Comma 2 2 2 2 2 2 2 2 2 4 4" xfId="9686"/>
    <cellStyle name="Comma 2 2 2 2 2 2 2 2 2 4 4 2" xfId="14500"/>
    <cellStyle name="Comma 2 2 2 2 2 2 2 2 2 4 4 2 2" xfId="45064"/>
    <cellStyle name="Comma 2 2 2 2 2 2 2 2 2 4 4 2 2 2" xfId="49842"/>
    <cellStyle name="Comma 2 2 2 2 2 2 2 2 2 4 4 3" xfId="28011"/>
    <cellStyle name="Comma 2 2 2 2 2 2 2 2 2 4 5" xfId="23187"/>
    <cellStyle name="Comma 2 2 2 2 2 2 2 2 2 4 5 2" xfId="36310"/>
    <cellStyle name="Comma 2 2 2 2 2 2 2 2 2 5" xfId="1587"/>
    <cellStyle name="Comma 2 2 2 2 2 2 2 2 2 5 2" xfId="5688"/>
    <cellStyle name="Comma 2 2 2 2 2 2 2 2 2 5 2 2" xfId="6859"/>
    <cellStyle name="Comma 2 2 2 2 2 2 2 2 2 5 2 2 2" xfId="19260"/>
    <cellStyle name="Comma 2 2 2 2 2 2 2 2 2 5 2 2 2 2" xfId="20412"/>
    <cellStyle name="Comma 2 2 2 2 2 2 2 2 2 5 2 2 2 2 2" xfId="54586"/>
    <cellStyle name="Comma 2 2 2 2 2 2 2 2 2 5 2 2 2 2 2 2" xfId="55738"/>
    <cellStyle name="Comma 2 2 2 2 2 2 2 2 2 5 2 2 2 3" xfId="33914"/>
    <cellStyle name="Comma 2 2 2 2 2 2 2 2 2 5 2 2 3" xfId="32761"/>
    <cellStyle name="Comma 2 2 2 2 2 2 2 2 2 5 2 2 3 2" xfId="42287"/>
    <cellStyle name="Comma 2 2 2 2 2 2 2 2 2 5 2 3" xfId="12083"/>
    <cellStyle name="Comma 2 2 2 2 2 2 2 2 2 5 2 3 2" xfId="41124"/>
    <cellStyle name="Comma 2 2 2 2 2 2 2 2 2 5 2 3 2 2" xfId="47430"/>
    <cellStyle name="Comma 2 2 2 2 2 2 2 2 2 5 2 4" xfId="25568"/>
    <cellStyle name="Comma 2 2 2 2 2 2 2 2 2 5 3" xfId="10906"/>
    <cellStyle name="Comma 2 2 2 2 2 2 2 2 2 5 3 2" xfId="15263"/>
    <cellStyle name="Comma 2 2 2 2 2 2 2 2 2 5 3 2 2" xfId="46268"/>
    <cellStyle name="Comma 2 2 2 2 2 2 2 2 2 5 3 2 2 2" xfId="50600"/>
    <cellStyle name="Comma 2 2 2 2 2 2 2 2 2 5 3 3" xfId="28774"/>
    <cellStyle name="Comma 2 2 2 2 2 2 2 2 2 5 4" xfId="24399"/>
    <cellStyle name="Comma 2 2 2 2 2 2 2 2 2 5 4 2" xfId="37075"/>
    <cellStyle name="Comma 2 2 2 2 2 2 2 2 2 6" xfId="3588"/>
    <cellStyle name="Comma 2 2 2 2 2 2 2 2 2 6 2" xfId="14072"/>
    <cellStyle name="Comma 2 2 2 2 2 2 2 2 2 6 2 2" xfId="17224"/>
    <cellStyle name="Comma 2 2 2 2 2 2 2 2 2 6 2 2 2" xfId="49418"/>
    <cellStyle name="Comma 2 2 2 2 2 2 2 2 2 6 2 2 2 2" xfId="52551"/>
    <cellStyle name="Comma 2 2 2 2 2 2 2 2 2 6 2 3" xfId="30725"/>
    <cellStyle name="Comma 2 2 2 2 2 2 2 2 2 6 3" xfId="27571"/>
    <cellStyle name="Comma 2 2 2 2 2 2 2 2 2 6 3 2" xfId="39045"/>
    <cellStyle name="Comma 2 2 2 2 2 2 2 2 2 7" xfId="8779"/>
    <cellStyle name="Comma 2 2 2 2 2 2 2 2 2 7 2" xfId="35884"/>
    <cellStyle name="Comma 2 2 2 2 2 2 2 2 2 7 2 2" xfId="44192"/>
    <cellStyle name="Comma 2 2 2 2 2 2 2 2 2 8" xfId="22296"/>
    <cellStyle name="Comma 2 2 2 2 2 2 2 2 3" xfId="478"/>
    <cellStyle name="Comma 2 2 2 2 2 2 2 2 3 2" xfId="565"/>
    <cellStyle name="Comma 2 2 2 2 2 2 2 2 3 2 2" xfId="1293"/>
    <cellStyle name="Comma 2 2 2 2 2 2 2 2 3 2 2 2" xfId="1363"/>
    <cellStyle name="Comma 2 2 2 2 2 2 2 2 3 2 2 2 2" xfId="3311"/>
    <cellStyle name="Comma 2 2 2 2 2 2 2 2 3 2 2 2 2 2" xfId="3381"/>
    <cellStyle name="Comma 2 2 2 2 2 2 2 2 3 2 2 2 2 2 2" xfId="8526"/>
    <cellStyle name="Comma 2 2 2 2 2 2 2 2 3 2 2 2 2 2 2 2" xfId="8596"/>
    <cellStyle name="Comma 2 2 2 2 2 2 2 2 3 2 2 2 2 2 2 2 2" xfId="22078"/>
    <cellStyle name="Comma 2 2 2 2 2 2 2 2 3 2 2 2 2 2 2 2 2 2" xfId="22148"/>
    <cellStyle name="Comma 2 2 2 2 2 2 2 2 3 2 2 2 2 2 2 2 2 2 2" xfId="57404"/>
    <cellStyle name="Comma 2 2 2 2 2 2 2 2 3 2 2 2 2 2 2 2 2 2 2 2" xfId="57474"/>
    <cellStyle name="Comma 2 2 2 2 2 2 2 2 3 2 2 2 2 2 2 2 2 3" xfId="35651"/>
    <cellStyle name="Comma 2 2 2 2 2 2 2 2 3 2 2 2 2 2 2 2 3" xfId="35581"/>
    <cellStyle name="Comma 2 2 2 2 2 2 2 2 3 2 2 2 2 2 2 2 3 2" xfId="44023"/>
    <cellStyle name="Comma 2 2 2 2 2 2 2 2 3 2 2 2 2 2 2 3" xfId="13821"/>
    <cellStyle name="Comma 2 2 2 2 2 2 2 2 3 2 2 2 2 2 2 3 2" xfId="43953"/>
    <cellStyle name="Comma 2 2 2 2 2 2 2 2 3 2 2 2 2 2 2 3 2 2" xfId="49167"/>
    <cellStyle name="Comma 2 2 2 2 2 2 2 2 3 2 2 2 2 2 2 4" xfId="27306"/>
    <cellStyle name="Comma 2 2 2 2 2 2 2 2 3 2 2 2 2 2 3" xfId="13751"/>
    <cellStyle name="Comma 2 2 2 2 2 2 2 2 3 2 2 2 2 2 3 2" xfId="17038"/>
    <cellStyle name="Comma 2 2 2 2 2 2 2 2 3 2 2 2 2 2 3 2 2" xfId="49097"/>
    <cellStyle name="Comma 2 2 2 2 2 2 2 2 3 2 2 2 2 2 3 2 2 2" xfId="52366"/>
    <cellStyle name="Comma 2 2 2 2 2 2 2 2 3 2 2 2 2 2 3 3" xfId="30540"/>
    <cellStyle name="Comma 2 2 2 2 2 2 2 2 3 2 2 2 2 2 4" xfId="27236"/>
    <cellStyle name="Comma 2 2 2 2 2 2 2 2 3 2 2 2 2 2 4 2" xfId="38850"/>
    <cellStyle name="Comma 2 2 2 2 2 2 2 2 3 2 2 2 2 3" xfId="5418"/>
    <cellStyle name="Comma 2 2 2 2 2 2 2 2 3 2 2 2 2 3 2" xfId="16968"/>
    <cellStyle name="Comma 2 2 2 2 2 2 2 2 3 2 2 2 2 3 2 2" xfId="18991"/>
    <cellStyle name="Comma 2 2 2 2 2 2 2 2 3 2 2 2 2 3 2 2 2" xfId="52296"/>
    <cellStyle name="Comma 2 2 2 2 2 2 2 2 3 2 2 2 2 3 2 2 2 2" xfId="54317"/>
    <cellStyle name="Comma 2 2 2 2 2 2 2 2 3 2 2 2 2 3 2 3" xfId="32492"/>
    <cellStyle name="Comma 2 2 2 2 2 2 2 2 3 2 2 2 2 3 3" xfId="30470"/>
    <cellStyle name="Comma 2 2 2 2 2 2 2 2 3 2 2 2 2 3 3 2" xfId="40855"/>
    <cellStyle name="Comma 2 2 2 2 2 2 2 2 3 2 2 2 2 4" xfId="10621"/>
    <cellStyle name="Comma 2 2 2 2 2 2 2 2 3 2 2 2 2 4 2" xfId="38780"/>
    <cellStyle name="Comma 2 2 2 2 2 2 2 2 3 2 2 2 2 4 2 2" xfId="45984"/>
    <cellStyle name="Comma 2 2 2 2 2 2 2 2 3 2 2 2 2 5" xfId="24107"/>
    <cellStyle name="Comma 2 2 2 2 2 2 2 2 3 2 2 2 3" xfId="5348"/>
    <cellStyle name="Comma 2 2 2 2 2 2 2 2 3 2 2 2 3 2" xfId="6671"/>
    <cellStyle name="Comma 2 2 2 2 2 2 2 2 3 2 2 2 3 2 2" xfId="18921"/>
    <cellStyle name="Comma 2 2 2 2 2 2 2 2 3 2 2 2 3 2 2 2" xfId="20224"/>
    <cellStyle name="Comma 2 2 2 2 2 2 2 2 3 2 2 2 3 2 2 2 2" xfId="54247"/>
    <cellStyle name="Comma 2 2 2 2 2 2 2 2 3 2 2 2 3 2 2 2 2 2" xfId="55550"/>
    <cellStyle name="Comma 2 2 2 2 2 2 2 2 3 2 2 2 3 2 2 3" xfId="33726"/>
    <cellStyle name="Comma 2 2 2 2 2 2 2 2 3 2 2 2 3 2 3" xfId="32422"/>
    <cellStyle name="Comma 2 2 2 2 2 2 2 2 3 2 2 2 3 2 3 2" xfId="42099"/>
    <cellStyle name="Comma 2 2 2 2 2 2 2 2 3 2 2 2 3 3" xfId="11894"/>
    <cellStyle name="Comma 2 2 2 2 2 2 2 2 3 2 2 2 3 3 2" xfId="40785"/>
    <cellStyle name="Comma 2 2 2 2 2 2 2 2 3 2 2 2 3 3 2 2" xfId="47242"/>
    <cellStyle name="Comma 2 2 2 2 2 2 2 2 3 2 2 2 3 4" xfId="25379"/>
    <cellStyle name="Comma 2 2 2 2 2 2 2 2 3 2 2 2 4" xfId="10551"/>
    <cellStyle name="Comma 2 2 2 2 2 2 2 2 3 2 2 2 4 2" xfId="15052"/>
    <cellStyle name="Comma 2 2 2 2 2 2 2 2 3 2 2 2 4 2 2" xfId="45914"/>
    <cellStyle name="Comma 2 2 2 2 2 2 2 2 3 2 2 2 4 2 2 2" xfId="50391"/>
    <cellStyle name="Comma 2 2 2 2 2 2 2 2 3 2 2 2 4 3" xfId="28565"/>
    <cellStyle name="Comma 2 2 2 2 2 2 2 2 3 2 2 2 5" xfId="24037"/>
    <cellStyle name="Comma 2 2 2 2 2 2 2 2 3 2 2 2 5 2" xfId="36860"/>
    <cellStyle name="Comma 2 2 2 2 2 2 2 2 3 2 2 3" xfId="2170"/>
    <cellStyle name="Comma 2 2 2 2 2 2 2 2 3 2 2 3 2" xfId="6601"/>
    <cellStyle name="Comma 2 2 2 2 2 2 2 2 3 2 2 3 2 2" xfId="7404"/>
    <cellStyle name="Comma 2 2 2 2 2 2 2 2 3 2 2 3 2 2 2" xfId="20154"/>
    <cellStyle name="Comma 2 2 2 2 2 2 2 2 3 2 2 3 2 2 2 2" xfId="20956"/>
    <cellStyle name="Comma 2 2 2 2 2 2 2 2 3 2 2 3 2 2 2 2 2" xfId="55480"/>
    <cellStyle name="Comma 2 2 2 2 2 2 2 2 3 2 2 3 2 2 2 2 2 2" xfId="56282"/>
    <cellStyle name="Comma 2 2 2 2 2 2 2 2 3 2 2 3 2 2 2 3" xfId="34459"/>
    <cellStyle name="Comma 2 2 2 2 2 2 2 2 3 2 2 3 2 2 3" xfId="33656"/>
    <cellStyle name="Comma 2 2 2 2 2 2 2 2 3 2 2 3 2 2 3 2" xfId="42831"/>
    <cellStyle name="Comma 2 2 2 2 2 2 2 2 3 2 2 3 2 3" xfId="12629"/>
    <cellStyle name="Comma 2 2 2 2 2 2 2 2 3 2 2 3 2 3 2" xfId="42029"/>
    <cellStyle name="Comma 2 2 2 2 2 2 2 2 3 2 2 3 2 3 2 2" xfId="47975"/>
    <cellStyle name="Comma 2 2 2 2 2 2 2 2 3 2 2 3 2 4" xfId="26113"/>
    <cellStyle name="Comma 2 2 2 2 2 2 2 2 3 2 2 3 3" xfId="11824"/>
    <cellStyle name="Comma 2 2 2 2 2 2 2 2 3 2 2 3 3 2" xfId="15834"/>
    <cellStyle name="Comma 2 2 2 2 2 2 2 2 3 2 2 3 3 2 2" xfId="47172"/>
    <cellStyle name="Comma 2 2 2 2 2 2 2 2 3 2 2 3 3 2 2 2" xfId="51166"/>
    <cellStyle name="Comma 2 2 2 2 2 2 2 2 3 2 2 3 3 3" xfId="29340"/>
    <cellStyle name="Comma 2 2 2 2 2 2 2 2 3 2 2 3 4" xfId="25309"/>
    <cellStyle name="Comma 2 2 2 2 2 2 2 2 3 2 2 3 4 2" xfId="37648"/>
    <cellStyle name="Comma 2 2 2 2 2 2 2 2 3 2 2 4" xfId="4186"/>
    <cellStyle name="Comma 2 2 2 2 2 2 2 2 3 2 2 4 2" xfId="14982"/>
    <cellStyle name="Comma 2 2 2 2 2 2 2 2 3 2 2 4 2 2" xfId="17779"/>
    <cellStyle name="Comma 2 2 2 2 2 2 2 2 3 2 2 4 2 2 2" xfId="50321"/>
    <cellStyle name="Comma 2 2 2 2 2 2 2 2 3 2 2 4 2 2 2 2" xfId="53106"/>
    <cellStyle name="Comma 2 2 2 2 2 2 2 2 3 2 2 4 2 3" xfId="31281"/>
    <cellStyle name="Comma 2 2 2 2 2 2 2 2 3 2 2 4 3" xfId="28495"/>
    <cellStyle name="Comma 2 2 2 2 2 2 2 2 3 2 2 4 3 2" xfId="39629"/>
    <cellStyle name="Comma 2 2 2 2 2 2 2 2 3 2 2 5" xfId="9377"/>
    <cellStyle name="Comma 2 2 2 2 2 2 2 2 3 2 2 5 2" xfId="36790"/>
    <cellStyle name="Comma 2 2 2 2 2 2 2 2 3 2 2 5 2 2" xfId="44759"/>
    <cellStyle name="Comma 2 2 2 2 2 2 2 2 3 2 2 6" xfId="22873"/>
    <cellStyle name="Comma 2 2 2 2 2 2 2 2 3 2 3" xfId="2099"/>
    <cellStyle name="Comma 2 2 2 2 2 2 2 2 3 2 3 2" xfId="2656"/>
    <cellStyle name="Comma 2 2 2 2 2 2 2 2 3 2 3 2 2" xfId="7333"/>
    <cellStyle name="Comma 2 2 2 2 2 2 2 2 3 2 3 2 2 2" xfId="7875"/>
    <cellStyle name="Comma 2 2 2 2 2 2 2 2 3 2 3 2 2 2 2" xfId="20885"/>
    <cellStyle name="Comma 2 2 2 2 2 2 2 2 3 2 3 2 2 2 2 2" xfId="21427"/>
    <cellStyle name="Comma 2 2 2 2 2 2 2 2 3 2 3 2 2 2 2 2 2" xfId="56211"/>
    <cellStyle name="Comma 2 2 2 2 2 2 2 2 3 2 3 2 2 2 2 2 2 2" xfId="56753"/>
    <cellStyle name="Comma 2 2 2 2 2 2 2 2 3 2 3 2 2 2 2 3" xfId="34930"/>
    <cellStyle name="Comma 2 2 2 2 2 2 2 2 3 2 3 2 2 2 3" xfId="34388"/>
    <cellStyle name="Comma 2 2 2 2 2 2 2 2 3 2 3 2 2 2 3 2" xfId="43302"/>
    <cellStyle name="Comma 2 2 2 2 2 2 2 2 3 2 3 2 2 3" xfId="13100"/>
    <cellStyle name="Comma 2 2 2 2 2 2 2 2 3 2 3 2 2 3 2" xfId="42760"/>
    <cellStyle name="Comma 2 2 2 2 2 2 2 2 3 2 3 2 2 3 2 2" xfId="48446"/>
    <cellStyle name="Comma 2 2 2 2 2 2 2 2 3 2 3 2 2 4" xfId="26584"/>
    <cellStyle name="Comma 2 2 2 2 2 2 2 2 3 2 3 2 3" xfId="12558"/>
    <cellStyle name="Comma 2 2 2 2 2 2 2 2 3 2 3 2 3 2" xfId="16315"/>
    <cellStyle name="Comma 2 2 2 2 2 2 2 2 3 2 3 2 3 2 2" xfId="47904"/>
    <cellStyle name="Comma 2 2 2 2 2 2 2 2 3 2 3 2 3 2 2 2" xfId="51645"/>
    <cellStyle name="Comma 2 2 2 2 2 2 2 2 3 2 3 2 3 3" xfId="29819"/>
    <cellStyle name="Comma 2 2 2 2 2 2 2 2 3 2 3 2 4" xfId="26042"/>
    <cellStyle name="Comma 2 2 2 2 2 2 2 2 3 2 3 2 4 2" xfId="38129"/>
    <cellStyle name="Comma 2 2 2 2 2 2 2 2 3 2 3 3" xfId="4691"/>
    <cellStyle name="Comma 2 2 2 2 2 2 2 2 3 2 3 3 2" xfId="15763"/>
    <cellStyle name="Comma 2 2 2 2 2 2 2 2 3 2 3 3 2 2" xfId="18269"/>
    <cellStyle name="Comma 2 2 2 2 2 2 2 2 3 2 3 3 2 2 2" xfId="51095"/>
    <cellStyle name="Comma 2 2 2 2 2 2 2 2 3 2 3 3 2 2 2 2" xfId="53595"/>
    <cellStyle name="Comma 2 2 2 2 2 2 2 2 3 2 3 3 2 3" xfId="31770"/>
    <cellStyle name="Comma 2 2 2 2 2 2 2 2 3 2 3 3 3" xfId="29269"/>
    <cellStyle name="Comma 2 2 2 2 2 2 2 2 3 2 3 3 3 2" xfId="40130"/>
    <cellStyle name="Comma 2 2 2 2 2 2 2 2 3 2 3 4" xfId="9894"/>
    <cellStyle name="Comma 2 2 2 2 2 2 2 2 3 2 3 4 2" xfId="37577"/>
    <cellStyle name="Comma 2 2 2 2 2 2 2 2 3 2 3 4 2 2" xfId="45262"/>
    <cellStyle name="Comma 2 2 2 2 2 2 2 2 3 2 3 5" xfId="23385"/>
    <cellStyle name="Comma 2 2 2 2 2 2 2 2 3 2 4" xfId="4115"/>
    <cellStyle name="Comma 2 2 2 2 2 2 2 2 3 2 4 2" xfId="5897"/>
    <cellStyle name="Comma 2 2 2 2 2 2 2 2 3 2 4 2 2" xfId="17708"/>
    <cellStyle name="Comma 2 2 2 2 2 2 2 2 3 2 4 2 2 2" xfId="19464"/>
    <cellStyle name="Comma 2 2 2 2 2 2 2 2 3 2 4 2 2 2 2" xfId="53035"/>
    <cellStyle name="Comma 2 2 2 2 2 2 2 2 3 2 4 2 2 2 2 2" xfId="54790"/>
    <cellStyle name="Comma 2 2 2 2 2 2 2 2 3 2 4 2 2 3" xfId="32965"/>
    <cellStyle name="Comma 2 2 2 2 2 2 2 2 3 2 4 2 3" xfId="31210"/>
    <cellStyle name="Comma 2 2 2 2 2 2 2 2 3 2 4 2 3 2" xfId="41331"/>
    <cellStyle name="Comma 2 2 2 2 2 2 2 2 3 2 4 3" xfId="11122"/>
    <cellStyle name="Comma 2 2 2 2 2 2 2 2 3 2 4 3 2" xfId="39558"/>
    <cellStyle name="Comma 2 2 2 2 2 2 2 2 3 2 4 3 2 2" xfId="46480"/>
    <cellStyle name="Comma 2 2 2 2 2 2 2 2 3 2 4 4" xfId="24614"/>
    <cellStyle name="Comma 2 2 2 2 2 2 2 2 3 2 5" xfId="9306"/>
    <cellStyle name="Comma 2 2 2 2 2 2 2 2 3 2 5 2" xfId="14281"/>
    <cellStyle name="Comma 2 2 2 2 2 2 2 2 3 2 5 2 2" xfId="44688"/>
    <cellStyle name="Comma 2 2 2 2 2 2 2 2 3 2 5 2 2 2" xfId="49626"/>
    <cellStyle name="Comma 2 2 2 2 2 2 2 2 3 2 5 3" xfId="27790"/>
    <cellStyle name="Comma 2 2 2 2 2 2 2 2 3 2 6" xfId="22802"/>
    <cellStyle name="Comma 2 2 2 2 2 2 2 2 3 2 6 2" xfId="36093"/>
    <cellStyle name="Comma 2 2 2 2 2 2 2 2 3 3" xfId="893"/>
    <cellStyle name="Comma 2 2 2 2 2 2 2 2 3 3 2" xfId="2577"/>
    <cellStyle name="Comma 2 2 2 2 2 2 2 2 3 3 2 2" xfId="2933"/>
    <cellStyle name="Comma 2 2 2 2 2 2 2 2 3 3 2 2 2" xfId="7798"/>
    <cellStyle name="Comma 2 2 2 2 2 2 2 2 3 3 2 2 2 2" xfId="8148"/>
    <cellStyle name="Comma 2 2 2 2 2 2 2 2 3 3 2 2 2 2 2" xfId="21350"/>
    <cellStyle name="Comma 2 2 2 2 2 2 2 2 3 3 2 2 2 2 2 2" xfId="21700"/>
    <cellStyle name="Comma 2 2 2 2 2 2 2 2 3 3 2 2 2 2 2 2 2" xfId="56676"/>
    <cellStyle name="Comma 2 2 2 2 2 2 2 2 3 3 2 2 2 2 2 2 2 2" xfId="57026"/>
    <cellStyle name="Comma 2 2 2 2 2 2 2 2 3 3 2 2 2 2 2 3" xfId="35203"/>
    <cellStyle name="Comma 2 2 2 2 2 2 2 2 3 3 2 2 2 2 3" xfId="34853"/>
    <cellStyle name="Comma 2 2 2 2 2 2 2 2 3 3 2 2 2 2 3 2" xfId="43575"/>
    <cellStyle name="Comma 2 2 2 2 2 2 2 2 3 3 2 2 2 3" xfId="13373"/>
    <cellStyle name="Comma 2 2 2 2 2 2 2 2 3 3 2 2 2 3 2" xfId="43225"/>
    <cellStyle name="Comma 2 2 2 2 2 2 2 2 3 3 2 2 2 3 2 2" xfId="48719"/>
    <cellStyle name="Comma 2 2 2 2 2 2 2 2 3 3 2 2 2 4" xfId="26858"/>
    <cellStyle name="Comma 2 2 2 2 2 2 2 2 3 3 2 2 3" xfId="13023"/>
    <cellStyle name="Comma 2 2 2 2 2 2 2 2 3 3 2 2 3 2" xfId="16590"/>
    <cellStyle name="Comma 2 2 2 2 2 2 2 2 3 3 2 2 3 2 2" xfId="48369"/>
    <cellStyle name="Comma 2 2 2 2 2 2 2 2 3 3 2 2 3 2 2 2" xfId="51918"/>
    <cellStyle name="Comma 2 2 2 2 2 2 2 2 3 3 2 2 3 3" xfId="30092"/>
    <cellStyle name="Comma 2 2 2 2 2 2 2 2 3 3 2 2 4" xfId="26507"/>
    <cellStyle name="Comma 2 2 2 2 2 2 2 2 3 3 2 2 4 2" xfId="38402"/>
    <cellStyle name="Comma 2 2 2 2 2 2 2 2 3 3 2 3" xfId="4969"/>
    <cellStyle name="Comma 2 2 2 2 2 2 2 2 3 3 2 3 2" xfId="16236"/>
    <cellStyle name="Comma 2 2 2 2 2 2 2 2 3 3 2 3 2 2" xfId="18542"/>
    <cellStyle name="Comma 2 2 2 2 2 2 2 2 3 3 2 3 2 2 2" xfId="51566"/>
    <cellStyle name="Comma 2 2 2 2 2 2 2 2 3 3 2 3 2 2 2 2" xfId="53868"/>
    <cellStyle name="Comma 2 2 2 2 2 2 2 2 3 3 2 3 2 3" xfId="32043"/>
    <cellStyle name="Comma 2 2 2 2 2 2 2 2 3 3 2 3 3" xfId="29740"/>
    <cellStyle name="Comma 2 2 2 2 2 2 2 2 3 3 2 3 3 2" xfId="40406"/>
    <cellStyle name="Comma 2 2 2 2 2 2 2 2 3 3 2 4" xfId="10172"/>
    <cellStyle name="Comma 2 2 2 2 2 2 2 2 3 3 2 4 2" xfId="38050"/>
    <cellStyle name="Comma 2 2 2 2 2 2 2 2 3 3 2 4 2 2" xfId="45535"/>
    <cellStyle name="Comma 2 2 2 2 2 2 2 2 3 3 2 5" xfId="23658"/>
    <cellStyle name="Comma 2 2 2 2 2 2 2 2 3 3 3" xfId="4610"/>
    <cellStyle name="Comma 2 2 2 2 2 2 2 2 3 3 3 2" xfId="6204"/>
    <cellStyle name="Comma 2 2 2 2 2 2 2 2 3 3 3 2 2" xfId="18191"/>
    <cellStyle name="Comma 2 2 2 2 2 2 2 2 3 3 3 2 2 2" xfId="19763"/>
    <cellStyle name="Comma 2 2 2 2 2 2 2 2 3 3 3 2 2 2 2" xfId="53517"/>
    <cellStyle name="Comma 2 2 2 2 2 2 2 2 3 3 3 2 2 2 2 2" xfId="55089"/>
    <cellStyle name="Comma 2 2 2 2 2 2 2 2 3 3 3 2 2 3" xfId="33265"/>
    <cellStyle name="Comma 2 2 2 2 2 2 2 2 3 3 3 2 3" xfId="31692"/>
    <cellStyle name="Comma 2 2 2 2 2 2 2 2 3 3 3 2 3 2" xfId="41634"/>
    <cellStyle name="Comma 2 2 2 2 2 2 2 2 3 3 3 3" xfId="11429"/>
    <cellStyle name="Comma 2 2 2 2 2 2 2 2 3 3 3 3 2" xfId="40049"/>
    <cellStyle name="Comma 2 2 2 2 2 2 2 2 3 3 3 3 2 2" xfId="46780"/>
    <cellStyle name="Comma 2 2 2 2 2 2 2 2 3 3 3 4" xfId="24917"/>
    <cellStyle name="Comma 2 2 2 2 2 2 2 2 3 3 4" xfId="9814"/>
    <cellStyle name="Comma 2 2 2 2 2 2 2 2 3 3 4 2" xfId="14589"/>
    <cellStyle name="Comma 2 2 2 2 2 2 2 2 3 3 4 2 2" xfId="45184"/>
    <cellStyle name="Comma 2 2 2 2 2 2 2 2 3 3 4 2 2 2" xfId="49928"/>
    <cellStyle name="Comma 2 2 2 2 2 2 2 2 3 3 4 3" xfId="28099"/>
    <cellStyle name="Comma 2 2 2 2 2 2 2 2 3 3 5" xfId="23307"/>
    <cellStyle name="Comma 2 2 2 2 2 2 2 2 3 3 5 2" xfId="36397"/>
    <cellStyle name="Comma 2 2 2 2 2 2 2 2 3 4" xfId="1689"/>
    <cellStyle name="Comma 2 2 2 2 2 2 2 2 3 4 2" xfId="5816"/>
    <cellStyle name="Comma 2 2 2 2 2 2 2 2 3 4 2 2" xfId="6944"/>
    <cellStyle name="Comma 2 2 2 2 2 2 2 2 3 4 2 2 2" xfId="19384"/>
    <cellStyle name="Comma 2 2 2 2 2 2 2 2 3 4 2 2 2 2" xfId="20497"/>
    <cellStyle name="Comma 2 2 2 2 2 2 2 2 3 4 2 2 2 2 2" xfId="54710"/>
    <cellStyle name="Comma 2 2 2 2 2 2 2 2 3 4 2 2 2 2 2 2" xfId="55823"/>
    <cellStyle name="Comma 2 2 2 2 2 2 2 2 3 4 2 2 2 3" xfId="33999"/>
    <cellStyle name="Comma 2 2 2 2 2 2 2 2 3 4 2 2 3" xfId="32885"/>
    <cellStyle name="Comma 2 2 2 2 2 2 2 2 3 4 2 2 3 2" xfId="42372"/>
    <cellStyle name="Comma 2 2 2 2 2 2 2 2 3 4 2 3" xfId="12168"/>
    <cellStyle name="Comma 2 2 2 2 2 2 2 2 3 4 2 3 2" xfId="41251"/>
    <cellStyle name="Comma 2 2 2 2 2 2 2 2 3 4 2 3 2 2" xfId="47515"/>
    <cellStyle name="Comma 2 2 2 2 2 2 2 2 3 4 2 4" xfId="25653"/>
    <cellStyle name="Comma 2 2 2 2 2 2 2 2 3 4 3" xfId="11038"/>
    <cellStyle name="Comma 2 2 2 2 2 2 2 2 3 4 3 2" xfId="15361"/>
    <cellStyle name="Comma 2 2 2 2 2 2 2 2 3 4 3 2 2" xfId="46397"/>
    <cellStyle name="Comma 2 2 2 2 2 2 2 2 3 4 3 2 2 2" xfId="50695"/>
    <cellStyle name="Comma 2 2 2 2 2 2 2 2 3 4 3 3" xfId="28869"/>
    <cellStyle name="Comma 2 2 2 2 2 2 2 2 3 4 4" xfId="24532"/>
    <cellStyle name="Comma 2 2 2 2 2 2 2 2 3 4 4 2" xfId="37172"/>
    <cellStyle name="Comma 2 2 2 2 2 2 2 2 3 5" xfId="3694"/>
    <cellStyle name="Comma 2 2 2 2 2 2 2 2 3 5 2" xfId="14199"/>
    <cellStyle name="Comma 2 2 2 2 2 2 2 2 3 5 2 2" xfId="17312"/>
    <cellStyle name="Comma 2 2 2 2 2 2 2 2 3 5 2 2 2" xfId="49544"/>
    <cellStyle name="Comma 2 2 2 2 2 2 2 2 3 5 2 2 2 2" xfId="52639"/>
    <cellStyle name="Comma 2 2 2 2 2 2 2 2 3 5 2 3" xfId="30813"/>
    <cellStyle name="Comma 2 2 2 2 2 2 2 2 3 5 3" xfId="27705"/>
    <cellStyle name="Comma 2 2 2 2 2 2 2 2 3 5 3 2" xfId="39145"/>
    <cellStyle name="Comma 2 2 2 2 2 2 2 2 3 6" xfId="8883"/>
    <cellStyle name="Comma 2 2 2 2 2 2 2 2 3 6 2" xfId="36011"/>
    <cellStyle name="Comma 2 2 2 2 2 2 2 2 3 6 2 2" xfId="44284"/>
    <cellStyle name="Comma 2 2 2 2 2 2 2 2 3 7" xfId="22392"/>
    <cellStyle name="Comma 2 2 2 2 2 2 2 2 4" xfId="799"/>
    <cellStyle name="Comma 2 2 2 2 2 2 2 2 4 2" xfId="1061"/>
    <cellStyle name="Comma 2 2 2 2 2 2 2 2 4 2 2" xfId="2855"/>
    <cellStyle name="Comma 2 2 2 2 2 2 2 2 4 2 2 2" xfId="3097"/>
    <cellStyle name="Comma 2 2 2 2 2 2 2 2 4 2 2 2 2" xfId="8071"/>
    <cellStyle name="Comma 2 2 2 2 2 2 2 2 4 2 2 2 2 2" xfId="8312"/>
    <cellStyle name="Comma 2 2 2 2 2 2 2 2 4 2 2 2 2 2 2" xfId="21623"/>
    <cellStyle name="Comma 2 2 2 2 2 2 2 2 4 2 2 2 2 2 2 2" xfId="21864"/>
    <cellStyle name="Comma 2 2 2 2 2 2 2 2 4 2 2 2 2 2 2 2 2" xfId="56949"/>
    <cellStyle name="Comma 2 2 2 2 2 2 2 2 4 2 2 2 2 2 2 2 2 2" xfId="57190"/>
    <cellStyle name="Comma 2 2 2 2 2 2 2 2 4 2 2 2 2 2 2 3" xfId="35367"/>
    <cellStyle name="Comma 2 2 2 2 2 2 2 2 4 2 2 2 2 2 3" xfId="35126"/>
    <cellStyle name="Comma 2 2 2 2 2 2 2 2 4 2 2 2 2 2 3 2" xfId="43739"/>
    <cellStyle name="Comma 2 2 2 2 2 2 2 2 4 2 2 2 2 3" xfId="13537"/>
    <cellStyle name="Comma 2 2 2 2 2 2 2 2 4 2 2 2 2 3 2" xfId="43498"/>
    <cellStyle name="Comma 2 2 2 2 2 2 2 2 4 2 2 2 2 3 2 2" xfId="48883"/>
    <cellStyle name="Comma 2 2 2 2 2 2 2 2 4 2 2 2 2 4" xfId="27022"/>
    <cellStyle name="Comma 2 2 2 2 2 2 2 2 4 2 2 2 3" xfId="13296"/>
    <cellStyle name="Comma 2 2 2 2 2 2 2 2 4 2 2 2 3 2" xfId="16754"/>
    <cellStyle name="Comma 2 2 2 2 2 2 2 2 4 2 2 2 3 2 2" xfId="48642"/>
    <cellStyle name="Comma 2 2 2 2 2 2 2 2 4 2 2 2 3 2 2 2" xfId="52082"/>
    <cellStyle name="Comma 2 2 2 2 2 2 2 2 4 2 2 2 3 3" xfId="30256"/>
    <cellStyle name="Comma 2 2 2 2 2 2 2 2 4 2 2 2 4" xfId="26780"/>
    <cellStyle name="Comma 2 2 2 2 2 2 2 2 4 2 2 2 4 2" xfId="38566"/>
    <cellStyle name="Comma 2 2 2 2 2 2 2 2 4 2 2 3" xfId="5134"/>
    <cellStyle name="Comma 2 2 2 2 2 2 2 2 4 2 2 3 2" xfId="16513"/>
    <cellStyle name="Comma 2 2 2 2 2 2 2 2 4 2 2 3 2 2" xfId="18707"/>
    <cellStyle name="Comma 2 2 2 2 2 2 2 2 4 2 2 3 2 2 2" xfId="51841"/>
    <cellStyle name="Comma 2 2 2 2 2 2 2 2 4 2 2 3 2 2 2 2" xfId="54033"/>
    <cellStyle name="Comma 2 2 2 2 2 2 2 2 4 2 2 3 2 3" xfId="32208"/>
    <cellStyle name="Comma 2 2 2 2 2 2 2 2 4 2 2 3 3" xfId="30015"/>
    <cellStyle name="Comma 2 2 2 2 2 2 2 2 4 2 2 3 3 2" xfId="40571"/>
    <cellStyle name="Comma 2 2 2 2 2 2 2 2 4 2 2 4" xfId="10337"/>
    <cellStyle name="Comma 2 2 2 2 2 2 2 2 4 2 2 4 2" xfId="38325"/>
    <cellStyle name="Comma 2 2 2 2 2 2 2 2 4 2 2 4 2 2" xfId="45700"/>
    <cellStyle name="Comma 2 2 2 2 2 2 2 2 4 2 2 5" xfId="23823"/>
    <cellStyle name="Comma 2 2 2 2 2 2 2 2 4 2 3" xfId="4891"/>
    <cellStyle name="Comma 2 2 2 2 2 2 2 2 4 2 3 2" xfId="6371"/>
    <cellStyle name="Comma 2 2 2 2 2 2 2 2 4 2 3 2 2" xfId="18465"/>
    <cellStyle name="Comma 2 2 2 2 2 2 2 2 4 2 3 2 2 2" xfId="19928"/>
    <cellStyle name="Comma 2 2 2 2 2 2 2 2 4 2 3 2 2 2 2" xfId="53791"/>
    <cellStyle name="Comma 2 2 2 2 2 2 2 2 4 2 3 2 2 2 2 2" xfId="55254"/>
    <cellStyle name="Comma 2 2 2 2 2 2 2 2 4 2 3 2 2 3" xfId="33430"/>
    <cellStyle name="Comma 2 2 2 2 2 2 2 2 4 2 3 2 3" xfId="31966"/>
    <cellStyle name="Comma 2 2 2 2 2 2 2 2 4 2 3 2 3 2" xfId="41800"/>
    <cellStyle name="Comma 2 2 2 2 2 2 2 2 4 2 3 3" xfId="11597"/>
    <cellStyle name="Comma 2 2 2 2 2 2 2 2 4 2 3 3 2" xfId="40328"/>
    <cellStyle name="Comma 2 2 2 2 2 2 2 2 4 2 3 3 2 2" xfId="46946"/>
    <cellStyle name="Comma 2 2 2 2 2 2 2 2 4 2 3 4" xfId="25083"/>
    <cellStyle name="Comma 2 2 2 2 2 2 2 2 4 2 4" xfId="10094"/>
    <cellStyle name="Comma 2 2 2 2 2 2 2 2 4 2 4 2" xfId="14754"/>
    <cellStyle name="Comma 2 2 2 2 2 2 2 2 4 2 4 2 2" xfId="45458"/>
    <cellStyle name="Comma 2 2 2 2 2 2 2 2 4 2 4 2 2 2" xfId="50093"/>
    <cellStyle name="Comma 2 2 2 2 2 2 2 2 4 2 4 3" xfId="28266"/>
    <cellStyle name="Comma 2 2 2 2 2 2 2 2 4 2 5" xfId="23581"/>
    <cellStyle name="Comma 2 2 2 2 2 2 2 2 4 2 5 2" xfId="36562"/>
    <cellStyle name="Comma 2 2 2 2 2 2 2 2 4 3" xfId="1869"/>
    <cellStyle name="Comma 2 2 2 2 2 2 2 2 4 3 2" xfId="6115"/>
    <cellStyle name="Comma 2 2 2 2 2 2 2 2 4 3 2 2" xfId="7119"/>
    <cellStyle name="Comma 2 2 2 2 2 2 2 2 4 3 2 2 2" xfId="19677"/>
    <cellStyle name="Comma 2 2 2 2 2 2 2 2 4 3 2 2 2 2" xfId="20671"/>
    <cellStyle name="Comma 2 2 2 2 2 2 2 2 4 3 2 2 2 2 2" xfId="55003"/>
    <cellStyle name="Comma 2 2 2 2 2 2 2 2 4 3 2 2 2 2 2 2" xfId="55997"/>
    <cellStyle name="Comma 2 2 2 2 2 2 2 2 4 3 2 2 2 3" xfId="34174"/>
    <cellStyle name="Comma 2 2 2 2 2 2 2 2 4 3 2 2 3" xfId="33178"/>
    <cellStyle name="Comma 2 2 2 2 2 2 2 2 4 3 2 2 3 2" xfId="42546"/>
    <cellStyle name="Comma 2 2 2 2 2 2 2 2 4 3 2 3" xfId="12344"/>
    <cellStyle name="Comma 2 2 2 2 2 2 2 2 4 3 2 3 2" xfId="41548"/>
    <cellStyle name="Comma 2 2 2 2 2 2 2 2 4 3 2 3 2 2" xfId="47690"/>
    <cellStyle name="Comma 2 2 2 2 2 2 2 2 4 3 2 4" xfId="25828"/>
    <cellStyle name="Comma 2 2 2 2 2 2 2 2 4 3 3" xfId="11341"/>
    <cellStyle name="Comma 2 2 2 2 2 2 2 2 4 3 3 2" xfId="15540"/>
    <cellStyle name="Comma 2 2 2 2 2 2 2 2 4 3 3 2 2" xfId="46694"/>
    <cellStyle name="Comma 2 2 2 2 2 2 2 2 4 3 3 2 2 2" xfId="50872"/>
    <cellStyle name="Comma 2 2 2 2 2 2 2 2 4 3 3 3" xfId="29046"/>
    <cellStyle name="Comma 2 2 2 2 2 2 2 2 4 3 4" xfId="24831"/>
    <cellStyle name="Comma 2 2 2 2 2 2 2 2 4 3 4 2" xfId="37350"/>
    <cellStyle name="Comma 2 2 2 2 2 2 2 2 4 4" xfId="3883"/>
    <cellStyle name="Comma 2 2 2 2 2 2 2 2 4 4 2" xfId="14499"/>
    <cellStyle name="Comma 2 2 2 2 2 2 2 2 4 4 2 2" xfId="17494"/>
    <cellStyle name="Comma 2 2 2 2 2 2 2 2 4 4 2 2 2" xfId="49841"/>
    <cellStyle name="Comma 2 2 2 2 2 2 2 2 4 4 2 2 2 2" xfId="52821"/>
    <cellStyle name="Comma 2 2 2 2 2 2 2 2 4 4 2 3" xfId="30996"/>
    <cellStyle name="Comma 2 2 2 2 2 2 2 2 4 4 3" xfId="28010"/>
    <cellStyle name="Comma 2 2 2 2 2 2 2 2 4 4 3 2" xfId="39331"/>
    <cellStyle name="Comma 2 2 2 2 2 2 2 2 4 5" xfId="9077"/>
    <cellStyle name="Comma 2 2 2 2 2 2 2 2 4 5 2" xfId="36309"/>
    <cellStyle name="Comma 2 2 2 2 2 2 2 2 4 5 2 2" xfId="44473"/>
    <cellStyle name="Comma 2 2 2 2 2 2 2 2 4 6" xfId="22585"/>
    <cellStyle name="Comma 2 2 2 2 2 2 2 2 5" xfId="1586"/>
    <cellStyle name="Comma 2 2 2 2 2 2 2 2 5 2" xfId="2324"/>
    <cellStyle name="Comma 2 2 2 2 2 2 2 2 5 2 2" xfId="6858"/>
    <cellStyle name="Comma 2 2 2 2 2 2 2 2 5 2 2 2" xfId="7558"/>
    <cellStyle name="Comma 2 2 2 2 2 2 2 2 5 2 2 2 2" xfId="20411"/>
    <cellStyle name="Comma 2 2 2 2 2 2 2 2 5 2 2 2 2 2" xfId="21110"/>
    <cellStyle name="Comma 2 2 2 2 2 2 2 2 5 2 2 2 2 2 2" xfId="55737"/>
    <cellStyle name="Comma 2 2 2 2 2 2 2 2 5 2 2 2 2 2 2 2" xfId="56436"/>
    <cellStyle name="Comma 2 2 2 2 2 2 2 2 5 2 2 2 2 3" xfId="34613"/>
    <cellStyle name="Comma 2 2 2 2 2 2 2 2 5 2 2 2 3" xfId="33913"/>
    <cellStyle name="Comma 2 2 2 2 2 2 2 2 5 2 2 2 3 2" xfId="42985"/>
    <cellStyle name="Comma 2 2 2 2 2 2 2 2 5 2 2 3" xfId="12783"/>
    <cellStyle name="Comma 2 2 2 2 2 2 2 2 5 2 2 3 2" xfId="42286"/>
    <cellStyle name="Comma 2 2 2 2 2 2 2 2 5 2 2 3 2 2" xfId="48129"/>
    <cellStyle name="Comma 2 2 2 2 2 2 2 2 5 2 2 4" xfId="26267"/>
    <cellStyle name="Comma 2 2 2 2 2 2 2 2 5 2 3" xfId="12082"/>
    <cellStyle name="Comma 2 2 2 2 2 2 2 2 5 2 3 2" xfId="15988"/>
    <cellStyle name="Comma 2 2 2 2 2 2 2 2 5 2 3 2 2" xfId="47429"/>
    <cellStyle name="Comma 2 2 2 2 2 2 2 2 5 2 3 2 2 2" xfId="51320"/>
    <cellStyle name="Comma 2 2 2 2 2 2 2 2 5 2 3 3" xfId="29494"/>
    <cellStyle name="Comma 2 2 2 2 2 2 2 2 5 2 4" xfId="25567"/>
    <cellStyle name="Comma 2 2 2 2 2 2 2 2 5 2 4 2" xfId="37802"/>
    <cellStyle name="Comma 2 2 2 2 2 2 2 2 5 3" xfId="4353"/>
    <cellStyle name="Comma 2 2 2 2 2 2 2 2 5 3 2" xfId="15262"/>
    <cellStyle name="Comma 2 2 2 2 2 2 2 2 5 3 2 2" xfId="17946"/>
    <cellStyle name="Comma 2 2 2 2 2 2 2 2 5 3 2 2 2" xfId="50599"/>
    <cellStyle name="Comma 2 2 2 2 2 2 2 2 5 3 2 2 2 2" xfId="53273"/>
    <cellStyle name="Comma 2 2 2 2 2 2 2 2 5 3 2 3" xfId="31448"/>
    <cellStyle name="Comma 2 2 2 2 2 2 2 2 5 3 3" xfId="28773"/>
    <cellStyle name="Comma 2 2 2 2 2 2 2 2 5 3 3 2" xfId="39796"/>
    <cellStyle name="Comma 2 2 2 2 2 2 2 2 5 4" xfId="9552"/>
    <cellStyle name="Comma 2 2 2 2 2 2 2 2 5 4 2" xfId="37074"/>
    <cellStyle name="Comma 2 2 2 2 2 2 2 2 5 4 2 2" xfId="44934"/>
    <cellStyle name="Comma 2 2 2 2 2 2 2 2 5 5" xfId="23053"/>
    <cellStyle name="Comma 2 2 2 2 2 2 2 2 6" xfId="3587"/>
    <cellStyle name="Comma 2 2 2 2 2 2 2 2 6 2" xfId="5564"/>
    <cellStyle name="Comma 2 2 2 2 2 2 2 2 6 2 2" xfId="17223"/>
    <cellStyle name="Comma 2 2 2 2 2 2 2 2 6 2 2 2" xfId="19137"/>
    <cellStyle name="Comma 2 2 2 2 2 2 2 2 6 2 2 2 2" xfId="52550"/>
    <cellStyle name="Comma 2 2 2 2 2 2 2 2 6 2 2 2 2 2" xfId="54463"/>
    <cellStyle name="Comma 2 2 2 2 2 2 2 2 6 2 2 3" xfId="32638"/>
    <cellStyle name="Comma 2 2 2 2 2 2 2 2 6 2 3" xfId="30724"/>
    <cellStyle name="Comma 2 2 2 2 2 2 2 2 6 2 3 2" xfId="41001"/>
    <cellStyle name="Comma 2 2 2 2 2 2 2 2 6 3" xfId="10774"/>
    <cellStyle name="Comma 2 2 2 2 2 2 2 2 6 3 2" xfId="39044"/>
    <cellStyle name="Comma 2 2 2 2 2 2 2 2 6 3 2 2" xfId="46136"/>
    <cellStyle name="Comma 2 2 2 2 2 2 2 2 6 4" xfId="24262"/>
    <cellStyle name="Comma 2 2 2 2 2 2 2 2 7" xfId="8778"/>
    <cellStyle name="Comma 2 2 2 2 2 2 2 2 7 2" xfId="13949"/>
    <cellStyle name="Comma 2 2 2 2 2 2 2 2 7 2 2" xfId="44191"/>
    <cellStyle name="Comma 2 2 2 2 2 2 2 2 7 2 2 2" xfId="49295"/>
    <cellStyle name="Comma 2 2 2 2 2 2 2 2 7 3" xfId="27438"/>
    <cellStyle name="Comma 2 2 2 2 2 2 2 2 8" xfId="22295"/>
    <cellStyle name="Comma 2 2 2 2 2 2 2 2 8 2" xfId="35761"/>
    <cellStyle name="Comma 2 2 2 2 2 2 2 3" xfId="257"/>
    <cellStyle name="Comma 2 2 2 2 2 2 2 3 2" xfId="564"/>
    <cellStyle name="Comma 2 2 2 2 2 2 2 3 2 2" xfId="603"/>
    <cellStyle name="Comma 2 2 2 2 2 2 2 3 2 2 2" xfId="1362"/>
    <cellStyle name="Comma 2 2 2 2 2 2 2 3 2 2 2 2" xfId="1399"/>
    <cellStyle name="Comma 2 2 2 2 2 2 2 3 2 2 2 2 2" xfId="3380"/>
    <cellStyle name="Comma 2 2 2 2 2 2 2 3 2 2 2 2 2 2" xfId="3417"/>
    <cellStyle name="Comma 2 2 2 2 2 2 2 3 2 2 2 2 2 2 2" xfId="8595"/>
    <cellStyle name="Comma 2 2 2 2 2 2 2 3 2 2 2 2 2 2 2 2" xfId="8632"/>
    <cellStyle name="Comma 2 2 2 2 2 2 2 3 2 2 2 2 2 2 2 2 2" xfId="22147"/>
    <cellStyle name="Comma 2 2 2 2 2 2 2 3 2 2 2 2 2 2 2 2 2 2" xfId="22184"/>
    <cellStyle name="Comma 2 2 2 2 2 2 2 3 2 2 2 2 2 2 2 2 2 2 2" xfId="57473"/>
    <cellStyle name="Comma 2 2 2 2 2 2 2 3 2 2 2 2 2 2 2 2 2 2 2 2" xfId="57510"/>
    <cellStyle name="Comma 2 2 2 2 2 2 2 3 2 2 2 2 2 2 2 2 2 3" xfId="35687"/>
    <cellStyle name="Comma 2 2 2 2 2 2 2 3 2 2 2 2 2 2 2 2 3" xfId="35650"/>
    <cellStyle name="Comma 2 2 2 2 2 2 2 3 2 2 2 2 2 2 2 2 3 2" xfId="44059"/>
    <cellStyle name="Comma 2 2 2 2 2 2 2 3 2 2 2 2 2 2 2 3" xfId="13857"/>
    <cellStyle name="Comma 2 2 2 2 2 2 2 3 2 2 2 2 2 2 2 3 2" xfId="44022"/>
    <cellStyle name="Comma 2 2 2 2 2 2 2 3 2 2 2 2 2 2 2 3 2 2" xfId="49203"/>
    <cellStyle name="Comma 2 2 2 2 2 2 2 3 2 2 2 2 2 2 2 4" xfId="27342"/>
    <cellStyle name="Comma 2 2 2 2 2 2 2 3 2 2 2 2 2 2 3" xfId="13820"/>
    <cellStyle name="Comma 2 2 2 2 2 2 2 3 2 2 2 2 2 2 3 2" xfId="17074"/>
    <cellStyle name="Comma 2 2 2 2 2 2 2 3 2 2 2 2 2 2 3 2 2" xfId="49166"/>
    <cellStyle name="Comma 2 2 2 2 2 2 2 3 2 2 2 2 2 2 3 2 2 2" xfId="52402"/>
    <cellStyle name="Comma 2 2 2 2 2 2 2 3 2 2 2 2 2 2 3 3" xfId="30576"/>
    <cellStyle name="Comma 2 2 2 2 2 2 2 3 2 2 2 2 2 2 4" xfId="27305"/>
    <cellStyle name="Comma 2 2 2 2 2 2 2 3 2 2 2 2 2 2 4 2" xfId="38886"/>
    <cellStyle name="Comma 2 2 2 2 2 2 2 3 2 2 2 2 2 3" xfId="5454"/>
    <cellStyle name="Comma 2 2 2 2 2 2 2 3 2 2 2 2 2 3 2" xfId="17037"/>
    <cellStyle name="Comma 2 2 2 2 2 2 2 3 2 2 2 2 2 3 2 2" xfId="19027"/>
    <cellStyle name="Comma 2 2 2 2 2 2 2 3 2 2 2 2 2 3 2 2 2" xfId="52365"/>
    <cellStyle name="Comma 2 2 2 2 2 2 2 3 2 2 2 2 2 3 2 2 2 2" xfId="54353"/>
    <cellStyle name="Comma 2 2 2 2 2 2 2 3 2 2 2 2 2 3 2 3" xfId="32528"/>
    <cellStyle name="Comma 2 2 2 2 2 2 2 3 2 2 2 2 2 3 3" xfId="30539"/>
    <cellStyle name="Comma 2 2 2 2 2 2 2 3 2 2 2 2 2 3 3 2" xfId="40891"/>
    <cellStyle name="Comma 2 2 2 2 2 2 2 3 2 2 2 2 2 4" xfId="10657"/>
    <cellStyle name="Comma 2 2 2 2 2 2 2 3 2 2 2 2 2 4 2" xfId="38849"/>
    <cellStyle name="Comma 2 2 2 2 2 2 2 3 2 2 2 2 2 4 2 2" xfId="46020"/>
    <cellStyle name="Comma 2 2 2 2 2 2 2 3 2 2 2 2 2 5" xfId="24143"/>
    <cellStyle name="Comma 2 2 2 2 2 2 2 3 2 2 2 2 3" xfId="5417"/>
    <cellStyle name="Comma 2 2 2 2 2 2 2 3 2 2 2 2 3 2" xfId="6707"/>
    <cellStyle name="Comma 2 2 2 2 2 2 2 3 2 2 2 2 3 2 2" xfId="18990"/>
    <cellStyle name="Comma 2 2 2 2 2 2 2 3 2 2 2 2 3 2 2 2" xfId="20260"/>
    <cellStyle name="Comma 2 2 2 2 2 2 2 3 2 2 2 2 3 2 2 2 2" xfId="54316"/>
    <cellStyle name="Comma 2 2 2 2 2 2 2 3 2 2 2 2 3 2 2 2 2 2" xfId="55586"/>
    <cellStyle name="Comma 2 2 2 2 2 2 2 3 2 2 2 2 3 2 2 3" xfId="33762"/>
    <cellStyle name="Comma 2 2 2 2 2 2 2 3 2 2 2 2 3 2 3" xfId="32491"/>
    <cellStyle name="Comma 2 2 2 2 2 2 2 3 2 2 2 2 3 2 3 2" xfId="42135"/>
    <cellStyle name="Comma 2 2 2 2 2 2 2 3 2 2 2 2 3 3" xfId="11930"/>
    <cellStyle name="Comma 2 2 2 2 2 2 2 3 2 2 2 2 3 3 2" xfId="40854"/>
    <cellStyle name="Comma 2 2 2 2 2 2 2 3 2 2 2 2 3 3 2 2" xfId="47278"/>
    <cellStyle name="Comma 2 2 2 2 2 2 2 3 2 2 2 2 3 4" xfId="25415"/>
    <cellStyle name="Comma 2 2 2 2 2 2 2 3 2 2 2 2 4" xfId="10620"/>
    <cellStyle name="Comma 2 2 2 2 2 2 2 3 2 2 2 2 4 2" xfId="15088"/>
    <cellStyle name="Comma 2 2 2 2 2 2 2 3 2 2 2 2 4 2 2" xfId="45983"/>
    <cellStyle name="Comma 2 2 2 2 2 2 2 3 2 2 2 2 4 2 2 2" xfId="50427"/>
    <cellStyle name="Comma 2 2 2 2 2 2 2 3 2 2 2 2 4 3" xfId="28601"/>
    <cellStyle name="Comma 2 2 2 2 2 2 2 3 2 2 2 2 5" xfId="24106"/>
    <cellStyle name="Comma 2 2 2 2 2 2 2 3 2 2 2 2 5 2" xfId="36896"/>
    <cellStyle name="Comma 2 2 2 2 2 2 2 3 2 2 2 3" xfId="2206"/>
    <cellStyle name="Comma 2 2 2 2 2 2 2 3 2 2 2 3 2" xfId="6670"/>
    <cellStyle name="Comma 2 2 2 2 2 2 2 3 2 2 2 3 2 2" xfId="7440"/>
    <cellStyle name="Comma 2 2 2 2 2 2 2 3 2 2 2 3 2 2 2" xfId="20223"/>
    <cellStyle name="Comma 2 2 2 2 2 2 2 3 2 2 2 3 2 2 2 2" xfId="20992"/>
    <cellStyle name="Comma 2 2 2 2 2 2 2 3 2 2 2 3 2 2 2 2 2" xfId="55549"/>
    <cellStyle name="Comma 2 2 2 2 2 2 2 3 2 2 2 3 2 2 2 2 2 2" xfId="56318"/>
    <cellStyle name="Comma 2 2 2 2 2 2 2 3 2 2 2 3 2 2 2 3" xfId="34495"/>
    <cellStyle name="Comma 2 2 2 2 2 2 2 3 2 2 2 3 2 2 3" xfId="33725"/>
    <cellStyle name="Comma 2 2 2 2 2 2 2 3 2 2 2 3 2 2 3 2" xfId="42867"/>
    <cellStyle name="Comma 2 2 2 2 2 2 2 3 2 2 2 3 2 3" xfId="12665"/>
    <cellStyle name="Comma 2 2 2 2 2 2 2 3 2 2 2 3 2 3 2" xfId="42098"/>
    <cellStyle name="Comma 2 2 2 2 2 2 2 3 2 2 2 3 2 3 2 2" xfId="48011"/>
    <cellStyle name="Comma 2 2 2 2 2 2 2 3 2 2 2 3 2 4" xfId="26149"/>
    <cellStyle name="Comma 2 2 2 2 2 2 2 3 2 2 2 3 3" xfId="11893"/>
    <cellStyle name="Comma 2 2 2 2 2 2 2 3 2 2 2 3 3 2" xfId="15870"/>
    <cellStyle name="Comma 2 2 2 2 2 2 2 3 2 2 2 3 3 2 2" xfId="47241"/>
    <cellStyle name="Comma 2 2 2 2 2 2 2 3 2 2 2 3 3 2 2 2" xfId="51202"/>
    <cellStyle name="Comma 2 2 2 2 2 2 2 3 2 2 2 3 3 3" xfId="29376"/>
    <cellStyle name="Comma 2 2 2 2 2 2 2 3 2 2 2 3 4" xfId="25378"/>
    <cellStyle name="Comma 2 2 2 2 2 2 2 3 2 2 2 3 4 2" xfId="37684"/>
    <cellStyle name="Comma 2 2 2 2 2 2 2 3 2 2 2 4" xfId="4222"/>
    <cellStyle name="Comma 2 2 2 2 2 2 2 3 2 2 2 4 2" xfId="15051"/>
    <cellStyle name="Comma 2 2 2 2 2 2 2 3 2 2 2 4 2 2" xfId="17815"/>
    <cellStyle name="Comma 2 2 2 2 2 2 2 3 2 2 2 4 2 2 2" xfId="50390"/>
    <cellStyle name="Comma 2 2 2 2 2 2 2 3 2 2 2 4 2 2 2 2" xfId="53142"/>
    <cellStyle name="Comma 2 2 2 2 2 2 2 3 2 2 2 4 2 3" xfId="31317"/>
    <cellStyle name="Comma 2 2 2 2 2 2 2 3 2 2 2 4 3" xfId="28564"/>
    <cellStyle name="Comma 2 2 2 2 2 2 2 3 2 2 2 4 3 2" xfId="39665"/>
    <cellStyle name="Comma 2 2 2 2 2 2 2 3 2 2 2 5" xfId="9413"/>
    <cellStyle name="Comma 2 2 2 2 2 2 2 3 2 2 2 5 2" xfId="36859"/>
    <cellStyle name="Comma 2 2 2 2 2 2 2 3 2 2 2 5 2 2" xfId="44795"/>
    <cellStyle name="Comma 2 2 2 2 2 2 2 3 2 2 2 6" xfId="22909"/>
    <cellStyle name="Comma 2 2 2 2 2 2 2 3 2 2 3" xfId="2169"/>
    <cellStyle name="Comma 2 2 2 2 2 2 2 3 2 2 3 2" xfId="2693"/>
    <cellStyle name="Comma 2 2 2 2 2 2 2 3 2 2 3 2 2" xfId="7403"/>
    <cellStyle name="Comma 2 2 2 2 2 2 2 3 2 2 3 2 2 2" xfId="7912"/>
    <cellStyle name="Comma 2 2 2 2 2 2 2 3 2 2 3 2 2 2 2" xfId="20955"/>
    <cellStyle name="Comma 2 2 2 2 2 2 2 3 2 2 3 2 2 2 2 2" xfId="21464"/>
    <cellStyle name="Comma 2 2 2 2 2 2 2 3 2 2 3 2 2 2 2 2 2" xfId="56281"/>
    <cellStyle name="Comma 2 2 2 2 2 2 2 3 2 2 3 2 2 2 2 2 2 2" xfId="56790"/>
    <cellStyle name="Comma 2 2 2 2 2 2 2 3 2 2 3 2 2 2 2 3" xfId="34967"/>
    <cellStyle name="Comma 2 2 2 2 2 2 2 3 2 2 3 2 2 2 3" xfId="34458"/>
    <cellStyle name="Comma 2 2 2 2 2 2 2 3 2 2 3 2 2 2 3 2" xfId="43339"/>
    <cellStyle name="Comma 2 2 2 2 2 2 2 3 2 2 3 2 2 3" xfId="13137"/>
    <cellStyle name="Comma 2 2 2 2 2 2 2 3 2 2 3 2 2 3 2" xfId="42830"/>
    <cellStyle name="Comma 2 2 2 2 2 2 2 3 2 2 3 2 2 3 2 2" xfId="48483"/>
    <cellStyle name="Comma 2 2 2 2 2 2 2 3 2 2 3 2 2 4" xfId="26621"/>
    <cellStyle name="Comma 2 2 2 2 2 2 2 3 2 2 3 2 3" xfId="12628"/>
    <cellStyle name="Comma 2 2 2 2 2 2 2 3 2 2 3 2 3 2" xfId="16352"/>
    <cellStyle name="Comma 2 2 2 2 2 2 2 3 2 2 3 2 3 2 2" xfId="47974"/>
    <cellStyle name="Comma 2 2 2 2 2 2 2 3 2 2 3 2 3 2 2 2" xfId="51682"/>
    <cellStyle name="Comma 2 2 2 2 2 2 2 3 2 2 3 2 3 3" xfId="29856"/>
    <cellStyle name="Comma 2 2 2 2 2 2 2 3 2 2 3 2 4" xfId="26112"/>
    <cellStyle name="Comma 2 2 2 2 2 2 2 3 2 2 3 2 4 2" xfId="38166"/>
    <cellStyle name="Comma 2 2 2 2 2 2 2 3 2 2 3 3" xfId="4729"/>
    <cellStyle name="Comma 2 2 2 2 2 2 2 3 2 2 3 3 2" xfId="15833"/>
    <cellStyle name="Comma 2 2 2 2 2 2 2 3 2 2 3 3 2 2" xfId="18306"/>
    <cellStyle name="Comma 2 2 2 2 2 2 2 3 2 2 3 3 2 2 2" xfId="51165"/>
    <cellStyle name="Comma 2 2 2 2 2 2 2 3 2 2 3 3 2 2 2 2" xfId="53632"/>
    <cellStyle name="Comma 2 2 2 2 2 2 2 3 2 2 3 3 2 3" xfId="31807"/>
    <cellStyle name="Comma 2 2 2 2 2 2 2 3 2 2 3 3 3" xfId="29339"/>
    <cellStyle name="Comma 2 2 2 2 2 2 2 3 2 2 3 3 3 2" xfId="40167"/>
    <cellStyle name="Comma 2 2 2 2 2 2 2 3 2 2 3 4" xfId="9932"/>
    <cellStyle name="Comma 2 2 2 2 2 2 2 3 2 2 3 4 2" xfId="37647"/>
    <cellStyle name="Comma 2 2 2 2 2 2 2 3 2 2 3 4 2 2" xfId="45299"/>
    <cellStyle name="Comma 2 2 2 2 2 2 2 3 2 2 3 5" xfId="23422"/>
    <cellStyle name="Comma 2 2 2 2 2 2 2 3 2 2 4" xfId="4185"/>
    <cellStyle name="Comma 2 2 2 2 2 2 2 3 2 2 4 2" xfId="5934"/>
    <cellStyle name="Comma 2 2 2 2 2 2 2 3 2 2 4 2 2" xfId="17778"/>
    <cellStyle name="Comma 2 2 2 2 2 2 2 3 2 2 4 2 2 2" xfId="19501"/>
    <cellStyle name="Comma 2 2 2 2 2 2 2 3 2 2 4 2 2 2 2" xfId="53105"/>
    <cellStyle name="Comma 2 2 2 2 2 2 2 3 2 2 4 2 2 2 2 2" xfId="54827"/>
    <cellStyle name="Comma 2 2 2 2 2 2 2 3 2 2 4 2 2 3" xfId="33002"/>
    <cellStyle name="Comma 2 2 2 2 2 2 2 3 2 2 4 2 3" xfId="31280"/>
    <cellStyle name="Comma 2 2 2 2 2 2 2 3 2 2 4 2 3 2" xfId="41368"/>
    <cellStyle name="Comma 2 2 2 2 2 2 2 3 2 2 4 3" xfId="11159"/>
    <cellStyle name="Comma 2 2 2 2 2 2 2 3 2 2 4 3 2" xfId="39628"/>
    <cellStyle name="Comma 2 2 2 2 2 2 2 3 2 2 4 3 2 2" xfId="46517"/>
    <cellStyle name="Comma 2 2 2 2 2 2 2 3 2 2 4 4" xfId="24652"/>
    <cellStyle name="Comma 2 2 2 2 2 2 2 3 2 2 5" xfId="9376"/>
    <cellStyle name="Comma 2 2 2 2 2 2 2 3 2 2 5 2" xfId="14318"/>
    <cellStyle name="Comma 2 2 2 2 2 2 2 3 2 2 5 2 2" xfId="44758"/>
    <cellStyle name="Comma 2 2 2 2 2 2 2 3 2 2 5 2 2 2" xfId="49663"/>
    <cellStyle name="Comma 2 2 2 2 2 2 2 3 2 2 5 3" xfId="27828"/>
    <cellStyle name="Comma 2 2 2 2 2 2 2 3 2 2 6" xfId="22872"/>
    <cellStyle name="Comma 2 2 2 2 2 2 2 3 2 2 6 2" xfId="36130"/>
    <cellStyle name="Comma 2 2 2 2 2 2 2 3 2 3" xfId="931"/>
    <cellStyle name="Comma 2 2 2 2 2 2 2 3 2 3 2" xfId="2655"/>
    <cellStyle name="Comma 2 2 2 2 2 2 2 3 2 3 2 2" xfId="2969"/>
    <cellStyle name="Comma 2 2 2 2 2 2 2 3 2 3 2 2 2" xfId="7874"/>
    <cellStyle name="Comma 2 2 2 2 2 2 2 3 2 3 2 2 2 2" xfId="8184"/>
    <cellStyle name="Comma 2 2 2 2 2 2 2 3 2 3 2 2 2 2 2" xfId="21426"/>
    <cellStyle name="Comma 2 2 2 2 2 2 2 3 2 3 2 2 2 2 2 2" xfId="21736"/>
    <cellStyle name="Comma 2 2 2 2 2 2 2 3 2 3 2 2 2 2 2 2 2" xfId="56752"/>
    <cellStyle name="Comma 2 2 2 2 2 2 2 3 2 3 2 2 2 2 2 2 2 2" xfId="57062"/>
    <cellStyle name="Comma 2 2 2 2 2 2 2 3 2 3 2 2 2 2 2 3" xfId="35239"/>
    <cellStyle name="Comma 2 2 2 2 2 2 2 3 2 3 2 2 2 2 3" xfId="34929"/>
    <cellStyle name="Comma 2 2 2 2 2 2 2 3 2 3 2 2 2 2 3 2" xfId="43611"/>
    <cellStyle name="Comma 2 2 2 2 2 2 2 3 2 3 2 2 2 3" xfId="13409"/>
    <cellStyle name="Comma 2 2 2 2 2 2 2 3 2 3 2 2 2 3 2" xfId="43301"/>
    <cellStyle name="Comma 2 2 2 2 2 2 2 3 2 3 2 2 2 3 2 2" xfId="48755"/>
    <cellStyle name="Comma 2 2 2 2 2 2 2 3 2 3 2 2 2 4" xfId="26894"/>
    <cellStyle name="Comma 2 2 2 2 2 2 2 3 2 3 2 2 3" xfId="13099"/>
    <cellStyle name="Comma 2 2 2 2 2 2 2 3 2 3 2 2 3 2" xfId="16626"/>
    <cellStyle name="Comma 2 2 2 2 2 2 2 3 2 3 2 2 3 2 2" xfId="48445"/>
    <cellStyle name="Comma 2 2 2 2 2 2 2 3 2 3 2 2 3 2 2 2" xfId="51954"/>
    <cellStyle name="Comma 2 2 2 2 2 2 2 3 2 3 2 2 3 3" xfId="30128"/>
    <cellStyle name="Comma 2 2 2 2 2 2 2 3 2 3 2 2 4" xfId="26583"/>
    <cellStyle name="Comma 2 2 2 2 2 2 2 3 2 3 2 2 4 2" xfId="38438"/>
    <cellStyle name="Comma 2 2 2 2 2 2 2 3 2 3 2 3" xfId="5005"/>
    <cellStyle name="Comma 2 2 2 2 2 2 2 3 2 3 2 3 2" xfId="16314"/>
    <cellStyle name="Comma 2 2 2 2 2 2 2 3 2 3 2 3 2 2" xfId="18578"/>
    <cellStyle name="Comma 2 2 2 2 2 2 2 3 2 3 2 3 2 2 2" xfId="51644"/>
    <cellStyle name="Comma 2 2 2 2 2 2 2 3 2 3 2 3 2 2 2 2" xfId="53904"/>
    <cellStyle name="Comma 2 2 2 2 2 2 2 3 2 3 2 3 2 3" xfId="32079"/>
    <cellStyle name="Comma 2 2 2 2 2 2 2 3 2 3 2 3 3" xfId="29818"/>
    <cellStyle name="Comma 2 2 2 2 2 2 2 3 2 3 2 3 3 2" xfId="40442"/>
    <cellStyle name="Comma 2 2 2 2 2 2 2 3 2 3 2 4" xfId="10208"/>
    <cellStyle name="Comma 2 2 2 2 2 2 2 3 2 3 2 4 2" xfId="38128"/>
    <cellStyle name="Comma 2 2 2 2 2 2 2 3 2 3 2 4 2 2" xfId="45571"/>
    <cellStyle name="Comma 2 2 2 2 2 2 2 3 2 3 2 5" xfId="23694"/>
    <cellStyle name="Comma 2 2 2 2 2 2 2 3 2 3 3" xfId="4690"/>
    <cellStyle name="Comma 2 2 2 2 2 2 2 3 2 3 3 2" xfId="6242"/>
    <cellStyle name="Comma 2 2 2 2 2 2 2 3 2 3 3 2 2" xfId="18268"/>
    <cellStyle name="Comma 2 2 2 2 2 2 2 3 2 3 3 2 2 2" xfId="19799"/>
    <cellStyle name="Comma 2 2 2 2 2 2 2 3 2 3 3 2 2 2 2" xfId="53594"/>
    <cellStyle name="Comma 2 2 2 2 2 2 2 3 2 3 3 2 2 2 2 2" xfId="55125"/>
    <cellStyle name="Comma 2 2 2 2 2 2 2 3 2 3 3 2 2 3" xfId="33301"/>
    <cellStyle name="Comma 2 2 2 2 2 2 2 3 2 3 3 2 3" xfId="31769"/>
    <cellStyle name="Comma 2 2 2 2 2 2 2 3 2 3 3 2 3 2" xfId="41671"/>
    <cellStyle name="Comma 2 2 2 2 2 2 2 3 2 3 3 3" xfId="11467"/>
    <cellStyle name="Comma 2 2 2 2 2 2 2 3 2 3 3 3 2" xfId="40129"/>
    <cellStyle name="Comma 2 2 2 2 2 2 2 3 2 3 3 3 2 2" xfId="46816"/>
    <cellStyle name="Comma 2 2 2 2 2 2 2 3 2 3 3 4" xfId="24953"/>
    <cellStyle name="Comma 2 2 2 2 2 2 2 3 2 3 4" xfId="9893"/>
    <cellStyle name="Comma 2 2 2 2 2 2 2 3 2 3 4 2" xfId="14625"/>
    <cellStyle name="Comma 2 2 2 2 2 2 2 3 2 3 4 2 2" xfId="45261"/>
    <cellStyle name="Comma 2 2 2 2 2 2 2 3 2 3 4 2 2 2" xfId="49964"/>
    <cellStyle name="Comma 2 2 2 2 2 2 2 3 2 3 4 3" xfId="28136"/>
    <cellStyle name="Comma 2 2 2 2 2 2 2 3 2 3 5" xfId="23384"/>
    <cellStyle name="Comma 2 2 2 2 2 2 2 3 2 3 5 2" xfId="36433"/>
    <cellStyle name="Comma 2 2 2 2 2 2 2 3 2 4" xfId="1727"/>
    <cellStyle name="Comma 2 2 2 2 2 2 2 3 2 4 2" xfId="5896"/>
    <cellStyle name="Comma 2 2 2 2 2 2 2 3 2 4 2 2" xfId="6980"/>
    <cellStyle name="Comma 2 2 2 2 2 2 2 3 2 4 2 2 2" xfId="19463"/>
    <cellStyle name="Comma 2 2 2 2 2 2 2 3 2 4 2 2 2 2" xfId="20533"/>
    <cellStyle name="Comma 2 2 2 2 2 2 2 3 2 4 2 2 2 2 2" xfId="54789"/>
    <cellStyle name="Comma 2 2 2 2 2 2 2 3 2 4 2 2 2 2 2 2" xfId="55859"/>
    <cellStyle name="Comma 2 2 2 2 2 2 2 3 2 4 2 2 2 3" xfId="34035"/>
    <cellStyle name="Comma 2 2 2 2 2 2 2 3 2 4 2 2 3" xfId="32964"/>
    <cellStyle name="Comma 2 2 2 2 2 2 2 3 2 4 2 2 3 2" xfId="42408"/>
    <cellStyle name="Comma 2 2 2 2 2 2 2 3 2 4 2 3" xfId="12204"/>
    <cellStyle name="Comma 2 2 2 2 2 2 2 3 2 4 2 3 2" xfId="41330"/>
    <cellStyle name="Comma 2 2 2 2 2 2 2 3 2 4 2 3 2 2" xfId="47551"/>
    <cellStyle name="Comma 2 2 2 2 2 2 2 3 2 4 2 4" xfId="25689"/>
    <cellStyle name="Comma 2 2 2 2 2 2 2 3 2 4 3" xfId="11121"/>
    <cellStyle name="Comma 2 2 2 2 2 2 2 3 2 4 3 2" xfId="15399"/>
    <cellStyle name="Comma 2 2 2 2 2 2 2 3 2 4 3 2 2" xfId="46479"/>
    <cellStyle name="Comma 2 2 2 2 2 2 2 3 2 4 3 2 2 2" xfId="50732"/>
    <cellStyle name="Comma 2 2 2 2 2 2 2 3 2 4 3 3" xfId="28906"/>
    <cellStyle name="Comma 2 2 2 2 2 2 2 3 2 4 4" xfId="24613"/>
    <cellStyle name="Comma 2 2 2 2 2 2 2 3 2 4 4 2" xfId="37209"/>
    <cellStyle name="Comma 2 2 2 2 2 2 2 3 2 5" xfId="3732"/>
    <cellStyle name="Comma 2 2 2 2 2 2 2 3 2 5 2" xfId="14280"/>
    <cellStyle name="Comma 2 2 2 2 2 2 2 3 2 5 2 2" xfId="17348"/>
    <cellStyle name="Comma 2 2 2 2 2 2 2 3 2 5 2 2 2" xfId="49625"/>
    <cellStyle name="Comma 2 2 2 2 2 2 2 3 2 5 2 2 2 2" xfId="52675"/>
    <cellStyle name="Comma 2 2 2 2 2 2 2 3 2 5 2 3" xfId="30849"/>
    <cellStyle name="Comma 2 2 2 2 2 2 2 3 2 5 3" xfId="27789"/>
    <cellStyle name="Comma 2 2 2 2 2 2 2 3 2 5 3 2" xfId="39183"/>
    <cellStyle name="Comma 2 2 2 2 2 2 2 3 2 6" xfId="8922"/>
    <cellStyle name="Comma 2 2 2 2 2 2 2 3 2 6 2" xfId="36092"/>
    <cellStyle name="Comma 2 2 2 2 2 2 2 3 2 6 2 2" xfId="44321"/>
    <cellStyle name="Comma 2 2 2 2 2 2 2 3 2 7" xfId="22429"/>
    <cellStyle name="Comma 2 2 2 2 2 2 2 3 3" xfId="892"/>
    <cellStyle name="Comma 2 2 2 2 2 2 2 3 3 2" xfId="1123"/>
    <cellStyle name="Comma 2 2 2 2 2 2 2 3 3 2 2" xfId="2932"/>
    <cellStyle name="Comma 2 2 2 2 2 2 2 3 3 2 2 2" xfId="3148"/>
    <cellStyle name="Comma 2 2 2 2 2 2 2 3 3 2 2 2 2" xfId="8147"/>
    <cellStyle name="Comma 2 2 2 2 2 2 2 3 3 2 2 2 2 2" xfId="8363"/>
    <cellStyle name="Comma 2 2 2 2 2 2 2 3 3 2 2 2 2 2 2" xfId="21699"/>
    <cellStyle name="Comma 2 2 2 2 2 2 2 3 3 2 2 2 2 2 2 2" xfId="21915"/>
    <cellStyle name="Comma 2 2 2 2 2 2 2 3 3 2 2 2 2 2 2 2 2" xfId="57025"/>
    <cellStyle name="Comma 2 2 2 2 2 2 2 3 3 2 2 2 2 2 2 2 2 2" xfId="57241"/>
    <cellStyle name="Comma 2 2 2 2 2 2 2 3 3 2 2 2 2 2 2 3" xfId="35418"/>
    <cellStyle name="Comma 2 2 2 2 2 2 2 3 3 2 2 2 2 2 3" xfId="35202"/>
    <cellStyle name="Comma 2 2 2 2 2 2 2 3 3 2 2 2 2 2 3 2" xfId="43790"/>
    <cellStyle name="Comma 2 2 2 2 2 2 2 3 3 2 2 2 2 3" xfId="13588"/>
    <cellStyle name="Comma 2 2 2 2 2 2 2 3 3 2 2 2 2 3 2" xfId="43574"/>
    <cellStyle name="Comma 2 2 2 2 2 2 2 3 3 2 2 2 2 3 2 2" xfId="48934"/>
    <cellStyle name="Comma 2 2 2 2 2 2 2 3 3 2 2 2 2 4" xfId="27073"/>
    <cellStyle name="Comma 2 2 2 2 2 2 2 3 3 2 2 2 3" xfId="13372"/>
    <cellStyle name="Comma 2 2 2 2 2 2 2 3 3 2 2 2 3 2" xfId="16805"/>
    <cellStyle name="Comma 2 2 2 2 2 2 2 3 3 2 2 2 3 2 2" xfId="48718"/>
    <cellStyle name="Comma 2 2 2 2 2 2 2 3 3 2 2 2 3 2 2 2" xfId="52133"/>
    <cellStyle name="Comma 2 2 2 2 2 2 2 3 3 2 2 2 3 3" xfId="30307"/>
    <cellStyle name="Comma 2 2 2 2 2 2 2 3 3 2 2 2 4" xfId="26857"/>
    <cellStyle name="Comma 2 2 2 2 2 2 2 3 3 2 2 2 4 2" xfId="38617"/>
    <cellStyle name="Comma 2 2 2 2 2 2 2 3 3 2 2 3" xfId="5185"/>
    <cellStyle name="Comma 2 2 2 2 2 2 2 3 3 2 2 3 2" xfId="16589"/>
    <cellStyle name="Comma 2 2 2 2 2 2 2 3 3 2 2 3 2 2" xfId="18758"/>
    <cellStyle name="Comma 2 2 2 2 2 2 2 3 3 2 2 3 2 2 2" xfId="51917"/>
    <cellStyle name="Comma 2 2 2 2 2 2 2 3 3 2 2 3 2 2 2 2" xfId="54084"/>
    <cellStyle name="Comma 2 2 2 2 2 2 2 3 3 2 2 3 2 3" xfId="32259"/>
    <cellStyle name="Comma 2 2 2 2 2 2 2 3 3 2 2 3 3" xfId="30091"/>
    <cellStyle name="Comma 2 2 2 2 2 2 2 3 3 2 2 3 3 2" xfId="40622"/>
    <cellStyle name="Comma 2 2 2 2 2 2 2 3 3 2 2 4" xfId="10388"/>
    <cellStyle name="Comma 2 2 2 2 2 2 2 3 3 2 2 4 2" xfId="38401"/>
    <cellStyle name="Comma 2 2 2 2 2 2 2 3 3 2 2 4 2 2" xfId="45751"/>
    <cellStyle name="Comma 2 2 2 2 2 2 2 3 3 2 2 5" xfId="23874"/>
    <cellStyle name="Comma 2 2 2 2 2 2 2 3 3 2 3" xfId="4968"/>
    <cellStyle name="Comma 2 2 2 2 2 2 2 3 3 2 3 2" xfId="6431"/>
    <cellStyle name="Comma 2 2 2 2 2 2 2 3 3 2 3 2 2" xfId="18541"/>
    <cellStyle name="Comma 2 2 2 2 2 2 2 3 3 2 3 2 2 2" xfId="19986"/>
    <cellStyle name="Comma 2 2 2 2 2 2 2 3 3 2 3 2 2 2 2" xfId="53867"/>
    <cellStyle name="Comma 2 2 2 2 2 2 2 3 3 2 3 2 2 2 2 2" xfId="55312"/>
    <cellStyle name="Comma 2 2 2 2 2 2 2 3 3 2 3 2 2 3" xfId="33488"/>
    <cellStyle name="Comma 2 2 2 2 2 2 2 3 3 2 3 2 3" xfId="32042"/>
    <cellStyle name="Comma 2 2 2 2 2 2 2 3 3 2 3 2 3 2" xfId="41859"/>
    <cellStyle name="Comma 2 2 2 2 2 2 2 3 3 2 3 3" xfId="11655"/>
    <cellStyle name="Comma 2 2 2 2 2 2 2 3 3 2 3 3 2" xfId="40405"/>
    <cellStyle name="Comma 2 2 2 2 2 2 2 3 3 2 3 3 2 2" xfId="47004"/>
    <cellStyle name="Comma 2 2 2 2 2 2 2 3 3 2 3 4" xfId="25141"/>
    <cellStyle name="Comma 2 2 2 2 2 2 2 3 3 2 4" xfId="10171"/>
    <cellStyle name="Comma 2 2 2 2 2 2 2 3 3 2 4 2" xfId="14814"/>
    <cellStyle name="Comma 2 2 2 2 2 2 2 3 3 2 4 2 2" xfId="45534"/>
    <cellStyle name="Comma 2 2 2 2 2 2 2 3 3 2 4 2 2 2" xfId="50153"/>
    <cellStyle name="Comma 2 2 2 2 2 2 2 3 3 2 4 3" xfId="28326"/>
    <cellStyle name="Comma 2 2 2 2 2 2 2 3 3 2 5" xfId="23657"/>
    <cellStyle name="Comma 2 2 2 2 2 2 2 3 3 2 5 2" xfId="36622"/>
    <cellStyle name="Comma 2 2 2 2 2 2 2 3 3 3" xfId="1931"/>
    <cellStyle name="Comma 2 2 2 2 2 2 2 3 3 3 2" xfId="6203"/>
    <cellStyle name="Comma 2 2 2 2 2 2 2 3 3 3 2 2" xfId="7170"/>
    <cellStyle name="Comma 2 2 2 2 2 2 2 3 3 3 2 2 2" xfId="19762"/>
    <cellStyle name="Comma 2 2 2 2 2 2 2 3 3 3 2 2 2 2" xfId="20722"/>
    <cellStyle name="Comma 2 2 2 2 2 2 2 3 3 3 2 2 2 2 2" xfId="55088"/>
    <cellStyle name="Comma 2 2 2 2 2 2 2 3 3 3 2 2 2 2 2 2" xfId="56048"/>
    <cellStyle name="Comma 2 2 2 2 2 2 2 3 3 3 2 2 2 3" xfId="34225"/>
    <cellStyle name="Comma 2 2 2 2 2 2 2 3 3 3 2 2 3" xfId="33264"/>
    <cellStyle name="Comma 2 2 2 2 2 2 2 3 3 3 2 2 3 2" xfId="42597"/>
    <cellStyle name="Comma 2 2 2 2 2 2 2 3 3 3 2 3" xfId="12395"/>
    <cellStyle name="Comma 2 2 2 2 2 2 2 3 3 3 2 3 2" xfId="41633"/>
    <cellStyle name="Comma 2 2 2 2 2 2 2 3 3 3 2 3 2 2" xfId="47741"/>
    <cellStyle name="Comma 2 2 2 2 2 2 2 3 3 3 2 4" xfId="25879"/>
    <cellStyle name="Comma 2 2 2 2 2 2 2 3 3 3 3" xfId="11428"/>
    <cellStyle name="Comma 2 2 2 2 2 2 2 3 3 3 3 2" xfId="15596"/>
    <cellStyle name="Comma 2 2 2 2 2 2 2 3 3 3 3 2 2" xfId="46779"/>
    <cellStyle name="Comma 2 2 2 2 2 2 2 3 3 3 3 2 2 2" xfId="50928"/>
    <cellStyle name="Comma 2 2 2 2 2 2 2 3 3 3 3 3" xfId="29102"/>
    <cellStyle name="Comma 2 2 2 2 2 2 2 3 3 3 4" xfId="24916"/>
    <cellStyle name="Comma 2 2 2 2 2 2 2 3 3 3 4 2" xfId="37409"/>
    <cellStyle name="Comma 2 2 2 2 2 2 2 3 3 4" xfId="3945"/>
    <cellStyle name="Comma 2 2 2 2 2 2 2 3 3 4 2" xfId="14588"/>
    <cellStyle name="Comma 2 2 2 2 2 2 2 3 3 4 2 2" xfId="17545"/>
    <cellStyle name="Comma 2 2 2 2 2 2 2 3 3 4 2 2 2" xfId="49927"/>
    <cellStyle name="Comma 2 2 2 2 2 2 2 3 3 4 2 2 2 2" xfId="52872"/>
    <cellStyle name="Comma 2 2 2 2 2 2 2 3 3 4 2 3" xfId="31047"/>
    <cellStyle name="Comma 2 2 2 2 2 2 2 3 3 4 3" xfId="28098"/>
    <cellStyle name="Comma 2 2 2 2 2 2 2 3 3 4 3 2" xfId="39389"/>
    <cellStyle name="Comma 2 2 2 2 2 2 2 3 3 5" xfId="9137"/>
    <cellStyle name="Comma 2 2 2 2 2 2 2 3 3 5 2" xfId="36396"/>
    <cellStyle name="Comma 2 2 2 2 2 2 2 3 3 5 2 2" xfId="44525"/>
    <cellStyle name="Comma 2 2 2 2 2 2 2 3 3 6" xfId="22639"/>
    <cellStyle name="Comma 2 2 2 2 2 2 2 3 4" xfId="1688"/>
    <cellStyle name="Comma 2 2 2 2 2 2 2 3 4 2" xfId="2379"/>
    <cellStyle name="Comma 2 2 2 2 2 2 2 3 4 2 2" xfId="6943"/>
    <cellStyle name="Comma 2 2 2 2 2 2 2 3 4 2 2 2" xfId="7612"/>
    <cellStyle name="Comma 2 2 2 2 2 2 2 3 4 2 2 2 2" xfId="20496"/>
    <cellStyle name="Comma 2 2 2 2 2 2 2 3 4 2 2 2 2 2" xfId="21164"/>
    <cellStyle name="Comma 2 2 2 2 2 2 2 3 4 2 2 2 2 2 2" xfId="55822"/>
    <cellStyle name="Comma 2 2 2 2 2 2 2 3 4 2 2 2 2 2 2 2" xfId="56490"/>
    <cellStyle name="Comma 2 2 2 2 2 2 2 3 4 2 2 2 2 3" xfId="34667"/>
    <cellStyle name="Comma 2 2 2 2 2 2 2 3 4 2 2 2 3" xfId="33998"/>
    <cellStyle name="Comma 2 2 2 2 2 2 2 3 4 2 2 2 3 2" xfId="43039"/>
    <cellStyle name="Comma 2 2 2 2 2 2 2 3 4 2 2 3" xfId="12837"/>
    <cellStyle name="Comma 2 2 2 2 2 2 2 3 4 2 2 3 2" xfId="42371"/>
    <cellStyle name="Comma 2 2 2 2 2 2 2 3 4 2 2 3 2 2" xfId="48183"/>
    <cellStyle name="Comma 2 2 2 2 2 2 2 3 4 2 2 4" xfId="26321"/>
    <cellStyle name="Comma 2 2 2 2 2 2 2 3 4 2 3" xfId="12167"/>
    <cellStyle name="Comma 2 2 2 2 2 2 2 3 4 2 3 2" xfId="16042"/>
    <cellStyle name="Comma 2 2 2 2 2 2 2 3 4 2 3 2 2" xfId="47514"/>
    <cellStyle name="Comma 2 2 2 2 2 2 2 3 4 2 3 2 2 2" xfId="51374"/>
    <cellStyle name="Comma 2 2 2 2 2 2 2 3 4 2 3 3" xfId="29548"/>
    <cellStyle name="Comma 2 2 2 2 2 2 2 3 4 2 4" xfId="25652"/>
    <cellStyle name="Comma 2 2 2 2 2 2 2 3 4 2 4 2" xfId="37857"/>
    <cellStyle name="Comma 2 2 2 2 2 2 2 3 4 3" xfId="4413"/>
    <cellStyle name="Comma 2 2 2 2 2 2 2 3 4 3 2" xfId="15360"/>
    <cellStyle name="Comma 2 2 2 2 2 2 2 3 4 3 2 2" xfId="18004"/>
    <cellStyle name="Comma 2 2 2 2 2 2 2 3 4 3 2 2 2" xfId="50694"/>
    <cellStyle name="Comma 2 2 2 2 2 2 2 3 4 3 2 2 2 2" xfId="53330"/>
    <cellStyle name="Comma 2 2 2 2 2 2 2 3 4 3 2 3" xfId="31505"/>
    <cellStyle name="Comma 2 2 2 2 2 2 2 3 4 3 3" xfId="28868"/>
    <cellStyle name="Comma 2 2 2 2 2 2 2 3 4 3 3 2" xfId="39855"/>
    <cellStyle name="Comma 2 2 2 2 2 2 2 3 4 4" xfId="9616"/>
    <cellStyle name="Comma 2 2 2 2 2 2 2 3 4 4 2" xfId="37171"/>
    <cellStyle name="Comma 2 2 2 2 2 2 2 3 4 4 2 2" xfId="44996"/>
    <cellStyle name="Comma 2 2 2 2 2 2 2 3 4 5" xfId="23117"/>
    <cellStyle name="Comma 2 2 2 2 2 2 2 3 5" xfId="3693"/>
    <cellStyle name="Comma 2 2 2 2 2 2 2 3 5 2" xfId="5620"/>
    <cellStyle name="Comma 2 2 2 2 2 2 2 3 5 2 2" xfId="17311"/>
    <cellStyle name="Comma 2 2 2 2 2 2 2 3 5 2 2 2" xfId="19192"/>
    <cellStyle name="Comma 2 2 2 2 2 2 2 3 5 2 2 2 2" xfId="52638"/>
    <cellStyle name="Comma 2 2 2 2 2 2 2 3 5 2 2 2 2 2" xfId="54518"/>
    <cellStyle name="Comma 2 2 2 2 2 2 2 3 5 2 2 3" xfId="32693"/>
    <cellStyle name="Comma 2 2 2 2 2 2 2 3 5 2 3" xfId="30812"/>
    <cellStyle name="Comma 2 2 2 2 2 2 2 3 5 2 3 2" xfId="41056"/>
    <cellStyle name="Comma 2 2 2 2 2 2 2 3 5 3" xfId="10836"/>
    <cellStyle name="Comma 2 2 2 2 2 2 2 3 5 3 2" xfId="39144"/>
    <cellStyle name="Comma 2 2 2 2 2 2 2 3 5 3 2 2" xfId="46198"/>
    <cellStyle name="Comma 2 2 2 2 2 2 2 3 5 4" xfId="24328"/>
    <cellStyle name="Comma 2 2 2 2 2 2 2 3 6" xfId="8882"/>
    <cellStyle name="Comma 2 2 2 2 2 2 2 3 6 2" xfId="14004"/>
    <cellStyle name="Comma 2 2 2 2 2 2 2 3 6 2 2" xfId="44283"/>
    <cellStyle name="Comma 2 2 2 2 2 2 2 3 6 2 2 2" xfId="49350"/>
    <cellStyle name="Comma 2 2 2 2 2 2 2 3 6 3" xfId="27498"/>
    <cellStyle name="Comma 2 2 2 2 2 2 2 3 7" xfId="22391"/>
    <cellStyle name="Comma 2 2 2 2 2 2 2 3 7 2" xfId="35816"/>
    <cellStyle name="Comma 2 2 2 2 2 2 2 4" xfId="398"/>
    <cellStyle name="Comma 2 2 2 2 2 2 2 4 2" xfId="1060"/>
    <cellStyle name="Comma 2 2 2 2 2 2 2 4 2 2" xfId="1229"/>
    <cellStyle name="Comma 2 2 2 2 2 2 2 4 2 2 2" xfId="3096"/>
    <cellStyle name="Comma 2 2 2 2 2 2 2 4 2 2 2 2" xfId="3247"/>
    <cellStyle name="Comma 2 2 2 2 2 2 2 4 2 2 2 2 2" xfId="8311"/>
    <cellStyle name="Comma 2 2 2 2 2 2 2 4 2 2 2 2 2 2" xfId="8462"/>
    <cellStyle name="Comma 2 2 2 2 2 2 2 4 2 2 2 2 2 2 2" xfId="21863"/>
    <cellStyle name="Comma 2 2 2 2 2 2 2 4 2 2 2 2 2 2 2 2" xfId="22014"/>
    <cellStyle name="Comma 2 2 2 2 2 2 2 4 2 2 2 2 2 2 2 2 2" xfId="57189"/>
    <cellStyle name="Comma 2 2 2 2 2 2 2 4 2 2 2 2 2 2 2 2 2 2" xfId="57340"/>
    <cellStyle name="Comma 2 2 2 2 2 2 2 4 2 2 2 2 2 2 2 3" xfId="35517"/>
    <cellStyle name="Comma 2 2 2 2 2 2 2 4 2 2 2 2 2 2 3" xfId="35366"/>
    <cellStyle name="Comma 2 2 2 2 2 2 2 4 2 2 2 2 2 2 3 2" xfId="43889"/>
    <cellStyle name="Comma 2 2 2 2 2 2 2 4 2 2 2 2 2 3" xfId="13687"/>
    <cellStyle name="Comma 2 2 2 2 2 2 2 4 2 2 2 2 2 3 2" xfId="43738"/>
    <cellStyle name="Comma 2 2 2 2 2 2 2 4 2 2 2 2 2 3 2 2" xfId="49033"/>
    <cellStyle name="Comma 2 2 2 2 2 2 2 4 2 2 2 2 2 4" xfId="27172"/>
    <cellStyle name="Comma 2 2 2 2 2 2 2 4 2 2 2 2 3" xfId="13536"/>
    <cellStyle name="Comma 2 2 2 2 2 2 2 4 2 2 2 2 3 2" xfId="16904"/>
    <cellStyle name="Comma 2 2 2 2 2 2 2 4 2 2 2 2 3 2 2" xfId="48882"/>
    <cellStyle name="Comma 2 2 2 2 2 2 2 4 2 2 2 2 3 2 2 2" xfId="52232"/>
    <cellStyle name="Comma 2 2 2 2 2 2 2 4 2 2 2 2 3 3" xfId="30406"/>
    <cellStyle name="Comma 2 2 2 2 2 2 2 4 2 2 2 2 4" xfId="27021"/>
    <cellStyle name="Comma 2 2 2 2 2 2 2 4 2 2 2 2 4 2" xfId="38716"/>
    <cellStyle name="Comma 2 2 2 2 2 2 2 4 2 2 2 3" xfId="5284"/>
    <cellStyle name="Comma 2 2 2 2 2 2 2 4 2 2 2 3 2" xfId="16753"/>
    <cellStyle name="Comma 2 2 2 2 2 2 2 4 2 2 2 3 2 2" xfId="18857"/>
    <cellStyle name="Comma 2 2 2 2 2 2 2 4 2 2 2 3 2 2 2" xfId="52081"/>
    <cellStyle name="Comma 2 2 2 2 2 2 2 4 2 2 2 3 2 2 2 2" xfId="54183"/>
    <cellStyle name="Comma 2 2 2 2 2 2 2 4 2 2 2 3 2 3" xfId="32358"/>
    <cellStyle name="Comma 2 2 2 2 2 2 2 4 2 2 2 3 3" xfId="30255"/>
    <cellStyle name="Comma 2 2 2 2 2 2 2 4 2 2 2 3 3 2" xfId="40721"/>
    <cellStyle name="Comma 2 2 2 2 2 2 2 4 2 2 2 4" xfId="10487"/>
    <cellStyle name="Comma 2 2 2 2 2 2 2 4 2 2 2 4 2" xfId="38565"/>
    <cellStyle name="Comma 2 2 2 2 2 2 2 4 2 2 2 4 2 2" xfId="45850"/>
    <cellStyle name="Comma 2 2 2 2 2 2 2 4 2 2 2 5" xfId="23973"/>
    <cellStyle name="Comma 2 2 2 2 2 2 2 4 2 2 3" xfId="5133"/>
    <cellStyle name="Comma 2 2 2 2 2 2 2 4 2 2 3 2" xfId="6537"/>
    <cellStyle name="Comma 2 2 2 2 2 2 2 4 2 2 3 2 2" xfId="18706"/>
    <cellStyle name="Comma 2 2 2 2 2 2 2 4 2 2 3 2 2 2" xfId="20090"/>
    <cellStyle name="Comma 2 2 2 2 2 2 2 4 2 2 3 2 2 2 2" xfId="54032"/>
    <cellStyle name="Comma 2 2 2 2 2 2 2 4 2 2 3 2 2 2 2 2" xfId="55416"/>
    <cellStyle name="Comma 2 2 2 2 2 2 2 4 2 2 3 2 2 3" xfId="33592"/>
    <cellStyle name="Comma 2 2 2 2 2 2 2 4 2 2 3 2 3" xfId="32207"/>
    <cellStyle name="Comma 2 2 2 2 2 2 2 4 2 2 3 2 3 2" xfId="41965"/>
    <cellStyle name="Comma 2 2 2 2 2 2 2 4 2 2 3 3" xfId="11760"/>
    <cellStyle name="Comma 2 2 2 2 2 2 2 4 2 2 3 3 2" xfId="40570"/>
    <cellStyle name="Comma 2 2 2 2 2 2 2 4 2 2 3 3 2 2" xfId="47108"/>
    <cellStyle name="Comma 2 2 2 2 2 2 2 4 2 2 3 4" xfId="25245"/>
    <cellStyle name="Comma 2 2 2 2 2 2 2 4 2 2 4" xfId="10336"/>
    <cellStyle name="Comma 2 2 2 2 2 2 2 4 2 2 4 2" xfId="14918"/>
    <cellStyle name="Comma 2 2 2 2 2 2 2 4 2 2 4 2 2" xfId="45699"/>
    <cellStyle name="Comma 2 2 2 2 2 2 2 4 2 2 4 2 2 2" xfId="50257"/>
    <cellStyle name="Comma 2 2 2 2 2 2 2 4 2 2 4 3" xfId="28431"/>
    <cellStyle name="Comma 2 2 2 2 2 2 2 4 2 2 5" xfId="23822"/>
    <cellStyle name="Comma 2 2 2 2 2 2 2 4 2 2 5 2" xfId="36726"/>
    <cellStyle name="Comma 2 2 2 2 2 2 2 4 2 3" xfId="2035"/>
    <cellStyle name="Comma 2 2 2 2 2 2 2 4 2 3 2" xfId="6370"/>
    <cellStyle name="Comma 2 2 2 2 2 2 2 4 2 3 2 2" xfId="7269"/>
    <cellStyle name="Comma 2 2 2 2 2 2 2 4 2 3 2 2 2" xfId="19927"/>
    <cellStyle name="Comma 2 2 2 2 2 2 2 4 2 3 2 2 2 2" xfId="20821"/>
    <cellStyle name="Comma 2 2 2 2 2 2 2 4 2 3 2 2 2 2 2" xfId="55253"/>
    <cellStyle name="Comma 2 2 2 2 2 2 2 4 2 3 2 2 2 2 2 2" xfId="56147"/>
    <cellStyle name="Comma 2 2 2 2 2 2 2 4 2 3 2 2 2 3" xfId="34324"/>
    <cellStyle name="Comma 2 2 2 2 2 2 2 4 2 3 2 2 3" xfId="33429"/>
    <cellStyle name="Comma 2 2 2 2 2 2 2 4 2 3 2 2 3 2" xfId="42696"/>
    <cellStyle name="Comma 2 2 2 2 2 2 2 4 2 3 2 3" xfId="12494"/>
    <cellStyle name="Comma 2 2 2 2 2 2 2 4 2 3 2 3 2" xfId="41799"/>
    <cellStyle name="Comma 2 2 2 2 2 2 2 4 2 3 2 3 2 2" xfId="47840"/>
    <cellStyle name="Comma 2 2 2 2 2 2 2 4 2 3 2 4" xfId="25978"/>
    <cellStyle name="Comma 2 2 2 2 2 2 2 4 2 3 3" xfId="11596"/>
    <cellStyle name="Comma 2 2 2 2 2 2 2 4 2 3 3 2" xfId="15699"/>
    <cellStyle name="Comma 2 2 2 2 2 2 2 4 2 3 3 2 2" xfId="46945"/>
    <cellStyle name="Comma 2 2 2 2 2 2 2 4 2 3 3 2 2 2" xfId="51031"/>
    <cellStyle name="Comma 2 2 2 2 2 2 2 4 2 3 3 3" xfId="29205"/>
    <cellStyle name="Comma 2 2 2 2 2 2 2 4 2 3 4" xfId="25082"/>
    <cellStyle name="Comma 2 2 2 2 2 2 2 4 2 3 4 2" xfId="37513"/>
    <cellStyle name="Comma 2 2 2 2 2 2 2 4 2 4" xfId="4051"/>
    <cellStyle name="Comma 2 2 2 2 2 2 2 4 2 4 2" xfId="14753"/>
    <cellStyle name="Comma 2 2 2 2 2 2 2 4 2 4 2 2" xfId="17644"/>
    <cellStyle name="Comma 2 2 2 2 2 2 2 4 2 4 2 2 2" xfId="50092"/>
    <cellStyle name="Comma 2 2 2 2 2 2 2 4 2 4 2 2 2 2" xfId="52971"/>
    <cellStyle name="Comma 2 2 2 2 2 2 2 4 2 4 2 3" xfId="31146"/>
    <cellStyle name="Comma 2 2 2 2 2 2 2 4 2 4 3" xfId="28265"/>
    <cellStyle name="Comma 2 2 2 2 2 2 2 4 2 4 3 2" xfId="39494"/>
    <cellStyle name="Comma 2 2 2 2 2 2 2 4 2 5" xfId="9242"/>
    <cellStyle name="Comma 2 2 2 2 2 2 2 4 2 5 2" xfId="36561"/>
    <cellStyle name="Comma 2 2 2 2 2 2 2 4 2 5 2 2" xfId="44624"/>
    <cellStyle name="Comma 2 2 2 2 2 2 2 4 2 6" xfId="22738"/>
    <cellStyle name="Comma 2 2 2 2 2 2 2 4 3" xfId="1868"/>
    <cellStyle name="Comma 2 2 2 2 2 2 2 4 3 2" xfId="2500"/>
    <cellStyle name="Comma 2 2 2 2 2 2 2 4 3 2 2" xfId="7118"/>
    <cellStyle name="Comma 2 2 2 2 2 2 2 4 3 2 2 2" xfId="7725"/>
    <cellStyle name="Comma 2 2 2 2 2 2 2 4 3 2 2 2 2" xfId="20670"/>
    <cellStyle name="Comma 2 2 2 2 2 2 2 4 3 2 2 2 2 2" xfId="21277"/>
    <cellStyle name="Comma 2 2 2 2 2 2 2 4 3 2 2 2 2 2 2" xfId="55996"/>
    <cellStyle name="Comma 2 2 2 2 2 2 2 4 3 2 2 2 2 2 2 2" xfId="56603"/>
    <cellStyle name="Comma 2 2 2 2 2 2 2 4 3 2 2 2 2 3" xfId="34780"/>
    <cellStyle name="Comma 2 2 2 2 2 2 2 4 3 2 2 2 3" xfId="34173"/>
    <cellStyle name="Comma 2 2 2 2 2 2 2 4 3 2 2 2 3 2" xfId="43152"/>
    <cellStyle name="Comma 2 2 2 2 2 2 2 4 3 2 2 3" xfId="12950"/>
    <cellStyle name="Comma 2 2 2 2 2 2 2 4 3 2 2 3 2" xfId="42545"/>
    <cellStyle name="Comma 2 2 2 2 2 2 2 4 3 2 2 3 2 2" xfId="48296"/>
    <cellStyle name="Comma 2 2 2 2 2 2 2 4 3 2 2 4" xfId="26434"/>
    <cellStyle name="Comma 2 2 2 2 2 2 2 4 3 2 3" xfId="12343"/>
    <cellStyle name="Comma 2 2 2 2 2 2 2 4 3 2 3 2" xfId="16161"/>
    <cellStyle name="Comma 2 2 2 2 2 2 2 4 3 2 3 2 2" xfId="47689"/>
    <cellStyle name="Comma 2 2 2 2 2 2 2 4 3 2 3 2 2 2" xfId="51492"/>
    <cellStyle name="Comma 2 2 2 2 2 2 2 4 3 2 3 3" xfId="29666"/>
    <cellStyle name="Comma 2 2 2 2 2 2 2 4 3 2 4" xfId="25827"/>
    <cellStyle name="Comma 2 2 2 2 2 2 2 4 3 2 4 2" xfId="37975"/>
    <cellStyle name="Comma 2 2 2 2 2 2 2 4 3 3" xfId="4535"/>
    <cellStyle name="Comma 2 2 2 2 2 2 2 4 3 3 2" xfId="15539"/>
    <cellStyle name="Comma 2 2 2 2 2 2 2 4 3 3 2 2" xfId="18118"/>
    <cellStyle name="Comma 2 2 2 2 2 2 2 4 3 3 2 2 2" xfId="50871"/>
    <cellStyle name="Comma 2 2 2 2 2 2 2 4 3 3 2 2 2 2" xfId="53444"/>
    <cellStyle name="Comma 2 2 2 2 2 2 2 4 3 3 2 3" xfId="31619"/>
    <cellStyle name="Comma 2 2 2 2 2 2 2 4 3 3 3" xfId="29045"/>
    <cellStyle name="Comma 2 2 2 2 2 2 2 4 3 3 3 2" xfId="39976"/>
    <cellStyle name="Comma 2 2 2 2 2 2 2 4 3 4" xfId="9738"/>
    <cellStyle name="Comma 2 2 2 2 2 2 2 4 3 4 2" xfId="37349"/>
    <cellStyle name="Comma 2 2 2 2 2 2 2 4 3 4 2 2" xfId="45111"/>
    <cellStyle name="Comma 2 2 2 2 2 2 2 4 3 5" xfId="23234"/>
    <cellStyle name="Comma 2 2 2 2 2 2 2 4 4" xfId="3882"/>
    <cellStyle name="Comma 2 2 2 2 2 2 2 4 4 2" xfId="5741"/>
    <cellStyle name="Comma 2 2 2 2 2 2 2 4 4 2 2" xfId="17493"/>
    <cellStyle name="Comma 2 2 2 2 2 2 2 4 4 2 2 2" xfId="19310"/>
    <cellStyle name="Comma 2 2 2 2 2 2 2 4 4 2 2 2 2" xfId="52820"/>
    <cellStyle name="Comma 2 2 2 2 2 2 2 4 4 2 2 2 2 2" xfId="54636"/>
    <cellStyle name="Comma 2 2 2 2 2 2 2 4 4 2 2 3" xfId="32811"/>
    <cellStyle name="Comma 2 2 2 2 2 2 2 4 4 2 3" xfId="30995"/>
    <cellStyle name="Comma 2 2 2 2 2 2 2 4 4 2 3 2" xfId="41176"/>
    <cellStyle name="Comma 2 2 2 2 2 2 2 4 4 3" xfId="10962"/>
    <cellStyle name="Comma 2 2 2 2 2 2 2 4 4 3 2" xfId="39330"/>
    <cellStyle name="Comma 2 2 2 2 2 2 2 4 4 3 2 2" xfId="46321"/>
    <cellStyle name="Comma 2 2 2 2 2 2 2 4 4 4" xfId="24455"/>
    <cellStyle name="Comma 2 2 2 2 2 2 2 4 5" xfId="9076"/>
    <cellStyle name="Comma 2 2 2 2 2 2 2 4 5 2" xfId="14125"/>
    <cellStyle name="Comma 2 2 2 2 2 2 2 4 5 2 2" xfId="44472"/>
    <cellStyle name="Comma 2 2 2 2 2 2 2 4 5 2 2 2" xfId="49470"/>
    <cellStyle name="Comma 2 2 2 2 2 2 2 4 5 3" xfId="27627"/>
    <cellStyle name="Comma 2 2 2 2 2 2 2 4 6" xfId="22584"/>
    <cellStyle name="Comma 2 2 2 2 2 2 2 4 6 2" xfId="35936"/>
    <cellStyle name="Comma 2 2 2 2 2 2 2 5" xfId="712"/>
    <cellStyle name="Comma 2 2 2 2 2 2 2 5 2" xfId="2323"/>
    <cellStyle name="Comma 2 2 2 2 2 2 2 5 2 2" xfId="2784"/>
    <cellStyle name="Comma 2 2 2 2 2 2 2 5 2 2 2" xfId="7557"/>
    <cellStyle name="Comma 2 2 2 2 2 2 2 5 2 2 2 2" xfId="8001"/>
    <cellStyle name="Comma 2 2 2 2 2 2 2 5 2 2 2 2 2" xfId="21109"/>
    <cellStyle name="Comma 2 2 2 2 2 2 2 5 2 2 2 2 2 2" xfId="21553"/>
    <cellStyle name="Comma 2 2 2 2 2 2 2 5 2 2 2 2 2 2 2" xfId="56435"/>
    <cellStyle name="Comma 2 2 2 2 2 2 2 5 2 2 2 2 2 2 2 2" xfId="56879"/>
    <cellStyle name="Comma 2 2 2 2 2 2 2 5 2 2 2 2 2 3" xfId="35056"/>
    <cellStyle name="Comma 2 2 2 2 2 2 2 5 2 2 2 2 3" xfId="34612"/>
    <cellStyle name="Comma 2 2 2 2 2 2 2 5 2 2 2 2 3 2" xfId="43428"/>
    <cellStyle name="Comma 2 2 2 2 2 2 2 5 2 2 2 3" xfId="13226"/>
    <cellStyle name="Comma 2 2 2 2 2 2 2 5 2 2 2 3 2" xfId="42984"/>
    <cellStyle name="Comma 2 2 2 2 2 2 2 5 2 2 2 3 2 2" xfId="48572"/>
    <cellStyle name="Comma 2 2 2 2 2 2 2 5 2 2 2 4" xfId="26710"/>
    <cellStyle name="Comma 2 2 2 2 2 2 2 5 2 2 3" xfId="12782"/>
    <cellStyle name="Comma 2 2 2 2 2 2 2 5 2 2 3 2" xfId="16443"/>
    <cellStyle name="Comma 2 2 2 2 2 2 2 5 2 2 3 2 2" xfId="48128"/>
    <cellStyle name="Comma 2 2 2 2 2 2 2 5 2 2 3 2 2 2" xfId="51771"/>
    <cellStyle name="Comma 2 2 2 2 2 2 2 5 2 2 3 3" xfId="29945"/>
    <cellStyle name="Comma 2 2 2 2 2 2 2 5 2 2 4" xfId="26266"/>
    <cellStyle name="Comma 2 2 2 2 2 2 2 5 2 2 4 2" xfId="38255"/>
    <cellStyle name="Comma 2 2 2 2 2 2 2 5 2 3" xfId="4820"/>
    <cellStyle name="Comma 2 2 2 2 2 2 2 5 2 3 2" xfId="15987"/>
    <cellStyle name="Comma 2 2 2 2 2 2 2 5 2 3 2 2" xfId="18395"/>
    <cellStyle name="Comma 2 2 2 2 2 2 2 5 2 3 2 2 2" xfId="51319"/>
    <cellStyle name="Comma 2 2 2 2 2 2 2 5 2 3 2 2 2 2" xfId="53721"/>
    <cellStyle name="Comma 2 2 2 2 2 2 2 5 2 3 2 3" xfId="31896"/>
    <cellStyle name="Comma 2 2 2 2 2 2 2 5 2 3 3" xfId="29493"/>
    <cellStyle name="Comma 2 2 2 2 2 2 2 5 2 3 3 2" xfId="40257"/>
    <cellStyle name="Comma 2 2 2 2 2 2 2 5 2 4" xfId="10023"/>
    <cellStyle name="Comma 2 2 2 2 2 2 2 5 2 4 2" xfId="37801"/>
    <cellStyle name="Comma 2 2 2 2 2 2 2 5 2 4 2 2" xfId="45388"/>
    <cellStyle name="Comma 2 2 2 2 2 2 2 5 2 5" xfId="23511"/>
    <cellStyle name="Comma 2 2 2 2 2 2 2 5 3" xfId="4352"/>
    <cellStyle name="Comma 2 2 2 2 2 2 2 5 3 2" xfId="6037"/>
    <cellStyle name="Comma 2 2 2 2 2 2 2 5 3 2 2" xfId="17945"/>
    <cellStyle name="Comma 2 2 2 2 2 2 2 5 3 2 2 2" xfId="19601"/>
    <cellStyle name="Comma 2 2 2 2 2 2 2 5 3 2 2 2 2" xfId="53272"/>
    <cellStyle name="Comma 2 2 2 2 2 2 2 5 3 2 2 2 2 2" xfId="54927"/>
    <cellStyle name="Comma 2 2 2 2 2 2 2 5 3 2 2 3" xfId="33102"/>
    <cellStyle name="Comma 2 2 2 2 2 2 2 5 3 2 3" xfId="31447"/>
    <cellStyle name="Comma 2 2 2 2 2 2 2 5 3 2 3 2" xfId="41471"/>
    <cellStyle name="Comma 2 2 2 2 2 2 2 5 3 3" xfId="11262"/>
    <cellStyle name="Comma 2 2 2 2 2 2 2 5 3 3 2" xfId="39795"/>
    <cellStyle name="Comma 2 2 2 2 2 2 2 5 3 3 2 2" xfId="46617"/>
    <cellStyle name="Comma 2 2 2 2 2 2 2 5 3 4" xfId="24754"/>
    <cellStyle name="Comma 2 2 2 2 2 2 2 5 4" xfId="9551"/>
    <cellStyle name="Comma 2 2 2 2 2 2 2 5 4 2" xfId="14420"/>
    <cellStyle name="Comma 2 2 2 2 2 2 2 5 4 2 2" xfId="44933"/>
    <cellStyle name="Comma 2 2 2 2 2 2 2 5 4 2 2 2" xfId="49765"/>
    <cellStyle name="Comma 2 2 2 2 2 2 2 5 4 3" xfId="27933"/>
    <cellStyle name="Comma 2 2 2 2 2 2 2 5 5" xfId="23052"/>
    <cellStyle name="Comma 2 2 2 2 2 2 2 5 5 2" xfId="36233"/>
    <cellStyle name="Comma 2 2 2 2 2 2 2 6" xfId="1491"/>
    <cellStyle name="Comma 2 2 2 2 2 2 2 6 2" xfId="5563"/>
    <cellStyle name="Comma 2 2 2 2 2 2 2 6 2 2" xfId="6782"/>
    <cellStyle name="Comma 2 2 2 2 2 2 2 6 2 2 2" xfId="19136"/>
    <cellStyle name="Comma 2 2 2 2 2 2 2 6 2 2 2 2" xfId="20335"/>
    <cellStyle name="Comma 2 2 2 2 2 2 2 6 2 2 2 2 2" xfId="54462"/>
    <cellStyle name="Comma 2 2 2 2 2 2 2 6 2 2 2 2 2 2" xfId="55661"/>
    <cellStyle name="Comma 2 2 2 2 2 2 2 6 2 2 2 3" xfId="33837"/>
    <cellStyle name="Comma 2 2 2 2 2 2 2 6 2 2 3" xfId="32637"/>
    <cellStyle name="Comma 2 2 2 2 2 2 2 6 2 2 3 2" xfId="42210"/>
    <cellStyle name="Comma 2 2 2 2 2 2 2 6 2 3" xfId="12005"/>
    <cellStyle name="Comma 2 2 2 2 2 2 2 6 2 3 2" xfId="41000"/>
    <cellStyle name="Comma 2 2 2 2 2 2 2 6 2 3 2 2" xfId="47353"/>
    <cellStyle name="Comma 2 2 2 2 2 2 2 6 2 4" xfId="25490"/>
    <cellStyle name="Comma 2 2 2 2 2 2 2 6 3" xfId="10773"/>
    <cellStyle name="Comma 2 2 2 2 2 2 2 6 3 2" xfId="15175"/>
    <cellStyle name="Comma 2 2 2 2 2 2 2 6 3 2 2" xfId="46135"/>
    <cellStyle name="Comma 2 2 2 2 2 2 2 6 3 2 2 2" xfId="50513"/>
    <cellStyle name="Comma 2 2 2 2 2 2 2 6 3 3" xfId="28687"/>
    <cellStyle name="Comma 2 2 2 2 2 2 2 6 4" xfId="24261"/>
    <cellStyle name="Comma 2 2 2 2 2 2 2 6 4 2" xfId="36985"/>
    <cellStyle name="Comma 2 2 2 2 2 2 2 7" xfId="3490"/>
    <cellStyle name="Comma 2 2 2 2 2 2 2 7 2" xfId="13948"/>
    <cellStyle name="Comma 2 2 2 2 2 2 2 7 2 2" xfId="17144"/>
    <cellStyle name="Comma 2 2 2 2 2 2 2 7 2 2 2" xfId="49294"/>
    <cellStyle name="Comma 2 2 2 2 2 2 2 7 2 2 2 2" xfId="52472"/>
    <cellStyle name="Comma 2 2 2 2 2 2 2 7 2 3" xfId="30646"/>
    <cellStyle name="Comma 2 2 2 2 2 2 2 7 3" xfId="27437"/>
    <cellStyle name="Comma 2 2 2 2 2 2 2 7 3 2" xfId="38957"/>
    <cellStyle name="Comma 2 2 2 2 2 2 2 8" xfId="4441"/>
    <cellStyle name="Comma 2 2 2 2 2 2 2 8 2" xfId="35760"/>
    <cellStyle name="Comma 2 2 2 2 2 2 2 8 2 2" xfId="39883"/>
    <cellStyle name="Comma 2 2 2 2 2 2 2 9" xfId="9172"/>
    <cellStyle name="Comma 2 2 2 2 2 2 3" xfId="256"/>
    <cellStyle name="Comma 2 2 2 2 2 2 3 2" xfId="278"/>
    <cellStyle name="Comma 2 2 2 2 2 2 3 2 2" xfId="602"/>
    <cellStyle name="Comma 2 2 2 2 2 2 3 2 2 2" xfId="622"/>
    <cellStyle name="Comma 2 2 2 2 2 2 3 2 2 2 2" xfId="1398"/>
    <cellStyle name="Comma 2 2 2 2 2 2 3 2 2 2 2 2" xfId="1418"/>
    <cellStyle name="Comma 2 2 2 2 2 2 3 2 2 2 2 2 2" xfId="3416"/>
    <cellStyle name="Comma 2 2 2 2 2 2 3 2 2 2 2 2 2 2" xfId="3436"/>
    <cellStyle name="Comma 2 2 2 2 2 2 3 2 2 2 2 2 2 2 2" xfId="8631"/>
    <cellStyle name="Comma 2 2 2 2 2 2 3 2 2 2 2 2 2 2 2 2" xfId="8651"/>
    <cellStyle name="Comma 2 2 2 2 2 2 3 2 2 2 2 2 2 2 2 2 2" xfId="22183"/>
    <cellStyle name="Comma 2 2 2 2 2 2 3 2 2 2 2 2 2 2 2 2 2 2" xfId="22203"/>
    <cellStyle name="Comma 2 2 2 2 2 2 3 2 2 2 2 2 2 2 2 2 2 2 2" xfId="57509"/>
    <cellStyle name="Comma 2 2 2 2 2 2 3 2 2 2 2 2 2 2 2 2 2 2 2 2" xfId="57529"/>
    <cellStyle name="Comma 2 2 2 2 2 2 3 2 2 2 2 2 2 2 2 2 2 3" xfId="35706"/>
    <cellStyle name="Comma 2 2 2 2 2 2 3 2 2 2 2 2 2 2 2 2 3" xfId="35686"/>
    <cellStyle name="Comma 2 2 2 2 2 2 3 2 2 2 2 2 2 2 2 2 3 2" xfId="44078"/>
    <cellStyle name="Comma 2 2 2 2 2 2 3 2 2 2 2 2 2 2 2 3" xfId="13876"/>
    <cellStyle name="Comma 2 2 2 2 2 2 3 2 2 2 2 2 2 2 2 3 2" xfId="44058"/>
    <cellStyle name="Comma 2 2 2 2 2 2 3 2 2 2 2 2 2 2 2 3 2 2" xfId="49222"/>
    <cellStyle name="Comma 2 2 2 2 2 2 3 2 2 2 2 2 2 2 2 4" xfId="27361"/>
    <cellStyle name="Comma 2 2 2 2 2 2 3 2 2 2 2 2 2 2 3" xfId="13856"/>
    <cellStyle name="Comma 2 2 2 2 2 2 3 2 2 2 2 2 2 2 3 2" xfId="17093"/>
    <cellStyle name="Comma 2 2 2 2 2 2 3 2 2 2 2 2 2 2 3 2 2" xfId="49202"/>
    <cellStyle name="Comma 2 2 2 2 2 2 3 2 2 2 2 2 2 2 3 2 2 2" xfId="52421"/>
    <cellStyle name="Comma 2 2 2 2 2 2 3 2 2 2 2 2 2 2 3 3" xfId="30595"/>
    <cellStyle name="Comma 2 2 2 2 2 2 3 2 2 2 2 2 2 2 4" xfId="27341"/>
    <cellStyle name="Comma 2 2 2 2 2 2 3 2 2 2 2 2 2 2 4 2" xfId="38905"/>
    <cellStyle name="Comma 2 2 2 2 2 2 3 2 2 2 2 2 2 3" xfId="5473"/>
    <cellStyle name="Comma 2 2 2 2 2 2 3 2 2 2 2 2 2 3 2" xfId="17073"/>
    <cellStyle name="Comma 2 2 2 2 2 2 3 2 2 2 2 2 2 3 2 2" xfId="19046"/>
    <cellStyle name="Comma 2 2 2 2 2 2 3 2 2 2 2 2 2 3 2 2 2" xfId="52401"/>
    <cellStyle name="Comma 2 2 2 2 2 2 3 2 2 2 2 2 2 3 2 2 2 2" xfId="54372"/>
    <cellStyle name="Comma 2 2 2 2 2 2 3 2 2 2 2 2 2 3 2 3" xfId="32547"/>
    <cellStyle name="Comma 2 2 2 2 2 2 3 2 2 2 2 2 2 3 3" xfId="30575"/>
    <cellStyle name="Comma 2 2 2 2 2 2 3 2 2 2 2 2 2 3 3 2" xfId="40910"/>
    <cellStyle name="Comma 2 2 2 2 2 2 3 2 2 2 2 2 2 4" xfId="10676"/>
    <cellStyle name="Comma 2 2 2 2 2 2 3 2 2 2 2 2 2 4 2" xfId="38885"/>
    <cellStyle name="Comma 2 2 2 2 2 2 3 2 2 2 2 2 2 4 2 2" xfId="46039"/>
    <cellStyle name="Comma 2 2 2 2 2 2 3 2 2 2 2 2 2 5" xfId="24162"/>
    <cellStyle name="Comma 2 2 2 2 2 2 3 2 2 2 2 2 3" xfId="5453"/>
    <cellStyle name="Comma 2 2 2 2 2 2 3 2 2 2 2 2 3 2" xfId="6726"/>
    <cellStyle name="Comma 2 2 2 2 2 2 3 2 2 2 2 2 3 2 2" xfId="19026"/>
    <cellStyle name="Comma 2 2 2 2 2 2 3 2 2 2 2 2 3 2 2 2" xfId="20279"/>
    <cellStyle name="Comma 2 2 2 2 2 2 3 2 2 2 2 2 3 2 2 2 2" xfId="54352"/>
    <cellStyle name="Comma 2 2 2 2 2 2 3 2 2 2 2 2 3 2 2 2 2 2" xfId="55605"/>
    <cellStyle name="Comma 2 2 2 2 2 2 3 2 2 2 2 2 3 2 2 3" xfId="33781"/>
    <cellStyle name="Comma 2 2 2 2 2 2 3 2 2 2 2 2 3 2 3" xfId="32527"/>
    <cellStyle name="Comma 2 2 2 2 2 2 3 2 2 2 2 2 3 2 3 2" xfId="42154"/>
    <cellStyle name="Comma 2 2 2 2 2 2 3 2 2 2 2 2 3 3" xfId="11949"/>
    <cellStyle name="Comma 2 2 2 2 2 2 3 2 2 2 2 2 3 3 2" xfId="40890"/>
    <cellStyle name="Comma 2 2 2 2 2 2 3 2 2 2 2 2 3 3 2 2" xfId="47297"/>
    <cellStyle name="Comma 2 2 2 2 2 2 3 2 2 2 2 2 3 4" xfId="25434"/>
    <cellStyle name="Comma 2 2 2 2 2 2 3 2 2 2 2 2 4" xfId="10656"/>
    <cellStyle name="Comma 2 2 2 2 2 2 3 2 2 2 2 2 4 2" xfId="15107"/>
    <cellStyle name="Comma 2 2 2 2 2 2 3 2 2 2 2 2 4 2 2" xfId="46019"/>
    <cellStyle name="Comma 2 2 2 2 2 2 3 2 2 2 2 2 4 2 2 2" xfId="50446"/>
    <cellStyle name="Comma 2 2 2 2 2 2 3 2 2 2 2 2 4 3" xfId="28620"/>
    <cellStyle name="Comma 2 2 2 2 2 2 3 2 2 2 2 2 5" xfId="24142"/>
    <cellStyle name="Comma 2 2 2 2 2 2 3 2 2 2 2 2 5 2" xfId="36915"/>
    <cellStyle name="Comma 2 2 2 2 2 2 3 2 2 2 2 3" xfId="2225"/>
    <cellStyle name="Comma 2 2 2 2 2 2 3 2 2 2 2 3 2" xfId="6706"/>
    <cellStyle name="Comma 2 2 2 2 2 2 3 2 2 2 2 3 2 2" xfId="7459"/>
    <cellStyle name="Comma 2 2 2 2 2 2 3 2 2 2 2 3 2 2 2" xfId="20259"/>
    <cellStyle name="Comma 2 2 2 2 2 2 3 2 2 2 2 3 2 2 2 2" xfId="21011"/>
    <cellStyle name="Comma 2 2 2 2 2 2 3 2 2 2 2 3 2 2 2 2 2" xfId="55585"/>
    <cellStyle name="Comma 2 2 2 2 2 2 3 2 2 2 2 3 2 2 2 2 2 2" xfId="56337"/>
    <cellStyle name="Comma 2 2 2 2 2 2 3 2 2 2 2 3 2 2 2 3" xfId="34514"/>
    <cellStyle name="Comma 2 2 2 2 2 2 3 2 2 2 2 3 2 2 3" xfId="33761"/>
    <cellStyle name="Comma 2 2 2 2 2 2 3 2 2 2 2 3 2 2 3 2" xfId="42886"/>
    <cellStyle name="Comma 2 2 2 2 2 2 3 2 2 2 2 3 2 3" xfId="12684"/>
    <cellStyle name="Comma 2 2 2 2 2 2 3 2 2 2 2 3 2 3 2" xfId="42134"/>
    <cellStyle name="Comma 2 2 2 2 2 2 3 2 2 2 2 3 2 3 2 2" xfId="48030"/>
    <cellStyle name="Comma 2 2 2 2 2 2 3 2 2 2 2 3 2 4" xfId="26168"/>
    <cellStyle name="Comma 2 2 2 2 2 2 3 2 2 2 2 3 3" xfId="11929"/>
    <cellStyle name="Comma 2 2 2 2 2 2 3 2 2 2 2 3 3 2" xfId="15889"/>
    <cellStyle name="Comma 2 2 2 2 2 2 3 2 2 2 2 3 3 2 2" xfId="47277"/>
    <cellStyle name="Comma 2 2 2 2 2 2 3 2 2 2 2 3 3 2 2 2" xfId="51221"/>
    <cellStyle name="Comma 2 2 2 2 2 2 3 2 2 2 2 3 3 3" xfId="29395"/>
    <cellStyle name="Comma 2 2 2 2 2 2 3 2 2 2 2 3 4" xfId="25414"/>
    <cellStyle name="Comma 2 2 2 2 2 2 3 2 2 2 2 3 4 2" xfId="37703"/>
    <cellStyle name="Comma 2 2 2 2 2 2 3 2 2 2 2 4" xfId="4241"/>
    <cellStyle name="Comma 2 2 2 2 2 2 3 2 2 2 2 4 2" xfId="15087"/>
    <cellStyle name="Comma 2 2 2 2 2 2 3 2 2 2 2 4 2 2" xfId="17834"/>
    <cellStyle name="Comma 2 2 2 2 2 2 3 2 2 2 2 4 2 2 2" xfId="50426"/>
    <cellStyle name="Comma 2 2 2 2 2 2 3 2 2 2 2 4 2 2 2 2" xfId="53161"/>
    <cellStyle name="Comma 2 2 2 2 2 2 3 2 2 2 2 4 2 3" xfId="31336"/>
    <cellStyle name="Comma 2 2 2 2 2 2 3 2 2 2 2 4 3" xfId="28600"/>
    <cellStyle name="Comma 2 2 2 2 2 2 3 2 2 2 2 4 3 2" xfId="39684"/>
    <cellStyle name="Comma 2 2 2 2 2 2 3 2 2 2 2 5" xfId="9432"/>
    <cellStyle name="Comma 2 2 2 2 2 2 3 2 2 2 2 5 2" xfId="36895"/>
    <cellStyle name="Comma 2 2 2 2 2 2 3 2 2 2 2 5 2 2" xfId="44814"/>
    <cellStyle name="Comma 2 2 2 2 2 2 3 2 2 2 2 6" xfId="22928"/>
    <cellStyle name="Comma 2 2 2 2 2 2 3 2 2 2 3" xfId="2205"/>
    <cellStyle name="Comma 2 2 2 2 2 2 3 2 2 2 3 2" xfId="2712"/>
    <cellStyle name="Comma 2 2 2 2 2 2 3 2 2 2 3 2 2" xfId="7439"/>
    <cellStyle name="Comma 2 2 2 2 2 2 3 2 2 2 3 2 2 2" xfId="7931"/>
    <cellStyle name="Comma 2 2 2 2 2 2 3 2 2 2 3 2 2 2 2" xfId="20991"/>
    <cellStyle name="Comma 2 2 2 2 2 2 3 2 2 2 3 2 2 2 2 2" xfId="21483"/>
    <cellStyle name="Comma 2 2 2 2 2 2 3 2 2 2 3 2 2 2 2 2 2" xfId="56317"/>
    <cellStyle name="Comma 2 2 2 2 2 2 3 2 2 2 3 2 2 2 2 2 2 2" xfId="56809"/>
    <cellStyle name="Comma 2 2 2 2 2 2 3 2 2 2 3 2 2 2 2 3" xfId="34986"/>
    <cellStyle name="Comma 2 2 2 2 2 2 3 2 2 2 3 2 2 2 3" xfId="34494"/>
    <cellStyle name="Comma 2 2 2 2 2 2 3 2 2 2 3 2 2 2 3 2" xfId="43358"/>
    <cellStyle name="Comma 2 2 2 2 2 2 3 2 2 2 3 2 2 3" xfId="13156"/>
    <cellStyle name="Comma 2 2 2 2 2 2 3 2 2 2 3 2 2 3 2" xfId="42866"/>
    <cellStyle name="Comma 2 2 2 2 2 2 3 2 2 2 3 2 2 3 2 2" xfId="48502"/>
    <cellStyle name="Comma 2 2 2 2 2 2 3 2 2 2 3 2 2 4" xfId="26640"/>
    <cellStyle name="Comma 2 2 2 2 2 2 3 2 2 2 3 2 3" xfId="12664"/>
    <cellStyle name="Comma 2 2 2 2 2 2 3 2 2 2 3 2 3 2" xfId="16371"/>
    <cellStyle name="Comma 2 2 2 2 2 2 3 2 2 2 3 2 3 2 2" xfId="48010"/>
    <cellStyle name="Comma 2 2 2 2 2 2 3 2 2 2 3 2 3 2 2 2" xfId="51701"/>
    <cellStyle name="Comma 2 2 2 2 2 2 3 2 2 2 3 2 3 3" xfId="29875"/>
    <cellStyle name="Comma 2 2 2 2 2 2 3 2 2 2 3 2 4" xfId="26148"/>
    <cellStyle name="Comma 2 2 2 2 2 2 3 2 2 2 3 2 4 2" xfId="38185"/>
    <cellStyle name="Comma 2 2 2 2 2 2 3 2 2 2 3 3" xfId="4748"/>
    <cellStyle name="Comma 2 2 2 2 2 2 3 2 2 2 3 3 2" xfId="15869"/>
    <cellStyle name="Comma 2 2 2 2 2 2 3 2 2 2 3 3 2 2" xfId="18325"/>
    <cellStyle name="Comma 2 2 2 2 2 2 3 2 2 2 3 3 2 2 2" xfId="51201"/>
    <cellStyle name="Comma 2 2 2 2 2 2 3 2 2 2 3 3 2 2 2 2" xfId="53651"/>
    <cellStyle name="Comma 2 2 2 2 2 2 3 2 2 2 3 3 2 3" xfId="31826"/>
    <cellStyle name="Comma 2 2 2 2 2 2 3 2 2 2 3 3 3" xfId="29375"/>
    <cellStyle name="Comma 2 2 2 2 2 2 3 2 2 2 3 3 3 2" xfId="40186"/>
    <cellStyle name="Comma 2 2 2 2 2 2 3 2 2 2 3 4" xfId="9951"/>
    <cellStyle name="Comma 2 2 2 2 2 2 3 2 2 2 3 4 2" xfId="37683"/>
    <cellStyle name="Comma 2 2 2 2 2 2 3 2 2 2 3 4 2 2" xfId="45318"/>
    <cellStyle name="Comma 2 2 2 2 2 2 3 2 2 2 3 5" xfId="23441"/>
    <cellStyle name="Comma 2 2 2 2 2 2 3 2 2 2 4" xfId="4221"/>
    <cellStyle name="Comma 2 2 2 2 2 2 3 2 2 2 4 2" xfId="5953"/>
    <cellStyle name="Comma 2 2 2 2 2 2 3 2 2 2 4 2 2" xfId="17814"/>
    <cellStyle name="Comma 2 2 2 2 2 2 3 2 2 2 4 2 2 2" xfId="19520"/>
    <cellStyle name="Comma 2 2 2 2 2 2 3 2 2 2 4 2 2 2 2" xfId="53141"/>
    <cellStyle name="Comma 2 2 2 2 2 2 3 2 2 2 4 2 2 2 2 2" xfId="54846"/>
    <cellStyle name="Comma 2 2 2 2 2 2 3 2 2 2 4 2 2 3" xfId="33021"/>
    <cellStyle name="Comma 2 2 2 2 2 2 3 2 2 2 4 2 3" xfId="31316"/>
    <cellStyle name="Comma 2 2 2 2 2 2 3 2 2 2 4 2 3 2" xfId="41387"/>
    <cellStyle name="Comma 2 2 2 2 2 2 3 2 2 2 4 3" xfId="11178"/>
    <cellStyle name="Comma 2 2 2 2 2 2 3 2 2 2 4 3 2" xfId="39664"/>
    <cellStyle name="Comma 2 2 2 2 2 2 3 2 2 2 4 3 2 2" xfId="46536"/>
    <cellStyle name="Comma 2 2 2 2 2 2 3 2 2 2 4 4" xfId="24671"/>
    <cellStyle name="Comma 2 2 2 2 2 2 3 2 2 2 5" xfId="9412"/>
    <cellStyle name="Comma 2 2 2 2 2 2 3 2 2 2 5 2" xfId="14337"/>
    <cellStyle name="Comma 2 2 2 2 2 2 3 2 2 2 5 2 2" xfId="44794"/>
    <cellStyle name="Comma 2 2 2 2 2 2 3 2 2 2 5 2 2 2" xfId="49682"/>
    <cellStyle name="Comma 2 2 2 2 2 2 3 2 2 2 5 3" xfId="27847"/>
    <cellStyle name="Comma 2 2 2 2 2 2 3 2 2 2 6" xfId="22908"/>
    <cellStyle name="Comma 2 2 2 2 2 2 3 2 2 2 6 2" xfId="36149"/>
    <cellStyle name="Comma 2 2 2 2 2 2 3 2 2 3" xfId="950"/>
    <cellStyle name="Comma 2 2 2 2 2 2 3 2 2 3 2" xfId="2692"/>
    <cellStyle name="Comma 2 2 2 2 2 2 3 2 2 3 2 2" xfId="2988"/>
    <cellStyle name="Comma 2 2 2 2 2 2 3 2 2 3 2 2 2" xfId="7911"/>
    <cellStyle name="Comma 2 2 2 2 2 2 3 2 2 3 2 2 2 2" xfId="8203"/>
    <cellStyle name="Comma 2 2 2 2 2 2 3 2 2 3 2 2 2 2 2" xfId="21463"/>
    <cellStyle name="Comma 2 2 2 2 2 2 3 2 2 3 2 2 2 2 2 2" xfId="21755"/>
    <cellStyle name="Comma 2 2 2 2 2 2 3 2 2 3 2 2 2 2 2 2 2" xfId="56789"/>
    <cellStyle name="Comma 2 2 2 2 2 2 3 2 2 3 2 2 2 2 2 2 2 2" xfId="57081"/>
    <cellStyle name="Comma 2 2 2 2 2 2 3 2 2 3 2 2 2 2 2 3" xfId="35258"/>
    <cellStyle name="Comma 2 2 2 2 2 2 3 2 2 3 2 2 2 2 3" xfId="34966"/>
    <cellStyle name="Comma 2 2 2 2 2 2 3 2 2 3 2 2 2 2 3 2" xfId="43630"/>
    <cellStyle name="Comma 2 2 2 2 2 2 3 2 2 3 2 2 2 3" xfId="13428"/>
    <cellStyle name="Comma 2 2 2 2 2 2 3 2 2 3 2 2 2 3 2" xfId="43338"/>
    <cellStyle name="Comma 2 2 2 2 2 2 3 2 2 3 2 2 2 3 2 2" xfId="48774"/>
    <cellStyle name="Comma 2 2 2 2 2 2 3 2 2 3 2 2 2 4" xfId="26913"/>
    <cellStyle name="Comma 2 2 2 2 2 2 3 2 2 3 2 2 3" xfId="13136"/>
    <cellStyle name="Comma 2 2 2 2 2 2 3 2 2 3 2 2 3 2" xfId="16645"/>
    <cellStyle name="Comma 2 2 2 2 2 2 3 2 2 3 2 2 3 2 2" xfId="48482"/>
    <cellStyle name="Comma 2 2 2 2 2 2 3 2 2 3 2 2 3 2 2 2" xfId="51973"/>
    <cellStyle name="Comma 2 2 2 2 2 2 3 2 2 3 2 2 3 3" xfId="30147"/>
    <cellStyle name="Comma 2 2 2 2 2 2 3 2 2 3 2 2 4" xfId="26620"/>
    <cellStyle name="Comma 2 2 2 2 2 2 3 2 2 3 2 2 4 2" xfId="38457"/>
    <cellStyle name="Comma 2 2 2 2 2 2 3 2 2 3 2 3" xfId="5024"/>
    <cellStyle name="Comma 2 2 2 2 2 2 3 2 2 3 2 3 2" xfId="16351"/>
    <cellStyle name="Comma 2 2 2 2 2 2 3 2 2 3 2 3 2 2" xfId="18597"/>
    <cellStyle name="Comma 2 2 2 2 2 2 3 2 2 3 2 3 2 2 2" xfId="51681"/>
    <cellStyle name="Comma 2 2 2 2 2 2 3 2 2 3 2 3 2 2 2 2" xfId="53923"/>
    <cellStyle name="Comma 2 2 2 2 2 2 3 2 2 3 2 3 2 3" xfId="32098"/>
    <cellStyle name="Comma 2 2 2 2 2 2 3 2 2 3 2 3 3" xfId="29855"/>
    <cellStyle name="Comma 2 2 2 2 2 2 3 2 2 3 2 3 3 2" xfId="40461"/>
    <cellStyle name="Comma 2 2 2 2 2 2 3 2 2 3 2 4" xfId="10227"/>
    <cellStyle name="Comma 2 2 2 2 2 2 3 2 2 3 2 4 2" xfId="38165"/>
    <cellStyle name="Comma 2 2 2 2 2 2 3 2 2 3 2 4 2 2" xfId="45590"/>
    <cellStyle name="Comma 2 2 2 2 2 2 3 2 2 3 2 5" xfId="23713"/>
    <cellStyle name="Comma 2 2 2 2 2 2 3 2 2 3 3" xfId="4728"/>
    <cellStyle name="Comma 2 2 2 2 2 2 3 2 2 3 3 2" xfId="6261"/>
    <cellStyle name="Comma 2 2 2 2 2 2 3 2 2 3 3 2 2" xfId="18305"/>
    <cellStyle name="Comma 2 2 2 2 2 2 3 2 2 3 3 2 2 2" xfId="19818"/>
    <cellStyle name="Comma 2 2 2 2 2 2 3 2 2 3 3 2 2 2 2" xfId="53631"/>
    <cellStyle name="Comma 2 2 2 2 2 2 3 2 2 3 3 2 2 2 2 2" xfId="55144"/>
    <cellStyle name="Comma 2 2 2 2 2 2 3 2 2 3 3 2 2 3" xfId="33320"/>
    <cellStyle name="Comma 2 2 2 2 2 2 3 2 2 3 3 2 3" xfId="31806"/>
    <cellStyle name="Comma 2 2 2 2 2 2 3 2 2 3 3 2 3 2" xfId="41690"/>
    <cellStyle name="Comma 2 2 2 2 2 2 3 2 2 3 3 3" xfId="11486"/>
    <cellStyle name="Comma 2 2 2 2 2 2 3 2 2 3 3 3 2" xfId="40166"/>
    <cellStyle name="Comma 2 2 2 2 2 2 3 2 2 3 3 3 2 2" xfId="46835"/>
    <cellStyle name="Comma 2 2 2 2 2 2 3 2 2 3 3 4" xfId="24972"/>
    <cellStyle name="Comma 2 2 2 2 2 2 3 2 2 3 4" xfId="9931"/>
    <cellStyle name="Comma 2 2 2 2 2 2 3 2 2 3 4 2" xfId="14644"/>
    <cellStyle name="Comma 2 2 2 2 2 2 3 2 2 3 4 2 2" xfId="45298"/>
    <cellStyle name="Comma 2 2 2 2 2 2 3 2 2 3 4 2 2 2" xfId="49983"/>
    <cellStyle name="Comma 2 2 2 2 2 2 3 2 2 3 4 3" xfId="28155"/>
    <cellStyle name="Comma 2 2 2 2 2 2 3 2 2 3 5" xfId="23421"/>
    <cellStyle name="Comma 2 2 2 2 2 2 3 2 2 3 5 2" xfId="36452"/>
    <cellStyle name="Comma 2 2 2 2 2 2 3 2 2 4" xfId="1746"/>
    <cellStyle name="Comma 2 2 2 2 2 2 3 2 2 4 2" xfId="5933"/>
    <cellStyle name="Comma 2 2 2 2 2 2 3 2 2 4 2 2" xfId="6999"/>
    <cellStyle name="Comma 2 2 2 2 2 2 3 2 2 4 2 2 2" xfId="19500"/>
    <cellStyle name="Comma 2 2 2 2 2 2 3 2 2 4 2 2 2 2" xfId="20552"/>
    <cellStyle name="Comma 2 2 2 2 2 2 3 2 2 4 2 2 2 2 2" xfId="54826"/>
    <cellStyle name="Comma 2 2 2 2 2 2 3 2 2 4 2 2 2 2 2 2" xfId="55878"/>
    <cellStyle name="Comma 2 2 2 2 2 2 3 2 2 4 2 2 2 3" xfId="34054"/>
    <cellStyle name="Comma 2 2 2 2 2 2 3 2 2 4 2 2 3" xfId="33001"/>
    <cellStyle name="Comma 2 2 2 2 2 2 3 2 2 4 2 2 3 2" xfId="42427"/>
    <cellStyle name="Comma 2 2 2 2 2 2 3 2 2 4 2 3" xfId="12223"/>
    <cellStyle name="Comma 2 2 2 2 2 2 3 2 2 4 2 3 2" xfId="41367"/>
    <cellStyle name="Comma 2 2 2 2 2 2 3 2 2 4 2 3 2 2" xfId="47570"/>
    <cellStyle name="Comma 2 2 2 2 2 2 3 2 2 4 2 4" xfId="25708"/>
    <cellStyle name="Comma 2 2 2 2 2 2 3 2 2 4 3" xfId="11158"/>
    <cellStyle name="Comma 2 2 2 2 2 2 3 2 2 4 3 2" xfId="15418"/>
    <cellStyle name="Comma 2 2 2 2 2 2 3 2 2 4 3 2 2" xfId="46516"/>
    <cellStyle name="Comma 2 2 2 2 2 2 3 2 2 4 3 2 2 2" xfId="50751"/>
    <cellStyle name="Comma 2 2 2 2 2 2 3 2 2 4 3 3" xfId="28925"/>
    <cellStyle name="Comma 2 2 2 2 2 2 3 2 2 4 4" xfId="24651"/>
    <cellStyle name="Comma 2 2 2 2 2 2 3 2 2 4 4 2" xfId="37228"/>
    <cellStyle name="Comma 2 2 2 2 2 2 3 2 2 5" xfId="3752"/>
    <cellStyle name="Comma 2 2 2 2 2 2 3 2 2 5 2" xfId="14317"/>
    <cellStyle name="Comma 2 2 2 2 2 2 3 2 2 5 2 2" xfId="17368"/>
    <cellStyle name="Comma 2 2 2 2 2 2 3 2 2 5 2 2 2" xfId="49662"/>
    <cellStyle name="Comma 2 2 2 2 2 2 3 2 2 5 2 2 2 2" xfId="52695"/>
    <cellStyle name="Comma 2 2 2 2 2 2 3 2 2 5 2 3" xfId="30869"/>
    <cellStyle name="Comma 2 2 2 2 2 2 3 2 2 5 3" xfId="27827"/>
    <cellStyle name="Comma 2 2 2 2 2 2 3 2 2 5 3 2" xfId="39203"/>
    <cellStyle name="Comma 2 2 2 2 2 2 3 2 2 6" xfId="8942"/>
    <cellStyle name="Comma 2 2 2 2 2 2 3 2 2 6 2" xfId="36129"/>
    <cellStyle name="Comma 2 2 2 2 2 2 3 2 2 6 2 2" xfId="44341"/>
    <cellStyle name="Comma 2 2 2 2 2 2 3 2 2 7" xfId="22449"/>
    <cellStyle name="Comma 2 2 2 2 2 2 3 2 3" xfId="930"/>
    <cellStyle name="Comma 2 2 2 2 2 2 3 2 3 2" xfId="1143"/>
    <cellStyle name="Comma 2 2 2 2 2 2 3 2 3 2 2" xfId="2968"/>
    <cellStyle name="Comma 2 2 2 2 2 2 3 2 3 2 2 2" xfId="3168"/>
    <cellStyle name="Comma 2 2 2 2 2 2 3 2 3 2 2 2 2" xfId="8183"/>
    <cellStyle name="Comma 2 2 2 2 2 2 3 2 3 2 2 2 2 2" xfId="8383"/>
    <cellStyle name="Comma 2 2 2 2 2 2 3 2 3 2 2 2 2 2 2" xfId="21735"/>
    <cellStyle name="Comma 2 2 2 2 2 2 3 2 3 2 2 2 2 2 2 2" xfId="21935"/>
    <cellStyle name="Comma 2 2 2 2 2 2 3 2 3 2 2 2 2 2 2 2 2" xfId="57061"/>
    <cellStyle name="Comma 2 2 2 2 2 2 3 2 3 2 2 2 2 2 2 2 2 2" xfId="57261"/>
    <cellStyle name="Comma 2 2 2 2 2 2 3 2 3 2 2 2 2 2 2 3" xfId="35438"/>
    <cellStyle name="Comma 2 2 2 2 2 2 3 2 3 2 2 2 2 2 3" xfId="35238"/>
    <cellStyle name="Comma 2 2 2 2 2 2 3 2 3 2 2 2 2 2 3 2" xfId="43810"/>
    <cellStyle name="Comma 2 2 2 2 2 2 3 2 3 2 2 2 2 3" xfId="13608"/>
    <cellStyle name="Comma 2 2 2 2 2 2 3 2 3 2 2 2 2 3 2" xfId="43610"/>
    <cellStyle name="Comma 2 2 2 2 2 2 3 2 3 2 2 2 2 3 2 2" xfId="48954"/>
    <cellStyle name="Comma 2 2 2 2 2 2 3 2 3 2 2 2 2 4" xfId="27093"/>
    <cellStyle name="Comma 2 2 2 2 2 2 3 2 3 2 2 2 3" xfId="13408"/>
    <cellStyle name="Comma 2 2 2 2 2 2 3 2 3 2 2 2 3 2" xfId="16825"/>
    <cellStyle name="Comma 2 2 2 2 2 2 3 2 3 2 2 2 3 2 2" xfId="48754"/>
    <cellStyle name="Comma 2 2 2 2 2 2 3 2 3 2 2 2 3 2 2 2" xfId="52153"/>
    <cellStyle name="Comma 2 2 2 2 2 2 3 2 3 2 2 2 3 3" xfId="30327"/>
    <cellStyle name="Comma 2 2 2 2 2 2 3 2 3 2 2 2 4" xfId="26893"/>
    <cellStyle name="Comma 2 2 2 2 2 2 3 2 3 2 2 2 4 2" xfId="38637"/>
    <cellStyle name="Comma 2 2 2 2 2 2 3 2 3 2 2 3" xfId="5205"/>
    <cellStyle name="Comma 2 2 2 2 2 2 3 2 3 2 2 3 2" xfId="16625"/>
    <cellStyle name="Comma 2 2 2 2 2 2 3 2 3 2 2 3 2 2" xfId="18778"/>
    <cellStyle name="Comma 2 2 2 2 2 2 3 2 3 2 2 3 2 2 2" xfId="51953"/>
    <cellStyle name="Comma 2 2 2 2 2 2 3 2 3 2 2 3 2 2 2 2" xfId="54104"/>
    <cellStyle name="Comma 2 2 2 2 2 2 3 2 3 2 2 3 2 3" xfId="32279"/>
    <cellStyle name="Comma 2 2 2 2 2 2 3 2 3 2 2 3 3" xfId="30127"/>
    <cellStyle name="Comma 2 2 2 2 2 2 3 2 3 2 2 3 3 2" xfId="40642"/>
    <cellStyle name="Comma 2 2 2 2 2 2 3 2 3 2 2 4" xfId="10408"/>
    <cellStyle name="Comma 2 2 2 2 2 2 3 2 3 2 2 4 2" xfId="38437"/>
    <cellStyle name="Comma 2 2 2 2 2 2 3 2 3 2 2 4 2 2" xfId="45771"/>
    <cellStyle name="Comma 2 2 2 2 2 2 3 2 3 2 2 5" xfId="23894"/>
    <cellStyle name="Comma 2 2 2 2 2 2 3 2 3 2 3" xfId="5004"/>
    <cellStyle name="Comma 2 2 2 2 2 2 3 2 3 2 3 2" xfId="6451"/>
    <cellStyle name="Comma 2 2 2 2 2 2 3 2 3 2 3 2 2" xfId="18577"/>
    <cellStyle name="Comma 2 2 2 2 2 2 3 2 3 2 3 2 2 2" xfId="20006"/>
    <cellStyle name="Comma 2 2 2 2 2 2 3 2 3 2 3 2 2 2 2" xfId="53903"/>
    <cellStyle name="Comma 2 2 2 2 2 2 3 2 3 2 3 2 2 2 2 2" xfId="55332"/>
    <cellStyle name="Comma 2 2 2 2 2 2 3 2 3 2 3 2 2 3" xfId="33508"/>
    <cellStyle name="Comma 2 2 2 2 2 2 3 2 3 2 3 2 3" xfId="32078"/>
    <cellStyle name="Comma 2 2 2 2 2 2 3 2 3 2 3 2 3 2" xfId="41879"/>
    <cellStyle name="Comma 2 2 2 2 2 2 3 2 3 2 3 3" xfId="11675"/>
    <cellStyle name="Comma 2 2 2 2 2 2 3 2 3 2 3 3 2" xfId="40441"/>
    <cellStyle name="Comma 2 2 2 2 2 2 3 2 3 2 3 3 2 2" xfId="47024"/>
    <cellStyle name="Comma 2 2 2 2 2 2 3 2 3 2 3 4" xfId="25161"/>
    <cellStyle name="Comma 2 2 2 2 2 2 3 2 3 2 4" xfId="10207"/>
    <cellStyle name="Comma 2 2 2 2 2 2 3 2 3 2 4 2" xfId="14834"/>
    <cellStyle name="Comma 2 2 2 2 2 2 3 2 3 2 4 2 2" xfId="45570"/>
    <cellStyle name="Comma 2 2 2 2 2 2 3 2 3 2 4 2 2 2" xfId="50173"/>
    <cellStyle name="Comma 2 2 2 2 2 2 3 2 3 2 4 3" xfId="28346"/>
    <cellStyle name="Comma 2 2 2 2 2 2 3 2 3 2 5" xfId="23693"/>
    <cellStyle name="Comma 2 2 2 2 2 2 3 2 3 2 5 2" xfId="36642"/>
    <cellStyle name="Comma 2 2 2 2 2 2 3 2 3 3" xfId="1951"/>
    <cellStyle name="Comma 2 2 2 2 2 2 3 2 3 3 2" xfId="6241"/>
    <cellStyle name="Comma 2 2 2 2 2 2 3 2 3 3 2 2" xfId="7190"/>
    <cellStyle name="Comma 2 2 2 2 2 2 3 2 3 3 2 2 2" xfId="19798"/>
    <cellStyle name="Comma 2 2 2 2 2 2 3 2 3 3 2 2 2 2" xfId="20742"/>
    <cellStyle name="Comma 2 2 2 2 2 2 3 2 3 3 2 2 2 2 2" xfId="55124"/>
    <cellStyle name="Comma 2 2 2 2 2 2 3 2 3 3 2 2 2 2 2 2" xfId="56068"/>
    <cellStyle name="Comma 2 2 2 2 2 2 3 2 3 3 2 2 2 3" xfId="34245"/>
    <cellStyle name="Comma 2 2 2 2 2 2 3 2 3 3 2 2 3" xfId="33300"/>
    <cellStyle name="Comma 2 2 2 2 2 2 3 2 3 3 2 2 3 2" xfId="42617"/>
    <cellStyle name="Comma 2 2 2 2 2 2 3 2 3 3 2 3" xfId="12415"/>
    <cellStyle name="Comma 2 2 2 2 2 2 3 2 3 3 2 3 2" xfId="41670"/>
    <cellStyle name="Comma 2 2 2 2 2 2 3 2 3 3 2 3 2 2" xfId="47761"/>
    <cellStyle name="Comma 2 2 2 2 2 2 3 2 3 3 2 4" xfId="25899"/>
    <cellStyle name="Comma 2 2 2 2 2 2 3 2 3 3 3" xfId="11466"/>
    <cellStyle name="Comma 2 2 2 2 2 2 3 2 3 3 3 2" xfId="15616"/>
    <cellStyle name="Comma 2 2 2 2 2 2 3 2 3 3 3 2 2" xfId="46815"/>
    <cellStyle name="Comma 2 2 2 2 2 2 3 2 3 3 3 2 2 2" xfId="50948"/>
    <cellStyle name="Comma 2 2 2 2 2 2 3 2 3 3 3 3" xfId="29122"/>
    <cellStyle name="Comma 2 2 2 2 2 2 3 2 3 3 4" xfId="24952"/>
    <cellStyle name="Comma 2 2 2 2 2 2 3 2 3 3 4 2" xfId="37429"/>
    <cellStyle name="Comma 2 2 2 2 2 2 3 2 3 4" xfId="3965"/>
    <cellStyle name="Comma 2 2 2 2 2 2 3 2 3 4 2" xfId="14624"/>
    <cellStyle name="Comma 2 2 2 2 2 2 3 2 3 4 2 2" xfId="17565"/>
    <cellStyle name="Comma 2 2 2 2 2 2 3 2 3 4 2 2 2" xfId="49963"/>
    <cellStyle name="Comma 2 2 2 2 2 2 3 2 3 4 2 2 2 2" xfId="52892"/>
    <cellStyle name="Comma 2 2 2 2 2 2 3 2 3 4 2 3" xfId="31067"/>
    <cellStyle name="Comma 2 2 2 2 2 2 3 2 3 4 3" xfId="28135"/>
    <cellStyle name="Comma 2 2 2 2 2 2 3 2 3 4 3 2" xfId="39409"/>
    <cellStyle name="Comma 2 2 2 2 2 2 3 2 3 5" xfId="9158"/>
    <cellStyle name="Comma 2 2 2 2 2 2 3 2 3 5 2" xfId="36432"/>
    <cellStyle name="Comma 2 2 2 2 2 2 3 2 3 5 2 2" xfId="44545"/>
    <cellStyle name="Comma 2 2 2 2 2 2 3 2 3 6" xfId="22659"/>
    <cellStyle name="Comma 2 2 2 2 2 2 3 2 4" xfId="1726"/>
    <cellStyle name="Comma 2 2 2 2 2 2 3 2 4 2" xfId="2399"/>
    <cellStyle name="Comma 2 2 2 2 2 2 3 2 4 2 2" xfId="6979"/>
    <cellStyle name="Comma 2 2 2 2 2 2 3 2 4 2 2 2" xfId="7632"/>
    <cellStyle name="Comma 2 2 2 2 2 2 3 2 4 2 2 2 2" xfId="20532"/>
    <cellStyle name="Comma 2 2 2 2 2 2 3 2 4 2 2 2 2 2" xfId="21184"/>
    <cellStyle name="Comma 2 2 2 2 2 2 3 2 4 2 2 2 2 2 2" xfId="55858"/>
    <cellStyle name="Comma 2 2 2 2 2 2 3 2 4 2 2 2 2 2 2 2" xfId="56510"/>
    <cellStyle name="Comma 2 2 2 2 2 2 3 2 4 2 2 2 2 3" xfId="34687"/>
    <cellStyle name="Comma 2 2 2 2 2 2 3 2 4 2 2 2 3" xfId="34034"/>
    <cellStyle name="Comma 2 2 2 2 2 2 3 2 4 2 2 2 3 2" xfId="43059"/>
    <cellStyle name="Comma 2 2 2 2 2 2 3 2 4 2 2 3" xfId="12857"/>
    <cellStyle name="Comma 2 2 2 2 2 2 3 2 4 2 2 3 2" xfId="42407"/>
    <cellStyle name="Comma 2 2 2 2 2 2 3 2 4 2 2 3 2 2" xfId="48203"/>
    <cellStyle name="Comma 2 2 2 2 2 2 3 2 4 2 2 4" xfId="26341"/>
    <cellStyle name="Comma 2 2 2 2 2 2 3 2 4 2 3" xfId="12203"/>
    <cellStyle name="Comma 2 2 2 2 2 2 3 2 4 2 3 2" xfId="16062"/>
    <cellStyle name="Comma 2 2 2 2 2 2 3 2 4 2 3 2 2" xfId="47550"/>
    <cellStyle name="Comma 2 2 2 2 2 2 3 2 4 2 3 2 2 2" xfId="51394"/>
    <cellStyle name="Comma 2 2 2 2 2 2 3 2 4 2 3 3" xfId="29568"/>
    <cellStyle name="Comma 2 2 2 2 2 2 3 2 4 2 4" xfId="25688"/>
    <cellStyle name="Comma 2 2 2 2 2 2 3 2 4 2 4 2" xfId="37877"/>
    <cellStyle name="Comma 2 2 2 2 2 2 3 2 4 3" xfId="4434"/>
    <cellStyle name="Comma 2 2 2 2 2 2 3 2 4 3 2" xfId="15398"/>
    <cellStyle name="Comma 2 2 2 2 2 2 3 2 4 3 2 2" xfId="18025"/>
    <cellStyle name="Comma 2 2 2 2 2 2 3 2 4 3 2 2 2" xfId="50731"/>
    <cellStyle name="Comma 2 2 2 2 2 2 3 2 4 3 2 2 2 2" xfId="53351"/>
    <cellStyle name="Comma 2 2 2 2 2 2 3 2 4 3 2 3" xfId="31526"/>
    <cellStyle name="Comma 2 2 2 2 2 2 3 2 4 3 3" xfId="28905"/>
    <cellStyle name="Comma 2 2 2 2 2 2 3 2 4 3 3 2" xfId="39876"/>
    <cellStyle name="Comma 2 2 2 2 2 2 3 2 4 4" xfId="9637"/>
    <cellStyle name="Comma 2 2 2 2 2 2 3 2 4 4 2" xfId="37208"/>
    <cellStyle name="Comma 2 2 2 2 2 2 3 2 4 4 2 2" xfId="45017"/>
    <cellStyle name="Comma 2 2 2 2 2 2 3 2 4 5" xfId="23138"/>
    <cellStyle name="Comma 2 2 2 2 2 2 3 2 5" xfId="3731"/>
    <cellStyle name="Comma 2 2 2 2 2 2 3 2 5 2" xfId="5640"/>
    <cellStyle name="Comma 2 2 2 2 2 2 3 2 5 2 2" xfId="17347"/>
    <cellStyle name="Comma 2 2 2 2 2 2 3 2 5 2 2 2" xfId="19212"/>
    <cellStyle name="Comma 2 2 2 2 2 2 3 2 5 2 2 2 2" xfId="52674"/>
    <cellStyle name="Comma 2 2 2 2 2 2 3 2 5 2 2 2 2 2" xfId="54538"/>
    <cellStyle name="Comma 2 2 2 2 2 2 3 2 5 2 2 3" xfId="32713"/>
    <cellStyle name="Comma 2 2 2 2 2 2 3 2 5 2 3" xfId="30848"/>
    <cellStyle name="Comma 2 2 2 2 2 2 3 2 5 2 3 2" xfId="41076"/>
    <cellStyle name="Comma 2 2 2 2 2 2 3 2 5 3" xfId="10856"/>
    <cellStyle name="Comma 2 2 2 2 2 2 3 2 5 3 2" xfId="39182"/>
    <cellStyle name="Comma 2 2 2 2 2 2 3 2 5 3 2 2" xfId="46218"/>
    <cellStyle name="Comma 2 2 2 2 2 2 3 2 5 4" xfId="24348"/>
    <cellStyle name="Comma 2 2 2 2 2 2 3 2 6" xfId="8921"/>
    <cellStyle name="Comma 2 2 2 2 2 2 3 2 6 2" xfId="14024"/>
    <cellStyle name="Comma 2 2 2 2 2 2 3 2 6 2 2" xfId="44320"/>
    <cellStyle name="Comma 2 2 2 2 2 2 3 2 6 2 2 2" xfId="49370"/>
    <cellStyle name="Comma 2 2 2 2 2 2 3 2 6 3" xfId="27519"/>
    <cellStyle name="Comma 2 2 2 2 2 2 3 2 7" xfId="22428"/>
    <cellStyle name="Comma 2 2 2 2 2 2 3 2 7 2" xfId="35836"/>
    <cellStyle name="Comma 2 2 2 2 2 2 3 3" xfId="424"/>
    <cellStyle name="Comma 2 2 2 2 2 2 3 3 2" xfId="1122"/>
    <cellStyle name="Comma 2 2 2 2 2 2 3 3 2 2" xfId="1253"/>
    <cellStyle name="Comma 2 2 2 2 2 2 3 3 2 2 2" xfId="3147"/>
    <cellStyle name="Comma 2 2 2 2 2 2 3 3 2 2 2 2" xfId="3271"/>
    <cellStyle name="Comma 2 2 2 2 2 2 3 3 2 2 2 2 2" xfId="8362"/>
    <cellStyle name="Comma 2 2 2 2 2 2 3 3 2 2 2 2 2 2" xfId="8486"/>
    <cellStyle name="Comma 2 2 2 2 2 2 3 3 2 2 2 2 2 2 2" xfId="21914"/>
    <cellStyle name="Comma 2 2 2 2 2 2 3 3 2 2 2 2 2 2 2 2" xfId="22038"/>
    <cellStyle name="Comma 2 2 2 2 2 2 3 3 2 2 2 2 2 2 2 2 2" xfId="57240"/>
    <cellStyle name="Comma 2 2 2 2 2 2 3 3 2 2 2 2 2 2 2 2 2 2" xfId="57364"/>
    <cellStyle name="Comma 2 2 2 2 2 2 3 3 2 2 2 2 2 2 2 3" xfId="35541"/>
    <cellStyle name="Comma 2 2 2 2 2 2 3 3 2 2 2 2 2 2 3" xfId="35417"/>
    <cellStyle name="Comma 2 2 2 2 2 2 3 3 2 2 2 2 2 2 3 2" xfId="43913"/>
    <cellStyle name="Comma 2 2 2 2 2 2 3 3 2 2 2 2 2 3" xfId="13711"/>
    <cellStyle name="Comma 2 2 2 2 2 2 3 3 2 2 2 2 2 3 2" xfId="43789"/>
    <cellStyle name="Comma 2 2 2 2 2 2 3 3 2 2 2 2 2 3 2 2" xfId="49057"/>
    <cellStyle name="Comma 2 2 2 2 2 2 3 3 2 2 2 2 2 4" xfId="27196"/>
    <cellStyle name="Comma 2 2 2 2 2 2 3 3 2 2 2 2 3" xfId="13587"/>
    <cellStyle name="Comma 2 2 2 2 2 2 3 3 2 2 2 2 3 2" xfId="16928"/>
    <cellStyle name="Comma 2 2 2 2 2 2 3 3 2 2 2 2 3 2 2" xfId="48933"/>
    <cellStyle name="Comma 2 2 2 2 2 2 3 3 2 2 2 2 3 2 2 2" xfId="52256"/>
    <cellStyle name="Comma 2 2 2 2 2 2 3 3 2 2 2 2 3 3" xfId="30430"/>
    <cellStyle name="Comma 2 2 2 2 2 2 3 3 2 2 2 2 4" xfId="27072"/>
    <cellStyle name="Comma 2 2 2 2 2 2 3 3 2 2 2 2 4 2" xfId="38740"/>
    <cellStyle name="Comma 2 2 2 2 2 2 3 3 2 2 2 3" xfId="5308"/>
    <cellStyle name="Comma 2 2 2 2 2 2 3 3 2 2 2 3 2" xfId="16804"/>
    <cellStyle name="Comma 2 2 2 2 2 2 3 3 2 2 2 3 2 2" xfId="18881"/>
    <cellStyle name="Comma 2 2 2 2 2 2 3 3 2 2 2 3 2 2 2" xfId="52132"/>
    <cellStyle name="Comma 2 2 2 2 2 2 3 3 2 2 2 3 2 2 2 2" xfId="54207"/>
    <cellStyle name="Comma 2 2 2 2 2 2 3 3 2 2 2 3 2 3" xfId="32382"/>
    <cellStyle name="Comma 2 2 2 2 2 2 3 3 2 2 2 3 3" xfId="30306"/>
    <cellStyle name="Comma 2 2 2 2 2 2 3 3 2 2 2 3 3 2" xfId="40745"/>
    <cellStyle name="Comma 2 2 2 2 2 2 3 3 2 2 2 4" xfId="10511"/>
    <cellStyle name="Comma 2 2 2 2 2 2 3 3 2 2 2 4 2" xfId="38616"/>
    <cellStyle name="Comma 2 2 2 2 2 2 3 3 2 2 2 4 2 2" xfId="45874"/>
    <cellStyle name="Comma 2 2 2 2 2 2 3 3 2 2 2 5" xfId="23997"/>
    <cellStyle name="Comma 2 2 2 2 2 2 3 3 2 2 3" xfId="5184"/>
    <cellStyle name="Comma 2 2 2 2 2 2 3 3 2 2 3 2" xfId="6561"/>
    <cellStyle name="Comma 2 2 2 2 2 2 3 3 2 2 3 2 2" xfId="18757"/>
    <cellStyle name="Comma 2 2 2 2 2 2 3 3 2 2 3 2 2 2" xfId="20114"/>
    <cellStyle name="Comma 2 2 2 2 2 2 3 3 2 2 3 2 2 2 2" xfId="54083"/>
    <cellStyle name="Comma 2 2 2 2 2 2 3 3 2 2 3 2 2 2 2 2" xfId="55440"/>
    <cellStyle name="Comma 2 2 2 2 2 2 3 3 2 2 3 2 2 3" xfId="33616"/>
    <cellStyle name="Comma 2 2 2 2 2 2 3 3 2 2 3 2 3" xfId="32258"/>
    <cellStyle name="Comma 2 2 2 2 2 2 3 3 2 2 3 2 3 2" xfId="41989"/>
    <cellStyle name="Comma 2 2 2 2 2 2 3 3 2 2 3 3" xfId="11784"/>
    <cellStyle name="Comma 2 2 2 2 2 2 3 3 2 2 3 3 2" xfId="40621"/>
    <cellStyle name="Comma 2 2 2 2 2 2 3 3 2 2 3 3 2 2" xfId="47132"/>
    <cellStyle name="Comma 2 2 2 2 2 2 3 3 2 2 3 4" xfId="25269"/>
    <cellStyle name="Comma 2 2 2 2 2 2 3 3 2 2 4" xfId="10387"/>
    <cellStyle name="Comma 2 2 2 2 2 2 3 3 2 2 4 2" xfId="14942"/>
    <cellStyle name="Comma 2 2 2 2 2 2 3 3 2 2 4 2 2" xfId="45750"/>
    <cellStyle name="Comma 2 2 2 2 2 2 3 3 2 2 4 2 2 2" xfId="50281"/>
    <cellStyle name="Comma 2 2 2 2 2 2 3 3 2 2 4 3" xfId="28455"/>
    <cellStyle name="Comma 2 2 2 2 2 2 3 3 2 2 5" xfId="23873"/>
    <cellStyle name="Comma 2 2 2 2 2 2 3 3 2 2 5 2" xfId="36750"/>
    <cellStyle name="Comma 2 2 2 2 2 2 3 3 2 3" xfId="2059"/>
    <cellStyle name="Comma 2 2 2 2 2 2 3 3 2 3 2" xfId="6430"/>
    <cellStyle name="Comma 2 2 2 2 2 2 3 3 2 3 2 2" xfId="7293"/>
    <cellStyle name="Comma 2 2 2 2 2 2 3 3 2 3 2 2 2" xfId="19985"/>
    <cellStyle name="Comma 2 2 2 2 2 2 3 3 2 3 2 2 2 2" xfId="20845"/>
    <cellStyle name="Comma 2 2 2 2 2 2 3 3 2 3 2 2 2 2 2" xfId="55311"/>
    <cellStyle name="Comma 2 2 2 2 2 2 3 3 2 3 2 2 2 2 2 2" xfId="56171"/>
    <cellStyle name="Comma 2 2 2 2 2 2 3 3 2 3 2 2 2 3" xfId="34348"/>
    <cellStyle name="Comma 2 2 2 2 2 2 3 3 2 3 2 2 3" xfId="33487"/>
    <cellStyle name="Comma 2 2 2 2 2 2 3 3 2 3 2 2 3 2" xfId="42720"/>
    <cellStyle name="Comma 2 2 2 2 2 2 3 3 2 3 2 3" xfId="12518"/>
    <cellStyle name="Comma 2 2 2 2 2 2 3 3 2 3 2 3 2" xfId="41858"/>
    <cellStyle name="Comma 2 2 2 2 2 2 3 3 2 3 2 3 2 2" xfId="47864"/>
    <cellStyle name="Comma 2 2 2 2 2 2 3 3 2 3 2 4" xfId="26002"/>
    <cellStyle name="Comma 2 2 2 2 2 2 3 3 2 3 3" xfId="11654"/>
    <cellStyle name="Comma 2 2 2 2 2 2 3 3 2 3 3 2" xfId="15723"/>
    <cellStyle name="Comma 2 2 2 2 2 2 3 3 2 3 3 2 2" xfId="47003"/>
    <cellStyle name="Comma 2 2 2 2 2 2 3 3 2 3 3 2 2 2" xfId="51055"/>
    <cellStyle name="Comma 2 2 2 2 2 2 3 3 2 3 3 3" xfId="29229"/>
    <cellStyle name="Comma 2 2 2 2 2 2 3 3 2 3 4" xfId="25140"/>
    <cellStyle name="Comma 2 2 2 2 2 2 3 3 2 3 4 2" xfId="37537"/>
    <cellStyle name="Comma 2 2 2 2 2 2 3 3 2 4" xfId="4075"/>
    <cellStyle name="Comma 2 2 2 2 2 2 3 3 2 4 2" xfId="14813"/>
    <cellStyle name="Comma 2 2 2 2 2 2 3 3 2 4 2 2" xfId="17668"/>
    <cellStyle name="Comma 2 2 2 2 2 2 3 3 2 4 2 2 2" xfId="50152"/>
    <cellStyle name="Comma 2 2 2 2 2 2 3 3 2 4 2 2 2 2" xfId="52995"/>
    <cellStyle name="Comma 2 2 2 2 2 2 3 3 2 4 2 3" xfId="31170"/>
    <cellStyle name="Comma 2 2 2 2 2 2 3 3 2 4 3" xfId="28325"/>
    <cellStyle name="Comma 2 2 2 2 2 2 3 3 2 4 3 2" xfId="39518"/>
    <cellStyle name="Comma 2 2 2 2 2 2 3 3 2 5" xfId="9266"/>
    <cellStyle name="Comma 2 2 2 2 2 2 3 3 2 5 2" xfId="36621"/>
    <cellStyle name="Comma 2 2 2 2 2 2 3 3 2 5 2 2" xfId="44648"/>
    <cellStyle name="Comma 2 2 2 2 2 2 3 3 2 6" xfId="22762"/>
    <cellStyle name="Comma 2 2 2 2 2 2 3 3 3" xfId="1930"/>
    <cellStyle name="Comma 2 2 2 2 2 2 3 3 3 2" xfId="2526"/>
    <cellStyle name="Comma 2 2 2 2 2 2 3 3 3 2 2" xfId="7169"/>
    <cellStyle name="Comma 2 2 2 2 2 2 3 3 3 2 2 2" xfId="7751"/>
    <cellStyle name="Comma 2 2 2 2 2 2 3 3 3 2 2 2 2" xfId="20721"/>
    <cellStyle name="Comma 2 2 2 2 2 2 3 3 3 2 2 2 2 2" xfId="21303"/>
    <cellStyle name="Comma 2 2 2 2 2 2 3 3 3 2 2 2 2 2 2" xfId="56047"/>
    <cellStyle name="Comma 2 2 2 2 2 2 3 3 3 2 2 2 2 2 2 2" xfId="56629"/>
    <cellStyle name="Comma 2 2 2 2 2 2 3 3 3 2 2 2 2 3" xfId="34806"/>
    <cellStyle name="Comma 2 2 2 2 2 2 3 3 3 2 2 2 3" xfId="34224"/>
    <cellStyle name="Comma 2 2 2 2 2 2 3 3 3 2 2 2 3 2" xfId="43178"/>
    <cellStyle name="Comma 2 2 2 2 2 2 3 3 3 2 2 3" xfId="12976"/>
    <cellStyle name="Comma 2 2 2 2 2 2 3 3 3 2 2 3 2" xfId="42596"/>
    <cellStyle name="Comma 2 2 2 2 2 2 3 3 3 2 2 3 2 2" xfId="48322"/>
    <cellStyle name="Comma 2 2 2 2 2 2 3 3 3 2 2 4" xfId="26460"/>
    <cellStyle name="Comma 2 2 2 2 2 2 3 3 3 2 3" xfId="12394"/>
    <cellStyle name="Comma 2 2 2 2 2 2 3 3 3 2 3 2" xfId="16187"/>
    <cellStyle name="Comma 2 2 2 2 2 2 3 3 3 2 3 2 2" xfId="47740"/>
    <cellStyle name="Comma 2 2 2 2 2 2 3 3 3 2 3 2 2 2" xfId="51518"/>
    <cellStyle name="Comma 2 2 2 2 2 2 3 3 3 2 3 3" xfId="29692"/>
    <cellStyle name="Comma 2 2 2 2 2 2 3 3 3 2 4" xfId="25878"/>
    <cellStyle name="Comma 2 2 2 2 2 2 3 3 3 2 4 2" xfId="38001"/>
    <cellStyle name="Comma 2 2 2 2 2 2 3 3 3 3" xfId="4561"/>
    <cellStyle name="Comma 2 2 2 2 2 2 3 3 3 3 2" xfId="15595"/>
    <cellStyle name="Comma 2 2 2 2 2 2 3 3 3 3 2 2" xfId="18144"/>
    <cellStyle name="Comma 2 2 2 2 2 2 3 3 3 3 2 2 2" xfId="50927"/>
    <cellStyle name="Comma 2 2 2 2 2 2 3 3 3 3 2 2 2 2" xfId="53470"/>
    <cellStyle name="Comma 2 2 2 2 2 2 3 3 3 3 2 3" xfId="31645"/>
    <cellStyle name="Comma 2 2 2 2 2 2 3 3 3 3 3" xfId="29101"/>
    <cellStyle name="Comma 2 2 2 2 2 2 3 3 3 3 3 2" xfId="40002"/>
    <cellStyle name="Comma 2 2 2 2 2 2 3 3 3 4" xfId="9764"/>
    <cellStyle name="Comma 2 2 2 2 2 2 3 3 3 4 2" xfId="37408"/>
    <cellStyle name="Comma 2 2 2 2 2 2 3 3 3 4 2 2" xfId="45137"/>
    <cellStyle name="Comma 2 2 2 2 2 2 3 3 3 5" xfId="23260"/>
    <cellStyle name="Comma 2 2 2 2 2 2 3 3 4" xfId="3944"/>
    <cellStyle name="Comma 2 2 2 2 2 2 3 3 4 2" xfId="5767"/>
    <cellStyle name="Comma 2 2 2 2 2 2 3 3 4 2 2" xfId="17544"/>
    <cellStyle name="Comma 2 2 2 2 2 2 3 3 4 2 2 2" xfId="19336"/>
    <cellStyle name="Comma 2 2 2 2 2 2 3 3 4 2 2 2 2" xfId="52871"/>
    <cellStyle name="Comma 2 2 2 2 2 2 3 3 4 2 2 2 2 2" xfId="54662"/>
    <cellStyle name="Comma 2 2 2 2 2 2 3 3 4 2 2 3" xfId="32837"/>
    <cellStyle name="Comma 2 2 2 2 2 2 3 3 4 2 3" xfId="31046"/>
    <cellStyle name="Comma 2 2 2 2 2 2 3 3 4 2 3 2" xfId="41202"/>
    <cellStyle name="Comma 2 2 2 2 2 2 3 3 4 3" xfId="10988"/>
    <cellStyle name="Comma 2 2 2 2 2 2 3 3 4 3 2" xfId="39388"/>
    <cellStyle name="Comma 2 2 2 2 2 2 3 3 4 3 2 2" xfId="46347"/>
    <cellStyle name="Comma 2 2 2 2 2 2 3 3 4 4" xfId="24481"/>
    <cellStyle name="Comma 2 2 2 2 2 2 3 3 5" xfId="9136"/>
    <cellStyle name="Comma 2 2 2 2 2 2 3 3 5 2" xfId="14151"/>
    <cellStyle name="Comma 2 2 2 2 2 2 3 3 5 2 2" xfId="44524"/>
    <cellStyle name="Comma 2 2 2 2 2 2 3 3 5 2 2 2" xfId="49496"/>
    <cellStyle name="Comma 2 2 2 2 2 2 3 3 5 3" xfId="27653"/>
    <cellStyle name="Comma 2 2 2 2 2 2 3 3 6" xfId="22638"/>
    <cellStyle name="Comma 2 2 2 2 2 2 3 3 6 2" xfId="35962"/>
    <cellStyle name="Comma 2 2 2 2 2 2 3 4" xfId="745"/>
    <cellStyle name="Comma 2 2 2 2 2 2 3 4 2" xfId="2378"/>
    <cellStyle name="Comma 2 2 2 2 2 2 3 4 2 2" xfId="2815"/>
    <cellStyle name="Comma 2 2 2 2 2 2 3 4 2 2 2" xfId="7611"/>
    <cellStyle name="Comma 2 2 2 2 2 2 3 4 2 2 2 2" xfId="8031"/>
    <cellStyle name="Comma 2 2 2 2 2 2 3 4 2 2 2 2 2" xfId="21163"/>
    <cellStyle name="Comma 2 2 2 2 2 2 3 4 2 2 2 2 2 2" xfId="21583"/>
    <cellStyle name="Comma 2 2 2 2 2 2 3 4 2 2 2 2 2 2 2" xfId="56489"/>
    <cellStyle name="Comma 2 2 2 2 2 2 3 4 2 2 2 2 2 2 2 2" xfId="56909"/>
    <cellStyle name="Comma 2 2 2 2 2 2 3 4 2 2 2 2 2 3" xfId="35086"/>
    <cellStyle name="Comma 2 2 2 2 2 2 3 4 2 2 2 2 3" xfId="34666"/>
    <cellStyle name="Comma 2 2 2 2 2 2 3 4 2 2 2 2 3 2" xfId="43458"/>
    <cellStyle name="Comma 2 2 2 2 2 2 3 4 2 2 2 3" xfId="13256"/>
    <cellStyle name="Comma 2 2 2 2 2 2 3 4 2 2 2 3 2" xfId="43038"/>
    <cellStyle name="Comma 2 2 2 2 2 2 3 4 2 2 2 3 2 2" xfId="48602"/>
    <cellStyle name="Comma 2 2 2 2 2 2 3 4 2 2 2 4" xfId="26740"/>
    <cellStyle name="Comma 2 2 2 2 2 2 3 4 2 2 3" xfId="12836"/>
    <cellStyle name="Comma 2 2 2 2 2 2 3 4 2 2 3 2" xfId="16473"/>
    <cellStyle name="Comma 2 2 2 2 2 2 3 4 2 2 3 2 2" xfId="48182"/>
    <cellStyle name="Comma 2 2 2 2 2 2 3 4 2 2 3 2 2 2" xfId="51801"/>
    <cellStyle name="Comma 2 2 2 2 2 2 3 4 2 2 3 3" xfId="29975"/>
    <cellStyle name="Comma 2 2 2 2 2 2 3 4 2 2 4" xfId="26320"/>
    <cellStyle name="Comma 2 2 2 2 2 2 3 4 2 2 4 2" xfId="38285"/>
    <cellStyle name="Comma 2 2 2 2 2 2 3 4 2 3" xfId="4851"/>
    <cellStyle name="Comma 2 2 2 2 2 2 3 4 2 3 2" xfId="16041"/>
    <cellStyle name="Comma 2 2 2 2 2 2 3 4 2 3 2 2" xfId="18425"/>
    <cellStyle name="Comma 2 2 2 2 2 2 3 4 2 3 2 2 2" xfId="51373"/>
    <cellStyle name="Comma 2 2 2 2 2 2 3 4 2 3 2 2 2 2" xfId="53751"/>
    <cellStyle name="Comma 2 2 2 2 2 2 3 4 2 3 2 3" xfId="31926"/>
    <cellStyle name="Comma 2 2 2 2 2 2 3 4 2 3 3" xfId="29547"/>
    <cellStyle name="Comma 2 2 2 2 2 2 3 4 2 3 3 2" xfId="40288"/>
    <cellStyle name="Comma 2 2 2 2 2 2 3 4 2 4" xfId="10054"/>
    <cellStyle name="Comma 2 2 2 2 2 2 3 4 2 4 2" xfId="37856"/>
    <cellStyle name="Comma 2 2 2 2 2 2 3 4 2 4 2 2" xfId="45418"/>
    <cellStyle name="Comma 2 2 2 2 2 2 3 4 2 5" xfId="23541"/>
    <cellStyle name="Comma 2 2 2 2 2 2 3 4 3" xfId="4412"/>
    <cellStyle name="Comma 2 2 2 2 2 2 3 4 3 2" xfId="6067"/>
    <cellStyle name="Comma 2 2 2 2 2 2 3 4 3 2 2" xfId="18003"/>
    <cellStyle name="Comma 2 2 2 2 2 2 3 4 3 2 2 2" xfId="19631"/>
    <cellStyle name="Comma 2 2 2 2 2 2 3 4 3 2 2 2 2" xfId="53329"/>
    <cellStyle name="Comma 2 2 2 2 2 2 3 4 3 2 2 2 2 2" xfId="54957"/>
    <cellStyle name="Comma 2 2 2 2 2 2 3 4 3 2 2 3" xfId="33132"/>
    <cellStyle name="Comma 2 2 2 2 2 2 3 4 3 2 3" xfId="31504"/>
    <cellStyle name="Comma 2 2 2 2 2 2 3 4 3 2 3 2" xfId="41501"/>
    <cellStyle name="Comma 2 2 2 2 2 2 3 4 3 3" xfId="11293"/>
    <cellStyle name="Comma 2 2 2 2 2 2 3 4 3 3 2" xfId="39854"/>
    <cellStyle name="Comma 2 2 2 2 2 2 3 4 3 3 2 2" xfId="46648"/>
    <cellStyle name="Comma 2 2 2 2 2 2 3 4 3 4" xfId="24785"/>
    <cellStyle name="Comma 2 2 2 2 2 2 3 4 4" xfId="9615"/>
    <cellStyle name="Comma 2 2 2 2 2 2 3 4 4 2" xfId="14451"/>
    <cellStyle name="Comma 2 2 2 2 2 2 3 4 4 2 2" xfId="44995"/>
    <cellStyle name="Comma 2 2 2 2 2 2 3 4 4 2 2 2" xfId="49795"/>
    <cellStyle name="Comma 2 2 2 2 2 2 3 4 4 3" xfId="27963"/>
    <cellStyle name="Comma 2 2 2 2 2 2 3 4 5" xfId="23116"/>
    <cellStyle name="Comma 2 2 2 2 2 2 3 4 5 2" xfId="36263"/>
    <cellStyle name="Comma 2 2 2 2 2 2 3 5" xfId="1530"/>
    <cellStyle name="Comma 2 2 2 2 2 2 3 5 2" xfId="5619"/>
    <cellStyle name="Comma 2 2 2 2 2 2 3 5 2 2" xfId="6817"/>
    <cellStyle name="Comma 2 2 2 2 2 2 3 5 2 2 2" xfId="19191"/>
    <cellStyle name="Comma 2 2 2 2 2 2 3 5 2 2 2 2" xfId="20370"/>
    <cellStyle name="Comma 2 2 2 2 2 2 3 5 2 2 2 2 2" xfId="54517"/>
    <cellStyle name="Comma 2 2 2 2 2 2 3 5 2 2 2 2 2 2" xfId="55696"/>
    <cellStyle name="Comma 2 2 2 2 2 2 3 5 2 2 2 3" xfId="33872"/>
    <cellStyle name="Comma 2 2 2 2 2 2 3 5 2 2 3" xfId="32692"/>
    <cellStyle name="Comma 2 2 2 2 2 2 3 5 2 2 3 2" xfId="42245"/>
    <cellStyle name="Comma 2 2 2 2 2 2 3 5 2 3" xfId="12041"/>
    <cellStyle name="Comma 2 2 2 2 2 2 3 5 2 3 2" xfId="41055"/>
    <cellStyle name="Comma 2 2 2 2 2 2 3 5 2 3 2 2" xfId="47388"/>
    <cellStyle name="Comma 2 2 2 2 2 2 3 5 2 4" xfId="25526"/>
    <cellStyle name="Comma 2 2 2 2 2 2 3 5 3" xfId="10835"/>
    <cellStyle name="Comma 2 2 2 2 2 2 3 5 3 2" xfId="15210"/>
    <cellStyle name="Comma 2 2 2 2 2 2 3 5 3 2 2" xfId="46197"/>
    <cellStyle name="Comma 2 2 2 2 2 2 3 5 3 2 2 2" xfId="50548"/>
    <cellStyle name="Comma 2 2 2 2 2 2 3 5 3 3" xfId="28722"/>
    <cellStyle name="Comma 2 2 2 2 2 2 3 5 4" xfId="24327"/>
    <cellStyle name="Comma 2 2 2 2 2 2 3 5 4 2" xfId="37020"/>
    <cellStyle name="Comma 2 2 2 2 2 2 3 6" xfId="3531"/>
    <cellStyle name="Comma 2 2 2 2 2 2 3 6 2" xfId="14003"/>
    <cellStyle name="Comma 2 2 2 2 2 2 3 6 2 2" xfId="17182"/>
    <cellStyle name="Comma 2 2 2 2 2 2 3 6 2 2 2" xfId="49349"/>
    <cellStyle name="Comma 2 2 2 2 2 2 3 6 2 2 2 2" xfId="52509"/>
    <cellStyle name="Comma 2 2 2 2 2 2 3 6 2 3" xfId="30683"/>
    <cellStyle name="Comma 2 2 2 2 2 2 3 6 3" xfId="27497"/>
    <cellStyle name="Comma 2 2 2 2 2 2 3 6 3 2" xfId="38995"/>
    <cellStyle name="Comma 2 2 2 2 2 2 3 7" xfId="8725"/>
    <cellStyle name="Comma 2 2 2 2 2 2 3 7 2" xfId="35815"/>
    <cellStyle name="Comma 2 2 2 2 2 2 3 7 2 2" xfId="44150"/>
    <cellStyle name="Comma 2 2 2 2 2 2 3 8" xfId="22254"/>
    <cellStyle name="Comma 2 2 2 2 2 2 4" xfId="397"/>
    <cellStyle name="Comma 2 2 2 2 2 2 4 2" xfId="496"/>
    <cellStyle name="Comma 2 2 2 2 2 2 4 2 2" xfId="1228"/>
    <cellStyle name="Comma 2 2 2 2 2 2 4 2 2 2" xfId="1309"/>
    <cellStyle name="Comma 2 2 2 2 2 2 4 2 2 2 2" xfId="3246"/>
    <cellStyle name="Comma 2 2 2 2 2 2 4 2 2 2 2 2" xfId="3327"/>
    <cellStyle name="Comma 2 2 2 2 2 2 4 2 2 2 2 2 2" xfId="8461"/>
    <cellStyle name="Comma 2 2 2 2 2 2 4 2 2 2 2 2 2 2" xfId="8542"/>
    <cellStyle name="Comma 2 2 2 2 2 2 4 2 2 2 2 2 2 2 2" xfId="22013"/>
    <cellStyle name="Comma 2 2 2 2 2 2 4 2 2 2 2 2 2 2 2 2" xfId="22094"/>
    <cellStyle name="Comma 2 2 2 2 2 2 4 2 2 2 2 2 2 2 2 2 2" xfId="57339"/>
    <cellStyle name="Comma 2 2 2 2 2 2 4 2 2 2 2 2 2 2 2 2 2 2" xfId="57420"/>
    <cellStyle name="Comma 2 2 2 2 2 2 4 2 2 2 2 2 2 2 2 3" xfId="35597"/>
    <cellStyle name="Comma 2 2 2 2 2 2 4 2 2 2 2 2 2 2 3" xfId="35516"/>
    <cellStyle name="Comma 2 2 2 2 2 2 4 2 2 2 2 2 2 2 3 2" xfId="43969"/>
    <cellStyle name="Comma 2 2 2 2 2 2 4 2 2 2 2 2 2 3" xfId="13767"/>
    <cellStyle name="Comma 2 2 2 2 2 2 4 2 2 2 2 2 2 3 2" xfId="43888"/>
    <cellStyle name="Comma 2 2 2 2 2 2 4 2 2 2 2 2 2 3 2 2" xfId="49113"/>
    <cellStyle name="Comma 2 2 2 2 2 2 4 2 2 2 2 2 2 4" xfId="27252"/>
    <cellStyle name="Comma 2 2 2 2 2 2 4 2 2 2 2 2 3" xfId="13686"/>
    <cellStyle name="Comma 2 2 2 2 2 2 4 2 2 2 2 2 3 2" xfId="16984"/>
    <cellStyle name="Comma 2 2 2 2 2 2 4 2 2 2 2 2 3 2 2" xfId="49032"/>
    <cellStyle name="Comma 2 2 2 2 2 2 4 2 2 2 2 2 3 2 2 2" xfId="52312"/>
    <cellStyle name="Comma 2 2 2 2 2 2 4 2 2 2 2 2 3 3" xfId="30486"/>
    <cellStyle name="Comma 2 2 2 2 2 2 4 2 2 2 2 2 4" xfId="27171"/>
    <cellStyle name="Comma 2 2 2 2 2 2 4 2 2 2 2 2 4 2" xfId="38796"/>
    <cellStyle name="Comma 2 2 2 2 2 2 4 2 2 2 2 3" xfId="5364"/>
    <cellStyle name="Comma 2 2 2 2 2 2 4 2 2 2 2 3 2" xfId="16903"/>
    <cellStyle name="Comma 2 2 2 2 2 2 4 2 2 2 2 3 2 2" xfId="18937"/>
    <cellStyle name="Comma 2 2 2 2 2 2 4 2 2 2 2 3 2 2 2" xfId="52231"/>
    <cellStyle name="Comma 2 2 2 2 2 2 4 2 2 2 2 3 2 2 2 2" xfId="54263"/>
    <cellStyle name="Comma 2 2 2 2 2 2 4 2 2 2 2 3 2 3" xfId="32438"/>
    <cellStyle name="Comma 2 2 2 2 2 2 4 2 2 2 2 3 3" xfId="30405"/>
    <cellStyle name="Comma 2 2 2 2 2 2 4 2 2 2 2 3 3 2" xfId="40801"/>
    <cellStyle name="Comma 2 2 2 2 2 2 4 2 2 2 2 4" xfId="10567"/>
    <cellStyle name="Comma 2 2 2 2 2 2 4 2 2 2 2 4 2" xfId="38715"/>
    <cellStyle name="Comma 2 2 2 2 2 2 4 2 2 2 2 4 2 2" xfId="45930"/>
    <cellStyle name="Comma 2 2 2 2 2 2 4 2 2 2 2 5" xfId="24053"/>
    <cellStyle name="Comma 2 2 2 2 2 2 4 2 2 2 3" xfId="5283"/>
    <cellStyle name="Comma 2 2 2 2 2 2 4 2 2 2 3 2" xfId="6617"/>
    <cellStyle name="Comma 2 2 2 2 2 2 4 2 2 2 3 2 2" xfId="18856"/>
    <cellStyle name="Comma 2 2 2 2 2 2 4 2 2 2 3 2 2 2" xfId="20170"/>
    <cellStyle name="Comma 2 2 2 2 2 2 4 2 2 2 3 2 2 2 2" xfId="54182"/>
    <cellStyle name="Comma 2 2 2 2 2 2 4 2 2 2 3 2 2 2 2 2" xfId="55496"/>
    <cellStyle name="Comma 2 2 2 2 2 2 4 2 2 2 3 2 2 3" xfId="33672"/>
    <cellStyle name="Comma 2 2 2 2 2 2 4 2 2 2 3 2 3" xfId="32357"/>
    <cellStyle name="Comma 2 2 2 2 2 2 4 2 2 2 3 2 3 2" xfId="42045"/>
    <cellStyle name="Comma 2 2 2 2 2 2 4 2 2 2 3 3" xfId="11840"/>
    <cellStyle name="Comma 2 2 2 2 2 2 4 2 2 2 3 3 2" xfId="40720"/>
    <cellStyle name="Comma 2 2 2 2 2 2 4 2 2 2 3 3 2 2" xfId="47188"/>
    <cellStyle name="Comma 2 2 2 2 2 2 4 2 2 2 3 4" xfId="25325"/>
    <cellStyle name="Comma 2 2 2 2 2 2 4 2 2 2 4" xfId="10486"/>
    <cellStyle name="Comma 2 2 2 2 2 2 4 2 2 2 4 2" xfId="14998"/>
    <cellStyle name="Comma 2 2 2 2 2 2 4 2 2 2 4 2 2" xfId="45849"/>
    <cellStyle name="Comma 2 2 2 2 2 2 4 2 2 2 4 2 2 2" xfId="50337"/>
    <cellStyle name="Comma 2 2 2 2 2 2 4 2 2 2 4 3" xfId="28511"/>
    <cellStyle name="Comma 2 2 2 2 2 2 4 2 2 2 5" xfId="23972"/>
    <cellStyle name="Comma 2 2 2 2 2 2 4 2 2 2 5 2" xfId="36806"/>
    <cellStyle name="Comma 2 2 2 2 2 2 4 2 2 3" xfId="2116"/>
    <cellStyle name="Comma 2 2 2 2 2 2 4 2 2 3 2" xfId="6536"/>
    <cellStyle name="Comma 2 2 2 2 2 2 4 2 2 3 2 2" xfId="7350"/>
    <cellStyle name="Comma 2 2 2 2 2 2 4 2 2 3 2 2 2" xfId="20089"/>
    <cellStyle name="Comma 2 2 2 2 2 2 4 2 2 3 2 2 2 2" xfId="20902"/>
    <cellStyle name="Comma 2 2 2 2 2 2 4 2 2 3 2 2 2 2 2" xfId="55415"/>
    <cellStyle name="Comma 2 2 2 2 2 2 4 2 2 3 2 2 2 2 2 2" xfId="56228"/>
    <cellStyle name="Comma 2 2 2 2 2 2 4 2 2 3 2 2 2 3" xfId="34405"/>
    <cellStyle name="Comma 2 2 2 2 2 2 4 2 2 3 2 2 3" xfId="33591"/>
    <cellStyle name="Comma 2 2 2 2 2 2 4 2 2 3 2 2 3 2" xfId="42777"/>
    <cellStyle name="Comma 2 2 2 2 2 2 4 2 2 3 2 3" xfId="12575"/>
    <cellStyle name="Comma 2 2 2 2 2 2 4 2 2 3 2 3 2" xfId="41964"/>
    <cellStyle name="Comma 2 2 2 2 2 2 4 2 2 3 2 3 2 2" xfId="47921"/>
    <cellStyle name="Comma 2 2 2 2 2 2 4 2 2 3 2 4" xfId="26059"/>
    <cellStyle name="Comma 2 2 2 2 2 2 4 2 2 3 3" xfId="11759"/>
    <cellStyle name="Comma 2 2 2 2 2 2 4 2 2 3 3 2" xfId="15780"/>
    <cellStyle name="Comma 2 2 2 2 2 2 4 2 2 3 3 2 2" xfId="47107"/>
    <cellStyle name="Comma 2 2 2 2 2 2 4 2 2 3 3 2 2 2" xfId="51112"/>
    <cellStyle name="Comma 2 2 2 2 2 2 4 2 2 3 3 3" xfId="29286"/>
    <cellStyle name="Comma 2 2 2 2 2 2 4 2 2 3 4" xfId="25244"/>
    <cellStyle name="Comma 2 2 2 2 2 2 4 2 2 3 4 2" xfId="37594"/>
    <cellStyle name="Comma 2 2 2 2 2 2 4 2 2 4" xfId="4132"/>
    <cellStyle name="Comma 2 2 2 2 2 2 4 2 2 4 2" xfId="14917"/>
    <cellStyle name="Comma 2 2 2 2 2 2 4 2 2 4 2 2" xfId="17725"/>
    <cellStyle name="Comma 2 2 2 2 2 2 4 2 2 4 2 2 2" xfId="50256"/>
    <cellStyle name="Comma 2 2 2 2 2 2 4 2 2 4 2 2 2 2" xfId="53052"/>
    <cellStyle name="Comma 2 2 2 2 2 2 4 2 2 4 2 3" xfId="31227"/>
    <cellStyle name="Comma 2 2 2 2 2 2 4 2 2 4 3" xfId="28430"/>
    <cellStyle name="Comma 2 2 2 2 2 2 4 2 2 4 3 2" xfId="39575"/>
    <cellStyle name="Comma 2 2 2 2 2 2 4 2 2 5" xfId="9323"/>
    <cellStyle name="Comma 2 2 2 2 2 2 4 2 2 5 2" xfId="36725"/>
    <cellStyle name="Comma 2 2 2 2 2 2 4 2 2 5 2 2" xfId="44705"/>
    <cellStyle name="Comma 2 2 2 2 2 2 4 2 2 6" xfId="22819"/>
    <cellStyle name="Comma 2 2 2 2 2 2 4 2 3" xfId="2034"/>
    <cellStyle name="Comma 2 2 2 2 2 2 4 2 3 2" xfId="2593"/>
    <cellStyle name="Comma 2 2 2 2 2 2 4 2 3 2 2" xfId="7268"/>
    <cellStyle name="Comma 2 2 2 2 2 2 4 2 3 2 2 2" xfId="7814"/>
    <cellStyle name="Comma 2 2 2 2 2 2 4 2 3 2 2 2 2" xfId="20820"/>
    <cellStyle name="Comma 2 2 2 2 2 2 4 2 3 2 2 2 2 2" xfId="21366"/>
    <cellStyle name="Comma 2 2 2 2 2 2 4 2 3 2 2 2 2 2 2" xfId="56146"/>
    <cellStyle name="Comma 2 2 2 2 2 2 4 2 3 2 2 2 2 2 2 2" xfId="56692"/>
    <cellStyle name="Comma 2 2 2 2 2 2 4 2 3 2 2 2 2 3" xfId="34869"/>
    <cellStyle name="Comma 2 2 2 2 2 2 4 2 3 2 2 2 3" xfId="34323"/>
    <cellStyle name="Comma 2 2 2 2 2 2 4 2 3 2 2 2 3 2" xfId="43241"/>
    <cellStyle name="Comma 2 2 2 2 2 2 4 2 3 2 2 3" xfId="13039"/>
    <cellStyle name="Comma 2 2 2 2 2 2 4 2 3 2 2 3 2" xfId="42695"/>
    <cellStyle name="Comma 2 2 2 2 2 2 4 2 3 2 2 3 2 2" xfId="48385"/>
    <cellStyle name="Comma 2 2 2 2 2 2 4 2 3 2 2 4" xfId="26523"/>
    <cellStyle name="Comma 2 2 2 2 2 2 4 2 3 2 3" xfId="12493"/>
    <cellStyle name="Comma 2 2 2 2 2 2 4 2 3 2 3 2" xfId="16252"/>
    <cellStyle name="Comma 2 2 2 2 2 2 4 2 3 2 3 2 2" xfId="47839"/>
    <cellStyle name="Comma 2 2 2 2 2 2 4 2 3 2 3 2 2 2" xfId="51582"/>
    <cellStyle name="Comma 2 2 2 2 2 2 4 2 3 2 3 3" xfId="29756"/>
    <cellStyle name="Comma 2 2 2 2 2 2 4 2 3 2 4" xfId="25977"/>
    <cellStyle name="Comma 2 2 2 2 2 2 4 2 3 2 4 2" xfId="38066"/>
    <cellStyle name="Comma 2 2 2 2 2 2 4 2 3 3" xfId="4627"/>
    <cellStyle name="Comma 2 2 2 2 2 2 4 2 3 3 2" xfId="15698"/>
    <cellStyle name="Comma 2 2 2 2 2 2 4 2 3 3 2 2" xfId="18208"/>
    <cellStyle name="Comma 2 2 2 2 2 2 4 2 3 3 2 2 2" xfId="51030"/>
    <cellStyle name="Comma 2 2 2 2 2 2 4 2 3 3 2 2 2 2" xfId="53534"/>
    <cellStyle name="Comma 2 2 2 2 2 2 4 2 3 3 2 3" xfId="31709"/>
    <cellStyle name="Comma 2 2 2 2 2 2 4 2 3 3 3" xfId="29204"/>
    <cellStyle name="Comma 2 2 2 2 2 2 4 2 3 3 3 2" xfId="40066"/>
    <cellStyle name="Comma 2 2 2 2 2 2 4 2 3 4" xfId="9831"/>
    <cellStyle name="Comma 2 2 2 2 2 2 4 2 3 4 2" xfId="37512"/>
    <cellStyle name="Comma 2 2 2 2 2 2 4 2 3 4 2 2" xfId="45201"/>
    <cellStyle name="Comma 2 2 2 2 2 2 4 2 3 5" xfId="23324"/>
    <cellStyle name="Comma 2 2 2 2 2 2 4 2 4" xfId="4050"/>
    <cellStyle name="Comma 2 2 2 2 2 2 4 2 4 2" xfId="5832"/>
    <cellStyle name="Comma 2 2 2 2 2 2 4 2 4 2 2" xfId="17643"/>
    <cellStyle name="Comma 2 2 2 2 2 2 4 2 4 2 2 2" xfId="19400"/>
    <cellStyle name="Comma 2 2 2 2 2 2 4 2 4 2 2 2 2" xfId="52970"/>
    <cellStyle name="Comma 2 2 2 2 2 2 4 2 4 2 2 2 2 2" xfId="54726"/>
    <cellStyle name="Comma 2 2 2 2 2 2 4 2 4 2 2 3" xfId="32901"/>
    <cellStyle name="Comma 2 2 2 2 2 2 4 2 4 2 3" xfId="31145"/>
    <cellStyle name="Comma 2 2 2 2 2 2 4 2 4 2 3 2" xfId="41267"/>
    <cellStyle name="Comma 2 2 2 2 2 2 4 2 4 3" xfId="11055"/>
    <cellStyle name="Comma 2 2 2 2 2 2 4 2 4 3 2" xfId="39493"/>
    <cellStyle name="Comma 2 2 2 2 2 2 4 2 4 3 2 2" xfId="46414"/>
    <cellStyle name="Comma 2 2 2 2 2 2 4 2 4 4" xfId="24549"/>
    <cellStyle name="Comma 2 2 2 2 2 2 4 2 5" xfId="9241"/>
    <cellStyle name="Comma 2 2 2 2 2 2 4 2 5 2" xfId="14216"/>
    <cellStyle name="Comma 2 2 2 2 2 2 4 2 5 2 2" xfId="44623"/>
    <cellStyle name="Comma 2 2 2 2 2 2 4 2 5 2 2 2" xfId="49561"/>
    <cellStyle name="Comma 2 2 2 2 2 2 4 2 5 3" xfId="27723"/>
    <cellStyle name="Comma 2 2 2 2 2 2 4 2 6" xfId="22737"/>
    <cellStyle name="Comma 2 2 2 2 2 2 4 2 6 2" xfId="36028"/>
    <cellStyle name="Comma 2 2 2 2 2 2 4 3" xfId="822"/>
    <cellStyle name="Comma 2 2 2 2 2 2 4 3 2" xfId="2499"/>
    <cellStyle name="Comma 2 2 2 2 2 2 4 3 2 2" xfId="2876"/>
    <cellStyle name="Comma 2 2 2 2 2 2 4 3 2 2 2" xfId="7724"/>
    <cellStyle name="Comma 2 2 2 2 2 2 4 3 2 2 2 2" xfId="8092"/>
    <cellStyle name="Comma 2 2 2 2 2 2 4 3 2 2 2 2 2" xfId="21276"/>
    <cellStyle name="Comma 2 2 2 2 2 2 4 3 2 2 2 2 2 2" xfId="21644"/>
    <cellStyle name="Comma 2 2 2 2 2 2 4 3 2 2 2 2 2 2 2" xfId="56602"/>
    <cellStyle name="Comma 2 2 2 2 2 2 4 3 2 2 2 2 2 2 2 2" xfId="56970"/>
    <cellStyle name="Comma 2 2 2 2 2 2 4 3 2 2 2 2 2 3" xfId="35147"/>
    <cellStyle name="Comma 2 2 2 2 2 2 4 3 2 2 2 2 3" xfId="34779"/>
    <cellStyle name="Comma 2 2 2 2 2 2 4 3 2 2 2 2 3 2" xfId="43519"/>
    <cellStyle name="Comma 2 2 2 2 2 2 4 3 2 2 2 3" xfId="13317"/>
    <cellStyle name="Comma 2 2 2 2 2 2 4 3 2 2 2 3 2" xfId="43151"/>
    <cellStyle name="Comma 2 2 2 2 2 2 4 3 2 2 2 3 2 2" xfId="48663"/>
    <cellStyle name="Comma 2 2 2 2 2 2 4 3 2 2 2 4" xfId="26801"/>
    <cellStyle name="Comma 2 2 2 2 2 2 4 3 2 2 3" xfId="12949"/>
    <cellStyle name="Comma 2 2 2 2 2 2 4 3 2 2 3 2" xfId="16534"/>
    <cellStyle name="Comma 2 2 2 2 2 2 4 3 2 2 3 2 2" xfId="48295"/>
    <cellStyle name="Comma 2 2 2 2 2 2 4 3 2 2 3 2 2 2" xfId="51862"/>
    <cellStyle name="Comma 2 2 2 2 2 2 4 3 2 2 3 3" xfId="30036"/>
    <cellStyle name="Comma 2 2 2 2 2 2 4 3 2 2 4" xfId="26433"/>
    <cellStyle name="Comma 2 2 2 2 2 2 4 3 2 2 4 2" xfId="38346"/>
    <cellStyle name="Comma 2 2 2 2 2 2 4 3 2 3" xfId="4912"/>
    <cellStyle name="Comma 2 2 2 2 2 2 4 3 2 3 2" xfId="16160"/>
    <cellStyle name="Comma 2 2 2 2 2 2 4 3 2 3 2 2" xfId="18486"/>
    <cellStyle name="Comma 2 2 2 2 2 2 4 3 2 3 2 2 2" xfId="51491"/>
    <cellStyle name="Comma 2 2 2 2 2 2 4 3 2 3 2 2 2 2" xfId="53812"/>
    <cellStyle name="Comma 2 2 2 2 2 2 4 3 2 3 2 3" xfId="31987"/>
    <cellStyle name="Comma 2 2 2 2 2 2 4 3 2 3 3" xfId="29665"/>
    <cellStyle name="Comma 2 2 2 2 2 2 4 3 2 3 3 2" xfId="40349"/>
    <cellStyle name="Comma 2 2 2 2 2 2 4 3 2 4" xfId="10115"/>
    <cellStyle name="Comma 2 2 2 2 2 2 4 3 2 4 2" xfId="37974"/>
    <cellStyle name="Comma 2 2 2 2 2 2 4 3 2 4 2 2" xfId="45479"/>
    <cellStyle name="Comma 2 2 2 2 2 2 4 3 2 5" xfId="23602"/>
    <cellStyle name="Comma 2 2 2 2 2 2 4 3 3" xfId="4534"/>
    <cellStyle name="Comma 2 2 2 2 2 2 4 3 3 2" xfId="6137"/>
    <cellStyle name="Comma 2 2 2 2 2 2 4 3 3 2 2" xfId="18117"/>
    <cellStyle name="Comma 2 2 2 2 2 2 4 3 3 2 2 2" xfId="19698"/>
    <cellStyle name="Comma 2 2 2 2 2 2 4 3 3 2 2 2 2" xfId="53443"/>
    <cellStyle name="Comma 2 2 2 2 2 2 4 3 3 2 2 2 2 2" xfId="55024"/>
    <cellStyle name="Comma 2 2 2 2 2 2 4 3 3 2 2 3" xfId="33199"/>
    <cellStyle name="Comma 2 2 2 2 2 2 4 3 3 2 3" xfId="31618"/>
    <cellStyle name="Comma 2 2 2 2 2 2 4 3 3 2 3 2" xfId="41569"/>
    <cellStyle name="Comma 2 2 2 2 2 2 4 3 3 3" xfId="11363"/>
    <cellStyle name="Comma 2 2 2 2 2 2 4 3 3 3 2" xfId="39975"/>
    <cellStyle name="Comma 2 2 2 2 2 2 4 3 3 3 2 2" xfId="46715"/>
    <cellStyle name="Comma 2 2 2 2 2 2 4 3 3 4" xfId="24852"/>
    <cellStyle name="Comma 2 2 2 2 2 2 4 3 4" xfId="9737"/>
    <cellStyle name="Comma 2 2 2 2 2 2 4 3 4 2" xfId="14520"/>
    <cellStyle name="Comma 2 2 2 2 2 2 4 3 4 2 2" xfId="45110"/>
    <cellStyle name="Comma 2 2 2 2 2 2 4 3 4 2 2 2" xfId="49862"/>
    <cellStyle name="Comma 2 2 2 2 2 2 4 3 4 3" xfId="28032"/>
    <cellStyle name="Comma 2 2 2 2 2 2 4 3 5" xfId="23233"/>
    <cellStyle name="Comma 2 2 2 2 2 2 4 3 5 2" xfId="36330"/>
    <cellStyle name="Comma 2 2 2 2 2 2 4 4" xfId="1612"/>
    <cellStyle name="Comma 2 2 2 2 2 2 4 4 2" xfId="5740"/>
    <cellStyle name="Comma 2 2 2 2 2 2 4 4 2 2" xfId="6882"/>
    <cellStyle name="Comma 2 2 2 2 2 2 4 4 2 2 2" xfId="19309"/>
    <cellStyle name="Comma 2 2 2 2 2 2 4 4 2 2 2 2" xfId="20435"/>
    <cellStyle name="Comma 2 2 2 2 2 2 4 4 2 2 2 2 2" xfId="54635"/>
    <cellStyle name="Comma 2 2 2 2 2 2 4 4 2 2 2 2 2 2" xfId="55761"/>
    <cellStyle name="Comma 2 2 2 2 2 2 4 4 2 2 2 3" xfId="33937"/>
    <cellStyle name="Comma 2 2 2 2 2 2 4 4 2 2 3" xfId="32810"/>
    <cellStyle name="Comma 2 2 2 2 2 2 4 4 2 2 3 2" xfId="42310"/>
    <cellStyle name="Comma 2 2 2 2 2 2 4 4 2 3" xfId="12106"/>
    <cellStyle name="Comma 2 2 2 2 2 2 4 4 2 3 2" xfId="41175"/>
    <cellStyle name="Comma 2 2 2 2 2 2 4 4 2 3 2 2" xfId="47453"/>
    <cellStyle name="Comma 2 2 2 2 2 2 4 4 2 4" xfId="25591"/>
    <cellStyle name="Comma 2 2 2 2 2 2 4 4 3" xfId="10961"/>
    <cellStyle name="Comma 2 2 2 2 2 2 4 4 3 2" xfId="15288"/>
    <cellStyle name="Comma 2 2 2 2 2 2 4 4 3 2 2" xfId="46320"/>
    <cellStyle name="Comma 2 2 2 2 2 2 4 4 3 2 2 2" xfId="50623"/>
    <cellStyle name="Comma 2 2 2 2 2 2 4 4 3 3" xfId="28797"/>
    <cellStyle name="Comma 2 2 2 2 2 2 4 4 4" xfId="24454"/>
    <cellStyle name="Comma 2 2 2 2 2 2 4 4 4 2" xfId="37098"/>
    <cellStyle name="Comma 2 2 2 2 2 2 4 5" xfId="3615"/>
    <cellStyle name="Comma 2 2 2 2 2 2 4 5 2" xfId="14124"/>
    <cellStyle name="Comma 2 2 2 2 2 2 4 5 2 2" xfId="17250"/>
    <cellStyle name="Comma 2 2 2 2 2 2 4 5 2 2 2" xfId="49469"/>
    <cellStyle name="Comma 2 2 2 2 2 2 4 5 2 2 2 2" xfId="52577"/>
    <cellStyle name="Comma 2 2 2 2 2 2 4 5 2 3" xfId="30751"/>
    <cellStyle name="Comma 2 2 2 2 2 2 4 5 3" xfId="27626"/>
    <cellStyle name="Comma 2 2 2 2 2 2 4 5 3 2" xfId="39071"/>
    <cellStyle name="Comma 2 2 2 2 2 2 4 6" xfId="8809"/>
    <cellStyle name="Comma 2 2 2 2 2 2 4 6 2" xfId="35935"/>
    <cellStyle name="Comma 2 2 2 2 2 2 4 6 2 2" xfId="44220"/>
    <cellStyle name="Comma 2 2 2 2 2 2 4 7" xfId="22326"/>
    <cellStyle name="Comma 2 2 2 2 2 2 5" xfId="711"/>
    <cellStyle name="Comma 2 2 2 2 2 2 5 2" xfId="1002"/>
    <cellStyle name="Comma 2 2 2 2 2 2 5 2 2" xfId="2783"/>
    <cellStyle name="Comma 2 2 2 2 2 2 5 2 2 2" xfId="3039"/>
    <cellStyle name="Comma 2 2 2 2 2 2 5 2 2 2 2" xfId="8000"/>
    <cellStyle name="Comma 2 2 2 2 2 2 5 2 2 2 2 2" xfId="8254"/>
    <cellStyle name="Comma 2 2 2 2 2 2 5 2 2 2 2 2 2" xfId="21552"/>
    <cellStyle name="Comma 2 2 2 2 2 2 5 2 2 2 2 2 2 2" xfId="21806"/>
    <cellStyle name="Comma 2 2 2 2 2 2 5 2 2 2 2 2 2 2 2" xfId="56878"/>
    <cellStyle name="Comma 2 2 2 2 2 2 5 2 2 2 2 2 2 2 2 2" xfId="57132"/>
    <cellStyle name="Comma 2 2 2 2 2 2 5 2 2 2 2 2 2 3" xfId="35309"/>
    <cellStyle name="Comma 2 2 2 2 2 2 5 2 2 2 2 2 3" xfId="35055"/>
    <cellStyle name="Comma 2 2 2 2 2 2 5 2 2 2 2 2 3 2" xfId="43681"/>
    <cellStyle name="Comma 2 2 2 2 2 2 5 2 2 2 2 3" xfId="13479"/>
    <cellStyle name="Comma 2 2 2 2 2 2 5 2 2 2 2 3 2" xfId="43427"/>
    <cellStyle name="Comma 2 2 2 2 2 2 5 2 2 2 2 3 2 2" xfId="48825"/>
    <cellStyle name="Comma 2 2 2 2 2 2 5 2 2 2 2 4" xfId="26964"/>
    <cellStyle name="Comma 2 2 2 2 2 2 5 2 2 2 3" xfId="13225"/>
    <cellStyle name="Comma 2 2 2 2 2 2 5 2 2 2 3 2" xfId="16696"/>
    <cellStyle name="Comma 2 2 2 2 2 2 5 2 2 2 3 2 2" xfId="48571"/>
    <cellStyle name="Comma 2 2 2 2 2 2 5 2 2 2 3 2 2 2" xfId="52024"/>
    <cellStyle name="Comma 2 2 2 2 2 2 5 2 2 2 3 3" xfId="30198"/>
    <cellStyle name="Comma 2 2 2 2 2 2 5 2 2 2 4" xfId="26709"/>
    <cellStyle name="Comma 2 2 2 2 2 2 5 2 2 2 4 2" xfId="38508"/>
    <cellStyle name="Comma 2 2 2 2 2 2 5 2 2 3" xfId="5076"/>
    <cellStyle name="Comma 2 2 2 2 2 2 5 2 2 3 2" xfId="16442"/>
    <cellStyle name="Comma 2 2 2 2 2 2 5 2 2 3 2 2" xfId="18649"/>
    <cellStyle name="Comma 2 2 2 2 2 2 5 2 2 3 2 2 2" xfId="51770"/>
    <cellStyle name="Comma 2 2 2 2 2 2 5 2 2 3 2 2 2 2" xfId="53975"/>
    <cellStyle name="Comma 2 2 2 2 2 2 5 2 2 3 2 3" xfId="32150"/>
    <cellStyle name="Comma 2 2 2 2 2 2 5 2 2 3 3" xfId="29944"/>
    <cellStyle name="Comma 2 2 2 2 2 2 5 2 2 3 3 2" xfId="40513"/>
    <cellStyle name="Comma 2 2 2 2 2 2 5 2 2 4" xfId="10279"/>
    <cellStyle name="Comma 2 2 2 2 2 2 5 2 2 4 2" xfId="38254"/>
    <cellStyle name="Comma 2 2 2 2 2 2 5 2 2 4 2 2" xfId="45642"/>
    <cellStyle name="Comma 2 2 2 2 2 2 5 2 2 5" xfId="23765"/>
    <cellStyle name="Comma 2 2 2 2 2 2 5 2 3" xfId="4819"/>
    <cellStyle name="Comma 2 2 2 2 2 2 5 2 3 2" xfId="6312"/>
    <cellStyle name="Comma 2 2 2 2 2 2 5 2 3 2 2" xfId="18394"/>
    <cellStyle name="Comma 2 2 2 2 2 2 5 2 3 2 2 2" xfId="19869"/>
    <cellStyle name="Comma 2 2 2 2 2 2 5 2 3 2 2 2 2" xfId="53720"/>
    <cellStyle name="Comma 2 2 2 2 2 2 5 2 3 2 2 2 2 2" xfId="55195"/>
    <cellStyle name="Comma 2 2 2 2 2 2 5 2 3 2 2 3" xfId="33371"/>
    <cellStyle name="Comma 2 2 2 2 2 2 5 2 3 2 3" xfId="31895"/>
    <cellStyle name="Comma 2 2 2 2 2 2 5 2 3 2 3 2" xfId="41741"/>
    <cellStyle name="Comma 2 2 2 2 2 2 5 2 3 3" xfId="11538"/>
    <cellStyle name="Comma 2 2 2 2 2 2 5 2 3 3 2" xfId="40256"/>
    <cellStyle name="Comma 2 2 2 2 2 2 5 2 3 3 2 2" xfId="46887"/>
    <cellStyle name="Comma 2 2 2 2 2 2 5 2 3 4" xfId="25024"/>
    <cellStyle name="Comma 2 2 2 2 2 2 5 2 4" xfId="10022"/>
    <cellStyle name="Comma 2 2 2 2 2 2 5 2 4 2" xfId="14695"/>
    <cellStyle name="Comma 2 2 2 2 2 2 5 2 4 2 2" xfId="45387"/>
    <cellStyle name="Comma 2 2 2 2 2 2 5 2 4 2 2 2" xfId="50034"/>
    <cellStyle name="Comma 2 2 2 2 2 2 5 2 4 3" xfId="28207"/>
    <cellStyle name="Comma 2 2 2 2 2 2 5 2 5" xfId="23510"/>
    <cellStyle name="Comma 2 2 2 2 2 2 5 2 5 2" xfId="36503"/>
    <cellStyle name="Comma 2 2 2 2 2 2 5 3" xfId="1799"/>
    <cellStyle name="Comma 2 2 2 2 2 2 5 3 2" xfId="6036"/>
    <cellStyle name="Comma 2 2 2 2 2 2 5 3 2 2" xfId="7051"/>
    <cellStyle name="Comma 2 2 2 2 2 2 5 3 2 2 2" xfId="19600"/>
    <cellStyle name="Comma 2 2 2 2 2 2 5 3 2 2 2 2" xfId="20604"/>
    <cellStyle name="Comma 2 2 2 2 2 2 5 3 2 2 2 2 2" xfId="54926"/>
    <cellStyle name="Comma 2 2 2 2 2 2 5 3 2 2 2 2 2 2" xfId="55930"/>
    <cellStyle name="Comma 2 2 2 2 2 2 5 3 2 2 2 3" xfId="34106"/>
    <cellStyle name="Comma 2 2 2 2 2 2 5 3 2 2 3" xfId="33101"/>
    <cellStyle name="Comma 2 2 2 2 2 2 5 3 2 2 3 2" xfId="42479"/>
    <cellStyle name="Comma 2 2 2 2 2 2 5 3 2 3" xfId="12275"/>
    <cellStyle name="Comma 2 2 2 2 2 2 5 3 2 3 2" xfId="41470"/>
    <cellStyle name="Comma 2 2 2 2 2 2 5 3 2 3 2 2" xfId="47622"/>
    <cellStyle name="Comma 2 2 2 2 2 2 5 3 2 4" xfId="25760"/>
    <cellStyle name="Comma 2 2 2 2 2 2 5 3 3" xfId="11261"/>
    <cellStyle name="Comma 2 2 2 2 2 2 5 3 3 2" xfId="15471"/>
    <cellStyle name="Comma 2 2 2 2 2 2 5 3 3 2 2" xfId="46616"/>
    <cellStyle name="Comma 2 2 2 2 2 2 5 3 3 2 2 2" xfId="50804"/>
    <cellStyle name="Comma 2 2 2 2 2 2 5 3 3 3" xfId="28978"/>
    <cellStyle name="Comma 2 2 2 2 2 2 5 3 4" xfId="24753"/>
    <cellStyle name="Comma 2 2 2 2 2 2 5 3 4 2" xfId="37281"/>
    <cellStyle name="Comma 2 2 2 2 2 2 5 4" xfId="3806"/>
    <cellStyle name="Comma 2 2 2 2 2 2 5 4 2" xfId="14419"/>
    <cellStyle name="Comma 2 2 2 2 2 2 5 4 2 2" xfId="17421"/>
    <cellStyle name="Comma 2 2 2 2 2 2 5 4 2 2 2" xfId="49764"/>
    <cellStyle name="Comma 2 2 2 2 2 2 5 4 2 2 2 2" xfId="52748"/>
    <cellStyle name="Comma 2 2 2 2 2 2 5 4 2 3" xfId="30922"/>
    <cellStyle name="Comma 2 2 2 2 2 2 5 4 3" xfId="27932"/>
    <cellStyle name="Comma 2 2 2 2 2 2 5 4 3 2" xfId="39256"/>
    <cellStyle name="Comma 2 2 2 2 2 2 5 5" xfId="8996"/>
    <cellStyle name="Comma 2 2 2 2 2 2 5 5 2" xfId="36232"/>
    <cellStyle name="Comma 2 2 2 2 2 2 5 5 2 2" xfId="44394"/>
    <cellStyle name="Comma 2 2 2 2 2 2 5 6" xfId="22502"/>
    <cellStyle name="Comma 2 2 2 2 2 2 6" xfId="1490"/>
    <cellStyle name="Comma 2 2 2 2 2 2 6 2" xfId="1859"/>
    <cellStyle name="Comma 2 2 2 2 2 2 6 2 2" xfId="6781"/>
    <cellStyle name="Comma 2 2 2 2 2 2 6 2 2 2" xfId="7109"/>
    <cellStyle name="Comma 2 2 2 2 2 2 6 2 2 2 2" xfId="20334"/>
    <cellStyle name="Comma 2 2 2 2 2 2 6 2 2 2 2 2" xfId="20661"/>
    <cellStyle name="Comma 2 2 2 2 2 2 6 2 2 2 2 2 2" xfId="55660"/>
    <cellStyle name="Comma 2 2 2 2 2 2 6 2 2 2 2 2 2 2" xfId="55987"/>
    <cellStyle name="Comma 2 2 2 2 2 2 6 2 2 2 2 3" xfId="34164"/>
    <cellStyle name="Comma 2 2 2 2 2 2 6 2 2 2 3" xfId="33836"/>
    <cellStyle name="Comma 2 2 2 2 2 2 6 2 2 2 3 2" xfId="42536"/>
    <cellStyle name="Comma 2 2 2 2 2 2 6 2 2 3" xfId="12334"/>
    <cellStyle name="Comma 2 2 2 2 2 2 6 2 2 3 2" xfId="42209"/>
    <cellStyle name="Comma 2 2 2 2 2 2 6 2 2 3 2 2" xfId="47680"/>
    <cellStyle name="Comma 2 2 2 2 2 2 6 2 2 4" xfId="25818"/>
    <cellStyle name="Comma 2 2 2 2 2 2 6 2 3" xfId="12004"/>
    <cellStyle name="Comma 2 2 2 2 2 2 6 2 3 2" xfId="15530"/>
    <cellStyle name="Comma 2 2 2 2 2 2 6 2 3 2 2" xfId="47352"/>
    <cellStyle name="Comma 2 2 2 2 2 2 6 2 3 2 2 2" xfId="50862"/>
    <cellStyle name="Comma 2 2 2 2 2 2 6 2 3 3" xfId="29036"/>
    <cellStyle name="Comma 2 2 2 2 2 2 6 2 4" xfId="25489"/>
    <cellStyle name="Comma 2 2 2 2 2 2 6 2 4 2" xfId="37340"/>
    <cellStyle name="Comma 2 2 2 2 2 2 6 3" xfId="3873"/>
    <cellStyle name="Comma 2 2 2 2 2 2 6 3 2" xfId="15174"/>
    <cellStyle name="Comma 2 2 2 2 2 2 6 3 2 2" xfId="17484"/>
    <cellStyle name="Comma 2 2 2 2 2 2 6 3 2 2 2" xfId="50512"/>
    <cellStyle name="Comma 2 2 2 2 2 2 6 3 2 2 2 2" xfId="52811"/>
    <cellStyle name="Comma 2 2 2 2 2 2 6 3 2 3" xfId="30986"/>
    <cellStyle name="Comma 2 2 2 2 2 2 6 3 3" xfId="28686"/>
    <cellStyle name="Comma 2 2 2 2 2 2 6 3 3 2" xfId="39321"/>
    <cellStyle name="Comma 2 2 2 2 2 2 6 4" xfId="9067"/>
    <cellStyle name="Comma 2 2 2 2 2 2 6 4 2" xfId="36984"/>
    <cellStyle name="Comma 2 2 2 2 2 2 6 4 2 2" xfId="44463"/>
    <cellStyle name="Comma 2 2 2 2 2 2 6 5" xfId="22574"/>
    <cellStyle name="Comma 2 2 2 2 2 2 7" xfId="3489"/>
    <cellStyle name="Comma 2 2 2 2 2 2 7 2" xfId="4426"/>
    <cellStyle name="Comma 2 2 2 2 2 2 7 2 2" xfId="17143"/>
    <cellStyle name="Comma 2 2 2 2 2 2 7 2 2 2" xfId="18017"/>
    <cellStyle name="Comma 2 2 2 2 2 2 7 2 2 2 2" xfId="52471"/>
    <cellStyle name="Comma 2 2 2 2 2 2 7 2 2 2 2 2" xfId="53343"/>
    <cellStyle name="Comma 2 2 2 2 2 2 7 2 2 3" xfId="31518"/>
    <cellStyle name="Comma 2 2 2 2 2 2 7 2 3" xfId="30645"/>
    <cellStyle name="Comma 2 2 2 2 2 2 7 2 3 2" xfId="39868"/>
    <cellStyle name="Comma 2 2 2 2 2 2 7 3" xfId="9629"/>
    <cellStyle name="Comma 2 2 2 2 2 2 7 3 2" xfId="38956"/>
    <cellStyle name="Comma 2 2 2 2 2 2 7 3 2 2" xfId="45009"/>
    <cellStyle name="Comma 2 2 2 2 2 2 7 4" xfId="23130"/>
    <cellStyle name="Comma 2 2 2 2 2 2 8" xfId="6005"/>
    <cellStyle name="Comma 2 2 2 2 2 2 8 2" xfId="6081"/>
    <cellStyle name="Comma 2 2 2 2 2 2 8 2 2" xfId="41439"/>
    <cellStyle name="Comma 2 2 2 2 2 2 8 2 2 2" xfId="41514"/>
    <cellStyle name="Comma 2 2 2 2 2 2 8 3" xfId="8897"/>
    <cellStyle name="Comma 2 2 2 2 2 2 9" xfId="9778"/>
    <cellStyle name="Comma 2 2 2 2 2 2 9 2" xfId="22317"/>
    <cellStyle name="Comma 2 2 2 2 2 3" xfId="130"/>
    <cellStyle name="Comma 2 2 2 2 2 3 2" xfId="277"/>
    <cellStyle name="Comma 2 2 2 2 2 3 2 2" xfId="310"/>
    <cellStyle name="Comma 2 2 2 2 2 3 2 2 2" xfId="621"/>
    <cellStyle name="Comma 2 2 2 2 2 3 2 2 2 2" xfId="639"/>
    <cellStyle name="Comma 2 2 2 2 2 3 2 2 2 2 2" xfId="1417"/>
    <cellStyle name="Comma 2 2 2 2 2 3 2 2 2 2 2 2" xfId="1435"/>
    <cellStyle name="Comma 2 2 2 2 2 3 2 2 2 2 2 2 2" xfId="3435"/>
    <cellStyle name="Comma 2 2 2 2 2 3 2 2 2 2 2 2 2 2" xfId="3453"/>
    <cellStyle name="Comma 2 2 2 2 2 3 2 2 2 2 2 2 2 2 2" xfId="8650"/>
    <cellStyle name="Comma 2 2 2 2 2 3 2 2 2 2 2 2 2 2 2 2" xfId="8668"/>
    <cellStyle name="Comma 2 2 2 2 2 3 2 2 2 2 2 2 2 2 2 2 2" xfId="22202"/>
    <cellStyle name="Comma 2 2 2 2 2 3 2 2 2 2 2 2 2 2 2 2 2 2" xfId="22220"/>
    <cellStyle name="Comma 2 2 2 2 2 3 2 2 2 2 2 2 2 2 2 2 2 2 2" xfId="57528"/>
    <cellStyle name="Comma 2 2 2 2 2 3 2 2 2 2 2 2 2 2 2 2 2 2 2 2" xfId="57546"/>
    <cellStyle name="Comma 2 2 2 2 2 3 2 2 2 2 2 2 2 2 2 2 2 3" xfId="35723"/>
    <cellStyle name="Comma 2 2 2 2 2 3 2 2 2 2 2 2 2 2 2 2 3" xfId="35705"/>
    <cellStyle name="Comma 2 2 2 2 2 3 2 2 2 2 2 2 2 2 2 2 3 2" xfId="44095"/>
    <cellStyle name="Comma 2 2 2 2 2 3 2 2 2 2 2 2 2 2 2 3" xfId="13893"/>
    <cellStyle name="Comma 2 2 2 2 2 3 2 2 2 2 2 2 2 2 2 3 2" xfId="44077"/>
    <cellStyle name="Comma 2 2 2 2 2 3 2 2 2 2 2 2 2 2 2 3 2 2" xfId="49239"/>
    <cellStyle name="Comma 2 2 2 2 2 3 2 2 2 2 2 2 2 2 2 4" xfId="27378"/>
    <cellStyle name="Comma 2 2 2 2 2 3 2 2 2 2 2 2 2 2 3" xfId="13875"/>
    <cellStyle name="Comma 2 2 2 2 2 3 2 2 2 2 2 2 2 2 3 2" xfId="17110"/>
    <cellStyle name="Comma 2 2 2 2 2 3 2 2 2 2 2 2 2 2 3 2 2" xfId="49221"/>
    <cellStyle name="Comma 2 2 2 2 2 3 2 2 2 2 2 2 2 2 3 2 2 2" xfId="52438"/>
    <cellStyle name="Comma 2 2 2 2 2 3 2 2 2 2 2 2 2 2 3 3" xfId="30612"/>
    <cellStyle name="Comma 2 2 2 2 2 3 2 2 2 2 2 2 2 2 4" xfId="27360"/>
    <cellStyle name="Comma 2 2 2 2 2 3 2 2 2 2 2 2 2 2 4 2" xfId="38922"/>
    <cellStyle name="Comma 2 2 2 2 2 3 2 2 2 2 2 2 2 3" xfId="5490"/>
    <cellStyle name="Comma 2 2 2 2 2 3 2 2 2 2 2 2 2 3 2" xfId="17092"/>
    <cellStyle name="Comma 2 2 2 2 2 3 2 2 2 2 2 2 2 3 2 2" xfId="19063"/>
    <cellStyle name="Comma 2 2 2 2 2 3 2 2 2 2 2 2 2 3 2 2 2" xfId="52420"/>
    <cellStyle name="Comma 2 2 2 2 2 3 2 2 2 2 2 2 2 3 2 2 2 2" xfId="54389"/>
    <cellStyle name="Comma 2 2 2 2 2 3 2 2 2 2 2 2 2 3 2 3" xfId="32564"/>
    <cellStyle name="Comma 2 2 2 2 2 3 2 2 2 2 2 2 2 3 3" xfId="30594"/>
    <cellStyle name="Comma 2 2 2 2 2 3 2 2 2 2 2 2 2 3 3 2" xfId="40927"/>
    <cellStyle name="Comma 2 2 2 2 2 3 2 2 2 2 2 2 2 4" xfId="10693"/>
    <cellStyle name="Comma 2 2 2 2 2 3 2 2 2 2 2 2 2 4 2" xfId="38904"/>
    <cellStyle name="Comma 2 2 2 2 2 3 2 2 2 2 2 2 2 4 2 2" xfId="46056"/>
    <cellStyle name="Comma 2 2 2 2 2 3 2 2 2 2 2 2 2 5" xfId="24179"/>
    <cellStyle name="Comma 2 2 2 2 2 3 2 2 2 2 2 2 3" xfId="5472"/>
    <cellStyle name="Comma 2 2 2 2 2 3 2 2 2 2 2 2 3 2" xfId="6743"/>
    <cellStyle name="Comma 2 2 2 2 2 3 2 2 2 2 2 2 3 2 2" xfId="19045"/>
    <cellStyle name="Comma 2 2 2 2 2 3 2 2 2 2 2 2 3 2 2 2" xfId="20296"/>
    <cellStyle name="Comma 2 2 2 2 2 3 2 2 2 2 2 2 3 2 2 2 2" xfId="54371"/>
    <cellStyle name="Comma 2 2 2 2 2 3 2 2 2 2 2 2 3 2 2 2 2 2" xfId="55622"/>
    <cellStyle name="Comma 2 2 2 2 2 3 2 2 2 2 2 2 3 2 2 3" xfId="33798"/>
    <cellStyle name="Comma 2 2 2 2 2 3 2 2 2 2 2 2 3 2 3" xfId="32546"/>
    <cellStyle name="Comma 2 2 2 2 2 3 2 2 2 2 2 2 3 2 3 2" xfId="42171"/>
    <cellStyle name="Comma 2 2 2 2 2 3 2 2 2 2 2 2 3 3" xfId="11966"/>
    <cellStyle name="Comma 2 2 2 2 2 3 2 2 2 2 2 2 3 3 2" xfId="40909"/>
    <cellStyle name="Comma 2 2 2 2 2 3 2 2 2 2 2 2 3 3 2 2" xfId="47314"/>
    <cellStyle name="Comma 2 2 2 2 2 3 2 2 2 2 2 2 3 4" xfId="25451"/>
    <cellStyle name="Comma 2 2 2 2 2 3 2 2 2 2 2 2 4" xfId="10675"/>
    <cellStyle name="Comma 2 2 2 2 2 3 2 2 2 2 2 2 4 2" xfId="15124"/>
    <cellStyle name="Comma 2 2 2 2 2 3 2 2 2 2 2 2 4 2 2" xfId="46038"/>
    <cellStyle name="Comma 2 2 2 2 2 3 2 2 2 2 2 2 4 2 2 2" xfId="50463"/>
    <cellStyle name="Comma 2 2 2 2 2 3 2 2 2 2 2 2 4 3" xfId="28637"/>
    <cellStyle name="Comma 2 2 2 2 2 3 2 2 2 2 2 2 5" xfId="24161"/>
    <cellStyle name="Comma 2 2 2 2 2 3 2 2 2 2 2 2 5 2" xfId="36932"/>
    <cellStyle name="Comma 2 2 2 2 2 3 2 2 2 2 2 3" xfId="2242"/>
    <cellStyle name="Comma 2 2 2 2 2 3 2 2 2 2 2 3 2" xfId="6725"/>
    <cellStyle name="Comma 2 2 2 2 2 3 2 2 2 2 2 3 2 2" xfId="7476"/>
    <cellStyle name="Comma 2 2 2 2 2 3 2 2 2 2 2 3 2 2 2" xfId="20278"/>
    <cellStyle name="Comma 2 2 2 2 2 3 2 2 2 2 2 3 2 2 2 2" xfId="21028"/>
    <cellStyle name="Comma 2 2 2 2 2 3 2 2 2 2 2 3 2 2 2 2 2" xfId="55604"/>
    <cellStyle name="Comma 2 2 2 2 2 3 2 2 2 2 2 3 2 2 2 2 2 2" xfId="56354"/>
    <cellStyle name="Comma 2 2 2 2 2 3 2 2 2 2 2 3 2 2 2 3" xfId="34531"/>
    <cellStyle name="Comma 2 2 2 2 2 3 2 2 2 2 2 3 2 2 3" xfId="33780"/>
    <cellStyle name="Comma 2 2 2 2 2 3 2 2 2 2 2 3 2 2 3 2" xfId="42903"/>
    <cellStyle name="Comma 2 2 2 2 2 3 2 2 2 2 2 3 2 3" xfId="12701"/>
    <cellStyle name="Comma 2 2 2 2 2 3 2 2 2 2 2 3 2 3 2" xfId="42153"/>
    <cellStyle name="Comma 2 2 2 2 2 3 2 2 2 2 2 3 2 3 2 2" xfId="48047"/>
    <cellStyle name="Comma 2 2 2 2 2 3 2 2 2 2 2 3 2 4" xfId="26185"/>
    <cellStyle name="Comma 2 2 2 2 2 3 2 2 2 2 2 3 3" xfId="11948"/>
    <cellStyle name="Comma 2 2 2 2 2 3 2 2 2 2 2 3 3 2" xfId="15906"/>
    <cellStyle name="Comma 2 2 2 2 2 3 2 2 2 2 2 3 3 2 2" xfId="47296"/>
    <cellStyle name="Comma 2 2 2 2 2 3 2 2 2 2 2 3 3 2 2 2" xfId="51238"/>
    <cellStyle name="Comma 2 2 2 2 2 3 2 2 2 2 2 3 3 3" xfId="29412"/>
    <cellStyle name="Comma 2 2 2 2 2 3 2 2 2 2 2 3 4" xfId="25433"/>
    <cellStyle name="Comma 2 2 2 2 2 3 2 2 2 2 2 3 4 2" xfId="37720"/>
    <cellStyle name="Comma 2 2 2 2 2 3 2 2 2 2 2 4" xfId="4258"/>
    <cellStyle name="Comma 2 2 2 2 2 3 2 2 2 2 2 4 2" xfId="15106"/>
    <cellStyle name="Comma 2 2 2 2 2 3 2 2 2 2 2 4 2 2" xfId="17851"/>
    <cellStyle name="Comma 2 2 2 2 2 3 2 2 2 2 2 4 2 2 2" xfId="50445"/>
    <cellStyle name="Comma 2 2 2 2 2 3 2 2 2 2 2 4 2 2 2 2" xfId="53178"/>
    <cellStyle name="Comma 2 2 2 2 2 3 2 2 2 2 2 4 2 3" xfId="31353"/>
    <cellStyle name="Comma 2 2 2 2 2 3 2 2 2 2 2 4 3" xfId="28619"/>
    <cellStyle name="Comma 2 2 2 2 2 3 2 2 2 2 2 4 3 2" xfId="39701"/>
    <cellStyle name="Comma 2 2 2 2 2 3 2 2 2 2 2 5" xfId="9449"/>
    <cellStyle name="Comma 2 2 2 2 2 3 2 2 2 2 2 5 2" xfId="36914"/>
    <cellStyle name="Comma 2 2 2 2 2 3 2 2 2 2 2 5 2 2" xfId="44831"/>
    <cellStyle name="Comma 2 2 2 2 2 3 2 2 2 2 2 6" xfId="22945"/>
    <cellStyle name="Comma 2 2 2 2 2 3 2 2 2 2 3" xfId="2224"/>
    <cellStyle name="Comma 2 2 2 2 2 3 2 2 2 2 3 2" xfId="2729"/>
    <cellStyle name="Comma 2 2 2 2 2 3 2 2 2 2 3 2 2" xfId="7458"/>
    <cellStyle name="Comma 2 2 2 2 2 3 2 2 2 2 3 2 2 2" xfId="7948"/>
    <cellStyle name="Comma 2 2 2 2 2 3 2 2 2 2 3 2 2 2 2" xfId="21010"/>
    <cellStyle name="Comma 2 2 2 2 2 3 2 2 2 2 3 2 2 2 2 2" xfId="21500"/>
    <cellStyle name="Comma 2 2 2 2 2 3 2 2 2 2 3 2 2 2 2 2 2" xfId="56336"/>
    <cellStyle name="Comma 2 2 2 2 2 3 2 2 2 2 3 2 2 2 2 2 2 2" xfId="56826"/>
    <cellStyle name="Comma 2 2 2 2 2 3 2 2 2 2 3 2 2 2 2 3" xfId="35003"/>
    <cellStyle name="Comma 2 2 2 2 2 3 2 2 2 2 3 2 2 2 3" xfId="34513"/>
    <cellStyle name="Comma 2 2 2 2 2 3 2 2 2 2 3 2 2 2 3 2" xfId="43375"/>
    <cellStyle name="Comma 2 2 2 2 2 3 2 2 2 2 3 2 2 3" xfId="13173"/>
    <cellStyle name="Comma 2 2 2 2 2 3 2 2 2 2 3 2 2 3 2" xfId="42885"/>
    <cellStyle name="Comma 2 2 2 2 2 3 2 2 2 2 3 2 2 3 2 2" xfId="48519"/>
    <cellStyle name="Comma 2 2 2 2 2 3 2 2 2 2 3 2 2 4" xfId="26657"/>
    <cellStyle name="Comma 2 2 2 2 2 3 2 2 2 2 3 2 3" xfId="12683"/>
    <cellStyle name="Comma 2 2 2 2 2 3 2 2 2 2 3 2 3 2" xfId="16388"/>
    <cellStyle name="Comma 2 2 2 2 2 3 2 2 2 2 3 2 3 2 2" xfId="48029"/>
    <cellStyle name="Comma 2 2 2 2 2 3 2 2 2 2 3 2 3 2 2 2" xfId="51718"/>
    <cellStyle name="Comma 2 2 2 2 2 3 2 2 2 2 3 2 3 3" xfId="29892"/>
    <cellStyle name="Comma 2 2 2 2 2 3 2 2 2 2 3 2 4" xfId="26167"/>
    <cellStyle name="Comma 2 2 2 2 2 3 2 2 2 2 3 2 4 2" xfId="38202"/>
    <cellStyle name="Comma 2 2 2 2 2 3 2 2 2 2 3 3" xfId="4765"/>
    <cellStyle name="Comma 2 2 2 2 2 3 2 2 2 2 3 3 2" xfId="15888"/>
    <cellStyle name="Comma 2 2 2 2 2 3 2 2 2 2 3 3 2 2" xfId="18342"/>
    <cellStyle name="Comma 2 2 2 2 2 3 2 2 2 2 3 3 2 2 2" xfId="51220"/>
    <cellStyle name="Comma 2 2 2 2 2 3 2 2 2 2 3 3 2 2 2 2" xfId="53668"/>
    <cellStyle name="Comma 2 2 2 2 2 3 2 2 2 2 3 3 2 3" xfId="31843"/>
    <cellStyle name="Comma 2 2 2 2 2 3 2 2 2 2 3 3 3" xfId="29394"/>
    <cellStyle name="Comma 2 2 2 2 2 3 2 2 2 2 3 3 3 2" xfId="40203"/>
    <cellStyle name="Comma 2 2 2 2 2 3 2 2 2 2 3 4" xfId="9968"/>
    <cellStyle name="Comma 2 2 2 2 2 3 2 2 2 2 3 4 2" xfId="37702"/>
    <cellStyle name="Comma 2 2 2 2 2 3 2 2 2 2 3 4 2 2" xfId="45335"/>
    <cellStyle name="Comma 2 2 2 2 2 3 2 2 2 2 3 5" xfId="23458"/>
    <cellStyle name="Comma 2 2 2 2 2 3 2 2 2 2 4" xfId="4240"/>
    <cellStyle name="Comma 2 2 2 2 2 3 2 2 2 2 4 2" xfId="5970"/>
    <cellStyle name="Comma 2 2 2 2 2 3 2 2 2 2 4 2 2" xfId="17833"/>
    <cellStyle name="Comma 2 2 2 2 2 3 2 2 2 2 4 2 2 2" xfId="19537"/>
    <cellStyle name="Comma 2 2 2 2 2 3 2 2 2 2 4 2 2 2 2" xfId="53160"/>
    <cellStyle name="Comma 2 2 2 2 2 3 2 2 2 2 4 2 2 2 2 2" xfId="54863"/>
    <cellStyle name="Comma 2 2 2 2 2 3 2 2 2 2 4 2 2 3" xfId="33038"/>
    <cellStyle name="Comma 2 2 2 2 2 3 2 2 2 2 4 2 3" xfId="31335"/>
    <cellStyle name="Comma 2 2 2 2 2 3 2 2 2 2 4 2 3 2" xfId="41404"/>
    <cellStyle name="Comma 2 2 2 2 2 3 2 2 2 2 4 3" xfId="11195"/>
    <cellStyle name="Comma 2 2 2 2 2 3 2 2 2 2 4 3 2" xfId="39683"/>
    <cellStyle name="Comma 2 2 2 2 2 3 2 2 2 2 4 3 2 2" xfId="46553"/>
    <cellStyle name="Comma 2 2 2 2 2 3 2 2 2 2 4 4" xfId="24688"/>
    <cellStyle name="Comma 2 2 2 2 2 3 2 2 2 2 5" xfId="9431"/>
    <cellStyle name="Comma 2 2 2 2 2 3 2 2 2 2 5 2" xfId="14354"/>
    <cellStyle name="Comma 2 2 2 2 2 3 2 2 2 2 5 2 2" xfId="44813"/>
    <cellStyle name="Comma 2 2 2 2 2 3 2 2 2 2 5 2 2 2" xfId="49699"/>
    <cellStyle name="Comma 2 2 2 2 2 3 2 2 2 2 5 3" xfId="27864"/>
    <cellStyle name="Comma 2 2 2 2 2 3 2 2 2 2 6" xfId="22927"/>
    <cellStyle name="Comma 2 2 2 2 2 3 2 2 2 2 6 2" xfId="36166"/>
    <cellStyle name="Comma 2 2 2 2 2 3 2 2 2 3" xfId="967"/>
    <cellStyle name="Comma 2 2 2 2 2 3 2 2 2 3 2" xfId="2711"/>
    <cellStyle name="Comma 2 2 2 2 2 3 2 2 2 3 2 2" xfId="3005"/>
    <cellStyle name="Comma 2 2 2 2 2 3 2 2 2 3 2 2 2" xfId="7930"/>
    <cellStyle name="Comma 2 2 2 2 2 3 2 2 2 3 2 2 2 2" xfId="8220"/>
    <cellStyle name="Comma 2 2 2 2 2 3 2 2 2 3 2 2 2 2 2" xfId="21482"/>
    <cellStyle name="Comma 2 2 2 2 2 3 2 2 2 3 2 2 2 2 2 2" xfId="21772"/>
    <cellStyle name="Comma 2 2 2 2 2 3 2 2 2 3 2 2 2 2 2 2 2" xfId="56808"/>
    <cellStyle name="Comma 2 2 2 2 2 3 2 2 2 3 2 2 2 2 2 2 2 2" xfId="57098"/>
    <cellStyle name="Comma 2 2 2 2 2 3 2 2 2 3 2 2 2 2 2 3" xfId="35275"/>
    <cellStyle name="Comma 2 2 2 2 2 3 2 2 2 3 2 2 2 2 3" xfId="34985"/>
    <cellStyle name="Comma 2 2 2 2 2 3 2 2 2 3 2 2 2 2 3 2" xfId="43647"/>
    <cellStyle name="Comma 2 2 2 2 2 3 2 2 2 3 2 2 2 3" xfId="13445"/>
    <cellStyle name="Comma 2 2 2 2 2 3 2 2 2 3 2 2 2 3 2" xfId="43357"/>
    <cellStyle name="Comma 2 2 2 2 2 3 2 2 2 3 2 2 2 3 2 2" xfId="48791"/>
    <cellStyle name="Comma 2 2 2 2 2 3 2 2 2 3 2 2 2 4" xfId="26930"/>
    <cellStyle name="Comma 2 2 2 2 2 3 2 2 2 3 2 2 3" xfId="13155"/>
    <cellStyle name="Comma 2 2 2 2 2 3 2 2 2 3 2 2 3 2" xfId="16662"/>
    <cellStyle name="Comma 2 2 2 2 2 3 2 2 2 3 2 2 3 2 2" xfId="48501"/>
    <cellStyle name="Comma 2 2 2 2 2 3 2 2 2 3 2 2 3 2 2 2" xfId="51990"/>
    <cellStyle name="Comma 2 2 2 2 2 3 2 2 2 3 2 2 3 3" xfId="30164"/>
    <cellStyle name="Comma 2 2 2 2 2 3 2 2 2 3 2 2 4" xfId="26639"/>
    <cellStyle name="Comma 2 2 2 2 2 3 2 2 2 3 2 2 4 2" xfId="38474"/>
    <cellStyle name="Comma 2 2 2 2 2 3 2 2 2 3 2 3" xfId="5041"/>
    <cellStyle name="Comma 2 2 2 2 2 3 2 2 2 3 2 3 2" xfId="16370"/>
    <cellStyle name="Comma 2 2 2 2 2 3 2 2 2 3 2 3 2 2" xfId="18614"/>
    <cellStyle name="Comma 2 2 2 2 2 3 2 2 2 3 2 3 2 2 2" xfId="51700"/>
    <cellStyle name="Comma 2 2 2 2 2 3 2 2 2 3 2 3 2 2 2 2" xfId="53940"/>
    <cellStyle name="Comma 2 2 2 2 2 3 2 2 2 3 2 3 2 3" xfId="32115"/>
    <cellStyle name="Comma 2 2 2 2 2 3 2 2 2 3 2 3 3" xfId="29874"/>
    <cellStyle name="Comma 2 2 2 2 2 3 2 2 2 3 2 3 3 2" xfId="40478"/>
    <cellStyle name="Comma 2 2 2 2 2 3 2 2 2 3 2 4" xfId="10244"/>
    <cellStyle name="Comma 2 2 2 2 2 3 2 2 2 3 2 4 2" xfId="38184"/>
    <cellStyle name="Comma 2 2 2 2 2 3 2 2 2 3 2 4 2 2" xfId="45607"/>
    <cellStyle name="Comma 2 2 2 2 2 3 2 2 2 3 2 5" xfId="23730"/>
    <cellStyle name="Comma 2 2 2 2 2 3 2 2 2 3 3" xfId="4747"/>
    <cellStyle name="Comma 2 2 2 2 2 3 2 2 2 3 3 2" xfId="6278"/>
    <cellStyle name="Comma 2 2 2 2 2 3 2 2 2 3 3 2 2" xfId="18324"/>
    <cellStyle name="Comma 2 2 2 2 2 3 2 2 2 3 3 2 2 2" xfId="19835"/>
    <cellStyle name="Comma 2 2 2 2 2 3 2 2 2 3 3 2 2 2 2" xfId="53650"/>
    <cellStyle name="Comma 2 2 2 2 2 3 2 2 2 3 3 2 2 2 2 2" xfId="55161"/>
    <cellStyle name="Comma 2 2 2 2 2 3 2 2 2 3 3 2 2 3" xfId="33337"/>
    <cellStyle name="Comma 2 2 2 2 2 3 2 2 2 3 3 2 3" xfId="31825"/>
    <cellStyle name="Comma 2 2 2 2 2 3 2 2 2 3 3 2 3 2" xfId="41707"/>
    <cellStyle name="Comma 2 2 2 2 2 3 2 2 2 3 3 3" xfId="11503"/>
    <cellStyle name="Comma 2 2 2 2 2 3 2 2 2 3 3 3 2" xfId="40185"/>
    <cellStyle name="Comma 2 2 2 2 2 3 2 2 2 3 3 3 2 2" xfId="46852"/>
    <cellStyle name="Comma 2 2 2 2 2 3 2 2 2 3 3 4" xfId="24989"/>
    <cellStyle name="Comma 2 2 2 2 2 3 2 2 2 3 4" xfId="9950"/>
    <cellStyle name="Comma 2 2 2 2 2 3 2 2 2 3 4 2" xfId="14661"/>
    <cellStyle name="Comma 2 2 2 2 2 3 2 2 2 3 4 2 2" xfId="45317"/>
    <cellStyle name="Comma 2 2 2 2 2 3 2 2 2 3 4 2 2 2" xfId="50000"/>
    <cellStyle name="Comma 2 2 2 2 2 3 2 2 2 3 4 3" xfId="28172"/>
    <cellStyle name="Comma 2 2 2 2 2 3 2 2 2 3 5" xfId="23440"/>
    <cellStyle name="Comma 2 2 2 2 2 3 2 2 2 3 5 2" xfId="36469"/>
    <cellStyle name="Comma 2 2 2 2 2 3 2 2 2 4" xfId="1763"/>
    <cellStyle name="Comma 2 2 2 2 2 3 2 2 2 4 2" xfId="5952"/>
    <cellStyle name="Comma 2 2 2 2 2 3 2 2 2 4 2 2" xfId="7016"/>
    <cellStyle name="Comma 2 2 2 2 2 3 2 2 2 4 2 2 2" xfId="19519"/>
    <cellStyle name="Comma 2 2 2 2 2 3 2 2 2 4 2 2 2 2" xfId="20569"/>
    <cellStyle name="Comma 2 2 2 2 2 3 2 2 2 4 2 2 2 2 2" xfId="54845"/>
    <cellStyle name="Comma 2 2 2 2 2 3 2 2 2 4 2 2 2 2 2 2" xfId="55895"/>
    <cellStyle name="Comma 2 2 2 2 2 3 2 2 2 4 2 2 2 3" xfId="34071"/>
    <cellStyle name="Comma 2 2 2 2 2 3 2 2 2 4 2 2 3" xfId="33020"/>
    <cellStyle name="Comma 2 2 2 2 2 3 2 2 2 4 2 2 3 2" xfId="42444"/>
    <cellStyle name="Comma 2 2 2 2 2 3 2 2 2 4 2 3" xfId="12240"/>
    <cellStyle name="Comma 2 2 2 2 2 3 2 2 2 4 2 3 2" xfId="41386"/>
    <cellStyle name="Comma 2 2 2 2 2 3 2 2 2 4 2 3 2 2" xfId="47587"/>
    <cellStyle name="Comma 2 2 2 2 2 3 2 2 2 4 2 4" xfId="25725"/>
    <cellStyle name="Comma 2 2 2 2 2 3 2 2 2 4 3" xfId="11177"/>
    <cellStyle name="Comma 2 2 2 2 2 3 2 2 2 4 3 2" xfId="15435"/>
    <cellStyle name="Comma 2 2 2 2 2 3 2 2 2 4 3 2 2" xfId="46535"/>
    <cellStyle name="Comma 2 2 2 2 2 3 2 2 2 4 3 2 2 2" xfId="50768"/>
    <cellStyle name="Comma 2 2 2 2 2 3 2 2 2 4 3 3" xfId="28942"/>
    <cellStyle name="Comma 2 2 2 2 2 3 2 2 2 4 4" xfId="24670"/>
    <cellStyle name="Comma 2 2 2 2 2 3 2 2 2 4 4 2" xfId="37245"/>
    <cellStyle name="Comma 2 2 2 2 2 3 2 2 2 5" xfId="3769"/>
    <cellStyle name="Comma 2 2 2 2 2 3 2 2 2 5 2" xfId="14336"/>
    <cellStyle name="Comma 2 2 2 2 2 3 2 2 2 5 2 2" xfId="17385"/>
    <cellStyle name="Comma 2 2 2 2 2 3 2 2 2 5 2 2 2" xfId="49681"/>
    <cellStyle name="Comma 2 2 2 2 2 3 2 2 2 5 2 2 2 2" xfId="52712"/>
    <cellStyle name="Comma 2 2 2 2 2 3 2 2 2 5 2 3" xfId="30886"/>
    <cellStyle name="Comma 2 2 2 2 2 3 2 2 2 5 3" xfId="27846"/>
    <cellStyle name="Comma 2 2 2 2 2 3 2 2 2 5 3 2" xfId="39220"/>
    <cellStyle name="Comma 2 2 2 2 2 3 2 2 2 6" xfId="8959"/>
    <cellStyle name="Comma 2 2 2 2 2 3 2 2 2 6 2" xfId="36148"/>
    <cellStyle name="Comma 2 2 2 2 2 3 2 2 2 6 2 2" xfId="44358"/>
    <cellStyle name="Comma 2 2 2 2 2 3 2 2 2 7" xfId="22466"/>
    <cellStyle name="Comma 2 2 2 2 2 3 2 2 3" xfId="949"/>
    <cellStyle name="Comma 2 2 2 2 2 3 2 2 3 2" xfId="1171"/>
    <cellStyle name="Comma 2 2 2 2 2 3 2 2 3 2 2" xfId="2987"/>
    <cellStyle name="Comma 2 2 2 2 2 3 2 2 3 2 2 2" xfId="3191"/>
    <cellStyle name="Comma 2 2 2 2 2 3 2 2 3 2 2 2 2" xfId="8202"/>
    <cellStyle name="Comma 2 2 2 2 2 3 2 2 3 2 2 2 2 2" xfId="8406"/>
    <cellStyle name="Comma 2 2 2 2 2 3 2 2 3 2 2 2 2 2 2" xfId="21754"/>
    <cellStyle name="Comma 2 2 2 2 2 3 2 2 3 2 2 2 2 2 2 2" xfId="21958"/>
    <cellStyle name="Comma 2 2 2 2 2 3 2 2 3 2 2 2 2 2 2 2 2" xfId="57080"/>
    <cellStyle name="Comma 2 2 2 2 2 3 2 2 3 2 2 2 2 2 2 2 2 2" xfId="57284"/>
    <cellStyle name="Comma 2 2 2 2 2 3 2 2 3 2 2 2 2 2 2 3" xfId="35461"/>
    <cellStyle name="Comma 2 2 2 2 2 3 2 2 3 2 2 2 2 2 3" xfId="35257"/>
    <cellStyle name="Comma 2 2 2 2 2 3 2 2 3 2 2 2 2 2 3 2" xfId="43833"/>
    <cellStyle name="Comma 2 2 2 2 2 3 2 2 3 2 2 2 2 3" xfId="13631"/>
    <cellStyle name="Comma 2 2 2 2 2 3 2 2 3 2 2 2 2 3 2" xfId="43629"/>
    <cellStyle name="Comma 2 2 2 2 2 3 2 2 3 2 2 2 2 3 2 2" xfId="48977"/>
    <cellStyle name="Comma 2 2 2 2 2 3 2 2 3 2 2 2 2 4" xfId="27116"/>
    <cellStyle name="Comma 2 2 2 2 2 3 2 2 3 2 2 2 3" xfId="13427"/>
    <cellStyle name="Comma 2 2 2 2 2 3 2 2 3 2 2 2 3 2" xfId="16848"/>
    <cellStyle name="Comma 2 2 2 2 2 3 2 2 3 2 2 2 3 2 2" xfId="48773"/>
    <cellStyle name="Comma 2 2 2 2 2 3 2 2 3 2 2 2 3 2 2 2" xfId="52176"/>
    <cellStyle name="Comma 2 2 2 2 2 3 2 2 3 2 2 2 3 3" xfId="30350"/>
    <cellStyle name="Comma 2 2 2 2 2 3 2 2 3 2 2 2 4" xfId="26912"/>
    <cellStyle name="Comma 2 2 2 2 2 3 2 2 3 2 2 2 4 2" xfId="38660"/>
    <cellStyle name="Comma 2 2 2 2 2 3 2 2 3 2 2 3" xfId="5228"/>
    <cellStyle name="Comma 2 2 2 2 2 3 2 2 3 2 2 3 2" xfId="16644"/>
    <cellStyle name="Comma 2 2 2 2 2 3 2 2 3 2 2 3 2 2" xfId="18801"/>
    <cellStyle name="Comma 2 2 2 2 2 3 2 2 3 2 2 3 2 2 2" xfId="51972"/>
    <cellStyle name="Comma 2 2 2 2 2 3 2 2 3 2 2 3 2 2 2 2" xfId="54127"/>
    <cellStyle name="Comma 2 2 2 2 2 3 2 2 3 2 2 3 2 3" xfId="32302"/>
    <cellStyle name="Comma 2 2 2 2 2 3 2 2 3 2 2 3 3" xfId="30146"/>
    <cellStyle name="Comma 2 2 2 2 2 3 2 2 3 2 2 3 3 2" xfId="40665"/>
    <cellStyle name="Comma 2 2 2 2 2 3 2 2 3 2 2 4" xfId="10431"/>
    <cellStyle name="Comma 2 2 2 2 2 3 2 2 3 2 2 4 2" xfId="38456"/>
    <cellStyle name="Comma 2 2 2 2 2 3 2 2 3 2 2 4 2 2" xfId="45794"/>
    <cellStyle name="Comma 2 2 2 2 2 3 2 2 3 2 2 5" xfId="23917"/>
    <cellStyle name="Comma 2 2 2 2 2 3 2 2 3 2 3" xfId="5023"/>
    <cellStyle name="Comma 2 2 2 2 2 3 2 2 3 2 3 2" xfId="6479"/>
    <cellStyle name="Comma 2 2 2 2 2 3 2 2 3 2 3 2 2" xfId="18596"/>
    <cellStyle name="Comma 2 2 2 2 2 3 2 2 3 2 3 2 2 2" xfId="20033"/>
    <cellStyle name="Comma 2 2 2 2 2 3 2 2 3 2 3 2 2 2 2" xfId="53922"/>
    <cellStyle name="Comma 2 2 2 2 2 3 2 2 3 2 3 2 2 2 2 2" xfId="55359"/>
    <cellStyle name="Comma 2 2 2 2 2 3 2 2 3 2 3 2 2 3" xfId="33535"/>
    <cellStyle name="Comma 2 2 2 2 2 3 2 2 3 2 3 2 3" xfId="32097"/>
    <cellStyle name="Comma 2 2 2 2 2 3 2 2 3 2 3 2 3 2" xfId="41907"/>
    <cellStyle name="Comma 2 2 2 2 2 3 2 2 3 2 3 3" xfId="11703"/>
    <cellStyle name="Comma 2 2 2 2 2 3 2 2 3 2 3 3 2" xfId="40460"/>
    <cellStyle name="Comma 2 2 2 2 2 3 2 2 3 2 3 3 2 2" xfId="47051"/>
    <cellStyle name="Comma 2 2 2 2 2 3 2 2 3 2 3 4" xfId="25188"/>
    <cellStyle name="Comma 2 2 2 2 2 3 2 2 3 2 4" xfId="10226"/>
    <cellStyle name="Comma 2 2 2 2 2 3 2 2 3 2 4 2" xfId="14861"/>
    <cellStyle name="Comma 2 2 2 2 2 3 2 2 3 2 4 2 2" xfId="45589"/>
    <cellStyle name="Comma 2 2 2 2 2 3 2 2 3 2 4 2 2 2" xfId="50200"/>
    <cellStyle name="Comma 2 2 2 2 2 3 2 2 3 2 4 3" xfId="28374"/>
    <cellStyle name="Comma 2 2 2 2 2 3 2 2 3 2 5" xfId="23712"/>
    <cellStyle name="Comma 2 2 2 2 2 3 2 2 3 2 5 2" xfId="36669"/>
    <cellStyle name="Comma 2 2 2 2 2 3 2 2 3 3" xfId="1979"/>
    <cellStyle name="Comma 2 2 2 2 2 3 2 2 3 3 2" xfId="6260"/>
    <cellStyle name="Comma 2 2 2 2 2 3 2 2 3 3 2 2" xfId="7213"/>
    <cellStyle name="Comma 2 2 2 2 2 3 2 2 3 3 2 2 2" xfId="19817"/>
    <cellStyle name="Comma 2 2 2 2 2 3 2 2 3 3 2 2 2 2" xfId="20765"/>
    <cellStyle name="Comma 2 2 2 2 2 3 2 2 3 3 2 2 2 2 2" xfId="55143"/>
    <cellStyle name="Comma 2 2 2 2 2 3 2 2 3 3 2 2 2 2 2 2" xfId="56091"/>
    <cellStyle name="Comma 2 2 2 2 2 3 2 2 3 3 2 2 2 3" xfId="34268"/>
    <cellStyle name="Comma 2 2 2 2 2 3 2 2 3 3 2 2 3" xfId="33319"/>
    <cellStyle name="Comma 2 2 2 2 2 3 2 2 3 3 2 2 3 2" xfId="42640"/>
    <cellStyle name="Comma 2 2 2 2 2 3 2 2 3 3 2 3" xfId="12438"/>
    <cellStyle name="Comma 2 2 2 2 2 3 2 2 3 3 2 3 2" xfId="41689"/>
    <cellStyle name="Comma 2 2 2 2 2 3 2 2 3 3 2 3 2 2" xfId="47784"/>
    <cellStyle name="Comma 2 2 2 2 2 3 2 2 3 3 2 4" xfId="25922"/>
    <cellStyle name="Comma 2 2 2 2 2 3 2 2 3 3 3" xfId="11485"/>
    <cellStyle name="Comma 2 2 2 2 2 3 2 2 3 3 3 2" xfId="15643"/>
    <cellStyle name="Comma 2 2 2 2 2 3 2 2 3 3 3 2 2" xfId="46834"/>
    <cellStyle name="Comma 2 2 2 2 2 3 2 2 3 3 3 2 2 2" xfId="50975"/>
    <cellStyle name="Comma 2 2 2 2 2 3 2 2 3 3 3 3" xfId="29149"/>
    <cellStyle name="Comma 2 2 2 2 2 3 2 2 3 3 4" xfId="24971"/>
    <cellStyle name="Comma 2 2 2 2 2 3 2 2 3 3 4 2" xfId="37457"/>
    <cellStyle name="Comma 2 2 2 2 2 3 2 2 3 4" xfId="3993"/>
    <cellStyle name="Comma 2 2 2 2 2 3 2 2 3 4 2" xfId="14643"/>
    <cellStyle name="Comma 2 2 2 2 2 3 2 2 3 4 2 2" xfId="17588"/>
    <cellStyle name="Comma 2 2 2 2 2 3 2 2 3 4 2 2 2" xfId="49982"/>
    <cellStyle name="Comma 2 2 2 2 2 3 2 2 3 4 2 2 2 2" xfId="52915"/>
    <cellStyle name="Comma 2 2 2 2 2 3 2 2 3 4 2 3" xfId="31090"/>
    <cellStyle name="Comma 2 2 2 2 2 3 2 2 3 4 3" xfId="28154"/>
    <cellStyle name="Comma 2 2 2 2 2 3 2 2 3 4 3 2" xfId="39437"/>
    <cellStyle name="Comma 2 2 2 2 2 3 2 2 3 5" xfId="9185"/>
    <cellStyle name="Comma 2 2 2 2 2 3 2 2 3 5 2" xfId="36451"/>
    <cellStyle name="Comma 2 2 2 2 2 3 2 2 3 5 2 2" xfId="44568"/>
    <cellStyle name="Comma 2 2 2 2 2 3 2 2 3 6" xfId="22682"/>
    <cellStyle name="Comma 2 2 2 2 2 3 2 2 4" xfId="1745"/>
    <cellStyle name="Comma 2 2 2 2 2 3 2 2 4 2" xfId="2424"/>
    <cellStyle name="Comma 2 2 2 2 2 3 2 2 4 2 2" xfId="6998"/>
    <cellStyle name="Comma 2 2 2 2 2 3 2 2 4 2 2 2" xfId="7656"/>
    <cellStyle name="Comma 2 2 2 2 2 3 2 2 4 2 2 2 2" xfId="20551"/>
    <cellStyle name="Comma 2 2 2 2 2 3 2 2 4 2 2 2 2 2" xfId="21208"/>
    <cellStyle name="Comma 2 2 2 2 2 3 2 2 4 2 2 2 2 2 2" xfId="55877"/>
    <cellStyle name="Comma 2 2 2 2 2 3 2 2 4 2 2 2 2 2 2 2" xfId="56534"/>
    <cellStyle name="Comma 2 2 2 2 2 3 2 2 4 2 2 2 2 3" xfId="34711"/>
    <cellStyle name="Comma 2 2 2 2 2 3 2 2 4 2 2 2 3" xfId="34053"/>
    <cellStyle name="Comma 2 2 2 2 2 3 2 2 4 2 2 2 3 2" xfId="43083"/>
    <cellStyle name="Comma 2 2 2 2 2 3 2 2 4 2 2 3" xfId="12881"/>
    <cellStyle name="Comma 2 2 2 2 2 3 2 2 4 2 2 3 2" xfId="42426"/>
    <cellStyle name="Comma 2 2 2 2 2 3 2 2 4 2 2 3 2 2" xfId="48227"/>
    <cellStyle name="Comma 2 2 2 2 2 3 2 2 4 2 2 4" xfId="26365"/>
    <cellStyle name="Comma 2 2 2 2 2 3 2 2 4 2 3" xfId="12222"/>
    <cellStyle name="Comma 2 2 2 2 2 3 2 2 4 2 3 2" xfId="16087"/>
    <cellStyle name="Comma 2 2 2 2 2 3 2 2 4 2 3 2 2" xfId="47569"/>
    <cellStyle name="Comma 2 2 2 2 2 3 2 2 4 2 3 2 2 2" xfId="51419"/>
    <cellStyle name="Comma 2 2 2 2 2 3 2 2 4 2 3 3" xfId="29593"/>
    <cellStyle name="Comma 2 2 2 2 2 3 2 2 4 2 4" xfId="25707"/>
    <cellStyle name="Comma 2 2 2 2 2 3 2 2 4 2 4 2" xfId="37902"/>
    <cellStyle name="Comma 2 2 2 2 2 3 2 2 4 3" xfId="4459"/>
    <cellStyle name="Comma 2 2 2 2 2 3 2 2 4 3 2" xfId="15417"/>
    <cellStyle name="Comma 2 2 2 2 2 3 2 2 4 3 2 2" xfId="18049"/>
    <cellStyle name="Comma 2 2 2 2 2 3 2 2 4 3 2 2 2" xfId="50750"/>
    <cellStyle name="Comma 2 2 2 2 2 3 2 2 4 3 2 2 2 2" xfId="53375"/>
    <cellStyle name="Comma 2 2 2 2 2 3 2 2 4 3 2 3" xfId="31550"/>
    <cellStyle name="Comma 2 2 2 2 2 3 2 2 4 3 3" xfId="28924"/>
    <cellStyle name="Comma 2 2 2 2 2 3 2 2 4 3 3 2" xfId="39901"/>
    <cellStyle name="Comma 2 2 2 2 2 3 2 2 4 4" xfId="9664"/>
    <cellStyle name="Comma 2 2 2 2 2 3 2 2 4 4 2" xfId="37227"/>
    <cellStyle name="Comma 2 2 2 2 2 3 2 2 4 4 2 2" xfId="45042"/>
    <cellStyle name="Comma 2 2 2 2 2 3 2 2 4 5" xfId="23165"/>
    <cellStyle name="Comma 2 2 2 2 2 3 2 2 5" xfId="3751"/>
    <cellStyle name="Comma 2 2 2 2 2 3 2 2 5 2" xfId="5666"/>
    <cellStyle name="Comma 2 2 2 2 2 3 2 2 5 2 2" xfId="17367"/>
    <cellStyle name="Comma 2 2 2 2 2 3 2 2 5 2 2 2" xfId="19238"/>
    <cellStyle name="Comma 2 2 2 2 2 3 2 2 5 2 2 2 2" xfId="52694"/>
    <cellStyle name="Comma 2 2 2 2 2 3 2 2 5 2 2 2 2 2" xfId="54564"/>
    <cellStyle name="Comma 2 2 2 2 2 3 2 2 5 2 2 3" xfId="32739"/>
    <cellStyle name="Comma 2 2 2 2 2 3 2 2 5 2 3" xfId="30868"/>
    <cellStyle name="Comma 2 2 2 2 2 3 2 2 5 2 3 2" xfId="41102"/>
    <cellStyle name="Comma 2 2 2 2 2 3 2 2 5 3" xfId="10884"/>
    <cellStyle name="Comma 2 2 2 2 2 3 2 2 5 3 2" xfId="39202"/>
    <cellStyle name="Comma 2 2 2 2 2 3 2 2 5 3 2 2" xfId="46246"/>
    <cellStyle name="Comma 2 2 2 2 2 3 2 2 5 4" xfId="24377"/>
    <cellStyle name="Comma 2 2 2 2 2 3 2 2 6" xfId="8941"/>
    <cellStyle name="Comma 2 2 2 2 2 3 2 2 6 2" xfId="14050"/>
    <cellStyle name="Comma 2 2 2 2 2 3 2 2 6 2 2" xfId="44340"/>
    <cellStyle name="Comma 2 2 2 2 2 3 2 2 6 2 2 2" xfId="49396"/>
    <cellStyle name="Comma 2 2 2 2 2 3 2 2 6 3" xfId="27549"/>
    <cellStyle name="Comma 2 2 2 2 2 3 2 2 7" xfId="22448"/>
    <cellStyle name="Comma 2 2 2 2 2 3 2 2 7 2" xfId="35862"/>
    <cellStyle name="Comma 2 2 2 2 2 3 2 3" xfId="455"/>
    <cellStyle name="Comma 2 2 2 2 2 3 2 3 2" xfId="1142"/>
    <cellStyle name="Comma 2 2 2 2 2 3 2 3 2 2" xfId="1270"/>
    <cellStyle name="Comma 2 2 2 2 2 3 2 3 2 2 2" xfId="3167"/>
    <cellStyle name="Comma 2 2 2 2 2 3 2 3 2 2 2 2" xfId="3288"/>
    <cellStyle name="Comma 2 2 2 2 2 3 2 3 2 2 2 2 2" xfId="8382"/>
    <cellStyle name="Comma 2 2 2 2 2 3 2 3 2 2 2 2 2 2" xfId="8503"/>
    <cellStyle name="Comma 2 2 2 2 2 3 2 3 2 2 2 2 2 2 2" xfId="21934"/>
    <cellStyle name="Comma 2 2 2 2 2 3 2 3 2 2 2 2 2 2 2 2" xfId="22055"/>
    <cellStyle name="Comma 2 2 2 2 2 3 2 3 2 2 2 2 2 2 2 2 2" xfId="57260"/>
    <cellStyle name="Comma 2 2 2 2 2 3 2 3 2 2 2 2 2 2 2 2 2 2" xfId="57381"/>
    <cellStyle name="Comma 2 2 2 2 2 3 2 3 2 2 2 2 2 2 2 3" xfId="35558"/>
    <cellStyle name="Comma 2 2 2 2 2 3 2 3 2 2 2 2 2 2 3" xfId="35437"/>
    <cellStyle name="Comma 2 2 2 2 2 3 2 3 2 2 2 2 2 2 3 2" xfId="43930"/>
    <cellStyle name="Comma 2 2 2 2 2 3 2 3 2 2 2 2 2 3" xfId="13728"/>
    <cellStyle name="Comma 2 2 2 2 2 3 2 3 2 2 2 2 2 3 2" xfId="43809"/>
    <cellStyle name="Comma 2 2 2 2 2 3 2 3 2 2 2 2 2 3 2 2" xfId="49074"/>
    <cellStyle name="Comma 2 2 2 2 2 3 2 3 2 2 2 2 2 4" xfId="27213"/>
    <cellStyle name="Comma 2 2 2 2 2 3 2 3 2 2 2 2 3" xfId="13607"/>
    <cellStyle name="Comma 2 2 2 2 2 3 2 3 2 2 2 2 3 2" xfId="16945"/>
    <cellStyle name="Comma 2 2 2 2 2 3 2 3 2 2 2 2 3 2 2" xfId="48953"/>
    <cellStyle name="Comma 2 2 2 2 2 3 2 3 2 2 2 2 3 2 2 2" xfId="52273"/>
    <cellStyle name="Comma 2 2 2 2 2 3 2 3 2 2 2 2 3 3" xfId="30447"/>
    <cellStyle name="Comma 2 2 2 2 2 3 2 3 2 2 2 2 4" xfId="27092"/>
    <cellStyle name="Comma 2 2 2 2 2 3 2 3 2 2 2 2 4 2" xfId="38757"/>
    <cellStyle name="Comma 2 2 2 2 2 3 2 3 2 2 2 3" xfId="5325"/>
    <cellStyle name="Comma 2 2 2 2 2 3 2 3 2 2 2 3 2" xfId="16824"/>
    <cellStyle name="Comma 2 2 2 2 2 3 2 3 2 2 2 3 2 2" xfId="18898"/>
    <cellStyle name="Comma 2 2 2 2 2 3 2 3 2 2 2 3 2 2 2" xfId="52152"/>
    <cellStyle name="Comma 2 2 2 2 2 3 2 3 2 2 2 3 2 2 2 2" xfId="54224"/>
    <cellStyle name="Comma 2 2 2 2 2 3 2 3 2 2 2 3 2 3" xfId="32399"/>
    <cellStyle name="Comma 2 2 2 2 2 3 2 3 2 2 2 3 3" xfId="30326"/>
    <cellStyle name="Comma 2 2 2 2 2 3 2 3 2 2 2 3 3 2" xfId="40762"/>
    <cellStyle name="Comma 2 2 2 2 2 3 2 3 2 2 2 4" xfId="10528"/>
    <cellStyle name="Comma 2 2 2 2 2 3 2 3 2 2 2 4 2" xfId="38636"/>
    <cellStyle name="Comma 2 2 2 2 2 3 2 3 2 2 2 4 2 2" xfId="45891"/>
    <cellStyle name="Comma 2 2 2 2 2 3 2 3 2 2 2 5" xfId="24014"/>
    <cellStyle name="Comma 2 2 2 2 2 3 2 3 2 2 3" xfId="5204"/>
    <cellStyle name="Comma 2 2 2 2 2 3 2 3 2 2 3 2" xfId="6578"/>
    <cellStyle name="Comma 2 2 2 2 2 3 2 3 2 2 3 2 2" xfId="18777"/>
    <cellStyle name="Comma 2 2 2 2 2 3 2 3 2 2 3 2 2 2" xfId="20131"/>
    <cellStyle name="Comma 2 2 2 2 2 3 2 3 2 2 3 2 2 2 2" xfId="54103"/>
    <cellStyle name="Comma 2 2 2 2 2 3 2 3 2 2 3 2 2 2 2 2" xfId="55457"/>
    <cellStyle name="Comma 2 2 2 2 2 3 2 3 2 2 3 2 2 3" xfId="33633"/>
    <cellStyle name="Comma 2 2 2 2 2 3 2 3 2 2 3 2 3" xfId="32278"/>
    <cellStyle name="Comma 2 2 2 2 2 3 2 3 2 2 3 2 3 2" xfId="42006"/>
    <cellStyle name="Comma 2 2 2 2 2 3 2 3 2 2 3 3" xfId="11801"/>
    <cellStyle name="Comma 2 2 2 2 2 3 2 3 2 2 3 3 2" xfId="40641"/>
    <cellStyle name="Comma 2 2 2 2 2 3 2 3 2 2 3 3 2 2" xfId="47149"/>
    <cellStyle name="Comma 2 2 2 2 2 3 2 3 2 2 3 4" xfId="25286"/>
    <cellStyle name="Comma 2 2 2 2 2 3 2 3 2 2 4" xfId="10407"/>
    <cellStyle name="Comma 2 2 2 2 2 3 2 3 2 2 4 2" xfId="14959"/>
    <cellStyle name="Comma 2 2 2 2 2 3 2 3 2 2 4 2 2" xfId="45770"/>
    <cellStyle name="Comma 2 2 2 2 2 3 2 3 2 2 4 2 2 2" xfId="50298"/>
    <cellStyle name="Comma 2 2 2 2 2 3 2 3 2 2 4 3" xfId="28472"/>
    <cellStyle name="Comma 2 2 2 2 2 3 2 3 2 2 5" xfId="23893"/>
    <cellStyle name="Comma 2 2 2 2 2 3 2 3 2 2 5 2" xfId="36767"/>
    <cellStyle name="Comma 2 2 2 2 2 3 2 3 2 3" xfId="2076"/>
    <cellStyle name="Comma 2 2 2 2 2 3 2 3 2 3 2" xfId="6450"/>
    <cellStyle name="Comma 2 2 2 2 2 3 2 3 2 3 2 2" xfId="7310"/>
    <cellStyle name="Comma 2 2 2 2 2 3 2 3 2 3 2 2 2" xfId="20005"/>
    <cellStyle name="Comma 2 2 2 2 2 3 2 3 2 3 2 2 2 2" xfId="20862"/>
    <cellStyle name="Comma 2 2 2 2 2 3 2 3 2 3 2 2 2 2 2" xfId="55331"/>
    <cellStyle name="Comma 2 2 2 2 2 3 2 3 2 3 2 2 2 2 2 2" xfId="56188"/>
    <cellStyle name="Comma 2 2 2 2 2 3 2 3 2 3 2 2 2 3" xfId="34365"/>
    <cellStyle name="Comma 2 2 2 2 2 3 2 3 2 3 2 2 3" xfId="33507"/>
    <cellStyle name="Comma 2 2 2 2 2 3 2 3 2 3 2 2 3 2" xfId="42737"/>
    <cellStyle name="Comma 2 2 2 2 2 3 2 3 2 3 2 3" xfId="12535"/>
    <cellStyle name="Comma 2 2 2 2 2 3 2 3 2 3 2 3 2" xfId="41878"/>
    <cellStyle name="Comma 2 2 2 2 2 3 2 3 2 3 2 3 2 2" xfId="47881"/>
    <cellStyle name="Comma 2 2 2 2 2 3 2 3 2 3 2 4" xfId="26019"/>
    <cellStyle name="Comma 2 2 2 2 2 3 2 3 2 3 3" xfId="11674"/>
    <cellStyle name="Comma 2 2 2 2 2 3 2 3 2 3 3 2" xfId="15740"/>
    <cellStyle name="Comma 2 2 2 2 2 3 2 3 2 3 3 2 2" xfId="47023"/>
    <cellStyle name="Comma 2 2 2 2 2 3 2 3 2 3 3 2 2 2" xfId="51072"/>
    <cellStyle name="Comma 2 2 2 2 2 3 2 3 2 3 3 3" xfId="29246"/>
    <cellStyle name="Comma 2 2 2 2 2 3 2 3 2 3 4" xfId="25160"/>
    <cellStyle name="Comma 2 2 2 2 2 3 2 3 2 3 4 2" xfId="37554"/>
    <cellStyle name="Comma 2 2 2 2 2 3 2 3 2 4" xfId="4092"/>
    <cellStyle name="Comma 2 2 2 2 2 3 2 3 2 4 2" xfId="14833"/>
    <cellStyle name="Comma 2 2 2 2 2 3 2 3 2 4 2 2" xfId="17685"/>
    <cellStyle name="Comma 2 2 2 2 2 3 2 3 2 4 2 2 2" xfId="50172"/>
    <cellStyle name="Comma 2 2 2 2 2 3 2 3 2 4 2 2 2 2" xfId="53012"/>
    <cellStyle name="Comma 2 2 2 2 2 3 2 3 2 4 2 3" xfId="31187"/>
    <cellStyle name="Comma 2 2 2 2 2 3 2 3 2 4 3" xfId="28345"/>
    <cellStyle name="Comma 2 2 2 2 2 3 2 3 2 4 3 2" xfId="39535"/>
    <cellStyle name="Comma 2 2 2 2 2 3 2 3 2 5" xfId="9283"/>
    <cellStyle name="Comma 2 2 2 2 2 3 2 3 2 5 2" xfId="36641"/>
    <cellStyle name="Comma 2 2 2 2 2 3 2 3 2 5 2 2" xfId="44665"/>
    <cellStyle name="Comma 2 2 2 2 2 3 2 3 2 6" xfId="22779"/>
    <cellStyle name="Comma 2 2 2 2 2 3 2 3 3" xfId="1950"/>
    <cellStyle name="Comma 2 2 2 2 2 3 2 3 3 2" xfId="2554"/>
    <cellStyle name="Comma 2 2 2 2 2 3 2 3 3 2 2" xfId="7189"/>
    <cellStyle name="Comma 2 2 2 2 2 3 2 3 3 2 2 2" xfId="7775"/>
    <cellStyle name="Comma 2 2 2 2 2 3 2 3 3 2 2 2 2" xfId="20741"/>
    <cellStyle name="Comma 2 2 2 2 2 3 2 3 3 2 2 2 2 2" xfId="21327"/>
    <cellStyle name="Comma 2 2 2 2 2 3 2 3 3 2 2 2 2 2 2" xfId="56067"/>
    <cellStyle name="Comma 2 2 2 2 2 3 2 3 3 2 2 2 2 2 2 2" xfId="56653"/>
    <cellStyle name="Comma 2 2 2 2 2 3 2 3 3 2 2 2 2 3" xfId="34830"/>
    <cellStyle name="Comma 2 2 2 2 2 3 2 3 3 2 2 2 3" xfId="34244"/>
    <cellStyle name="Comma 2 2 2 2 2 3 2 3 3 2 2 2 3 2" xfId="43202"/>
    <cellStyle name="Comma 2 2 2 2 2 3 2 3 3 2 2 3" xfId="13000"/>
    <cellStyle name="Comma 2 2 2 2 2 3 2 3 3 2 2 3 2" xfId="42616"/>
    <cellStyle name="Comma 2 2 2 2 2 3 2 3 3 2 2 3 2 2" xfId="48346"/>
    <cellStyle name="Comma 2 2 2 2 2 3 2 3 3 2 2 4" xfId="26484"/>
    <cellStyle name="Comma 2 2 2 2 2 3 2 3 3 2 3" xfId="12414"/>
    <cellStyle name="Comma 2 2 2 2 2 3 2 3 3 2 3 2" xfId="16213"/>
    <cellStyle name="Comma 2 2 2 2 2 3 2 3 3 2 3 2 2" xfId="47760"/>
    <cellStyle name="Comma 2 2 2 2 2 3 2 3 3 2 3 2 2 2" xfId="51543"/>
    <cellStyle name="Comma 2 2 2 2 2 3 2 3 3 2 3 3" xfId="29717"/>
    <cellStyle name="Comma 2 2 2 2 2 3 2 3 3 2 4" xfId="25898"/>
    <cellStyle name="Comma 2 2 2 2 2 3 2 3 3 2 4 2" xfId="38027"/>
    <cellStyle name="Comma 2 2 2 2 2 3 2 3 3 3" xfId="4587"/>
    <cellStyle name="Comma 2 2 2 2 2 3 2 3 3 3 2" xfId="15615"/>
    <cellStyle name="Comma 2 2 2 2 2 3 2 3 3 3 2 2" xfId="18168"/>
    <cellStyle name="Comma 2 2 2 2 2 3 2 3 3 3 2 2 2" xfId="50947"/>
    <cellStyle name="Comma 2 2 2 2 2 3 2 3 3 3 2 2 2 2" xfId="53494"/>
    <cellStyle name="Comma 2 2 2 2 2 3 2 3 3 3 2 3" xfId="31669"/>
    <cellStyle name="Comma 2 2 2 2 2 3 2 3 3 3 3" xfId="29121"/>
    <cellStyle name="Comma 2 2 2 2 2 3 2 3 3 3 3 2" xfId="40026"/>
    <cellStyle name="Comma 2 2 2 2 2 3 2 3 3 4" xfId="9791"/>
    <cellStyle name="Comma 2 2 2 2 2 3 2 3 3 4 2" xfId="37428"/>
    <cellStyle name="Comma 2 2 2 2 2 3 2 3 3 4 2 2" xfId="45161"/>
    <cellStyle name="Comma 2 2 2 2 2 3 2 3 3 5" xfId="23284"/>
    <cellStyle name="Comma 2 2 2 2 2 3 2 3 4" xfId="3964"/>
    <cellStyle name="Comma 2 2 2 2 2 3 2 3 4 2" xfId="5793"/>
    <cellStyle name="Comma 2 2 2 2 2 3 2 3 4 2 2" xfId="17564"/>
    <cellStyle name="Comma 2 2 2 2 2 3 2 3 4 2 2 2" xfId="19361"/>
    <cellStyle name="Comma 2 2 2 2 2 3 2 3 4 2 2 2 2" xfId="52891"/>
    <cellStyle name="Comma 2 2 2 2 2 3 2 3 4 2 2 2 2 2" xfId="54687"/>
    <cellStyle name="Comma 2 2 2 2 2 3 2 3 4 2 2 3" xfId="32862"/>
    <cellStyle name="Comma 2 2 2 2 2 3 2 3 4 2 3" xfId="31066"/>
    <cellStyle name="Comma 2 2 2 2 2 3 2 3 4 2 3 2" xfId="41228"/>
    <cellStyle name="Comma 2 2 2 2 2 3 2 3 4 3" xfId="11015"/>
    <cellStyle name="Comma 2 2 2 2 2 3 2 3 4 3 2" xfId="39408"/>
    <cellStyle name="Comma 2 2 2 2 2 3 2 3 4 3 2 2" xfId="46374"/>
    <cellStyle name="Comma 2 2 2 2 2 3 2 3 4 4" xfId="24509"/>
    <cellStyle name="Comma 2 2 2 2 2 3 2 3 5" xfId="9157"/>
    <cellStyle name="Comma 2 2 2 2 2 3 2 3 5 2" xfId="14176"/>
    <cellStyle name="Comma 2 2 2 2 2 3 2 3 5 2 2" xfId="44544"/>
    <cellStyle name="Comma 2 2 2 2 2 3 2 3 5 2 2 2" xfId="49521"/>
    <cellStyle name="Comma 2 2 2 2 2 3 2 3 5 3" xfId="27682"/>
    <cellStyle name="Comma 2 2 2 2 2 3 2 3 6" xfId="22658"/>
    <cellStyle name="Comma 2 2 2 2 2 3 2 3 6 2" xfId="35988"/>
    <cellStyle name="Comma 2 2 2 2 2 3 2 4" xfId="776"/>
    <cellStyle name="Comma 2 2 2 2 2 3 2 4 2" xfId="2398"/>
    <cellStyle name="Comma 2 2 2 2 2 3 2 4 2 2" xfId="2832"/>
    <cellStyle name="Comma 2 2 2 2 2 3 2 4 2 2 2" xfId="7631"/>
    <cellStyle name="Comma 2 2 2 2 2 3 2 4 2 2 2 2" xfId="8048"/>
    <cellStyle name="Comma 2 2 2 2 2 3 2 4 2 2 2 2 2" xfId="21183"/>
    <cellStyle name="Comma 2 2 2 2 2 3 2 4 2 2 2 2 2 2" xfId="21600"/>
    <cellStyle name="Comma 2 2 2 2 2 3 2 4 2 2 2 2 2 2 2" xfId="56509"/>
    <cellStyle name="Comma 2 2 2 2 2 3 2 4 2 2 2 2 2 2 2 2" xfId="56926"/>
    <cellStyle name="Comma 2 2 2 2 2 3 2 4 2 2 2 2 2 3" xfId="35103"/>
    <cellStyle name="Comma 2 2 2 2 2 3 2 4 2 2 2 2 3" xfId="34686"/>
    <cellStyle name="Comma 2 2 2 2 2 3 2 4 2 2 2 2 3 2" xfId="43475"/>
    <cellStyle name="Comma 2 2 2 2 2 3 2 4 2 2 2 3" xfId="13273"/>
    <cellStyle name="Comma 2 2 2 2 2 3 2 4 2 2 2 3 2" xfId="43058"/>
    <cellStyle name="Comma 2 2 2 2 2 3 2 4 2 2 2 3 2 2" xfId="48619"/>
    <cellStyle name="Comma 2 2 2 2 2 3 2 4 2 2 2 4" xfId="26757"/>
    <cellStyle name="Comma 2 2 2 2 2 3 2 4 2 2 3" xfId="12856"/>
    <cellStyle name="Comma 2 2 2 2 2 3 2 4 2 2 3 2" xfId="16490"/>
    <cellStyle name="Comma 2 2 2 2 2 3 2 4 2 2 3 2 2" xfId="48202"/>
    <cellStyle name="Comma 2 2 2 2 2 3 2 4 2 2 3 2 2 2" xfId="51818"/>
    <cellStyle name="Comma 2 2 2 2 2 3 2 4 2 2 3 3" xfId="29992"/>
    <cellStyle name="Comma 2 2 2 2 2 3 2 4 2 2 4" xfId="26340"/>
    <cellStyle name="Comma 2 2 2 2 2 3 2 4 2 2 4 2" xfId="38302"/>
    <cellStyle name="Comma 2 2 2 2 2 3 2 4 2 3" xfId="4868"/>
    <cellStyle name="Comma 2 2 2 2 2 3 2 4 2 3 2" xfId="16061"/>
    <cellStyle name="Comma 2 2 2 2 2 3 2 4 2 3 2 2" xfId="18442"/>
    <cellStyle name="Comma 2 2 2 2 2 3 2 4 2 3 2 2 2" xfId="51393"/>
    <cellStyle name="Comma 2 2 2 2 2 3 2 4 2 3 2 2 2 2" xfId="53768"/>
    <cellStyle name="Comma 2 2 2 2 2 3 2 4 2 3 2 3" xfId="31943"/>
    <cellStyle name="Comma 2 2 2 2 2 3 2 4 2 3 3" xfId="29567"/>
    <cellStyle name="Comma 2 2 2 2 2 3 2 4 2 3 3 2" xfId="40305"/>
    <cellStyle name="Comma 2 2 2 2 2 3 2 4 2 4" xfId="10071"/>
    <cellStyle name="Comma 2 2 2 2 2 3 2 4 2 4 2" xfId="37876"/>
    <cellStyle name="Comma 2 2 2 2 2 3 2 4 2 4 2 2" xfId="45435"/>
    <cellStyle name="Comma 2 2 2 2 2 3 2 4 2 5" xfId="23558"/>
    <cellStyle name="Comma 2 2 2 2 2 3 2 4 3" xfId="4433"/>
    <cellStyle name="Comma 2 2 2 2 2 3 2 4 3 2" xfId="6092"/>
    <cellStyle name="Comma 2 2 2 2 2 3 2 4 3 2 2" xfId="18024"/>
    <cellStyle name="Comma 2 2 2 2 2 3 2 4 3 2 2 2" xfId="19654"/>
    <cellStyle name="Comma 2 2 2 2 2 3 2 4 3 2 2 2 2" xfId="53350"/>
    <cellStyle name="Comma 2 2 2 2 2 3 2 4 3 2 2 2 2 2" xfId="54980"/>
    <cellStyle name="Comma 2 2 2 2 2 3 2 4 3 2 2 3" xfId="33155"/>
    <cellStyle name="Comma 2 2 2 2 2 3 2 4 3 2 3" xfId="31525"/>
    <cellStyle name="Comma 2 2 2 2 2 3 2 4 3 2 3 2" xfId="41525"/>
    <cellStyle name="Comma 2 2 2 2 2 3 2 4 3 3" xfId="11318"/>
    <cellStyle name="Comma 2 2 2 2 2 3 2 4 3 3 2" xfId="39875"/>
    <cellStyle name="Comma 2 2 2 2 2 3 2 4 3 3 2 2" xfId="46671"/>
    <cellStyle name="Comma 2 2 2 2 2 3 2 4 3 4" xfId="24808"/>
    <cellStyle name="Comma 2 2 2 2 2 3 2 4 4" xfId="9636"/>
    <cellStyle name="Comma 2 2 2 2 2 3 2 4 4 2" xfId="14476"/>
    <cellStyle name="Comma 2 2 2 2 2 3 2 4 4 2 2" xfId="45016"/>
    <cellStyle name="Comma 2 2 2 2 2 3 2 4 4 2 2 2" xfId="49818"/>
    <cellStyle name="Comma 2 2 2 2 2 3 2 4 4 3" xfId="27987"/>
    <cellStyle name="Comma 2 2 2 2 2 3 2 4 5" xfId="23137"/>
    <cellStyle name="Comma 2 2 2 2 2 3 2 4 5 2" xfId="36286"/>
    <cellStyle name="Comma 2 2 2 2 2 3 2 5" xfId="1562"/>
    <cellStyle name="Comma 2 2 2 2 2 3 2 5 2" xfId="5639"/>
    <cellStyle name="Comma 2 2 2 2 2 3 2 5 2 2" xfId="6834"/>
    <cellStyle name="Comma 2 2 2 2 2 3 2 5 2 2 2" xfId="19211"/>
    <cellStyle name="Comma 2 2 2 2 2 3 2 5 2 2 2 2" xfId="20387"/>
    <cellStyle name="Comma 2 2 2 2 2 3 2 5 2 2 2 2 2" xfId="54537"/>
    <cellStyle name="Comma 2 2 2 2 2 3 2 5 2 2 2 2 2 2" xfId="55713"/>
    <cellStyle name="Comma 2 2 2 2 2 3 2 5 2 2 2 3" xfId="33889"/>
    <cellStyle name="Comma 2 2 2 2 2 3 2 5 2 2 3" xfId="32712"/>
    <cellStyle name="Comma 2 2 2 2 2 3 2 5 2 2 3 2" xfId="42262"/>
    <cellStyle name="Comma 2 2 2 2 2 3 2 5 2 3" xfId="12058"/>
    <cellStyle name="Comma 2 2 2 2 2 3 2 5 2 3 2" xfId="41075"/>
    <cellStyle name="Comma 2 2 2 2 2 3 2 5 2 3 2 2" xfId="47405"/>
    <cellStyle name="Comma 2 2 2 2 2 3 2 5 2 4" xfId="25543"/>
    <cellStyle name="Comma 2 2 2 2 2 3 2 5 3" xfId="10855"/>
    <cellStyle name="Comma 2 2 2 2 2 3 2 5 3 2" xfId="15238"/>
    <cellStyle name="Comma 2 2 2 2 2 3 2 5 3 2 2" xfId="46217"/>
    <cellStyle name="Comma 2 2 2 2 2 3 2 5 3 2 2 2" xfId="50575"/>
    <cellStyle name="Comma 2 2 2 2 2 3 2 5 3 3" xfId="28749"/>
    <cellStyle name="Comma 2 2 2 2 2 3 2 5 4" xfId="24347"/>
    <cellStyle name="Comma 2 2 2 2 2 3 2 5 4 2" xfId="37050"/>
    <cellStyle name="Comma 2 2 2 2 2 3 2 6" xfId="3563"/>
    <cellStyle name="Comma 2 2 2 2 2 3 2 6 2" xfId="14023"/>
    <cellStyle name="Comma 2 2 2 2 2 3 2 6 2 2" xfId="17199"/>
    <cellStyle name="Comma 2 2 2 2 2 3 2 6 2 2 2" xfId="49369"/>
    <cellStyle name="Comma 2 2 2 2 2 3 2 6 2 2 2 2" xfId="52526"/>
    <cellStyle name="Comma 2 2 2 2 2 3 2 6 2 3" xfId="30700"/>
    <cellStyle name="Comma 2 2 2 2 2 3 2 6 3" xfId="27518"/>
    <cellStyle name="Comma 2 2 2 2 2 3 2 6 3 2" xfId="39020"/>
    <cellStyle name="Comma 2 2 2 2 2 3 2 7" xfId="8754"/>
    <cellStyle name="Comma 2 2 2 2 2 3 2 7 2" xfId="35835"/>
    <cellStyle name="Comma 2 2 2 2 2 3 2 7 2 2" xfId="44167"/>
    <cellStyle name="Comma 2 2 2 2 2 3 2 8" xfId="22271"/>
    <cellStyle name="Comma 2 2 2 2 2 3 3" xfId="423"/>
    <cellStyle name="Comma 2 2 2 2 2 3 3 2" xfId="519"/>
    <cellStyle name="Comma 2 2 2 2 2 3 3 2 2" xfId="1252"/>
    <cellStyle name="Comma 2 2 2 2 2 3 3 2 2 2" xfId="1329"/>
    <cellStyle name="Comma 2 2 2 2 2 3 3 2 2 2 2" xfId="3270"/>
    <cellStyle name="Comma 2 2 2 2 2 3 3 2 2 2 2 2" xfId="3347"/>
    <cellStyle name="Comma 2 2 2 2 2 3 3 2 2 2 2 2 2" xfId="8485"/>
    <cellStyle name="Comma 2 2 2 2 2 3 3 2 2 2 2 2 2 2" xfId="8562"/>
    <cellStyle name="Comma 2 2 2 2 2 3 3 2 2 2 2 2 2 2 2" xfId="22037"/>
    <cellStyle name="Comma 2 2 2 2 2 3 3 2 2 2 2 2 2 2 2 2" xfId="22114"/>
    <cellStyle name="Comma 2 2 2 2 2 3 3 2 2 2 2 2 2 2 2 2 2" xfId="57363"/>
    <cellStyle name="Comma 2 2 2 2 2 3 3 2 2 2 2 2 2 2 2 2 2 2" xfId="57440"/>
    <cellStyle name="Comma 2 2 2 2 2 3 3 2 2 2 2 2 2 2 2 3" xfId="35617"/>
    <cellStyle name="Comma 2 2 2 2 2 3 3 2 2 2 2 2 2 2 3" xfId="35540"/>
    <cellStyle name="Comma 2 2 2 2 2 3 3 2 2 2 2 2 2 2 3 2" xfId="43989"/>
    <cellStyle name="Comma 2 2 2 2 2 3 3 2 2 2 2 2 2 3" xfId="13787"/>
    <cellStyle name="Comma 2 2 2 2 2 3 3 2 2 2 2 2 2 3 2" xfId="43912"/>
    <cellStyle name="Comma 2 2 2 2 2 3 3 2 2 2 2 2 2 3 2 2" xfId="49133"/>
    <cellStyle name="Comma 2 2 2 2 2 3 3 2 2 2 2 2 2 4" xfId="27272"/>
    <cellStyle name="Comma 2 2 2 2 2 3 3 2 2 2 2 2 3" xfId="13710"/>
    <cellStyle name="Comma 2 2 2 2 2 3 3 2 2 2 2 2 3 2" xfId="17004"/>
    <cellStyle name="Comma 2 2 2 2 2 3 3 2 2 2 2 2 3 2 2" xfId="49056"/>
    <cellStyle name="Comma 2 2 2 2 2 3 3 2 2 2 2 2 3 2 2 2" xfId="52332"/>
    <cellStyle name="Comma 2 2 2 2 2 3 3 2 2 2 2 2 3 3" xfId="30506"/>
    <cellStyle name="Comma 2 2 2 2 2 3 3 2 2 2 2 2 4" xfId="27195"/>
    <cellStyle name="Comma 2 2 2 2 2 3 3 2 2 2 2 2 4 2" xfId="38816"/>
    <cellStyle name="Comma 2 2 2 2 2 3 3 2 2 2 2 3" xfId="5384"/>
    <cellStyle name="Comma 2 2 2 2 2 3 3 2 2 2 2 3 2" xfId="16927"/>
    <cellStyle name="Comma 2 2 2 2 2 3 3 2 2 2 2 3 2 2" xfId="18957"/>
    <cellStyle name="Comma 2 2 2 2 2 3 3 2 2 2 2 3 2 2 2" xfId="52255"/>
    <cellStyle name="Comma 2 2 2 2 2 3 3 2 2 2 2 3 2 2 2 2" xfId="54283"/>
    <cellStyle name="Comma 2 2 2 2 2 3 3 2 2 2 2 3 2 3" xfId="32458"/>
    <cellStyle name="Comma 2 2 2 2 2 3 3 2 2 2 2 3 3" xfId="30429"/>
    <cellStyle name="Comma 2 2 2 2 2 3 3 2 2 2 2 3 3 2" xfId="40821"/>
    <cellStyle name="Comma 2 2 2 2 2 3 3 2 2 2 2 4" xfId="10587"/>
    <cellStyle name="Comma 2 2 2 2 2 3 3 2 2 2 2 4 2" xfId="38739"/>
    <cellStyle name="Comma 2 2 2 2 2 3 3 2 2 2 2 4 2 2" xfId="45950"/>
    <cellStyle name="Comma 2 2 2 2 2 3 3 2 2 2 2 5" xfId="24073"/>
    <cellStyle name="Comma 2 2 2 2 2 3 3 2 2 2 3" xfId="5307"/>
    <cellStyle name="Comma 2 2 2 2 2 3 3 2 2 2 3 2" xfId="6637"/>
    <cellStyle name="Comma 2 2 2 2 2 3 3 2 2 2 3 2 2" xfId="18880"/>
    <cellStyle name="Comma 2 2 2 2 2 3 3 2 2 2 3 2 2 2" xfId="20190"/>
    <cellStyle name="Comma 2 2 2 2 2 3 3 2 2 2 3 2 2 2 2" xfId="54206"/>
    <cellStyle name="Comma 2 2 2 2 2 3 3 2 2 2 3 2 2 2 2 2" xfId="55516"/>
    <cellStyle name="Comma 2 2 2 2 2 3 3 2 2 2 3 2 2 3" xfId="33692"/>
    <cellStyle name="Comma 2 2 2 2 2 3 3 2 2 2 3 2 3" xfId="32381"/>
    <cellStyle name="Comma 2 2 2 2 2 3 3 2 2 2 3 2 3 2" xfId="42065"/>
    <cellStyle name="Comma 2 2 2 2 2 3 3 2 2 2 3 3" xfId="11860"/>
    <cellStyle name="Comma 2 2 2 2 2 3 3 2 2 2 3 3 2" xfId="40744"/>
    <cellStyle name="Comma 2 2 2 2 2 3 3 2 2 2 3 3 2 2" xfId="47208"/>
    <cellStyle name="Comma 2 2 2 2 2 3 3 2 2 2 3 4" xfId="25345"/>
    <cellStyle name="Comma 2 2 2 2 2 3 3 2 2 2 4" xfId="10510"/>
    <cellStyle name="Comma 2 2 2 2 2 3 3 2 2 2 4 2" xfId="15018"/>
    <cellStyle name="Comma 2 2 2 2 2 3 3 2 2 2 4 2 2" xfId="45873"/>
    <cellStyle name="Comma 2 2 2 2 2 3 3 2 2 2 4 2 2 2" xfId="50357"/>
    <cellStyle name="Comma 2 2 2 2 2 3 3 2 2 2 4 3" xfId="28531"/>
    <cellStyle name="Comma 2 2 2 2 2 3 3 2 2 2 5" xfId="23996"/>
    <cellStyle name="Comma 2 2 2 2 2 3 3 2 2 2 5 2" xfId="36826"/>
    <cellStyle name="Comma 2 2 2 2 2 3 3 2 2 3" xfId="2136"/>
    <cellStyle name="Comma 2 2 2 2 2 3 3 2 2 3 2" xfId="6560"/>
    <cellStyle name="Comma 2 2 2 2 2 3 3 2 2 3 2 2" xfId="7370"/>
    <cellStyle name="Comma 2 2 2 2 2 3 3 2 2 3 2 2 2" xfId="20113"/>
    <cellStyle name="Comma 2 2 2 2 2 3 3 2 2 3 2 2 2 2" xfId="20922"/>
    <cellStyle name="Comma 2 2 2 2 2 3 3 2 2 3 2 2 2 2 2" xfId="55439"/>
    <cellStyle name="Comma 2 2 2 2 2 3 3 2 2 3 2 2 2 2 2 2" xfId="56248"/>
    <cellStyle name="Comma 2 2 2 2 2 3 3 2 2 3 2 2 2 3" xfId="34425"/>
    <cellStyle name="Comma 2 2 2 2 2 3 3 2 2 3 2 2 3" xfId="33615"/>
    <cellStyle name="Comma 2 2 2 2 2 3 3 2 2 3 2 2 3 2" xfId="42797"/>
    <cellStyle name="Comma 2 2 2 2 2 3 3 2 2 3 2 3" xfId="12595"/>
    <cellStyle name="Comma 2 2 2 2 2 3 3 2 2 3 2 3 2" xfId="41988"/>
    <cellStyle name="Comma 2 2 2 2 2 3 3 2 2 3 2 3 2 2" xfId="47941"/>
    <cellStyle name="Comma 2 2 2 2 2 3 3 2 2 3 2 4" xfId="26079"/>
    <cellStyle name="Comma 2 2 2 2 2 3 3 2 2 3 3" xfId="11783"/>
    <cellStyle name="Comma 2 2 2 2 2 3 3 2 2 3 3 2" xfId="15800"/>
    <cellStyle name="Comma 2 2 2 2 2 3 3 2 2 3 3 2 2" xfId="47131"/>
    <cellStyle name="Comma 2 2 2 2 2 3 3 2 2 3 3 2 2 2" xfId="51132"/>
    <cellStyle name="Comma 2 2 2 2 2 3 3 2 2 3 3 3" xfId="29306"/>
    <cellStyle name="Comma 2 2 2 2 2 3 3 2 2 3 4" xfId="25268"/>
    <cellStyle name="Comma 2 2 2 2 2 3 3 2 2 3 4 2" xfId="37614"/>
    <cellStyle name="Comma 2 2 2 2 2 3 3 2 2 4" xfId="4152"/>
    <cellStyle name="Comma 2 2 2 2 2 3 3 2 2 4 2" xfId="14941"/>
    <cellStyle name="Comma 2 2 2 2 2 3 3 2 2 4 2 2" xfId="17745"/>
    <cellStyle name="Comma 2 2 2 2 2 3 3 2 2 4 2 2 2" xfId="50280"/>
    <cellStyle name="Comma 2 2 2 2 2 3 3 2 2 4 2 2 2 2" xfId="53072"/>
    <cellStyle name="Comma 2 2 2 2 2 3 3 2 2 4 2 3" xfId="31247"/>
    <cellStyle name="Comma 2 2 2 2 2 3 3 2 2 4 3" xfId="28454"/>
    <cellStyle name="Comma 2 2 2 2 2 3 3 2 2 4 3 2" xfId="39595"/>
    <cellStyle name="Comma 2 2 2 2 2 3 3 2 2 5" xfId="9343"/>
    <cellStyle name="Comma 2 2 2 2 2 3 3 2 2 5 2" xfId="36749"/>
    <cellStyle name="Comma 2 2 2 2 2 3 3 2 2 5 2 2" xfId="44725"/>
    <cellStyle name="Comma 2 2 2 2 2 3 3 2 2 6" xfId="22839"/>
    <cellStyle name="Comma 2 2 2 2 2 3 3 2 3" xfId="2058"/>
    <cellStyle name="Comma 2 2 2 2 2 3 3 2 3 2" xfId="2615"/>
    <cellStyle name="Comma 2 2 2 2 2 3 3 2 3 2 2" xfId="7292"/>
    <cellStyle name="Comma 2 2 2 2 2 3 3 2 3 2 2 2" xfId="7835"/>
    <cellStyle name="Comma 2 2 2 2 2 3 3 2 3 2 2 2 2" xfId="20844"/>
    <cellStyle name="Comma 2 2 2 2 2 3 3 2 3 2 2 2 2 2" xfId="21387"/>
    <cellStyle name="Comma 2 2 2 2 2 3 3 2 3 2 2 2 2 2 2" xfId="56170"/>
    <cellStyle name="Comma 2 2 2 2 2 3 3 2 3 2 2 2 2 2 2 2" xfId="56713"/>
    <cellStyle name="Comma 2 2 2 2 2 3 3 2 3 2 2 2 2 3" xfId="34890"/>
    <cellStyle name="Comma 2 2 2 2 2 3 3 2 3 2 2 2 3" xfId="34347"/>
    <cellStyle name="Comma 2 2 2 2 2 3 3 2 3 2 2 2 3 2" xfId="43262"/>
    <cellStyle name="Comma 2 2 2 2 2 3 3 2 3 2 2 3" xfId="13060"/>
    <cellStyle name="Comma 2 2 2 2 2 3 3 2 3 2 2 3 2" xfId="42719"/>
    <cellStyle name="Comma 2 2 2 2 2 3 3 2 3 2 2 3 2 2" xfId="48406"/>
    <cellStyle name="Comma 2 2 2 2 2 3 3 2 3 2 2 4" xfId="26544"/>
    <cellStyle name="Comma 2 2 2 2 2 3 3 2 3 2 3" xfId="12517"/>
    <cellStyle name="Comma 2 2 2 2 2 3 3 2 3 2 3 2" xfId="16274"/>
    <cellStyle name="Comma 2 2 2 2 2 3 3 2 3 2 3 2 2" xfId="47863"/>
    <cellStyle name="Comma 2 2 2 2 2 3 3 2 3 2 3 2 2 2" xfId="51604"/>
    <cellStyle name="Comma 2 2 2 2 2 3 3 2 3 2 3 3" xfId="29778"/>
    <cellStyle name="Comma 2 2 2 2 2 3 3 2 3 2 4" xfId="26001"/>
    <cellStyle name="Comma 2 2 2 2 2 3 3 2 3 2 4 2" xfId="38088"/>
    <cellStyle name="Comma 2 2 2 2 2 3 3 2 3 3" xfId="4649"/>
    <cellStyle name="Comma 2 2 2 2 2 3 3 2 3 3 2" xfId="15722"/>
    <cellStyle name="Comma 2 2 2 2 2 3 3 2 3 3 2 2" xfId="18229"/>
    <cellStyle name="Comma 2 2 2 2 2 3 3 2 3 3 2 2 2" xfId="51054"/>
    <cellStyle name="Comma 2 2 2 2 2 3 3 2 3 3 2 2 2 2" xfId="53555"/>
    <cellStyle name="Comma 2 2 2 2 2 3 3 2 3 3 2 3" xfId="31730"/>
    <cellStyle name="Comma 2 2 2 2 2 3 3 2 3 3 3" xfId="29228"/>
    <cellStyle name="Comma 2 2 2 2 2 3 3 2 3 3 3 2" xfId="40088"/>
    <cellStyle name="Comma 2 2 2 2 2 3 3 2 3 4" xfId="9852"/>
    <cellStyle name="Comma 2 2 2 2 2 3 3 2 3 4 2" xfId="37536"/>
    <cellStyle name="Comma 2 2 2 2 2 3 3 2 3 4 2 2" xfId="45222"/>
    <cellStyle name="Comma 2 2 2 2 2 3 3 2 3 5" xfId="23345"/>
    <cellStyle name="Comma 2 2 2 2 2 3 3 2 4" xfId="4074"/>
    <cellStyle name="Comma 2 2 2 2 2 3 3 2 4 2" xfId="5854"/>
    <cellStyle name="Comma 2 2 2 2 2 3 3 2 4 2 2" xfId="17667"/>
    <cellStyle name="Comma 2 2 2 2 2 3 3 2 4 2 2 2" xfId="19422"/>
    <cellStyle name="Comma 2 2 2 2 2 3 3 2 4 2 2 2 2" xfId="52994"/>
    <cellStyle name="Comma 2 2 2 2 2 3 3 2 4 2 2 2 2 2" xfId="54748"/>
    <cellStyle name="Comma 2 2 2 2 2 3 3 2 4 2 2 3" xfId="32923"/>
    <cellStyle name="Comma 2 2 2 2 2 3 3 2 4 2 3" xfId="31169"/>
    <cellStyle name="Comma 2 2 2 2 2 3 3 2 4 2 3 2" xfId="41289"/>
    <cellStyle name="Comma 2 2 2 2 2 3 3 2 4 3" xfId="11077"/>
    <cellStyle name="Comma 2 2 2 2 2 3 3 2 4 3 2" xfId="39517"/>
    <cellStyle name="Comma 2 2 2 2 2 3 3 2 4 3 2 2" xfId="46436"/>
    <cellStyle name="Comma 2 2 2 2 2 3 3 2 4 4" xfId="24571"/>
    <cellStyle name="Comma 2 2 2 2 2 3 3 2 5" xfId="9265"/>
    <cellStyle name="Comma 2 2 2 2 2 3 3 2 5 2" xfId="14238"/>
    <cellStyle name="Comma 2 2 2 2 2 3 3 2 5 2 2" xfId="44647"/>
    <cellStyle name="Comma 2 2 2 2 2 3 3 2 5 2 2 2" xfId="49583"/>
    <cellStyle name="Comma 2 2 2 2 2 3 3 2 5 3" xfId="27745"/>
    <cellStyle name="Comma 2 2 2 2 2 3 3 2 6" xfId="22761"/>
    <cellStyle name="Comma 2 2 2 2 2 3 3 2 6 2" xfId="36050"/>
    <cellStyle name="Comma 2 2 2 2 2 3 3 3" xfId="847"/>
    <cellStyle name="Comma 2 2 2 2 2 3 3 3 2" xfId="2525"/>
    <cellStyle name="Comma 2 2 2 2 2 3 3 3 2 2" xfId="2899"/>
    <cellStyle name="Comma 2 2 2 2 2 3 3 3 2 2 2" xfId="7750"/>
    <cellStyle name="Comma 2 2 2 2 2 3 3 3 2 2 2 2" xfId="8114"/>
    <cellStyle name="Comma 2 2 2 2 2 3 3 3 2 2 2 2 2" xfId="21302"/>
    <cellStyle name="Comma 2 2 2 2 2 3 3 3 2 2 2 2 2 2" xfId="21666"/>
    <cellStyle name="Comma 2 2 2 2 2 3 3 3 2 2 2 2 2 2 2" xfId="56628"/>
    <cellStyle name="Comma 2 2 2 2 2 3 3 3 2 2 2 2 2 2 2 2" xfId="56992"/>
    <cellStyle name="Comma 2 2 2 2 2 3 3 3 2 2 2 2 2 3" xfId="35169"/>
    <cellStyle name="Comma 2 2 2 2 2 3 3 3 2 2 2 2 3" xfId="34805"/>
    <cellStyle name="Comma 2 2 2 2 2 3 3 3 2 2 2 2 3 2" xfId="43541"/>
    <cellStyle name="Comma 2 2 2 2 2 3 3 3 2 2 2 3" xfId="13339"/>
    <cellStyle name="Comma 2 2 2 2 2 3 3 3 2 2 2 3 2" xfId="43177"/>
    <cellStyle name="Comma 2 2 2 2 2 3 3 3 2 2 2 3 2 2" xfId="48685"/>
    <cellStyle name="Comma 2 2 2 2 2 3 3 3 2 2 2 4" xfId="26824"/>
    <cellStyle name="Comma 2 2 2 2 2 3 3 3 2 2 3" xfId="12975"/>
    <cellStyle name="Comma 2 2 2 2 2 3 3 3 2 2 3 2" xfId="16556"/>
    <cellStyle name="Comma 2 2 2 2 2 3 3 3 2 2 3 2 2" xfId="48321"/>
    <cellStyle name="Comma 2 2 2 2 2 3 3 3 2 2 3 2 2 2" xfId="51884"/>
    <cellStyle name="Comma 2 2 2 2 2 3 3 3 2 2 3 3" xfId="30058"/>
    <cellStyle name="Comma 2 2 2 2 2 3 3 3 2 2 4" xfId="26459"/>
    <cellStyle name="Comma 2 2 2 2 2 3 3 3 2 2 4 2" xfId="38368"/>
    <cellStyle name="Comma 2 2 2 2 2 3 3 3 2 3" xfId="4935"/>
    <cellStyle name="Comma 2 2 2 2 2 3 3 3 2 3 2" xfId="16186"/>
    <cellStyle name="Comma 2 2 2 2 2 3 3 3 2 3 2 2" xfId="18508"/>
    <cellStyle name="Comma 2 2 2 2 2 3 3 3 2 3 2 2 2" xfId="51517"/>
    <cellStyle name="Comma 2 2 2 2 2 3 3 3 2 3 2 2 2 2" xfId="53834"/>
    <cellStyle name="Comma 2 2 2 2 2 3 3 3 2 3 2 3" xfId="32009"/>
    <cellStyle name="Comma 2 2 2 2 2 3 3 3 2 3 3" xfId="29691"/>
    <cellStyle name="Comma 2 2 2 2 2 3 3 3 2 3 3 2" xfId="40372"/>
    <cellStyle name="Comma 2 2 2 2 2 3 3 3 2 4" xfId="10138"/>
    <cellStyle name="Comma 2 2 2 2 2 3 3 3 2 4 2" xfId="38000"/>
    <cellStyle name="Comma 2 2 2 2 2 3 3 3 2 4 2 2" xfId="45501"/>
    <cellStyle name="Comma 2 2 2 2 2 3 3 3 2 5" xfId="23624"/>
    <cellStyle name="Comma 2 2 2 2 2 3 3 3 3" xfId="4560"/>
    <cellStyle name="Comma 2 2 2 2 2 3 3 3 3 2" xfId="6162"/>
    <cellStyle name="Comma 2 2 2 2 2 3 3 3 3 2 2" xfId="18143"/>
    <cellStyle name="Comma 2 2 2 2 2 3 3 3 3 2 2 2" xfId="19722"/>
    <cellStyle name="Comma 2 2 2 2 2 3 3 3 3 2 2 2 2" xfId="53469"/>
    <cellStyle name="Comma 2 2 2 2 2 3 3 3 3 2 2 2 2 2" xfId="55048"/>
    <cellStyle name="Comma 2 2 2 2 2 3 3 3 3 2 2 3" xfId="33224"/>
    <cellStyle name="Comma 2 2 2 2 2 3 3 3 3 2 3" xfId="31644"/>
    <cellStyle name="Comma 2 2 2 2 2 3 3 3 3 2 3 2" xfId="41593"/>
    <cellStyle name="Comma 2 2 2 2 2 3 3 3 3 3" xfId="11388"/>
    <cellStyle name="Comma 2 2 2 2 2 3 3 3 3 3 2" xfId="40001"/>
    <cellStyle name="Comma 2 2 2 2 2 3 3 3 3 3 2 2" xfId="46739"/>
    <cellStyle name="Comma 2 2 2 2 2 3 3 3 3 4" xfId="24876"/>
    <cellStyle name="Comma 2 2 2 2 2 3 3 3 4" xfId="9763"/>
    <cellStyle name="Comma 2 2 2 2 2 3 3 3 4 2" xfId="14545"/>
    <cellStyle name="Comma 2 2 2 2 2 3 3 3 4 2 2" xfId="45136"/>
    <cellStyle name="Comma 2 2 2 2 2 3 3 3 4 2 2 2" xfId="49886"/>
    <cellStyle name="Comma 2 2 2 2 2 3 3 3 4 3" xfId="28056"/>
    <cellStyle name="Comma 2 2 2 2 2 3 3 3 5" xfId="23259"/>
    <cellStyle name="Comma 2 2 2 2 2 3 3 3 5 2" xfId="36355"/>
    <cellStyle name="Comma 2 2 2 2 2 3 3 4" xfId="1642"/>
    <cellStyle name="Comma 2 2 2 2 2 3 3 4 2" xfId="5766"/>
    <cellStyle name="Comma 2 2 2 2 2 3 3 4 2 2" xfId="6908"/>
    <cellStyle name="Comma 2 2 2 2 2 3 3 4 2 2 2" xfId="19335"/>
    <cellStyle name="Comma 2 2 2 2 2 3 3 4 2 2 2 2" xfId="20461"/>
    <cellStyle name="Comma 2 2 2 2 2 3 3 4 2 2 2 2 2" xfId="54661"/>
    <cellStyle name="Comma 2 2 2 2 2 3 3 4 2 2 2 2 2 2" xfId="55787"/>
    <cellStyle name="Comma 2 2 2 2 2 3 3 4 2 2 2 3" xfId="33963"/>
    <cellStyle name="Comma 2 2 2 2 2 3 3 4 2 2 3" xfId="32836"/>
    <cellStyle name="Comma 2 2 2 2 2 3 3 4 2 2 3 2" xfId="42336"/>
    <cellStyle name="Comma 2 2 2 2 2 3 3 4 2 3" xfId="12132"/>
    <cellStyle name="Comma 2 2 2 2 2 3 3 4 2 3 2" xfId="41201"/>
    <cellStyle name="Comma 2 2 2 2 2 3 3 4 2 3 2 2" xfId="47479"/>
    <cellStyle name="Comma 2 2 2 2 2 3 3 4 2 4" xfId="25617"/>
    <cellStyle name="Comma 2 2 2 2 2 3 3 4 3" xfId="10987"/>
    <cellStyle name="Comma 2 2 2 2 2 3 3 4 3 2" xfId="15316"/>
    <cellStyle name="Comma 2 2 2 2 2 3 3 4 3 2 2" xfId="46346"/>
    <cellStyle name="Comma 2 2 2 2 2 3 3 4 3 2 2 2" xfId="50651"/>
    <cellStyle name="Comma 2 2 2 2 2 3 3 4 3 3" xfId="28825"/>
    <cellStyle name="Comma 2 2 2 2 2 3 3 4 4" xfId="24480"/>
    <cellStyle name="Comma 2 2 2 2 2 3 3 4 4 2" xfId="37127"/>
    <cellStyle name="Comma 2 2 2 2 2 3 3 5" xfId="3646"/>
    <cellStyle name="Comma 2 2 2 2 2 3 3 5 2" xfId="14150"/>
    <cellStyle name="Comma 2 2 2 2 2 3 3 5 2 2" xfId="17276"/>
    <cellStyle name="Comma 2 2 2 2 2 3 3 5 2 2 2" xfId="49495"/>
    <cellStyle name="Comma 2 2 2 2 2 3 3 5 2 2 2 2" xfId="52603"/>
    <cellStyle name="Comma 2 2 2 2 2 3 3 5 2 3" xfId="30777"/>
    <cellStyle name="Comma 2 2 2 2 2 3 3 5 3" xfId="27652"/>
    <cellStyle name="Comma 2 2 2 2 2 3 3 5 3 2" xfId="39101"/>
    <cellStyle name="Comma 2 2 2 2 2 3 3 6" xfId="8841"/>
    <cellStyle name="Comma 2 2 2 2 2 3 3 6 2" xfId="35961"/>
    <cellStyle name="Comma 2 2 2 2 2 3 3 6 2 2" xfId="44248"/>
    <cellStyle name="Comma 2 2 2 2 2 3 3 7" xfId="22356"/>
    <cellStyle name="Comma 2 2 2 2 2 3 4" xfId="744"/>
    <cellStyle name="Comma 2 2 2 2 2 3 4 2" xfId="1022"/>
    <cellStyle name="Comma 2 2 2 2 2 3 4 2 2" xfId="2814"/>
    <cellStyle name="Comma 2 2 2 2 2 3 4 2 2 2" xfId="3059"/>
    <cellStyle name="Comma 2 2 2 2 2 3 4 2 2 2 2" xfId="8030"/>
    <cellStyle name="Comma 2 2 2 2 2 3 4 2 2 2 2 2" xfId="8274"/>
    <cellStyle name="Comma 2 2 2 2 2 3 4 2 2 2 2 2 2" xfId="21582"/>
    <cellStyle name="Comma 2 2 2 2 2 3 4 2 2 2 2 2 2 2" xfId="21826"/>
    <cellStyle name="Comma 2 2 2 2 2 3 4 2 2 2 2 2 2 2 2" xfId="56908"/>
    <cellStyle name="Comma 2 2 2 2 2 3 4 2 2 2 2 2 2 2 2 2" xfId="57152"/>
    <cellStyle name="Comma 2 2 2 2 2 3 4 2 2 2 2 2 2 3" xfId="35329"/>
    <cellStyle name="Comma 2 2 2 2 2 3 4 2 2 2 2 2 3" xfId="35085"/>
    <cellStyle name="Comma 2 2 2 2 2 3 4 2 2 2 2 2 3 2" xfId="43701"/>
    <cellStyle name="Comma 2 2 2 2 2 3 4 2 2 2 2 3" xfId="13499"/>
    <cellStyle name="Comma 2 2 2 2 2 3 4 2 2 2 2 3 2" xfId="43457"/>
    <cellStyle name="Comma 2 2 2 2 2 3 4 2 2 2 2 3 2 2" xfId="48845"/>
    <cellStyle name="Comma 2 2 2 2 2 3 4 2 2 2 2 4" xfId="26984"/>
    <cellStyle name="Comma 2 2 2 2 2 3 4 2 2 2 3" xfId="13255"/>
    <cellStyle name="Comma 2 2 2 2 2 3 4 2 2 2 3 2" xfId="16716"/>
    <cellStyle name="Comma 2 2 2 2 2 3 4 2 2 2 3 2 2" xfId="48601"/>
    <cellStyle name="Comma 2 2 2 2 2 3 4 2 2 2 3 2 2 2" xfId="52044"/>
    <cellStyle name="Comma 2 2 2 2 2 3 4 2 2 2 3 3" xfId="30218"/>
    <cellStyle name="Comma 2 2 2 2 2 3 4 2 2 2 4" xfId="26739"/>
    <cellStyle name="Comma 2 2 2 2 2 3 4 2 2 2 4 2" xfId="38528"/>
    <cellStyle name="Comma 2 2 2 2 2 3 4 2 2 3" xfId="5096"/>
    <cellStyle name="Comma 2 2 2 2 2 3 4 2 2 3 2" xfId="16472"/>
    <cellStyle name="Comma 2 2 2 2 2 3 4 2 2 3 2 2" xfId="18669"/>
    <cellStyle name="Comma 2 2 2 2 2 3 4 2 2 3 2 2 2" xfId="51800"/>
    <cellStyle name="Comma 2 2 2 2 2 3 4 2 2 3 2 2 2 2" xfId="53995"/>
    <cellStyle name="Comma 2 2 2 2 2 3 4 2 2 3 2 3" xfId="32170"/>
    <cellStyle name="Comma 2 2 2 2 2 3 4 2 2 3 3" xfId="29974"/>
    <cellStyle name="Comma 2 2 2 2 2 3 4 2 2 3 3 2" xfId="40533"/>
    <cellStyle name="Comma 2 2 2 2 2 3 4 2 2 4" xfId="10299"/>
    <cellStyle name="Comma 2 2 2 2 2 3 4 2 2 4 2" xfId="38284"/>
    <cellStyle name="Comma 2 2 2 2 2 3 4 2 2 4 2 2" xfId="45662"/>
    <cellStyle name="Comma 2 2 2 2 2 3 4 2 2 5" xfId="23785"/>
    <cellStyle name="Comma 2 2 2 2 2 3 4 2 3" xfId="4850"/>
    <cellStyle name="Comma 2 2 2 2 2 3 4 2 3 2" xfId="6332"/>
    <cellStyle name="Comma 2 2 2 2 2 3 4 2 3 2 2" xfId="18424"/>
    <cellStyle name="Comma 2 2 2 2 2 3 4 2 3 2 2 2" xfId="19889"/>
    <cellStyle name="Comma 2 2 2 2 2 3 4 2 3 2 2 2 2" xfId="53750"/>
    <cellStyle name="Comma 2 2 2 2 2 3 4 2 3 2 2 2 2 2" xfId="55215"/>
    <cellStyle name="Comma 2 2 2 2 2 3 4 2 3 2 2 3" xfId="33391"/>
    <cellStyle name="Comma 2 2 2 2 2 3 4 2 3 2 3" xfId="31925"/>
    <cellStyle name="Comma 2 2 2 2 2 3 4 2 3 2 3 2" xfId="41761"/>
    <cellStyle name="Comma 2 2 2 2 2 3 4 2 3 3" xfId="11558"/>
    <cellStyle name="Comma 2 2 2 2 2 3 4 2 3 3 2" xfId="40287"/>
    <cellStyle name="Comma 2 2 2 2 2 3 4 2 3 3 2 2" xfId="46907"/>
    <cellStyle name="Comma 2 2 2 2 2 3 4 2 3 4" xfId="25044"/>
    <cellStyle name="Comma 2 2 2 2 2 3 4 2 4" xfId="10053"/>
    <cellStyle name="Comma 2 2 2 2 2 3 4 2 4 2" xfId="14715"/>
    <cellStyle name="Comma 2 2 2 2 2 3 4 2 4 2 2" xfId="45417"/>
    <cellStyle name="Comma 2 2 2 2 2 3 4 2 4 2 2 2" xfId="50054"/>
    <cellStyle name="Comma 2 2 2 2 2 3 4 2 4 3" xfId="28227"/>
    <cellStyle name="Comma 2 2 2 2 2 3 4 2 5" xfId="23540"/>
    <cellStyle name="Comma 2 2 2 2 2 3 4 2 5 2" xfId="36523"/>
    <cellStyle name="Comma 2 2 2 2 2 3 4 3" xfId="1825"/>
    <cellStyle name="Comma 2 2 2 2 2 3 4 3 2" xfId="6066"/>
    <cellStyle name="Comma 2 2 2 2 2 3 4 3 2 2" xfId="7077"/>
    <cellStyle name="Comma 2 2 2 2 2 3 4 3 2 2 2" xfId="19630"/>
    <cellStyle name="Comma 2 2 2 2 2 3 4 3 2 2 2 2" xfId="20630"/>
    <cellStyle name="Comma 2 2 2 2 2 3 4 3 2 2 2 2 2" xfId="54956"/>
    <cellStyle name="Comma 2 2 2 2 2 3 4 3 2 2 2 2 2 2" xfId="55956"/>
    <cellStyle name="Comma 2 2 2 2 2 3 4 3 2 2 2 3" xfId="34132"/>
    <cellStyle name="Comma 2 2 2 2 2 3 4 3 2 2 3" xfId="33131"/>
    <cellStyle name="Comma 2 2 2 2 2 3 4 3 2 2 3 2" xfId="42505"/>
    <cellStyle name="Comma 2 2 2 2 2 3 4 3 2 3" xfId="12301"/>
    <cellStyle name="Comma 2 2 2 2 2 3 4 3 2 3 2" xfId="41500"/>
    <cellStyle name="Comma 2 2 2 2 2 3 4 3 2 3 2 2" xfId="47648"/>
    <cellStyle name="Comma 2 2 2 2 2 3 4 3 2 4" xfId="25786"/>
    <cellStyle name="Comma 2 2 2 2 2 3 4 3 3" xfId="11292"/>
    <cellStyle name="Comma 2 2 2 2 2 3 4 3 3 2" xfId="15497"/>
    <cellStyle name="Comma 2 2 2 2 2 3 4 3 3 2 2" xfId="46647"/>
    <cellStyle name="Comma 2 2 2 2 2 3 4 3 3 2 2 2" xfId="50830"/>
    <cellStyle name="Comma 2 2 2 2 2 3 4 3 3 3" xfId="29004"/>
    <cellStyle name="Comma 2 2 2 2 2 3 4 3 4" xfId="24784"/>
    <cellStyle name="Comma 2 2 2 2 2 3 4 3 4 2" xfId="37307"/>
    <cellStyle name="Comma 2 2 2 2 2 3 4 4" xfId="3836"/>
    <cellStyle name="Comma 2 2 2 2 2 3 4 4 2" xfId="14450"/>
    <cellStyle name="Comma 2 2 2 2 2 3 4 4 2 2" xfId="17451"/>
    <cellStyle name="Comma 2 2 2 2 2 3 4 4 2 2 2" xfId="49794"/>
    <cellStyle name="Comma 2 2 2 2 2 3 4 4 2 2 2 2" xfId="52778"/>
    <cellStyle name="Comma 2 2 2 2 2 3 4 4 2 3" xfId="30952"/>
    <cellStyle name="Comma 2 2 2 2 2 3 4 4 3" xfId="27962"/>
    <cellStyle name="Comma 2 2 2 2 2 3 4 4 3 2" xfId="39286"/>
    <cellStyle name="Comma 2 2 2 2 2 3 4 5" xfId="9028"/>
    <cellStyle name="Comma 2 2 2 2 2 3 4 5 2" xfId="36262"/>
    <cellStyle name="Comma 2 2 2 2 2 3 4 5 2 2" xfId="44426"/>
    <cellStyle name="Comma 2 2 2 2 2 3 4 6" xfId="22537"/>
    <cellStyle name="Comma 2 2 2 2 2 3 5" xfId="1529"/>
    <cellStyle name="Comma 2 2 2 2 2 3 5 2" xfId="2286"/>
    <cellStyle name="Comma 2 2 2 2 2 3 5 2 2" xfId="6816"/>
    <cellStyle name="Comma 2 2 2 2 2 3 5 2 2 2" xfId="7520"/>
    <cellStyle name="Comma 2 2 2 2 2 3 5 2 2 2 2" xfId="20369"/>
    <cellStyle name="Comma 2 2 2 2 2 3 5 2 2 2 2 2" xfId="21072"/>
    <cellStyle name="Comma 2 2 2 2 2 3 5 2 2 2 2 2 2" xfId="55695"/>
    <cellStyle name="Comma 2 2 2 2 2 3 5 2 2 2 2 2 2 2" xfId="56398"/>
    <cellStyle name="Comma 2 2 2 2 2 3 5 2 2 2 2 3" xfId="34575"/>
    <cellStyle name="Comma 2 2 2 2 2 3 5 2 2 2 3" xfId="33871"/>
    <cellStyle name="Comma 2 2 2 2 2 3 5 2 2 2 3 2" xfId="42947"/>
    <cellStyle name="Comma 2 2 2 2 2 3 5 2 2 3" xfId="12745"/>
    <cellStyle name="Comma 2 2 2 2 2 3 5 2 2 3 2" xfId="42244"/>
    <cellStyle name="Comma 2 2 2 2 2 3 5 2 2 3 2 2" xfId="48091"/>
    <cellStyle name="Comma 2 2 2 2 2 3 5 2 2 4" xfId="26229"/>
    <cellStyle name="Comma 2 2 2 2 2 3 5 2 3" xfId="12040"/>
    <cellStyle name="Comma 2 2 2 2 2 3 5 2 3 2" xfId="15950"/>
    <cellStyle name="Comma 2 2 2 2 2 3 5 2 3 2 2" xfId="47387"/>
    <cellStyle name="Comma 2 2 2 2 2 3 5 2 3 2 2 2" xfId="51282"/>
    <cellStyle name="Comma 2 2 2 2 2 3 5 2 3 3" xfId="29456"/>
    <cellStyle name="Comma 2 2 2 2 2 3 5 2 4" xfId="25525"/>
    <cellStyle name="Comma 2 2 2 2 2 3 5 2 4 2" xfId="37764"/>
    <cellStyle name="Comma 2 2 2 2 2 3 5 3" xfId="4310"/>
    <cellStyle name="Comma 2 2 2 2 2 3 5 3 2" xfId="15209"/>
    <cellStyle name="Comma 2 2 2 2 2 3 5 3 2 2" xfId="17903"/>
    <cellStyle name="Comma 2 2 2 2 2 3 5 3 2 2 2" xfId="50547"/>
    <cellStyle name="Comma 2 2 2 2 2 3 5 3 2 2 2 2" xfId="53230"/>
    <cellStyle name="Comma 2 2 2 2 2 3 5 3 2 3" xfId="31405"/>
    <cellStyle name="Comma 2 2 2 2 2 3 5 3 3" xfId="28721"/>
    <cellStyle name="Comma 2 2 2 2 2 3 5 3 3 2" xfId="39753"/>
    <cellStyle name="Comma 2 2 2 2 2 3 5 4" xfId="9504"/>
    <cellStyle name="Comma 2 2 2 2 2 3 5 4 2" xfId="37019"/>
    <cellStyle name="Comma 2 2 2 2 2 3 5 4 2 2" xfId="44886"/>
    <cellStyle name="Comma 2 2 2 2 2 3 5 5" xfId="23002"/>
    <cellStyle name="Comma 2 2 2 2 2 3 6" xfId="3530"/>
    <cellStyle name="Comma 2 2 2 2 2 3 6 2" xfId="5525"/>
    <cellStyle name="Comma 2 2 2 2 2 3 6 2 2" xfId="17181"/>
    <cellStyle name="Comma 2 2 2 2 2 3 6 2 2 2" xfId="19098"/>
    <cellStyle name="Comma 2 2 2 2 2 3 6 2 2 2 2" xfId="52508"/>
    <cellStyle name="Comma 2 2 2 2 2 3 6 2 2 2 2 2" xfId="54424"/>
    <cellStyle name="Comma 2 2 2 2 2 3 6 2 2 3" xfId="32599"/>
    <cellStyle name="Comma 2 2 2 2 2 3 6 2 3" xfId="30682"/>
    <cellStyle name="Comma 2 2 2 2 2 3 6 2 3 2" xfId="40962"/>
    <cellStyle name="Comma 2 2 2 2 2 3 6 3" xfId="10728"/>
    <cellStyle name="Comma 2 2 2 2 2 3 6 3 2" xfId="38994"/>
    <cellStyle name="Comma 2 2 2 2 2 3 6 3 2 2" xfId="46091"/>
    <cellStyle name="Comma 2 2 2 2 2 3 6 4" xfId="24215"/>
    <cellStyle name="Comma 2 2 2 2 2 3 7" xfId="8724"/>
    <cellStyle name="Comma 2 2 2 2 2 3 7 2" xfId="8819"/>
    <cellStyle name="Comma 2 2 2 2 2 3 7 2 2" xfId="44149"/>
    <cellStyle name="Comma 2 2 2 2 2 3 7 2 2 2" xfId="44227"/>
    <cellStyle name="Comma 2 2 2 2 2 3 7 3" xfId="22334"/>
    <cellStyle name="Comma 2 2 2 2 2 3 8" xfId="22253"/>
    <cellStyle name="Comma 2 2 2 2 2 3 8 2" xfId="27430"/>
    <cellStyle name="Comma 2 2 2 2 2 4" xfId="195"/>
    <cellStyle name="Comma 2 2 2 2 2 4 2" xfId="495"/>
    <cellStyle name="Comma 2 2 2 2 2 4 2 2" xfId="574"/>
    <cellStyle name="Comma 2 2 2 2 2 4 2 2 2" xfId="1308"/>
    <cellStyle name="Comma 2 2 2 2 2 4 2 2 2 2" xfId="1371"/>
    <cellStyle name="Comma 2 2 2 2 2 4 2 2 2 2 2" xfId="3326"/>
    <cellStyle name="Comma 2 2 2 2 2 4 2 2 2 2 2 2" xfId="3389"/>
    <cellStyle name="Comma 2 2 2 2 2 4 2 2 2 2 2 2 2" xfId="8541"/>
    <cellStyle name="Comma 2 2 2 2 2 4 2 2 2 2 2 2 2 2" xfId="8604"/>
    <cellStyle name="Comma 2 2 2 2 2 4 2 2 2 2 2 2 2 2 2" xfId="22093"/>
    <cellStyle name="Comma 2 2 2 2 2 4 2 2 2 2 2 2 2 2 2 2" xfId="22156"/>
    <cellStyle name="Comma 2 2 2 2 2 4 2 2 2 2 2 2 2 2 2 2 2" xfId="57419"/>
    <cellStyle name="Comma 2 2 2 2 2 4 2 2 2 2 2 2 2 2 2 2 2 2" xfId="57482"/>
    <cellStyle name="Comma 2 2 2 2 2 4 2 2 2 2 2 2 2 2 2 3" xfId="35659"/>
    <cellStyle name="Comma 2 2 2 2 2 4 2 2 2 2 2 2 2 2 3" xfId="35596"/>
    <cellStyle name="Comma 2 2 2 2 2 4 2 2 2 2 2 2 2 2 3 2" xfId="44031"/>
    <cellStyle name="Comma 2 2 2 2 2 4 2 2 2 2 2 2 2 3" xfId="13829"/>
    <cellStyle name="Comma 2 2 2 2 2 4 2 2 2 2 2 2 2 3 2" xfId="43968"/>
    <cellStyle name="Comma 2 2 2 2 2 4 2 2 2 2 2 2 2 3 2 2" xfId="49175"/>
    <cellStyle name="Comma 2 2 2 2 2 4 2 2 2 2 2 2 2 4" xfId="27314"/>
    <cellStyle name="Comma 2 2 2 2 2 4 2 2 2 2 2 2 3" xfId="13766"/>
    <cellStyle name="Comma 2 2 2 2 2 4 2 2 2 2 2 2 3 2" xfId="17046"/>
    <cellStyle name="Comma 2 2 2 2 2 4 2 2 2 2 2 2 3 2 2" xfId="49112"/>
    <cellStyle name="Comma 2 2 2 2 2 4 2 2 2 2 2 2 3 2 2 2" xfId="52374"/>
    <cellStyle name="Comma 2 2 2 2 2 4 2 2 2 2 2 2 3 3" xfId="30548"/>
    <cellStyle name="Comma 2 2 2 2 2 4 2 2 2 2 2 2 4" xfId="27251"/>
    <cellStyle name="Comma 2 2 2 2 2 4 2 2 2 2 2 2 4 2" xfId="38858"/>
    <cellStyle name="Comma 2 2 2 2 2 4 2 2 2 2 2 3" xfId="5426"/>
    <cellStyle name="Comma 2 2 2 2 2 4 2 2 2 2 2 3 2" xfId="16983"/>
    <cellStyle name="Comma 2 2 2 2 2 4 2 2 2 2 2 3 2 2" xfId="18999"/>
    <cellStyle name="Comma 2 2 2 2 2 4 2 2 2 2 2 3 2 2 2" xfId="52311"/>
    <cellStyle name="Comma 2 2 2 2 2 4 2 2 2 2 2 3 2 2 2 2" xfId="54325"/>
    <cellStyle name="Comma 2 2 2 2 2 4 2 2 2 2 2 3 2 3" xfId="32500"/>
    <cellStyle name="Comma 2 2 2 2 2 4 2 2 2 2 2 3 3" xfId="30485"/>
    <cellStyle name="Comma 2 2 2 2 2 4 2 2 2 2 2 3 3 2" xfId="40863"/>
    <cellStyle name="Comma 2 2 2 2 2 4 2 2 2 2 2 4" xfId="10629"/>
    <cellStyle name="Comma 2 2 2 2 2 4 2 2 2 2 2 4 2" xfId="38795"/>
    <cellStyle name="Comma 2 2 2 2 2 4 2 2 2 2 2 4 2 2" xfId="45992"/>
    <cellStyle name="Comma 2 2 2 2 2 4 2 2 2 2 2 5" xfId="24115"/>
    <cellStyle name="Comma 2 2 2 2 2 4 2 2 2 2 3" xfId="5363"/>
    <cellStyle name="Comma 2 2 2 2 2 4 2 2 2 2 3 2" xfId="6679"/>
    <cellStyle name="Comma 2 2 2 2 2 4 2 2 2 2 3 2 2" xfId="18936"/>
    <cellStyle name="Comma 2 2 2 2 2 4 2 2 2 2 3 2 2 2" xfId="20232"/>
    <cellStyle name="Comma 2 2 2 2 2 4 2 2 2 2 3 2 2 2 2" xfId="54262"/>
    <cellStyle name="Comma 2 2 2 2 2 4 2 2 2 2 3 2 2 2 2 2" xfId="55558"/>
    <cellStyle name="Comma 2 2 2 2 2 4 2 2 2 2 3 2 2 3" xfId="33734"/>
    <cellStyle name="Comma 2 2 2 2 2 4 2 2 2 2 3 2 3" xfId="32437"/>
    <cellStyle name="Comma 2 2 2 2 2 4 2 2 2 2 3 2 3 2" xfId="42107"/>
    <cellStyle name="Comma 2 2 2 2 2 4 2 2 2 2 3 3" xfId="11902"/>
    <cellStyle name="Comma 2 2 2 2 2 4 2 2 2 2 3 3 2" xfId="40800"/>
    <cellStyle name="Comma 2 2 2 2 2 4 2 2 2 2 3 3 2 2" xfId="47250"/>
    <cellStyle name="Comma 2 2 2 2 2 4 2 2 2 2 3 4" xfId="25387"/>
    <cellStyle name="Comma 2 2 2 2 2 4 2 2 2 2 4" xfId="10566"/>
    <cellStyle name="Comma 2 2 2 2 2 4 2 2 2 2 4 2" xfId="15060"/>
    <cellStyle name="Comma 2 2 2 2 2 4 2 2 2 2 4 2 2" xfId="45929"/>
    <cellStyle name="Comma 2 2 2 2 2 4 2 2 2 2 4 2 2 2" xfId="50399"/>
    <cellStyle name="Comma 2 2 2 2 2 4 2 2 2 2 4 3" xfId="28573"/>
    <cellStyle name="Comma 2 2 2 2 2 4 2 2 2 2 5" xfId="24052"/>
    <cellStyle name="Comma 2 2 2 2 2 4 2 2 2 2 5 2" xfId="36868"/>
    <cellStyle name="Comma 2 2 2 2 2 4 2 2 2 3" xfId="2178"/>
    <cellStyle name="Comma 2 2 2 2 2 4 2 2 2 3 2" xfId="6616"/>
    <cellStyle name="Comma 2 2 2 2 2 4 2 2 2 3 2 2" xfId="7412"/>
    <cellStyle name="Comma 2 2 2 2 2 4 2 2 2 3 2 2 2" xfId="20169"/>
    <cellStyle name="Comma 2 2 2 2 2 4 2 2 2 3 2 2 2 2" xfId="20964"/>
    <cellStyle name="Comma 2 2 2 2 2 4 2 2 2 3 2 2 2 2 2" xfId="55495"/>
    <cellStyle name="Comma 2 2 2 2 2 4 2 2 2 3 2 2 2 2 2 2" xfId="56290"/>
    <cellStyle name="Comma 2 2 2 2 2 4 2 2 2 3 2 2 2 3" xfId="34467"/>
    <cellStyle name="Comma 2 2 2 2 2 4 2 2 2 3 2 2 3" xfId="33671"/>
    <cellStyle name="Comma 2 2 2 2 2 4 2 2 2 3 2 2 3 2" xfId="42839"/>
    <cellStyle name="Comma 2 2 2 2 2 4 2 2 2 3 2 3" xfId="12637"/>
    <cellStyle name="Comma 2 2 2 2 2 4 2 2 2 3 2 3 2" xfId="42044"/>
    <cellStyle name="Comma 2 2 2 2 2 4 2 2 2 3 2 3 2 2" xfId="47983"/>
    <cellStyle name="Comma 2 2 2 2 2 4 2 2 2 3 2 4" xfId="26121"/>
    <cellStyle name="Comma 2 2 2 2 2 4 2 2 2 3 3" xfId="11839"/>
    <cellStyle name="Comma 2 2 2 2 2 4 2 2 2 3 3 2" xfId="15842"/>
    <cellStyle name="Comma 2 2 2 2 2 4 2 2 2 3 3 2 2" xfId="47187"/>
    <cellStyle name="Comma 2 2 2 2 2 4 2 2 2 3 3 2 2 2" xfId="51174"/>
    <cellStyle name="Comma 2 2 2 2 2 4 2 2 2 3 3 3" xfId="29348"/>
    <cellStyle name="Comma 2 2 2 2 2 4 2 2 2 3 4" xfId="25324"/>
    <cellStyle name="Comma 2 2 2 2 2 4 2 2 2 3 4 2" xfId="37656"/>
    <cellStyle name="Comma 2 2 2 2 2 4 2 2 2 4" xfId="4194"/>
    <cellStyle name="Comma 2 2 2 2 2 4 2 2 2 4 2" xfId="14997"/>
    <cellStyle name="Comma 2 2 2 2 2 4 2 2 2 4 2 2" xfId="17787"/>
    <cellStyle name="Comma 2 2 2 2 2 4 2 2 2 4 2 2 2" xfId="50336"/>
    <cellStyle name="Comma 2 2 2 2 2 4 2 2 2 4 2 2 2 2" xfId="53114"/>
    <cellStyle name="Comma 2 2 2 2 2 4 2 2 2 4 2 3" xfId="31289"/>
    <cellStyle name="Comma 2 2 2 2 2 4 2 2 2 4 3" xfId="28510"/>
    <cellStyle name="Comma 2 2 2 2 2 4 2 2 2 4 3 2" xfId="39637"/>
    <cellStyle name="Comma 2 2 2 2 2 4 2 2 2 5" xfId="9385"/>
    <cellStyle name="Comma 2 2 2 2 2 4 2 2 2 5 2" xfId="36805"/>
    <cellStyle name="Comma 2 2 2 2 2 4 2 2 2 5 2 2" xfId="44767"/>
    <cellStyle name="Comma 2 2 2 2 2 4 2 2 2 6" xfId="22881"/>
    <cellStyle name="Comma 2 2 2 2 2 4 2 2 3" xfId="2115"/>
    <cellStyle name="Comma 2 2 2 2 2 4 2 2 3 2" xfId="2664"/>
    <cellStyle name="Comma 2 2 2 2 2 4 2 2 3 2 2" xfId="7349"/>
    <cellStyle name="Comma 2 2 2 2 2 4 2 2 3 2 2 2" xfId="7883"/>
    <cellStyle name="Comma 2 2 2 2 2 4 2 2 3 2 2 2 2" xfId="20901"/>
    <cellStyle name="Comma 2 2 2 2 2 4 2 2 3 2 2 2 2 2" xfId="21435"/>
    <cellStyle name="Comma 2 2 2 2 2 4 2 2 3 2 2 2 2 2 2" xfId="56227"/>
    <cellStyle name="Comma 2 2 2 2 2 4 2 2 3 2 2 2 2 2 2 2" xfId="56761"/>
    <cellStyle name="Comma 2 2 2 2 2 4 2 2 3 2 2 2 2 3" xfId="34938"/>
    <cellStyle name="Comma 2 2 2 2 2 4 2 2 3 2 2 2 3" xfId="34404"/>
    <cellStyle name="Comma 2 2 2 2 2 4 2 2 3 2 2 2 3 2" xfId="43310"/>
    <cellStyle name="Comma 2 2 2 2 2 4 2 2 3 2 2 3" xfId="13108"/>
    <cellStyle name="Comma 2 2 2 2 2 4 2 2 3 2 2 3 2" xfId="42776"/>
    <cellStyle name="Comma 2 2 2 2 2 4 2 2 3 2 2 3 2 2" xfId="48454"/>
    <cellStyle name="Comma 2 2 2 2 2 4 2 2 3 2 2 4" xfId="26592"/>
    <cellStyle name="Comma 2 2 2 2 2 4 2 2 3 2 3" xfId="12574"/>
    <cellStyle name="Comma 2 2 2 2 2 4 2 2 3 2 3 2" xfId="16323"/>
    <cellStyle name="Comma 2 2 2 2 2 4 2 2 3 2 3 2 2" xfId="47920"/>
    <cellStyle name="Comma 2 2 2 2 2 4 2 2 3 2 3 2 2 2" xfId="51653"/>
    <cellStyle name="Comma 2 2 2 2 2 4 2 2 3 2 3 3" xfId="29827"/>
    <cellStyle name="Comma 2 2 2 2 2 4 2 2 3 2 4" xfId="26058"/>
    <cellStyle name="Comma 2 2 2 2 2 4 2 2 3 2 4 2" xfId="38137"/>
    <cellStyle name="Comma 2 2 2 2 2 4 2 2 3 3" xfId="4700"/>
    <cellStyle name="Comma 2 2 2 2 2 4 2 2 3 3 2" xfId="15779"/>
    <cellStyle name="Comma 2 2 2 2 2 4 2 2 3 3 2 2" xfId="18277"/>
    <cellStyle name="Comma 2 2 2 2 2 4 2 2 3 3 2 2 2" xfId="51111"/>
    <cellStyle name="Comma 2 2 2 2 2 4 2 2 3 3 2 2 2 2" xfId="53603"/>
    <cellStyle name="Comma 2 2 2 2 2 4 2 2 3 3 2 3" xfId="31778"/>
    <cellStyle name="Comma 2 2 2 2 2 4 2 2 3 3 3" xfId="29285"/>
    <cellStyle name="Comma 2 2 2 2 2 4 2 2 3 3 3 2" xfId="40138"/>
    <cellStyle name="Comma 2 2 2 2 2 4 2 2 3 4" xfId="9903"/>
    <cellStyle name="Comma 2 2 2 2 2 4 2 2 3 4 2" xfId="37593"/>
    <cellStyle name="Comma 2 2 2 2 2 4 2 2 3 4 2 2" xfId="45270"/>
    <cellStyle name="Comma 2 2 2 2 2 4 2 2 3 5" xfId="23393"/>
    <cellStyle name="Comma 2 2 2 2 2 4 2 2 4" xfId="4131"/>
    <cellStyle name="Comma 2 2 2 2 2 4 2 2 4 2" xfId="5905"/>
    <cellStyle name="Comma 2 2 2 2 2 4 2 2 4 2 2" xfId="17724"/>
    <cellStyle name="Comma 2 2 2 2 2 4 2 2 4 2 2 2" xfId="19472"/>
    <cellStyle name="Comma 2 2 2 2 2 4 2 2 4 2 2 2 2" xfId="53051"/>
    <cellStyle name="Comma 2 2 2 2 2 4 2 2 4 2 2 2 2 2" xfId="54798"/>
    <cellStyle name="Comma 2 2 2 2 2 4 2 2 4 2 2 3" xfId="32973"/>
    <cellStyle name="Comma 2 2 2 2 2 4 2 2 4 2 3" xfId="31226"/>
    <cellStyle name="Comma 2 2 2 2 2 4 2 2 4 2 3 2" xfId="41339"/>
    <cellStyle name="Comma 2 2 2 2 2 4 2 2 4 3" xfId="11130"/>
    <cellStyle name="Comma 2 2 2 2 2 4 2 2 4 3 2" xfId="39574"/>
    <cellStyle name="Comma 2 2 2 2 2 4 2 2 4 3 2 2" xfId="46488"/>
    <cellStyle name="Comma 2 2 2 2 2 4 2 2 4 4" xfId="24623"/>
    <cellStyle name="Comma 2 2 2 2 2 4 2 2 5" xfId="9322"/>
    <cellStyle name="Comma 2 2 2 2 2 4 2 2 5 2" xfId="14289"/>
    <cellStyle name="Comma 2 2 2 2 2 4 2 2 5 2 2" xfId="44704"/>
    <cellStyle name="Comma 2 2 2 2 2 4 2 2 5 2 2 2" xfId="49634"/>
    <cellStyle name="Comma 2 2 2 2 2 4 2 2 5 3" xfId="27799"/>
    <cellStyle name="Comma 2 2 2 2 2 4 2 2 6" xfId="22818"/>
    <cellStyle name="Comma 2 2 2 2 2 4 2 2 6 2" xfId="36101"/>
    <cellStyle name="Comma 2 2 2 2 2 4 2 3" xfId="902"/>
    <cellStyle name="Comma 2 2 2 2 2 4 2 3 2" xfId="2592"/>
    <cellStyle name="Comma 2 2 2 2 2 4 2 3 2 2" xfId="2941"/>
    <cellStyle name="Comma 2 2 2 2 2 4 2 3 2 2 2" xfId="7813"/>
    <cellStyle name="Comma 2 2 2 2 2 4 2 3 2 2 2 2" xfId="8156"/>
    <cellStyle name="Comma 2 2 2 2 2 4 2 3 2 2 2 2 2" xfId="21365"/>
    <cellStyle name="Comma 2 2 2 2 2 4 2 3 2 2 2 2 2 2" xfId="21708"/>
    <cellStyle name="Comma 2 2 2 2 2 4 2 3 2 2 2 2 2 2 2" xfId="56691"/>
    <cellStyle name="Comma 2 2 2 2 2 4 2 3 2 2 2 2 2 2 2 2" xfId="57034"/>
    <cellStyle name="Comma 2 2 2 2 2 4 2 3 2 2 2 2 2 3" xfId="35211"/>
    <cellStyle name="Comma 2 2 2 2 2 4 2 3 2 2 2 2 3" xfId="34868"/>
    <cellStyle name="Comma 2 2 2 2 2 4 2 3 2 2 2 2 3 2" xfId="43583"/>
    <cellStyle name="Comma 2 2 2 2 2 4 2 3 2 2 2 3" xfId="13381"/>
    <cellStyle name="Comma 2 2 2 2 2 4 2 3 2 2 2 3 2" xfId="43240"/>
    <cellStyle name="Comma 2 2 2 2 2 4 2 3 2 2 2 3 2 2" xfId="48727"/>
    <cellStyle name="Comma 2 2 2 2 2 4 2 3 2 2 2 4" xfId="26866"/>
    <cellStyle name="Comma 2 2 2 2 2 4 2 3 2 2 3" xfId="13038"/>
    <cellStyle name="Comma 2 2 2 2 2 4 2 3 2 2 3 2" xfId="16598"/>
    <cellStyle name="Comma 2 2 2 2 2 4 2 3 2 2 3 2 2" xfId="48384"/>
    <cellStyle name="Comma 2 2 2 2 2 4 2 3 2 2 3 2 2 2" xfId="51926"/>
    <cellStyle name="Comma 2 2 2 2 2 4 2 3 2 2 3 3" xfId="30100"/>
    <cellStyle name="Comma 2 2 2 2 2 4 2 3 2 2 4" xfId="26522"/>
    <cellStyle name="Comma 2 2 2 2 2 4 2 3 2 2 4 2" xfId="38410"/>
    <cellStyle name="Comma 2 2 2 2 2 4 2 3 2 3" xfId="4977"/>
    <cellStyle name="Comma 2 2 2 2 2 4 2 3 2 3 2" xfId="16251"/>
    <cellStyle name="Comma 2 2 2 2 2 4 2 3 2 3 2 2" xfId="18550"/>
    <cellStyle name="Comma 2 2 2 2 2 4 2 3 2 3 2 2 2" xfId="51581"/>
    <cellStyle name="Comma 2 2 2 2 2 4 2 3 2 3 2 2 2 2" xfId="53876"/>
    <cellStyle name="Comma 2 2 2 2 2 4 2 3 2 3 2 3" xfId="32051"/>
    <cellStyle name="Comma 2 2 2 2 2 4 2 3 2 3 3" xfId="29755"/>
    <cellStyle name="Comma 2 2 2 2 2 4 2 3 2 3 3 2" xfId="40414"/>
    <cellStyle name="Comma 2 2 2 2 2 4 2 3 2 4" xfId="10180"/>
    <cellStyle name="Comma 2 2 2 2 2 4 2 3 2 4 2" xfId="38065"/>
    <cellStyle name="Comma 2 2 2 2 2 4 2 3 2 4 2 2" xfId="45543"/>
    <cellStyle name="Comma 2 2 2 2 2 4 2 3 2 5" xfId="23666"/>
    <cellStyle name="Comma 2 2 2 2 2 4 2 3 3" xfId="4626"/>
    <cellStyle name="Comma 2 2 2 2 2 4 2 3 3 2" xfId="6213"/>
    <cellStyle name="Comma 2 2 2 2 2 4 2 3 3 2 2" xfId="18207"/>
    <cellStyle name="Comma 2 2 2 2 2 4 2 3 3 2 2 2" xfId="19771"/>
    <cellStyle name="Comma 2 2 2 2 2 4 2 3 3 2 2 2 2" xfId="53533"/>
    <cellStyle name="Comma 2 2 2 2 2 4 2 3 3 2 2 2 2 2" xfId="55097"/>
    <cellStyle name="Comma 2 2 2 2 2 4 2 3 3 2 2 3" xfId="33273"/>
    <cellStyle name="Comma 2 2 2 2 2 4 2 3 3 2 3" xfId="31708"/>
    <cellStyle name="Comma 2 2 2 2 2 4 2 3 3 2 3 2" xfId="41642"/>
    <cellStyle name="Comma 2 2 2 2 2 4 2 3 3 3" xfId="11438"/>
    <cellStyle name="Comma 2 2 2 2 2 4 2 3 3 3 2" xfId="40065"/>
    <cellStyle name="Comma 2 2 2 2 2 4 2 3 3 3 2 2" xfId="46788"/>
    <cellStyle name="Comma 2 2 2 2 2 4 2 3 3 4" xfId="24925"/>
    <cellStyle name="Comma 2 2 2 2 2 4 2 3 4" xfId="9830"/>
    <cellStyle name="Comma 2 2 2 2 2 4 2 3 4 2" xfId="14597"/>
    <cellStyle name="Comma 2 2 2 2 2 4 2 3 4 2 2" xfId="45200"/>
    <cellStyle name="Comma 2 2 2 2 2 4 2 3 4 2 2 2" xfId="49936"/>
    <cellStyle name="Comma 2 2 2 2 2 4 2 3 4 3" xfId="28107"/>
    <cellStyle name="Comma 2 2 2 2 2 4 2 3 5" xfId="23323"/>
    <cellStyle name="Comma 2 2 2 2 2 4 2 3 5 2" xfId="36405"/>
    <cellStyle name="Comma 2 2 2 2 2 4 2 4" xfId="1698"/>
    <cellStyle name="Comma 2 2 2 2 2 4 2 4 2" xfId="5831"/>
    <cellStyle name="Comma 2 2 2 2 2 4 2 4 2 2" xfId="6952"/>
    <cellStyle name="Comma 2 2 2 2 2 4 2 4 2 2 2" xfId="19399"/>
    <cellStyle name="Comma 2 2 2 2 2 4 2 4 2 2 2 2" xfId="20505"/>
    <cellStyle name="Comma 2 2 2 2 2 4 2 4 2 2 2 2 2" xfId="54725"/>
    <cellStyle name="Comma 2 2 2 2 2 4 2 4 2 2 2 2 2 2" xfId="55831"/>
    <cellStyle name="Comma 2 2 2 2 2 4 2 4 2 2 2 3" xfId="34007"/>
    <cellStyle name="Comma 2 2 2 2 2 4 2 4 2 2 3" xfId="32900"/>
    <cellStyle name="Comma 2 2 2 2 2 4 2 4 2 2 3 2" xfId="42380"/>
    <cellStyle name="Comma 2 2 2 2 2 4 2 4 2 3" xfId="12176"/>
    <cellStyle name="Comma 2 2 2 2 2 4 2 4 2 3 2" xfId="41266"/>
    <cellStyle name="Comma 2 2 2 2 2 4 2 4 2 3 2 2" xfId="47523"/>
    <cellStyle name="Comma 2 2 2 2 2 4 2 4 2 4" xfId="25661"/>
    <cellStyle name="Comma 2 2 2 2 2 4 2 4 3" xfId="11054"/>
    <cellStyle name="Comma 2 2 2 2 2 4 2 4 3 2" xfId="15370"/>
    <cellStyle name="Comma 2 2 2 2 2 4 2 4 3 2 2" xfId="46413"/>
    <cellStyle name="Comma 2 2 2 2 2 4 2 4 3 2 2 2" xfId="50704"/>
    <cellStyle name="Comma 2 2 2 2 2 4 2 4 3 3" xfId="28878"/>
    <cellStyle name="Comma 2 2 2 2 2 4 2 4 4" xfId="24548"/>
    <cellStyle name="Comma 2 2 2 2 2 4 2 4 4 2" xfId="37181"/>
    <cellStyle name="Comma 2 2 2 2 2 4 2 5" xfId="3703"/>
    <cellStyle name="Comma 2 2 2 2 2 4 2 5 2" xfId="14215"/>
    <cellStyle name="Comma 2 2 2 2 2 4 2 5 2 2" xfId="17320"/>
    <cellStyle name="Comma 2 2 2 2 2 4 2 5 2 2 2" xfId="49560"/>
    <cellStyle name="Comma 2 2 2 2 2 4 2 5 2 2 2 2" xfId="52647"/>
    <cellStyle name="Comma 2 2 2 2 2 4 2 5 2 3" xfId="30821"/>
    <cellStyle name="Comma 2 2 2 2 2 4 2 5 3" xfId="27722"/>
    <cellStyle name="Comma 2 2 2 2 2 4 2 5 3 2" xfId="39154"/>
    <cellStyle name="Comma 2 2 2 2 2 4 2 6" xfId="8892"/>
    <cellStyle name="Comma 2 2 2 2 2 4 2 6 2" xfId="36027"/>
    <cellStyle name="Comma 2 2 2 2 2 4 2 6 2 2" xfId="44292"/>
    <cellStyle name="Comma 2 2 2 2 2 4 2 7" xfId="22400"/>
    <cellStyle name="Comma 2 2 2 2 2 4 3" xfId="821"/>
    <cellStyle name="Comma 2 2 2 2 2 4 3 2" xfId="1070"/>
    <cellStyle name="Comma 2 2 2 2 2 4 3 2 2" xfId="2875"/>
    <cellStyle name="Comma 2 2 2 2 2 4 3 2 2 2" xfId="3105"/>
    <cellStyle name="Comma 2 2 2 2 2 4 3 2 2 2 2" xfId="8091"/>
    <cellStyle name="Comma 2 2 2 2 2 4 3 2 2 2 2 2" xfId="8320"/>
    <cellStyle name="Comma 2 2 2 2 2 4 3 2 2 2 2 2 2" xfId="21643"/>
    <cellStyle name="Comma 2 2 2 2 2 4 3 2 2 2 2 2 2 2" xfId="21872"/>
    <cellStyle name="Comma 2 2 2 2 2 4 3 2 2 2 2 2 2 2 2" xfId="56969"/>
    <cellStyle name="Comma 2 2 2 2 2 4 3 2 2 2 2 2 2 2 2 2" xfId="57198"/>
    <cellStyle name="Comma 2 2 2 2 2 4 3 2 2 2 2 2 2 3" xfId="35375"/>
    <cellStyle name="Comma 2 2 2 2 2 4 3 2 2 2 2 2 3" xfId="35146"/>
    <cellStyle name="Comma 2 2 2 2 2 4 3 2 2 2 2 2 3 2" xfId="43747"/>
    <cellStyle name="Comma 2 2 2 2 2 4 3 2 2 2 2 3" xfId="13545"/>
    <cellStyle name="Comma 2 2 2 2 2 4 3 2 2 2 2 3 2" xfId="43518"/>
    <cellStyle name="Comma 2 2 2 2 2 4 3 2 2 2 2 3 2 2" xfId="48891"/>
    <cellStyle name="Comma 2 2 2 2 2 4 3 2 2 2 2 4" xfId="27030"/>
    <cellStyle name="Comma 2 2 2 2 2 4 3 2 2 2 3" xfId="13316"/>
    <cellStyle name="Comma 2 2 2 2 2 4 3 2 2 2 3 2" xfId="16762"/>
    <cellStyle name="Comma 2 2 2 2 2 4 3 2 2 2 3 2 2" xfId="48662"/>
    <cellStyle name="Comma 2 2 2 2 2 4 3 2 2 2 3 2 2 2" xfId="52090"/>
    <cellStyle name="Comma 2 2 2 2 2 4 3 2 2 2 3 3" xfId="30264"/>
    <cellStyle name="Comma 2 2 2 2 2 4 3 2 2 2 4" xfId="26800"/>
    <cellStyle name="Comma 2 2 2 2 2 4 3 2 2 2 4 2" xfId="38574"/>
    <cellStyle name="Comma 2 2 2 2 2 4 3 2 2 3" xfId="5142"/>
    <cellStyle name="Comma 2 2 2 2 2 4 3 2 2 3 2" xfId="16533"/>
    <cellStyle name="Comma 2 2 2 2 2 4 3 2 2 3 2 2" xfId="18715"/>
    <cellStyle name="Comma 2 2 2 2 2 4 3 2 2 3 2 2 2" xfId="51861"/>
    <cellStyle name="Comma 2 2 2 2 2 4 3 2 2 3 2 2 2 2" xfId="54041"/>
    <cellStyle name="Comma 2 2 2 2 2 4 3 2 2 3 2 3" xfId="32216"/>
    <cellStyle name="Comma 2 2 2 2 2 4 3 2 2 3 3" xfId="30035"/>
    <cellStyle name="Comma 2 2 2 2 2 4 3 2 2 3 3 2" xfId="40579"/>
    <cellStyle name="Comma 2 2 2 2 2 4 3 2 2 4" xfId="10345"/>
    <cellStyle name="Comma 2 2 2 2 2 4 3 2 2 4 2" xfId="38345"/>
    <cellStyle name="Comma 2 2 2 2 2 4 3 2 2 4 2 2" xfId="45708"/>
    <cellStyle name="Comma 2 2 2 2 2 4 3 2 2 5" xfId="23831"/>
    <cellStyle name="Comma 2 2 2 2 2 4 3 2 3" xfId="4911"/>
    <cellStyle name="Comma 2 2 2 2 2 4 3 2 3 2" xfId="6380"/>
    <cellStyle name="Comma 2 2 2 2 2 4 3 2 3 2 2" xfId="18485"/>
    <cellStyle name="Comma 2 2 2 2 2 4 3 2 3 2 2 2" xfId="19936"/>
    <cellStyle name="Comma 2 2 2 2 2 4 3 2 3 2 2 2 2" xfId="53811"/>
    <cellStyle name="Comma 2 2 2 2 2 4 3 2 3 2 2 2 2 2" xfId="55262"/>
    <cellStyle name="Comma 2 2 2 2 2 4 3 2 3 2 2 3" xfId="33438"/>
    <cellStyle name="Comma 2 2 2 2 2 4 3 2 3 2 3" xfId="31986"/>
    <cellStyle name="Comma 2 2 2 2 2 4 3 2 3 2 3 2" xfId="41809"/>
    <cellStyle name="Comma 2 2 2 2 2 4 3 2 3 3" xfId="11605"/>
    <cellStyle name="Comma 2 2 2 2 2 4 3 2 3 3 2" xfId="40348"/>
    <cellStyle name="Comma 2 2 2 2 2 4 3 2 3 3 2 2" xfId="46954"/>
    <cellStyle name="Comma 2 2 2 2 2 4 3 2 3 4" xfId="25091"/>
    <cellStyle name="Comma 2 2 2 2 2 4 3 2 4" xfId="10114"/>
    <cellStyle name="Comma 2 2 2 2 2 4 3 2 4 2" xfId="14762"/>
    <cellStyle name="Comma 2 2 2 2 2 4 3 2 4 2 2" xfId="45478"/>
    <cellStyle name="Comma 2 2 2 2 2 4 3 2 4 2 2 2" xfId="50101"/>
    <cellStyle name="Comma 2 2 2 2 2 4 3 2 4 3" xfId="28274"/>
    <cellStyle name="Comma 2 2 2 2 2 4 3 2 5" xfId="23601"/>
    <cellStyle name="Comma 2 2 2 2 2 4 3 2 5 2" xfId="36570"/>
    <cellStyle name="Comma 2 2 2 2 2 4 3 3" xfId="1878"/>
    <cellStyle name="Comma 2 2 2 2 2 4 3 3 2" xfId="6136"/>
    <cellStyle name="Comma 2 2 2 2 2 4 3 3 2 2" xfId="7127"/>
    <cellStyle name="Comma 2 2 2 2 2 4 3 3 2 2 2" xfId="19697"/>
    <cellStyle name="Comma 2 2 2 2 2 4 3 3 2 2 2 2" xfId="20679"/>
    <cellStyle name="Comma 2 2 2 2 2 4 3 3 2 2 2 2 2" xfId="55023"/>
    <cellStyle name="Comma 2 2 2 2 2 4 3 3 2 2 2 2 2 2" xfId="56005"/>
    <cellStyle name="Comma 2 2 2 2 2 4 3 3 2 2 2 3" xfId="34182"/>
    <cellStyle name="Comma 2 2 2 2 2 4 3 3 2 2 3" xfId="33198"/>
    <cellStyle name="Comma 2 2 2 2 2 4 3 3 2 2 3 2" xfId="42554"/>
    <cellStyle name="Comma 2 2 2 2 2 4 3 3 2 3" xfId="12352"/>
    <cellStyle name="Comma 2 2 2 2 2 4 3 3 2 3 2" xfId="41568"/>
    <cellStyle name="Comma 2 2 2 2 2 4 3 3 2 3 2 2" xfId="47698"/>
    <cellStyle name="Comma 2 2 2 2 2 4 3 3 2 4" xfId="25836"/>
    <cellStyle name="Comma 2 2 2 2 2 4 3 3 3" xfId="11362"/>
    <cellStyle name="Comma 2 2 2 2 2 4 3 3 3 2" xfId="15548"/>
    <cellStyle name="Comma 2 2 2 2 2 4 3 3 3 2 2" xfId="46714"/>
    <cellStyle name="Comma 2 2 2 2 2 4 3 3 3 2 2 2" xfId="50880"/>
    <cellStyle name="Comma 2 2 2 2 2 4 3 3 3 3" xfId="29054"/>
    <cellStyle name="Comma 2 2 2 2 2 4 3 3 4" xfId="24851"/>
    <cellStyle name="Comma 2 2 2 2 2 4 3 3 4 2" xfId="37359"/>
    <cellStyle name="Comma 2 2 2 2 2 4 3 4" xfId="3892"/>
    <cellStyle name="Comma 2 2 2 2 2 4 3 4 2" xfId="14519"/>
    <cellStyle name="Comma 2 2 2 2 2 4 3 4 2 2" xfId="17502"/>
    <cellStyle name="Comma 2 2 2 2 2 4 3 4 2 2 2" xfId="49861"/>
    <cellStyle name="Comma 2 2 2 2 2 4 3 4 2 2 2 2" xfId="52829"/>
    <cellStyle name="Comma 2 2 2 2 2 4 3 4 2 3" xfId="31004"/>
    <cellStyle name="Comma 2 2 2 2 2 4 3 4 3" xfId="28031"/>
    <cellStyle name="Comma 2 2 2 2 2 4 3 4 3 2" xfId="39340"/>
    <cellStyle name="Comma 2 2 2 2 2 4 3 5" xfId="9085"/>
    <cellStyle name="Comma 2 2 2 2 2 4 3 5 2" xfId="36329"/>
    <cellStyle name="Comma 2 2 2 2 2 4 3 5 2 2" xfId="44481"/>
    <cellStyle name="Comma 2 2 2 2 2 4 3 6" xfId="22594"/>
    <cellStyle name="Comma 2 2 2 2 2 4 4" xfId="1611"/>
    <cellStyle name="Comma 2 2 2 2 2 4 4 2" xfId="2332"/>
    <cellStyle name="Comma 2 2 2 2 2 4 4 2 2" xfId="6881"/>
    <cellStyle name="Comma 2 2 2 2 2 4 4 2 2 2" xfId="7566"/>
    <cellStyle name="Comma 2 2 2 2 2 4 4 2 2 2 2" xfId="20434"/>
    <cellStyle name="Comma 2 2 2 2 2 4 4 2 2 2 2 2" xfId="21118"/>
    <cellStyle name="Comma 2 2 2 2 2 4 4 2 2 2 2 2 2" xfId="55760"/>
    <cellStyle name="Comma 2 2 2 2 2 4 4 2 2 2 2 2 2 2" xfId="56444"/>
    <cellStyle name="Comma 2 2 2 2 2 4 4 2 2 2 2 3" xfId="34621"/>
    <cellStyle name="Comma 2 2 2 2 2 4 4 2 2 2 3" xfId="33936"/>
    <cellStyle name="Comma 2 2 2 2 2 4 4 2 2 2 3 2" xfId="42993"/>
    <cellStyle name="Comma 2 2 2 2 2 4 4 2 2 3" xfId="12791"/>
    <cellStyle name="Comma 2 2 2 2 2 4 4 2 2 3 2" xfId="42309"/>
    <cellStyle name="Comma 2 2 2 2 2 4 4 2 2 3 2 2" xfId="48137"/>
    <cellStyle name="Comma 2 2 2 2 2 4 4 2 2 4" xfId="26275"/>
    <cellStyle name="Comma 2 2 2 2 2 4 4 2 3" xfId="12105"/>
    <cellStyle name="Comma 2 2 2 2 2 4 4 2 3 2" xfId="15996"/>
    <cellStyle name="Comma 2 2 2 2 2 4 4 2 3 2 2" xfId="47452"/>
    <cellStyle name="Comma 2 2 2 2 2 4 4 2 3 2 2 2" xfId="51328"/>
    <cellStyle name="Comma 2 2 2 2 2 4 4 2 3 3" xfId="29502"/>
    <cellStyle name="Comma 2 2 2 2 2 4 4 2 4" xfId="25590"/>
    <cellStyle name="Comma 2 2 2 2 2 4 4 2 4 2" xfId="37810"/>
    <cellStyle name="Comma 2 2 2 2 2 4 4 3" xfId="4362"/>
    <cellStyle name="Comma 2 2 2 2 2 4 4 3 2" xfId="15287"/>
    <cellStyle name="Comma 2 2 2 2 2 4 4 3 2 2" xfId="17954"/>
    <cellStyle name="Comma 2 2 2 2 2 4 4 3 2 2 2" xfId="50622"/>
    <cellStyle name="Comma 2 2 2 2 2 4 4 3 2 2 2 2" xfId="53281"/>
    <cellStyle name="Comma 2 2 2 2 2 4 4 3 2 3" xfId="31456"/>
    <cellStyle name="Comma 2 2 2 2 2 4 4 3 3" xfId="28796"/>
    <cellStyle name="Comma 2 2 2 2 2 4 4 3 3 2" xfId="39804"/>
    <cellStyle name="Comma 2 2 2 2 2 4 4 4" xfId="9562"/>
    <cellStyle name="Comma 2 2 2 2 2 4 4 4 2" xfId="37097"/>
    <cellStyle name="Comma 2 2 2 2 2 4 4 4 2 2" xfId="44944"/>
    <cellStyle name="Comma 2 2 2 2 2 4 4 5" xfId="23063"/>
    <cellStyle name="Comma 2 2 2 2 2 4 5" xfId="3614"/>
    <cellStyle name="Comma 2 2 2 2 2 4 5 2" xfId="5572"/>
    <cellStyle name="Comma 2 2 2 2 2 4 5 2 2" xfId="17249"/>
    <cellStyle name="Comma 2 2 2 2 2 4 5 2 2 2" xfId="19145"/>
    <cellStyle name="Comma 2 2 2 2 2 4 5 2 2 2 2" xfId="52576"/>
    <cellStyle name="Comma 2 2 2 2 2 4 5 2 2 2 2 2" xfId="54471"/>
    <cellStyle name="Comma 2 2 2 2 2 4 5 2 2 3" xfId="32646"/>
    <cellStyle name="Comma 2 2 2 2 2 4 5 2 3" xfId="30750"/>
    <cellStyle name="Comma 2 2 2 2 2 4 5 2 3 2" xfId="41009"/>
    <cellStyle name="Comma 2 2 2 2 2 4 5 3" xfId="10782"/>
    <cellStyle name="Comma 2 2 2 2 2 4 5 3 2" xfId="39070"/>
    <cellStyle name="Comma 2 2 2 2 2 4 5 3 2 2" xfId="46144"/>
    <cellStyle name="Comma 2 2 2 2 2 4 5 4" xfId="24271"/>
    <cellStyle name="Comma 2 2 2 2 2 4 6" xfId="8808"/>
    <cellStyle name="Comma 2 2 2 2 2 4 6 2" xfId="13957"/>
    <cellStyle name="Comma 2 2 2 2 2 4 6 2 2" xfId="44219"/>
    <cellStyle name="Comma 2 2 2 2 2 4 6 2 2 2" xfId="49303"/>
    <cellStyle name="Comma 2 2 2 2 2 4 6 3" xfId="27447"/>
    <cellStyle name="Comma 2 2 2 2 2 4 7" xfId="22325"/>
    <cellStyle name="Comma 2 2 2 2 2 4 7 2" xfId="35769"/>
    <cellStyle name="Comma 2 2 2 2 2 5" xfId="198"/>
    <cellStyle name="Comma 2 2 2 2 2 5 2" xfId="1001"/>
    <cellStyle name="Comma 2 2 2 2 2 5 2 2" xfId="1072"/>
    <cellStyle name="Comma 2 2 2 2 2 5 2 2 2" xfId="3038"/>
    <cellStyle name="Comma 2 2 2 2 2 5 2 2 2 2" xfId="3107"/>
    <cellStyle name="Comma 2 2 2 2 2 5 2 2 2 2 2" xfId="8253"/>
    <cellStyle name="Comma 2 2 2 2 2 5 2 2 2 2 2 2" xfId="8322"/>
    <cellStyle name="Comma 2 2 2 2 2 5 2 2 2 2 2 2 2" xfId="21805"/>
    <cellStyle name="Comma 2 2 2 2 2 5 2 2 2 2 2 2 2 2" xfId="21874"/>
    <cellStyle name="Comma 2 2 2 2 2 5 2 2 2 2 2 2 2 2 2" xfId="57131"/>
    <cellStyle name="Comma 2 2 2 2 2 5 2 2 2 2 2 2 2 2 2 2" xfId="57200"/>
    <cellStyle name="Comma 2 2 2 2 2 5 2 2 2 2 2 2 2 3" xfId="35377"/>
    <cellStyle name="Comma 2 2 2 2 2 5 2 2 2 2 2 2 3" xfId="35308"/>
    <cellStyle name="Comma 2 2 2 2 2 5 2 2 2 2 2 2 3 2" xfId="43749"/>
    <cellStyle name="Comma 2 2 2 2 2 5 2 2 2 2 2 3" xfId="13547"/>
    <cellStyle name="Comma 2 2 2 2 2 5 2 2 2 2 2 3 2" xfId="43680"/>
    <cellStyle name="Comma 2 2 2 2 2 5 2 2 2 2 2 3 2 2" xfId="48893"/>
    <cellStyle name="Comma 2 2 2 2 2 5 2 2 2 2 2 4" xfId="27032"/>
    <cellStyle name="Comma 2 2 2 2 2 5 2 2 2 2 3" xfId="13478"/>
    <cellStyle name="Comma 2 2 2 2 2 5 2 2 2 2 3 2" xfId="16764"/>
    <cellStyle name="Comma 2 2 2 2 2 5 2 2 2 2 3 2 2" xfId="48824"/>
    <cellStyle name="Comma 2 2 2 2 2 5 2 2 2 2 3 2 2 2" xfId="52092"/>
    <cellStyle name="Comma 2 2 2 2 2 5 2 2 2 2 3 3" xfId="30266"/>
    <cellStyle name="Comma 2 2 2 2 2 5 2 2 2 2 4" xfId="26963"/>
    <cellStyle name="Comma 2 2 2 2 2 5 2 2 2 2 4 2" xfId="38576"/>
    <cellStyle name="Comma 2 2 2 2 2 5 2 2 2 3" xfId="5144"/>
    <cellStyle name="Comma 2 2 2 2 2 5 2 2 2 3 2" xfId="16695"/>
    <cellStyle name="Comma 2 2 2 2 2 5 2 2 2 3 2 2" xfId="18717"/>
    <cellStyle name="Comma 2 2 2 2 2 5 2 2 2 3 2 2 2" xfId="52023"/>
    <cellStyle name="Comma 2 2 2 2 2 5 2 2 2 3 2 2 2 2" xfId="54043"/>
    <cellStyle name="Comma 2 2 2 2 2 5 2 2 2 3 2 3" xfId="32218"/>
    <cellStyle name="Comma 2 2 2 2 2 5 2 2 2 3 3" xfId="30197"/>
    <cellStyle name="Comma 2 2 2 2 2 5 2 2 2 3 3 2" xfId="40581"/>
    <cellStyle name="Comma 2 2 2 2 2 5 2 2 2 4" xfId="10347"/>
    <cellStyle name="Comma 2 2 2 2 2 5 2 2 2 4 2" xfId="38507"/>
    <cellStyle name="Comma 2 2 2 2 2 5 2 2 2 4 2 2" xfId="45710"/>
    <cellStyle name="Comma 2 2 2 2 2 5 2 2 2 5" xfId="23833"/>
    <cellStyle name="Comma 2 2 2 2 2 5 2 2 3" xfId="5075"/>
    <cellStyle name="Comma 2 2 2 2 2 5 2 2 3 2" xfId="6382"/>
    <cellStyle name="Comma 2 2 2 2 2 5 2 2 3 2 2" xfId="18648"/>
    <cellStyle name="Comma 2 2 2 2 2 5 2 2 3 2 2 2" xfId="19938"/>
    <cellStyle name="Comma 2 2 2 2 2 5 2 2 3 2 2 2 2" xfId="53974"/>
    <cellStyle name="Comma 2 2 2 2 2 5 2 2 3 2 2 2 2 2" xfId="55264"/>
    <cellStyle name="Comma 2 2 2 2 2 5 2 2 3 2 2 3" xfId="33440"/>
    <cellStyle name="Comma 2 2 2 2 2 5 2 2 3 2 3" xfId="32149"/>
    <cellStyle name="Comma 2 2 2 2 2 5 2 2 3 2 3 2" xfId="41811"/>
    <cellStyle name="Comma 2 2 2 2 2 5 2 2 3 3" xfId="11607"/>
    <cellStyle name="Comma 2 2 2 2 2 5 2 2 3 3 2" xfId="40512"/>
    <cellStyle name="Comma 2 2 2 2 2 5 2 2 3 3 2 2" xfId="46956"/>
    <cellStyle name="Comma 2 2 2 2 2 5 2 2 3 4" xfId="25093"/>
    <cellStyle name="Comma 2 2 2 2 2 5 2 2 4" xfId="10278"/>
    <cellStyle name="Comma 2 2 2 2 2 5 2 2 4 2" xfId="14764"/>
    <cellStyle name="Comma 2 2 2 2 2 5 2 2 4 2 2" xfId="45641"/>
    <cellStyle name="Comma 2 2 2 2 2 5 2 2 4 2 2 2" xfId="50103"/>
    <cellStyle name="Comma 2 2 2 2 2 5 2 2 4 3" xfId="28276"/>
    <cellStyle name="Comma 2 2 2 2 2 5 2 2 5" xfId="23764"/>
    <cellStyle name="Comma 2 2 2 2 2 5 2 2 5 2" xfId="36572"/>
    <cellStyle name="Comma 2 2 2 2 2 5 2 3" xfId="1880"/>
    <cellStyle name="Comma 2 2 2 2 2 5 2 3 2" xfId="6311"/>
    <cellStyle name="Comma 2 2 2 2 2 5 2 3 2 2" xfId="7129"/>
    <cellStyle name="Comma 2 2 2 2 2 5 2 3 2 2 2" xfId="19868"/>
    <cellStyle name="Comma 2 2 2 2 2 5 2 3 2 2 2 2" xfId="20681"/>
    <cellStyle name="Comma 2 2 2 2 2 5 2 3 2 2 2 2 2" xfId="55194"/>
    <cellStyle name="Comma 2 2 2 2 2 5 2 3 2 2 2 2 2 2" xfId="56007"/>
    <cellStyle name="Comma 2 2 2 2 2 5 2 3 2 2 2 3" xfId="34184"/>
    <cellStyle name="Comma 2 2 2 2 2 5 2 3 2 2 3" xfId="33370"/>
    <cellStyle name="Comma 2 2 2 2 2 5 2 3 2 2 3 2" xfId="42556"/>
    <cellStyle name="Comma 2 2 2 2 2 5 2 3 2 3" xfId="12354"/>
    <cellStyle name="Comma 2 2 2 2 2 5 2 3 2 3 2" xfId="41740"/>
    <cellStyle name="Comma 2 2 2 2 2 5 2 3 2 3 2 2" xfId="47700"/>
    <cellStyle name="Comma 2 2 2 2 2 5 2 3 2 4" xfId="25838"/>
    <cellStyle name="Comma 2 2 2 2 2 5 2 3 3" xfId="11537"/>
    <cellStyle name="Comma 2 2 2 2 2 5 2 3 3 2" xfId="15550"/>
    <cellStyle name="Comma 2 2 2 2 2 5 2 3 3 2 2" xfId="46886"/>
    <cellStyle name="Comma 2 2 2 2 2 5 2 3 3 2 2 2" xfId="50882"/>
    <cellStyle name="Comma 2 2 2 2 2 5 2 3 3 3" xfId="29056"/>
    <cellStyle name="Comma 2 2 2 2 2 5 2 3 4" xfId="25023"/>
    <cellStyle name="Comma 2 2 2 2 2 5 2 3 4 2" xfId="37361"/>
    <cellStyle name="Comma 2 2 2 2 2 5 2 4" xfId="3894"/>
    <cellStyle name="Comma 2 2 2 2 2 5 2 4 2" xfId="14694"/>
    <cellStyle name="Comma 2 2 2 2 2 5 2 4 2 2" xfId="17504"/>
    <cellStyle name="Comma 2 2 2 2 2 5 2 4 2 2 2" xfId="50033"/>
    <cellStyle name="Comma 2 2 2 2 2 5 2 4 2 2 2 2" xfId="52831"/>
    <cellStyle name="Comma 2 2 2 2 2 5 2 4 2 3" xfId="31006"/>
    <cellStyle name="Comma 2 2 2 2 2 5 2 4 3" xfId="28206"/>
    <cellStyle name="Comma 2 2 2 2 2 5 2 4 3 2" xfId="39342"/>
    <cellStyle name="Comma 2 2 2 2 2 5 2 5" xfId="9087"/>
    <cellStyle name="Comma 2 2 2 2 2 5 2 5 2" xfId="36502"/>
    <cellStyle name="Comma 2 2 2 2 2 5 2 5 2 2" xfId="44483"/>
    <cellStyle name="Comma 2 2 2 2 2 5 2 6" xfId="22596"/>
    <cellStyle name="Comma 2 2 2 2 2 5 3" xfId="1798"/>
    <cellStyle name="Comma 2 2 2 2 2 5 3 2" xfId="2334"/>
    <cellStyle name="Comma 2 2 2 2 2 5 3 2 2" xfId="7050"/>
    <cellStyle name="Comma 2 2 2 2 2 5 3 2 2 2" xfId="7568"/>
    <cellStyle name="Comma 2 2 2 2 2 5 3 2 2 2 2" xfId="20603"/>
    <cellStyle name="Comma 2 2 2 2 2 5 3 2 2 2 2 2" xfId="21120"/>
    <cellStyle name="Comma 2 2 2 2 2 5 3 2 2 2 2 2 2" xfId="55929"/>
    <cellStyle name="Comma 2 2 2 2 2 5 3 2 2 2 2 2 2 2" xfId="56446"/>
    <cellStyle name="Comma 2 2 2 2 2 5 3 2 2 2 2 3" xfId="34623"/>
    <cellStyle name="Comma 2 2 2 2 2 5 3 2 2 2 3" xfId="34105"/>
    <cellStyle name="Comma 2 2 2 2 2 5 3 2 2 2 3 2" xfId="42995"/>
    <cellStyle name="Comma 2 2 2 2 2 5 3 2 2 3" xfId="12793"/>
    <cellStyle name="Comma 2 2 2 2 2 5 3 2 2 3 2" xfId="42478"/>
    <cellStyle name="Comma 2 2 2 2 2 5 3 2 2 3 2 2" xfId="48139"/>
    <cellStyle name="Comma 2 2 2 2 2 5 3 2 2 4" xfId="26277"/>
    <cellStyle name="Comma 2 2 2 2 2 5 3 2 3" xfId="12274"/>
    <cellStyle name="Comma 2 2 2 2 2 5 3 2 3 2" xfId="15998"/>
    <cellStyle name="Comma 2 2 2 2 2 5 3 2 3 2 2" xfId="47621"/>
    <cellStyle name="Comma 2 2 2 2 2 5 3 2 3 2 2 2" xfId="51330"/>
    <cellStyle name="Comma 2 2 2 2 2 5 3 2 3 3" xfId="29504"/>
    <cellStyle name="Comma 2 2 2 2 2 5 3 2 4" xfId="25759"/>
    <cellStyle name="Comma 2 2 2 2 2 5 3 2 4 2" xfId="37812"/>
    <cellStyle name="Comma 2 2 2 2 2 5 3 3" xfId="4364"/>
    <cellStyle name="Comma 2 2 2 2 2 5 3 3 2" xfId="15470"/>
    <cellStyle name="Comma 2 2 2 2 2 5 3 3 2 2" xfId="17956"/>
    <cellStyle name="Comma 2 2 2 2 2 5 3 3 2 2 2" xfId="50803"/>
    <cellStyle name="Comma 2 2 2 2 2 5 3 3 2 2 2 2" xfId="53283"/>
    <cellStyle name="Comma 2 2 2 2 2 5 3 3 2 3" xfId="31458"/>
    <cellStyle name="Comma 2 2 2 2 2 5 3 3 3" xfId="28977"/>
    <cellStyle name="Comma 2 2 2 2 2 5 3 3 3 2" xfId="39806"/>
    <cellStyle name="Comma 2 2 2 2 2 5 3 4" xfId="9564"/>
    <cellStyle name="Comma 2 2 2 2 2 5 3 4 2" xfId="37280"/>
    <cellStyle name="Comma 2 2 2 2 2 5 3 4 2 2" xfId="44946"/>
    <cellStyle name="Comma 2 2 2 2 2 5 3 5" xfId="23065"/>
    <cellStyle name="Comma 2 2 2 2 2 5 4" xfId="3805"/>
    <cellStyle name="Comma 2 2 2 2 2 5 4 2" xfId="5575"/>
    <cellStyle name="Comma 2 2 2 2 2 5 4 2 2" xfId="17420"/>
    <cellStyle name="Comma 2 2 2 2 2 5 4 2 2 2" xfId="19147"/>
    <cellStyle name="Comma 2 2 2 2 2 5 4 2 2 2 2" xfId="52747"/>
    <cellStyle name="Comma 2 2 2 2 2 5 4 2 2 2 2 2" xfId="54473"/>
    <cellStyle name="Comma 2 2 2 2 2 5 4 2 2 3" xfId="32648"/>
    <cellStyle name="Comma 2 2 2 2 2 5 4 2 3" xfId="30921"/>
    <cellStyle name="Comma 2 2 2 2 2 5 4 2 3 2" xfId="41011"/>
    <cellStyle name="Comma 2 2 2 2 2 5 4 3" xfId="10784"/>
    <cellStyle name="Comma 2 2 2 2 2 5 4 3 2" xfId="39255"/>
    <cellStyle name="Comma 2 2 2 2 2 5 4 3 2 2" xfId="46146"/>
    <cellStyle name="Comma 2 2 2 2 2 5 4 4" xfId="24273"/>
    <cellStyle name="Comma 2 2 2 2 2 5 5" xfId="8995"/>
    <cellStyle name="Comma 2 2 2 2 2 5 5 2" xfId="13959"/>
    <cellStyle name="Comma 2 2 2 2 2 5 5 2 2" xfId="44393"/>
    <cellStyle name="Comma 2 2 2 2 2 5 5 2 2 2" xfId="49305"/>
    <cellStyle name="Comma 2 2 2 2 2 5 5 3" xfId="27449"/>
    <cellStyle name="Comma 2 2 2 2 2 5 6" xfId="22501"/>
    <cellStyle name="Comma 2 2 2 2 2 5 6 2" xfId="35771"/>
    <cellStyle name="Comma 2 2 2 2 2 6" xfId="416"/>
    <cellStyle name="Comma 2 2 2 2 2 6 2" xfId="1608"/>
    <cellStyle name="Comma 2 2 2 2 2 6 2 2" xfId="2518"/>
    <cellStyle name="Comma 2 2 2 2 2 6 2 2 2" xfId="6878"/>
    <cellStyle name="Comma 2 2 2 2 2 6 2 2 2 2" xfId="7743"/>
    <cellStyle name="Comma 2 2 2 2 2 6 2 2 2 2 2" xfId="20431"/>
    <cellStyle name="Comma 2 2 2 2 2 6 2 2 2 2 2 2" xfId="21295"/>
    <cellStyle name="Comma 2 2 2 2 2 6 2 2 2 2 2 2 2" xfId="55757"/>
    <cellStyle name="Comma 2 2 2 2 2 6 2 2 2 2 2 2 2 2" xfId="56621"/>
    <cellStyle name="Comma 2 2 2 2 2 6 2 2 2 2 2 3" xfId="34798"/>
    <cellStyle name="Comma 2 2 2 2 2 6 2 2 2 2 3" xfId="33933"/>
    <cellStyle name="Comma 2 2 2 2 2 6 2 2 2 2 3 2" xfId="43170"/>
    <cellStyle name="Comma 2 2 2 2 2 6 2 2 2 3" xfId="12968"/>
    <cellStyle name="Comma 2 2 2 2 2 6 2 2 2 3 2" xfId="42306"/>
    <cellStyle name="Comma 2 2 2 2 2 6 2 2 2 3 2 2" xfId="48314"/>
    <cellStyle name="Comma 2 2 2 2 2 6 2 2 2 4" xfId="26452"/>
    <cellStyle name="Comma 2 2 2 2 2 6 2 2 3" xfId="12102"/>
    <cellStyle name="Comma 2 2 2 2 2 6 2 2 3 2" xfId="16179"/>
    <cellStyle name="Comma 2 2 2 2 2 6 2 2 3 2 2" xfId="47449"/>
    <cellStyle name="Comma 2 2 2 2 2 6 2 2 3 2 2 2" xfId="51510"/>
    <cellStyle name="Comma 2 2 2 2 2 6 2 2 3 3" xfId="29684"/>
    <cellStyle name="Comma 2 2 2 2 2 6 2 2 4" xfId="25587"/>
    <cellStyle name="Comma 2 2 2 2 2 6 2 2 4 2" xfId="37993"/>
    <cellStyle name="Comma 2 2 2 2 2 6 2 3" xfId="4553"/>
    <cellStyle name="Comma 2 2 2 2 2 6 2 3 2" xfId="15284"/>
    <cellStyle name="Comma 2 2 2 2 2 6 2 3 2 2" xfId="18136"/>
    <cellStyle name="Comma 2 2 2 2 2 6 2 3 2 2 2" xfId="50619"/>
    <cellStyle name="Comma 2 2 2 2 2 6 2 3 2 2 2 2" xfId="53462"/>
    <cellStyle name="Comma 2 2 2 2 2 6 2 3 2 3" xfId="31637"/>
    <cellStyle name="Comma 2 2 2 2 2 6 2 3 3" xfId="28793"/>
    <cellStyle name="Comma 2 2 2 2 2 6 2 3 3 2" xfId="39994"/>
    <cellStyle name="Comma 2 2 2 2 2 6 2 4" xfId="9756"/>
    <cellStyle name="Comma 2 2 2 2 2 6 2 4 2" xfId="37094"/>
    <cellStyle name="Comma 2 2 2 2 2 6 2 4 2 2" xfId="45129"/>
    <cellStyle name="Comma 2 2 2 2 2 6 2 5" xfId="23252"/>
    <cellStyle name="Comma 2 2 2 2 2 6 3" xfId="3611"/>
    <cellStyle name="Comma 2 2 2 2 2 6 3 2" xfId="5759"/>
    <cellStyle name="Comma 2 2 2 2 2 6 3 2 2" xfId="17246"/>
    <cellStyle name="Comma 2 2 2 2 2 6 3 2 2 2" xfId="19328"/>
    <cellStyle name="Comma 2 2 2 2 2 6 3 2 2 2 2" xfId="52573"/>
    <cellStyle name="Comma 2 2 2 2 2 6 3 2 2 2 2 2" xfId="54654"/>
    <cellStyle name="Comma 2 2 2 2 2 6 3 2 2 3" xfId="32829"/>
    <cellStyle name="Comma 2 2 2 2 2 6 3 2 3" xfId="30747"/>
    <cellStyle name="Comma 2 2 2 2 2 6 3 2 3 2" xfId="41194"/>
    <cellStyle name="Comma 2 2 2 2 2 6 3 3" xfId="10980"/>
    <cellStyle name="Comma 2 2 2 2 2 6 3 3 2" xfId="39067"/>
    <cellStyle name="Comma 2 2 2 2 2 6 3 3 2 2" xfId="46339"/>
    <cellStyle name="Comma 2 2 2 2 2 6 3 4" xfId="24473"/>
    <cellStyle name="Comma 2 2 2 2 2 6 4" xfId="8805"/>
    <cellStyle name="Comma 2 2 2 2 2 6 4 2" xfId="14143"/>
    <cellStyle name="Comma 2 2 2 2 2 6 4 2 2" xfId="44216"/>
    <cellStyle name="Comma 2 2 2 2 2 6 4 2 2 2" xfId="49488"/>
    <cellStyle name="Comma 2 2 2 2 2 6 4 3" xfId="27645"/>
    <cellStyle name="Comma 2 2 2 2 2 6 5" xfId="22322"/>
    <cellStyle name="Comma 2 2 2 2 2 6 5 2" xfId="35954"/>
    <cellStyle name="Comma 2 2 2 2 2 7" xfId="749"/>
    <cellStyle name="Comma 2 2 2 2 2 7 2" xfId="4619"/>
    <cellStyle name="Comma 2 2 2 2 2 7 2 2" xfId="6069"/>
    <cellStyle name="Comma 2 2 2 2 2 7 2 2 2" xfId="18200"/>
    <cellStyle name="Comma 2 2 2 2 2 7 2 2 2 2" xfId="19633"/>
    <cellStyle name="Comma 2 2 2 2 2 7 2 2 2 2 2" xfId="53526"/>
    <cellStyle name="Comma 2 2 2 2 2 7 2 2 2 2 2 2" xfId="54959"/>
    <cellStyle name="Comma 2 2 2 2 2 7 2 2 2 3" xfId="33134"/>
    <cellStyle name="Comma 2 2 2 2 2 7 2 2 3" xfId="31701"/>
    <cellStyle name="Comma 2 2 2 2 2 7 2 2 3 2" xfId="41503"/>
    <cellStyle name="Comma 2 2 2 2 2 7 2 3" xfId="11295"/>
    <cellStyle name="Comma 2 2 2 2 2 7 2 3 2" xfId="40058"/>
    <cellStyle name="Comma 2 2 2 2 2 7 2 3 2 2" xfId="46650"/>
    <cellStyle name="Comma 2 2 2 2 2 7 2 4" xfId="24787"/>
    <cellStyle name="Comma 2 2 2 2 2 7 3" xfId="9823"/>
    <cellStyle name="Comma 2 2 2 2 2 7 3 2" xfId="14454"/>
    <cellStyle name="Comma 2 2 2 2 2 7 3 2 2" xfId="45193"/>
    <cellStyle name="Comma 2 2 2 2 2 7 3 2 2 2" xfId="49797"/>
    <cellStyle name="Comma 2 2 2 2 2 7 3 3" xfId="27965"/>
    <cellStyle name="Comma 2 2 2 2 2 7 4" xfId="23316"/>
    <cellStyle name="Comma 2 2 2 2 2 7 4 2" xfId="36265"/>
    <cellStyle name="Comma 2 2 2 2 2 8" xfId="1475"/>
    <cellStyle name="Comma 2 2 2 2 2 8 2" xfId="9555"/>
    <cellStyle name="Comma 2 2 2 2 2 8 2 2" xfId="15161"/>
    <cellStyle name="Comma 2 2 2 2 2 8 2 2 2" xfId="44937"/>
    <cellStyle name="Comma 2 2 2 2 2 8 2 2 2 2" xfId="50500"/>
    <cellStyle name="Comma 2 2 2 2 2 8 2 3" xfId="28674"/>
    <cellStyle name="Comma 2 2 2 2 2 8 3" xfId="23056"/>
    <cellStyle name="Comma 2 2 2 2 2 8 3 2" xfId="36972"/>
    <cellStyle name="Comma 2 2 2 2 2 9" xfId="3651"/>
    <cellStyle name="Comma 2 2 2 2 2 9 2" xfId="22335"/>
    <cellStyle name="Comma 2 2 2 2 2 9 2 2" xfId="39106"/>
    <cellStyle name="Comma 2 2 2 2 3" xfId="129"/>
    <cellStyle name="Comma 2 2 2 2 3 2" xfId="151"/>
    <cellStyle name="Comma 2 2 2 2 3 2 2" xfId="309"/>
    <cellStyle name="Comma 2 2 2 2 3 2 2 2" xfId="317"/>
    <cellStyle name="Comma 2 2 2 2 3 2 2 2 2" xfId="638"/>
    <cellStyle name="Comma 2 2 2 2 3 2 2 2 2 2" xfId="646"/>
    <cellStyle name="Comma 2 2 2 2 3 2 2 2 2 2 2" xfId="1434"/>
    <cellStyle name="Comma 2 2 2 2 3 2 2 2 2 2 2 2" xfId="1442"/>
    <cellStyle name="Comma 2 2 2 2 3 2 2 2 2 2 2 2 2" xfId="3452"/>
    <cellStyle name="Comma 2 2 2 2 3 2 2 2 2 2 2 2 2 2" xfId="3460"/>
    <cellStyle name="Comma 2 2 2 2 3 2 2 2 2 2 2 2 2 2 2" xfId="8667"/>
    <cellStyle name="Comma 2 2 2 2 3 2 2 2 2 2 2 2 2 2 2 2" xfId="8675"/>
    <cellStyle name="Comma 2 2 2 2 3 2 2 2 2 2 2 2 2 2 2 2 2" xfId="22219"/>
    <cellStyle name="Comma 2 2 2 2 3 2 2 2 2 2 2 2 2 2 2 2 2 2" xfId="22227"/>
    <cellStyle name="Comma 2 2 2 2 3 2 2 2 2 2 2 2 2 2 2 2 2 2 2" xfId="57545"/>
    <cellStyle name="Comma 2 2 2 2 3 2 2 2 2 2 2 2 2 2 2 2 2 2 2 2" xfId="57553"/>
    <cellStyle name="Comma 2 2 2 2 3 2 2 2 2 2 2 2 2 2 2 2 2 3" xfId="35730"/>
    <cellStyle name="Comma 2 2 2 2 3 2 2 2 2 2 2 2 2 2 2 2 3" xfId="35722"/>
    <cellStyle name="Comma 2 2 2 2 3 2 2 2 2 2 2 2 2 2 2 2 3 2" xfId="44102"/>
    <cellStyle name="Comma 2 2 2 2 3 2 2 2 2 2 2 2 2 2 2 3" xfId="13900"/>
    <cellStyle name="Comma 2 2 2 2 3 2 2 2 2 2 2 2 2 2 2 3 2" xfId="44094"/>
    <cellStyle name="Comma 2 2 2 2 3 2 2 2 2 2 2 2 2 2 2 3 2 2" xfId="49246"/>
    <cellStyle name="Comma 2 2 2 2 3 2 2 2 2 2 2 2 2 2 2 4" xfId="27385"/>
    <cellStyle name="Comma 2 2 2 2 3 2 2 2 2 2 2 2 2 2 3" xfId="13892"/>
    <cellStyle name="Comma 2 2 2 2 3 2 2 2 2 2 2 2 2 2 3 2" xfId="17117"/>
    <cellStyle name="Comma 2 2 2 2 3 2 2 2 2 2 2 2 2 2 3 2 2" xfId="49238"/>
    <cellStyle name="Comma 2 2 2 2 3 2 2 2 2 2 2 2 2 2 3 2 2 2" xfId="52445"/>
    <cellStyle name="Comma 2 2 2 2 3 2 2 2 2 2 2 2 2 2 3 3" xfId="30619"/>
    <cellStyle name="Comma 2 2 2 2 3 2 2 2 2 2 2 2 2 2 4" xfId="27377"/>
    <cellStyle name="Comma 2 2 2 2 3 2 2 2 2 2 2 2 2 2 4 2" xfId="38929"/>
    <cellStyle name="Comma 2 2 2 2 3 2 2 2 2 2 2 2 2 3" xfId="5497"/>
    <cellStyle name="Comma 2 2 2 2 3 2 2 2 2 2 2 2 2 3 2" xfId="17109"/>
    <cellStyle name="Comma 2 2 2 2 3 2 2 2 2 2 2 2 2 3 2 2" xfId="19070"/>
    <cellStyle name="Comma 2 2 2 2 3 2 2 2 2 2 2 2 2 3 2 2 2" xfId="52437"/>
    <cellStyle name="Comma 2 2 2 2 3 2 2 2 2 2 2 2 2 3 2 2 2 2" xfId="54396"/>
    <cellStyle name="Comma 2 2 2 2 3 2 2 2 2 2 2 2 2 3 2 3" xfId="32571"/>
    <cellStyle name="Comma 2 2 2 2 3 2 2 2 2 2 2 2 2 3 3" xfId="30611"/>
    <cellStyle name="Comma 2 2 2 2 3 2 2 2 2 2 2 2 2 3 3 2" xfId="40934"/>
    <cellStyle name="Comma 2 2 2 2 3 2 2 2 2 2 2 2 2 4" xfId="10700"/>
    <cellStyle name="Comma 2 2 2 2 3 2 2 2 2 2 2 2 2 4 2" xfId="38921"/>
    <cellStyle name="Comma 2 2 2 2 3 2 2 2 2 2 2 2 2 4 2 2" xfId="46063"/>
    <cellStyle name="Comma 2 2 2 2 3 2 2 2 2 2 2 2 2 5" xfId="24186"/>
    <cellStyle name="Comma 2 2 2 2 3 2 2 2 2 2 2 2 3" xfId="5489"/>
    <cellStyle name="Comma 2 2 2 2 3 2 2 2 2 2 2 2 3 2" xfId="6750"/>
    <cellStyle name="Comma 2 2 2 2 3 2 2 2 2 2 2 2 3 2 2" xfId="19062"/>
    <cellStyle name="Comma 2 2 2 2 3 2 2 2 2 2 2 2 3 2 2 2" xfId="20303"/>
    <cellStyle name="Comma 2 2 2 2 3 2 2 2 2 2 2 2 3 2 2 2 2" xfId="54388"/>
    <cellStyle name="Comma 2 2 2 2 3 2 2 2 2 2 2 2 3 2 2 2 2 2" xfId="55629"/>
    <cellStyle name="Comma 2 2 2 2 3 2 2 2 2 2 2 2 3 2 2 3" xfId="33805"/>
    <cellStyle name="Comma 2 2 2 2 3 2 2 2 2 2 2 2 3 2 3" xfId="32563"/>
    <cellStyle name="Comma 2 2 2 2 3 2 2 2 2 2 2 2 3 2 3 2" xfId="42178"/>
    <cellStyle name="Comma 2 2 2 2 3 2 2 2 2 2 2 2 3 3" xfId="11973"/>
    <cellStyle name="Comma 2 2 2 2 3 2 2 2 2 2 2 2 3 3 2" xfId="40926"/>
    <cellStyle name="Comma 2 2 2 2 3 2 2 2 2 2 2 2 3 3 2 2" xfId="47321"/>
    <cellStyle name="Comma 2 2 2 2 3 2 2 2 2 2 2 2 3 4" xfId="25458"/>
    <cellStyle name="Comma 2 2 2 2 3 2 2 2 2 2 2 2 4" xfId="10692"/>
    <cellStyle name="Comma 2 2 2 2 3 2 2 2 2 2 2 2 4 2" xfId="15131"/>
    <cellStyle name="Comma 2 2 2 2 3 2 2 2 2 2 2 2 4 2 2" xfId="46055"/>
    <cellStyle name="Comma 2 2 2 2 3 2 2 2 2 2 2 2 4 2 2 2" xfId="50470"/>
    <cellStyle name="Comma 2 2 2 2 3 2 2 2 2 2 2 2 4 3" xfId="28644"/>
    <cellStyle name="Comma 2 2 2 2 3 2 2 2 2 2 2 2 5" xfId="24178"/>
    <cellStyle name="Comma 2 2 2 2 3 2 2 2 2 2 2 2 5 2" xfId="36939"/>
    <cellStyle name="Comma 2 2 2 2 3 2 2 2 2 2 2 3" xfId="2249"/>
    <cellStyle name="Comma 2 2 2 2 3 2 2 2 2 2 2 3 2" xfId="6742"/>
    <cellStyle name="Comma 2 2 2 2 3 2 2 2 2 2 2 3 2 2" xfId="7483"/>
    <cellStyle name="Comma 2 2 2 2 3 2 2 2 2 2 2 3 2 2 2" xfId="20295"/>
    <cellStyle name="Comma 2 2 2 2 3 2 2 2 2 2 2 3 2 2 2 2" xfId="21035"/>
    <cellStyle name="Comma 2 2 2 2 3 2 2 2 2 2 2 3 2 2 2 2 2" xfId="55621"/>
    <cellStyle name="Comma 2 2 2 2 3 2 2 2 2 2 2 3 2 2 2 2 2 2" xfId="56361"/>
    <cellStyle name="Comma 2 2 2 2 3 2 2 2 2 2 2 3 2 2 2 3" xfId="34538"/>
    <cellStyle name="Comma 2 2 2 2 3 2 2 2 2 2 2 3 2 2 3" xfId="33797"/>
    <cellStyle name="Comma 2 2 2 2 3 2 2 2 2 2 2 3 2 2 3 2" xfId="42910"/>
    <cellStyle name="Comma 2 2 2 2 3 2 2 2 2 2 2 3 2 3" xfId="12708"/>
    <cellStyle name="Comma 2 2 2 2 3 2 2 2 2 2 2 3 2 3 2" xfId="42170"/>
    <cellStyle name="Comma 2 2 2 2 3 2 2 2 2 2 2 3 2 3 2 2" xfId="48054"/>
    <cellStyle name="Comma 2 2 2 2 3 2 2 2 2 2 2 3 2 4" xfId="26192"/>
    <cellStyle name="Comma 2 2 2 2 3 2 2 2 2 2 2 3 3" xfId="11965"/>
    <cellStyle name="Comma 2 2 2 2 3 2 2 2 2 2 2 3 3 2" xfId="15913"/>
    <cellStyle name="Comma 2 2 2 2 3 2 2 2 2 2 2 3 3 2 2" xfId="47313"/>
    <cellStyle name="Comma 2 2 2 2 3 2 2 2 2 2 2 3 3 2 2 2" xfId="51245"/>
    <cellStyle name="Comma 2 2 2 2 3 2 2 2 2 2 2 3 3 3" xfId="29419"/>
    <cellStyle name="Comma 2 2 2 2 3 2 2 2 2 2 2 3 4" xfId="25450"/>
    <cellStyle name="Comma 2 2 2 2 3 2 2 2 2 2 2 3 4 2" xfId="37727"/>
    <cellStyle name="Comma 2 2 2 2 3 2 2 2 2 2 2 4" xfId="4265"/>
    <cellStyle name="Comma 2 2 2 2 3 2 2 2 2 2 2 4 2" xfId="15123"/>
    <cellStyle name="Comma 2 2 2 2 3 2 2 2 2 2 2 4 2 2" xfId="17858"/>
    <cellStyle name="Comma 2 2 2 2 3 2 2 2 2 2 2 4 2 2 2" xfId="50462"/>
    <cellStyle name="Comma 2 2 2 2 3 2 2 2 2 2 2 4 2 2 2 2" xfId="53185"/>
    <cellStyle name="Comma 2 2 2 2 3 2 2 2 2 2 2 4 2 3" xfId="31360"/>
    <cellStyle name="Comma 2 2 2 2 3 2 2 2 2 2 2 4 3" xfId="28636"/>
    <cellStyle name="Comma 2 2 2 2 3 2 2 2 2 2 2 4 3 2" xfId="39708"/>
    <cellStyle name="Comma 2 2 2 2 3 2 2 2 2 2 2 5" xfId="9456"/>
    <cellStyle name="Comma 2 2 2 2 3 2 2 2 2 2 2 5 2" xfId="36931"/>
    <cellStyle name="Comma 2 2 2 2 3 2 2 2 2 2 2 5 2 2" xfId="44838"/>
    <cellStyle name="Comma 2 2 2 2 3 2 2 2 2 2 2 6" xfId="22952"/>
    <cellStyle name="Comma 2 2 2 2 3 2 2 2 2 2 3" xfId="2241"/>
    <cellStyle name="Comma 2 2 2 2 3 2 2 2 2 2 3 2" xfId="2736"/>
    <cellStyle name="Comma 2 2 2 2 3 2 2 2 2 2 3 2 2" xfId="7475"/>
    <cellStyle name="Comma 2 2 2 2 3 2 2 2 2 2 3 2 2 2" xfId="7955"/>
    <cellStyle name="Comma 2 2 2 2 3 2 2 2 2 2 3 2 2 2 2" xfId="21027"/>
    <cellStyle name="Comma 2 2 2 2 3 2 2 2 2 2 3 2 2 2 2 2" xfId="21507"/>
    <cellStyle name="Comma 2 2 2 2 3 2 2 2 2 2 3 2 2 2 2 2 2" xfId="56353"/>
    <cellStyle name="Comma 2 2 2 2 3 2 2 2 2 2 3 2 2 2 2 2 2 2" xfId="56833"/>
    <cellStyle name="Comma 2 2 2 2 3 2 2 2 2 2 3 2 2 2 2 3" xfId="35010"/>
    <cellStyle name="Comma 2 2 2 2 3 2 2 2 2 2 3 2 2 2 3" xfId="34530"/>
    <cellStyle name="Comma 2 2 2 2 3 2 2 2 2 2 3 2 2 2 3 2" xfId="43382"/>
    <cellStyle name="Comma 2 2 2 2 3 2 2 2 2 2 3 2 2 3" xfId="13180"/>
    <cellStyle name="Comma 2 2 2 2 3 2 2 2 2 2 3 2 2 3 2" xfId="42902"/>
    <cellStyle name="Comma 2 2 2 2 3 2 2 2 2 2 3 2 2 3 2 2" xfId="48526"/>
    <cellStyle name="Comma 2 2 2 2 3 2 2 2 2 2 3 2 2 4" xfId="26664"/>
    <cellStyle name="Comma 2 2 2 2 3 2 2 2 2 2 3 2 3" xfId="12700"/>
    <cellStyle name="Comma 2 2 2 2 3 2 2 2 2 2 3 2 3 2" xfId="16395"/>
    <cellStyle name="Comma 2 2 2 2 3 2 2 2 2 2 3 2 3 2 2" xfId="48046"/>
    <cellStyle name="Comma 2 2 2 2 3 2 2 2 2 2 3 2 3 2 2 2" xfId="51725"/>
    <cellStyle name="Comma 2 2 2 2 3 2 2 2 2 2 3 2 3 3" xfId="29899"/>
    <cellStyle name="Comma 2 2 2 2 3 2 2 2 2 2 3 2 4" xfId="26184"/>
    <cellStyle name="Comma 2 2 2 2 3 2 2 2 2 2 3 2 4 2" xfId="38209"/>
    <cellStyle name="Comma 2 2 2 2 3 2 2 2 2 2 3 3" xfId="4772"/>
    <cellStyle name="Comma 2 2 2 2 3 2 2 2 2 2 3 3 2" xfId="15905"/>
    <cellStyle name="Comma 2 2 2 2 3 2 2 2 2 2 3 3 2 2" xfId="18349"/>
    <cellStyle name="Comma 2 2 2 2 3 2 2 2 2 2 3 3 2 2 2" xfId="51237"/>
    <cellStyle name="Comma 2 2 2 2 3 2 2 2 2 2 3 3 2 2 2 2" xfId="53675"/>
    <cellStyle name="Comma 2 2 2 2 3 2 2 2 2 2 3 3 2 3" xfId="31850"/>
    <cellStyle name="Comma 2 2 2 2 3 2 2 2 2 2 3 3 3" xfId="29411"/>
    <cellStyle name="Comma 2 2 2 2 3 2 2 2 2 2 3 3 3 2" xfId="40210"/>
    <cellStyle name="Comma 2 2 2 2 3 2 2 2 2 2 3 4" xfId="9975"/>
    <cellStyle name="Comma 2 2 2 2 3 2 2 2 2 2 3 4 2" xfId="37719"/>
    <cellStyle name="Comma 2 2 2 2 3 2 2 2 2 2 3 4 2 2" xfId="45342"/>
    <cellStyle name="Comma 2 2 2 2 3 2 2 2 2 2 3 5" xfId="23465"/>
    <cellStyle name="Comma 2 2 2 2 3 2 2 2 2 2 4" xfId="4257"/>
    <cellStyle name="Comma 2 2 2 2 3 2 2 2 2 2 4 2" xfId="5977"/>
    <cellStyle name="Comma 2 2 2 2 3 2 2 2 2 2 4 2 2" xfId="17850"/>
    <cellStyle name="Comma 2 2 2 2 3 2 2 2 2 2 4 2 2 2" xfId="19544"/>
    <cellStyle name="Comma 2 2 2 2 3 2 2 2 2 2 4 2 2 2 2" xfId="53177"/>
    <cellStyle name="Comma 2 2 2 2 3 2 2 2 2 2 4 2 2 2 2 2" xfId="54870"/>
    <cellStyle name="Comma 2 2 2 2 3 2 2 2 2 2 4 2 2 3" xfId="33045"/>
    <cellStyle name="Comma 2 2 2 2 3 2 2 2 2 2 4 2 3" xfId="31352"/>
    <cellStyle name="Comma 2 2 2 2 3 2 2 2 2 2 4 2 3 2" xfId="41411"/>
    <cellStyle name="Comma 2 2 2 2 3 2 2 2 2 2 4 3" xfId="11202"/>
    <cellStyle name="Comma 2 2 2 2 3 2 2 2 2 2 4 3 2" xfId="39700"/>
    <cellStyle name="Comma 2 2 2 2 3 2 2 2 2 2 4 3 2 2" xfId="46560"/>
    <cellStyle name="Comma 2 2 2 2 3 2 2 2 2 2 4 4" xfId="24695"/>
    <cellStyle name="Comma 2 2 2 2 3 2 2 2 2 2 5" xfId="9448"/>
    <cellStyle name="Comma 2 2 2 2 3 2 2 2 2 2 5 2" xfId="14361"/>
    <cellStyle name="Comma 2 2 2 2 3 2 2 2 2 2 5 2 2" xfId="44830"/>
    <cellStyle name="Comma 2 2 2 2 3 2 2 2 2 2 5 2 2 2" xfId="49706"/>
    <cellStyle name="Comma 2 2 2 2 3 2 2 2 2 2 5 3" xfId="27871"/>
    <cellStyle name="Comma 2 2 2 2 3 2 2 2 2 2 6" xfId="22944"/>
    <cellStyle name="Comma 2 2 2 2 3 2 2 2 2 2 6 2" xfId="36173"/>
    <cellStyle name="Comma 2 2 2 2 3 2 2 2 2 3" xfId="974"/>
    <cellStyle name="Comma 2 2 2 2 3 2 2 2 2 3 2" xfId="2728"/>
    <cellStyle name="Comma 2 2 2 2 3 2 2 2 2 3 2 2" xfId="3012"/>
    <cellStyle name="Comma 2 2 2 2 3 2 2 2 2 3 2 2 2" xfId="7947"/>
    <cellStyle name="Comma 2 2 2 2 3 2 2 2 2 3 2 2 2 2" xfId="8227"/>
    <cellStyle name="Comma 2 2 2 2 3 2 2 2 2 3 2 2 2 2 2" xfId="21499"/>
    <cellStyle name="Comma 2 2 2 2 3 2 2 2 2 3 2 2 2 2 2 2" xfId="21779"/>
    <cellStyle name="Comma 2 2 2 2 3 2 2 2 2 3 2 2 2 2 2 2 2" xfId="56825"/>
    <cellStyle name="Comma 2 2 2 2 3 2 2 2 2 3 2 2 2 2 2 2 2 2" xfId="57105"/>
    <cellStyle name="Comma 2 2 2 2 3 2 2 2 2 3 2 2 2 2 2 3" xfId="35282"/>
    <cellStyle name="Comma 2 2 2 2 3 2 2 2 2 3 2 2 2 2 3" xfId="35002"/>
    <cellStyle name="Comma 2 2 2 2 3 2 2 2 2 3 2 2 2 2 3 2" xfId="43654"/>
    <cellStyle name="Comma 2 2 2 2 3 2 2 2 2 3 2 2 2 3" xfId="13452"/>
    <cellStyle name="Comma 2 2 2 2 3 2 2 2 2 3 2 2 2 3 2" xfId="43374"/>
    <cellStyle name="Comma 2 2 2 2 3 2 2 2 2 3 2 2 2 3 2 2" xfId="48798"/>
    <cellStyle name="Comma 2 2 2 2 3 2 2 2 2 3 2 2 2 4" xfId="26937"/>
    <cellStyle name="Comma 2 2 2 2 3 2 2 2 2 3 2 2 3" xfId="13172"/>
    <cellStyle name="Comma 2 2 2 2 3 2 2 2 2 3 2 2 3 2" xfId="16669"/>
    <cellStyle name="Comma 2 2 2 2 3 2 2 2 2 3 2 2 3 2 2" xfId="48518"/>
    <cellStyle name="Comma 2 2 2 2 3 2 2 2 2 3 2 2 3 2 2 2" xfId="51997"/>
    <cellStyle name="Comma 2 2 2 2 3 2 2 2 2 3 2 2 3 3" xfId="30171"/>
    <cellStyle name="Comma 2 2 2 2 3 2 2 2 2 3 2 2 4" xfId="26656"/>
    <cellStyle name="Comma 2 2 2 2 3 2 2 2 2 3 2 2 4 2" xfId="38481"/>
    <cellStyle name="Comma 2 2 2 2 3 2 2 2 2 3 2 3" xfId="5048"/>
    <cellStyle name="Comma 2 2 2 2 3 2 2 2 2 3 2 3 2" xfId="16387"/>
    <cellStyle name="Comma 2 2 2 2 3 2 2 2 2 3 2 3 2 2" xfId="18621"/>
    <cellStyle name="Comma 2 2 2 2 3 2 2 2 2 3 2 3 2 2 2" xfId="51717"/>
    <cellStyle name="Comma 2 2 2 2 3 2 2 2 2 3 2 3 2 2 2 2" xfId="53947"/>
    <cellStyle name="Comma 2 2 2 2 3 2 2 2 2 3 2 3 2 3" xfId="32122"/>
    <cellStyle name="Comma 2 2 2 2 3 2 2 2 2 3 2 3 3" xfId="29891"/>
    <cellStyle name="Comma 2 2 2 2 3 2 2 2 2 3 2 3 3 2" xfId="40485"/>
    <cellStyle name="Comma 2 2 2 2 3 2 2 2 2 3 2 4" xfId="10251"/>
    <cellStyle name="Comma 2 2 2 2 3 2 2 2 2 3 2 4 2" xfId="38201"/>
    <cellStyle name="Comma 2 2 2 2 3 2 2 2 2 3 2 4 2 2" xfId="45614"/>
    <cellStyle name="Comma 2 2 2 2 3 2 2 2 2 3 2 5" xfId="23737"/>
    <cellStyle name="Comma 2 2 2 2 3 2 2 2 2 3 3" xfId="4764"/>
    <cellStyle name="Comma 2 2 2 2 3 2 2 2 2 3 3 2" xfId="6285"/>
    <cellStyle name="Comma 2 2 2 2 3 2 2 2 2 3 3 2 2" xfId="18341"/>
    <cellStyle name="Comma 2 2 2 2 3 2 2 2 2 3 3 2 2 2" xfId="19842"/>
    <cellStyle name="Comma 2 2 2 2 3 2 2 2 2 3 3 2 2 2 2" xfId="53667"/>
    <cellStyle name="Comma 2 2 2 2 3 2 2 2 2 3 3 2 2 2 2 2" xfId="55168"/>
    <cellStyle name="Comma 2 2 2 2 3 2 2 2 2 3 3 2 2 3" xfId="33344"/>
    <cellStyle name="Comma 2 2 2 2 3 2 2 2 2 3 3 2 3" xfId="31842"/>
    <cellStyle name="Comma 2 2 2 2 3 2 2 2 2 3 3 2 3 2" xfId="41714"/>
    <cellStyle name="Comma 2 2 2 2 3 2 2 2 2 3 3 3" xfId="11510"/>
    <cellStyle name="Comma 2 2 2 2 3 2 2 2 2 3 3 3 2" xfId="40202"/>
    <cellStyle name="Comma 2 2 2 2 3 2 2 2 2 3 3 3 2 2" xfId="46859"/>
    <cellStyle name="Comma 2 2 2 2 3 2 2 2 2 3 3 4" xfId="24996"/>
    <cellStyle name="Comma 2 2 2 2 3 2 2 2 2 3 4" xfId="9967"/>
    <cellStyle name="Comma 2 2 2 2 3 2 2 2 2 3 4 2" xfId="14668"/>
    <cellStyle name="Comma 2 2 2 2 3 2 2 2 2 3 4 2 2" xfId="45334"/>
    <cellStyle name="Comma 2 2 2 2 3 2 2 2 2 3 4 2 2 2" xfId="50007"/>
    <cellStyle name="Comma 2 2 2 2 3 2 2 2 2 3 4 3" xfId="28179"/>
    <cellStyle name="Comma 2 2 2 2 3 2 2 2 2 3 5" xfId="23457"/>
    <cellStyle name="Comma 2 2 2 2 3 2 2 2 2 3 5 2" xfId="36476"/>
    <cellStyle name="Comma 2 2 2 2 3 2 2 2 2 4" xfId="1770"/>
    <cellStyle name="Comma 2 2 2 2 3 2 2 2 2 4 2" xfId="5969"/>
    <cellStyle name="Comma 2 2 2 2 3 2 2 2 2 4 2 2" xfId="7023"/>
    <cellStyle name="Comma 2 2 2 2 3 2 2 2 2 4 2 2 2" xfId="19536"/>
    <cellStyle name="Comma 2 2 2 2 3 2 2 2 2 4 2 2 2 2" xfId="20576"/>
    <cellStyle name="Comma 2 2 2 2 3 2 2 2 2 4 2 2 2 2 2" xfId="54862"/>
    <cellStyle name="Comma 2 2 2 2 3 2 2 2 2 4 2 2 2 2 2 2" xfId="55902"/>
    <cellStyle name="Comma 2 2 2 2 3 2 2 2 2 4 2 2 2 3" xfId="34078"/>
    <cellStyle name="Comma 2 2 2 2 3 2 2 2 2 4 2 2 3" xfId="33037"/>
    <cellStyle name="Comma 2 2 2 2 3 2 2 2 2 4 2 2 3 2" xfId="42451"/>
    <cellStyle name="Comma 2 2 2 2 3 2 2 2 2 4 2 3" xfId="12247"/>
    <cellStyle name="Comma 2 2 2 2 3 2 2 2 2 4 2 3 2" xfId="41403"/>
    <cellStyle name="Comma 2 2 2 2 3 2 2 2 2 4 2 3 2 2" xfId="47594"/>
    <cellStyle name="Comma 2 2 2 2 3 2 2 2 2 4 2 4" xfId="25732"/>
    <cellStyle name="Comma 2 2 2 2 3 2 2 2 2 4 3" xfId="11194"/>
    <cellStyle name="Comma 2 2 2 2 3 2 2 2 2 4 3 2" xfId="15442"/>
    <cellStyle name="Comma 2 2 2 2 3 2 2 2 2 4 3 2 2" xfId="46552"/>
    <cellStyle name="Comma 2 2 2 2 3 2 2 2 2 4 3 2 2 2" xfId="50775"/>
    <cellStyle name="Comma 2 2 2 2 3 2 2 2 2 4 3 3" xfId="28949"/>
    <cellStyle name="Comma 2 2 2 2 3 2 2 2 2 4 4" xfId="24687"/>
    <cellStyle name="Comma 2 2 2 2 3 2 2 2 2 4 4 2" xfId="37252"/>
    <cellStyle name="Comma 2 2 2 2 3 2 2 2 2 5" xfId="3776"/>
    <cellStyle name="Comma 2 2 2 2 3 2 2 2 2 5 2" xfId="14353"/>
    <cellStyle name="Comma 2 2 2 2 3 2 2 2 2 5 2 2" xfId="17392"/>
    <cellStyle name="Comma 2 2 2 2 3 2 2 2 2 5 2 2 2" xfId="49698"/>
    <cellStyle name="Comma 2 2 2 2 3 2 2 2 2 5 2 2 2 2" xfId="52719"/>
    <cellStyle name="Comma 2 2 2 2 3 2 2 2 2 5 2 3" xfId="30893"/>
    <cellStyle name="Comma 2 2 2 2 3 2 2 2 2 5 3" xfId="27863"/>
    <cellStyle name="Comma 2 2 2 2 3 2 2 2 2 5 3 2" xfId="39227"/>
    <cellStyle name="Comma 2 2 2 2 3 2 2 2 2 6" xfId="8966"/>
    <cellStyle name="Comma 2 2 2 2 3 2 2 2 2 6 2" xfId="36165"/>
    <cellStyle name="Comma 2 2 2 2 3 2 2 2 2 6 2 2" xfId="44365"/>
    <cellStyle name="Comma 2 2 2 2 3 2 2 2 2 7" xfId="22473"/>
    <cellStyle name="Comma 2 2 2 2 3 2 2 2 3" xfId="966"/>
    <cellStyle name="Comma 2 2 2 2 3 2 2 2 3 2" xfId="1178"/>
    <cellStyle name="Comma 2 2 2 2 3 2 2 2 3 2 2" xfId="3004"/>
    <cellStyle name="Comma 2 2 2 2 3 2 2 2 3 2 2 2" xfId="3198"/>
    <cellStyle name="Comma 2 2 2 2 3 2 2 2 3 2 2 2 2" xfId="8219"/>
    <cellStyle name="Comma 2 2 2 2 3 2 2 2 3 2 2 2 2 2" xfId="8413"/>
    <cellStyle name="Comma 2 2 2 2 3 2 2 2 3 2 2 2 2 2 2" xfId="21771"/>
    <cellStyle name="Comma 2 2 2 2 3 2 2 2 3 2 2 2 2 2 2 2" xfId="21965"/>
    <cellStyle name="Comma 2 2 2 2 3 2 2 2 3 2 2 2 2 2 2 2 2" xfId="57097"/>
    <cellStyle name="Comma 2 2 2 2 3 2 2 2 3 2 2 2 2 2 2 2 2 2" xfId="57291"/>
    <cellStyle name="Comma 2 2 2 2 3 2 2 2 3 2 2 2 2 2 2 3" xfId="35468"/>
    <cellStyle name="Comma 2 2 2 2 3 2 2 2 3 2 2 2 2 2 3" xfId="35274"/>
    <cellStyle name="Comma 2 2 2 2 3 2 2 2 3 2 2 2 2 2 3 2" xfId="43840"/>
    <cellStyle name="Comma 2 2 2 2 3 2 2 2 3 2 2 2 2 3" xfId="13638"/>
    <cellStyle name="Comma 2 2 2 2 3 2 2 2 3 2 2 2 2 3 2" xfId="43646"/>
    <cellStyle name="Comma 2 2 2 2 3 2 2 2 3 2 2 2 2 3 2 2" xfId="48984"/>
    <cellStyle name="Comma 2 2 2 2 3 2 2 2 3 2 2 2 2 4" xfId="27123"/>
    <cellStyle name="Comma 2 2 2 2 3 2 2 2 3 2 2 2 3" xfId="13444"/>
    <cellStyle name="Comma 2 2 2 2 3 2 2 2 3 2 2 2 3 2" xfId="16855"/>
    <cellStyle name="Comma 2 2 2 2 3 2 2 2 3 2 2 2 3 2 2" xfId="48790"/>
    <cellStyle name="Comma 2 2 2 2 3 2 2 2 3 2 2 2 3 2 2 2" xfId="52183"/>
    <cellStyle name="Comma 2 2 2 2 3 2 2 2 3 2 2 2 3 3" xfId="30357"/>
    <cellStyle name="Comma 2 2 2 2 3 2 2 2 3 2 2 2 4" xfId="26929"/>
    <cellStyle name="Comma 2 2 2 2 3 2 2 2 3 2 2 2 4 2" xfId="38667"/>
    <cellStyle name="Comma 2 2 2 2 3 2 2 2 3 2 2 3" xfId="5235"/>
    <cellStyle name="Comma 2 2 2 2 3 2 2 2 3 2 2 3 2" xfId="16661"/>
    <cellStyle name="Comma 2 2 2 2 3 2 2 2 3 2 2 3 2 2" xfId="18808"/>
    <cellStyle name="Comma 2 2 2 2 3 2 2 2 3 2 2 3 2 2 2" xfId="51989"/>
    <cellStyle name="Comma 2 2 2 2 3 2 2 2 3 2 2 3 2 2 2 2" xfId="54134"/>
    <cellStyle name="Comma 2 2 2 2 3 2 2 2 3 2 2 3 2 3" xfId="32309"/>
    <cellStyle name="Comma 2 2 2 2 3 2 2 2 3 2 2 3 3" xfId="30163"/>
    <cellStyle name="Comma 2 2 2 2 3 2 2 2 3 2 2 3 3 2" xfId="40672"/>
    <cellStyle name="Comma 2 2 2 2 3 2 2 2 3 2 2 4" xfId="10438"/>
    <cellStyle name="Comma 2 2 2 2 3 2 2 2 3 2 2 4 2" xfId="38473"/>
    <cellStyle name="Comma 2 2 2 2 3 2 2 2 3 2 2 4 2 2" xfId="45801"/>
    <cellStyle name="Comma 2 2 2 2 3 2 2 2 3 2 2 5" xfId="23924"/>
    <cellStyle name="Comma 2 2 2 2 3 2 2 2 3 2 3" xfId="5040"/>
    <cellStyle name="Comma 2 2 2 2 3 2 2 2 3 2 3 2" xfId="6486"/>
    <cellStyle name="Comma 2 2 2 2 3 2 2 2 3 2 3 2 2" xfId="18613"/>
    <cellStyle name="Comma 2 2 2 2 3 2 2 2 3 2 3 2 2 2" xfId="20040"/>
    <cellStyle name="Comma 2 2 2 2 3 2 2 2 3 2 3 2 2 2 2" xfId="53939"/>
    <cellStyle name="Comma 2 2 2 2 3 2 2 2 3 2 3 2 2 2 2 2" xfId="55366"/>
    <cellStyle name="Comma 2 2 2 2 3 2 2 2 3 2 3 2 2 3" xfId="33542"/>
    <cellStyle name="Comma 2 2 2 2 3 2 2 2 3 2 3 2 3" xfId="32114"/>
    <cellStyle name="Comma 2 2 2 2 3 2 2 2 3 2 3 2 3 2" xfId="41914"/>
    <cellStyle name="Comma 2 2 2 2 3 2 2 2 3 2 3 3" xfId="11710"/>
    <cellStyle name="Comma 2 2 2 2 3 2 2 2 3 2 3 3 2" xfId="40477"/>
    <cellStyle name="Comma 2 2 2 2 3 2 2 2 3 2 3 3 2 2" xfId="47058"/>
    <cellStyle name="Comma 2 2 2 2 3 2 2 2 3 2 3 4" xfId="25195"/>
    <cellStyle name="Comma 2 2 2 2 3 2 2 2 3 2 4" xfId="10243"/>
    <cellStyle name="Comma 2 2 2 2 3 2 2 2 3 2 4 2" xfId="14868"/>
    <cellStyle name="Comma 2 2 2 2 3 2 2 2 3 2 4 2 2" xfId="45606"/>
    <cellStyle name="Comma 2 2 2 2 3 2 2 2 3 2 4 2 2 2" xfId="50207"/>
    <cellStyle name="Comma 2 2 2 2 3 2 2 2 3 2 4 3" xfId="28381"/>
    <cellStyle name="Comma 2 2 2 2 3 2 2 2 3 2 5" xfId="23729"/>
    <cellStyle name="Comma 2 2 2 2 3 2 2 2 3 2 5 2" xfId="36676"/>
    <cellStyle name="Comma 2 2 2 2 3 2 2 2 3 3" xfId="1986"/>
    <cellStyle name="Comma 2 2 2 2 3 2 2 2 3 3 2" xfId="6277"/>
    <cellStyle name="Comma 2 2 2 2 3 2 2 2 3 3 2 2" xfId="7220"/>
    <cellStyle name="Comma 2 2 2 2 3 2 2 2 3 3 2 2 2" xfId="19834"/>
    <cellStyle name="Comma 2 2 2 2 3 2 2 2 3 3 2 2 2 2" xfId="20772"/>
    <cellStyle name="Comma 2 2 2 2 3 2 2 2 3 3 2 2 2 2 2" xfId="55160"/>
    <cellStyle name="Comma 2 2 2 2 3 2 2 2 3 3 2 2 2 2 2 2" xfId="56098"/>
    <cellStyle name="Comma 2 2 2 2 3 2 2 2 3 3 2 2 2 3" xfId="34275"/>
    <cellStyle name="Comma 2 2 2 2 3 2 2 2 3 3 2 2 3" xfId="33336"/>
    <cellStyle name="Comma 2 2 2 2 3 2 2 2 3 3 2 2 3 2" xfId="42647"/>
    <cellStyle name="Comma 2 2 2 2 3 2 2 2 3 3 2 3" xfId="12445"/>
    <cellStyle name="Comma 2 2 2 2 3 2 2 2 3 3 2 3 2" xfId="41706"/>
    <cellStyle name="Comma 2 2 2 2 3 2 2 2 3 3 2 3 2 2" xfId="47791"/>
    <cellStyle name="Comma 2 2 2 2 3 2 2 2 3 3 2 4" xfId="25929"/>
    <cellStyle name="Comma 2 2 2 2 3 2 2 2 3 3 3" xfId="11502"/>
    <cellStyle name="Comma 2 2 2 2 3 2 2 2 3 3 3 2" xfId="15650"/>
    <cellStyle name="Comma 2 2 2 2 3 2 2 2 3 3 3 2 2" xfId="46851"/>
    <cellStyle name="Comma 2 2 2 2 3 2 2 2 3 3 3 2 2 2" xfId="50982"/>
    <cellStyle name="Comma 2 2 2 2 3 2 2 2 3 3 3 3" xfId="29156"/>
    <cellStyle name="Comma 2 2 2 2 3 2 2 2 3 3 4" xfId="24988"/>
    <cellStyle name="Comma 2 2 2 2 3 2 2 2 3 3 4 2" xfId="37464"/>
    <cellStyle name="Comma 2 2 2 2 3 2 2 2 3 4" xfId="4000"/>
    <cellStyle name="Comma 2 2 2 2 3 2 2 2 3 4 2" xfId="14660"/>
    <cellStyle name="Comma 2 2 2 2 3 2 2 2 3 4 2 2" xfId="17595"/>
    <cellStyle name="Comma 2 2 2 2 3 2 2 2 3 4 2 2 2" xfId="49999"/>
    <cellStyle name="Comma 2 2 2 2 3 2 2 2 3 4 2 2 2 2" xfId="52922"/>
    <cellStyle name="Comma 2 2 2 2 3 2 2 2 3 4 2 3" xfId="31097"/>
    <cellStyle name="Comma 2 2 2 2 3 2 2 2 3 4 3" xfId="28171"/>
    <cellStyle name="Comma 2 2 2 2 3 2 2 2 3 4 3 2" xfId="39444"/>
    <cellStyle name="Comma 2 2 2 2 3 2 2 2 3 5" xfId="9192"/>
    <cellStyle name="Comma 2 2 2 2 3 2 2 2 3 5 2" xfId="36468"/>
    <cellStyle name="Comma 2 2 2 2 3 2 2 2 3 5 2 2" xfId="44575"/>
    <cellStyle name="Comma 2 2 2 2 3 2 2 2 3 6" xfId="22689"/>
    <cellStyle name="Comma 2 2 2 2 3 2 2 2 4" xfId="1762"/>
    <cellStyle name="Comma 2 2 2 2 3 2 2 2 4 2" xfId="2431"/>
    <cellStyle name="Comma 2 2 2 2 3 2 2 2 4 2 2" xfId="7015"/>
    <cellStyle name="Comma 2 2 2 2 3 2 2 2 4 2 2 2" xfId="7663"/>
    <cellStyle name="Comma 2 2 2 2 3 2 2 2 4 2 2 2 2" xfId="20568"/>
    <cellStyle name="Comma 2 2 2 2 3 2 2 2 4 2 2 2 2 2" xfId="21215"/>
    <cellStyle name="Comma 2 2 2 2 3 2 2 2 4 2 2 2 2 2 2" xfId="55894"/>
    <cellStyle name="Comma 2 2 2 2 3 2 2 2 4 2 2 2 2 2 2 2" xfId="56541"/>
    <cellStyle name="Comma 2 2 2 2 3 2 2 2 4 2 2 2 2 3" xfId="34718"/>
    <cellStyle name="Comma 2 2 2 2 3 2 2 2 4 2 2 2 3" xfId="34070"/>
    <cellStyle name="Comma 2 2 2 2 3 2 2 2 4 2 2 2 3 2" xfId="43090"/>
    <cellStyle name="Comma 2 2 2 2 3 2 2 2 4 2 2 3" xfId="12888"/>
    <cellStyle name="Comma 2 2 2 2 3 2 2 2 4 2 2 3 2" xfId="42443"/>
    <cellStyle name="Comma 2 2 2 2 3 2 2 2 4 2 2 3 2 2" xfId="48234"/>
    <cellStyle name="Comma 2 2 2 2 3 2 2 2 4 2 2 4" xfId="26372"/>
    <cellStyle name="Comma 2 2 2 2 3 2 2 2 4 2 3" xfId="12239"/>
    <cellStyle name="Comma 2 2 2 2 3 2 2 2 4 2 3 2" xfId="16094"/>
    <cellStyle name="Comma 2 2 2 2 3 2 2 2 4 2 3 2 2" xfId="47586"/>
    <cellStyle name="Comma 2 2 2 2 3 2 2 2 4 2 3 2 2 2" xfId="51426"/>
    <cellStyle name="Comma 2 2 2 2 3 2 2 2 4 2 3 3" xfId="29600"/>
    <cellStyle name="Comma 2 2 2 2 3 2 2 2 4 2 4" xfId="25724"/>
    <cellStyle name="Comma 2 2 2 2 3 2 2 2 4 2 4 2" xfId="37909"/>
    <cellStyle name="Comma 2 2 2 2 3 2 2 2 4 3" xfId="4466"/>
    <cellStyle name="Comma 2 2 2 2 3 2 2 2 4 3 2" xfId="15434"/>
    <cellStyle name="Comma 2 2 2 2 3 2 2 2 4 3 2 2" xfId="18056"/>
    <cellStyle name="Comma 2 2 2 2 3 2 2 2 4 3 2 2 2" xfId="50767"/>
    <cellStyle name="Comma 2 2 2 2 3 2 2 2 4 3 2 2 2 2" xfId="53382"/>
    <cellStyle name="Comma 2 2 2 2 3 2 2 2 4 3 2 3" xfId="31557"/>
    <cellStyle name="Comma 2 2 2 2 3 2 2 2 4 3 3" xfId="28941"/>
    <cellStyle name="Comma 2 2 2 2 3 2 2 2 4 3 3 2" xfId="39908"/>
    <cellStyle name="Comma 2 2 2 2 3 2 2 2 4 4" xfId="9671"/>
    <cellStyle name="Comma 2 2 2 2 3 2 2 2 4 4 2" xfId="37244"/>
    <cellStyle name="Comma 2 2 2 2 3 2 2 2 4 4 2 2" xfId="45049"/>
    <cellStyle name="Comma 2 2 2 2 3 2 2 2 4 5" xfId="23172"/>
    <cellStyle name="Comma 2 2 2 2 3 2 2 2 5" xfId="3768"/>
    <cellStyle name="Comma 2 2 2 2 3 2 2 2 5 2" xfId="5673"/>
    <cellStyle name="Comma 2 2 2 2 3 2 2 2 5 2 2" xfId="17384"/>
    <cellStyle name="Comma 2 2 2 2 3 2 2 2 5 2 2 2" xfId="19245"/>
    <cellStyle name="Comma 2 2 2 2 3 2 2 2 5 2 2 2 2" xfId="52711"/>
    <cellStyle name="Comma 2 2 2 2 3 2 2 2 5 2 2 2 2 2" xfId="54571"/>
    <cellStyle name="Comma 2 2 2 2 3 2 2 2 5 2 2 3" xfId="32746"/>
    <cellStyle name="Comma 2 2 2 2 3 2 2 2 5 2 3" xfId="30885"/>
    <cellStyle name="Comma 2 2 2 2 3 2 2 2 5 2 3 2" xfId="41109"/>
    <cellStyle name="Comma 2 2 2 2 3 2 2 2 5 3" xfId="10891"/>
    <cellStyle name="Comma 2 2 2 2 3 2 2 2 5 3 2" xfId="39219"/>
    <cellStyle name="Comma 2 2 2 2 3 2 2 2 5 3 2 2" xfId="46253"/>
    <cellStyle name="Comma 2 2 2 2 3 2 2 2 5 4" xfId="24384"/>
    <cellStyle name="Comma 2 2 2 2 3 2 2 2 6" xfId="8958"/>
    <cellStyle name="Comma 2 2 2 2 3 2 2 2 6 2" xfId="14057"/>
    <cellStyle name="Comma 2 2 2 2 3 2 2 2 6 2 2" xfId="44357"/>
    <cellStyle name="Comma 2 2 2 2 3 2 2 2 6 2 2 2" xfId="49403"/>
    <cellStyle name="Comma 2 2 2 2 3 2 2 2 6 3" xfId="27556"/>
    <cellStyle name="Comma 2 2 2 2 3 2 2 2 7" xfId="22465"/>
    <cellStyle name="Comma 2 2 2 2 3 2 2 2 7 2" xfId="35869"/>
    <cellStyle name="Comma 2 2 2 2 3 2 2 3" xfId="462"/>
    <cellStyle name="Comma 2 2 2 2 3 2 2 3 2" xfId="1170"/>
    <cellStyle name="Comma 2 2 2 2 3 2 2 3 2 2" xfId="1277"/>
    <cellStyle name="Comma 2 2 2 2 3 2 2 3 2 2 2" xfId="3190"/>
    <cellStyle name="Comma 2 2 2 2 3 2 2 3 2 2 2 2" xfId="3295"/>
    <cellStyle name="Comma 2 2 2 2 3 2 2 3 2 2 2 2 2" xfId="8405"/>
    <cellStyle name="Comma 2 2 2 2 3 2 2 3 2 2 2 2 2 2" xfId="8510"/>
    <cellStyle name="Comma 2 2 2 2 3 2 2 3 2 2 2 2 2 2 2" xfId="21957"/>
    <cellStyle name="Comma 2 2 2 2 3 2 2 3 2 2 2 2 2 2 2 2" xfId="22062"/>
    <cellStyle name="Comma 2 2 2 2 3 2 2 3 2 2 2 2 2 2 2 2 2" xfId="57283"/>
    <cellStyle name="Comma 2 2 2 2 3 2 2 3 2 2 2 2 2 2 2 2 2 2" xfId="57388"/>
    <cellStyle name="Comma 2 2 2 2 3 2 2 3 2 2 2 2 2 2 2 3" xfId="35565"/>
    <cellStyle name="Comma 2 2 2 2 3 2 2 3 2 2 2 2 2 2 3" xfId="35460"/>
    <cellStyle name="Comma 2 2 2 2 3 2 2 3 2 2 2 2 2 2 3 2" xfId="43937"/>
    <cellStyle name="Comma 2 2 2 2 3 2 2 3 2 2 2 2 2 3" xfId="13735"/>
    <cellStyle name="Comma 2 2 2 2 3 2 2 3 2 2 2 2 2 3 2" xfId="43832"/>
    <cellStyle name="Comma 2 2 2 2 3 2 2 3 2 2 2 2 2 3 2 2" xfId="49081"/>
    <cellStyle name="Comma 2 2 2 2 3 2 2 3 2 2 2 2 2 4" xfId="27220"/>
    <cellStyle name="Comma 2 2 2 2 3 2 2 3 2 2 2 2 3" xfId="13630"/>
    <cellStyle name="Comma 2 2 2 2 3 2 2 3 2 2 2 2 3 2" xfId="16952"/>
    <cellStyle name="Comma 2 2 2 2 3 2 2 3 2 2 2 2 3 2 2" xfId="48976"/>
    <cellStyle name="Comma 2 2 2 2 3 2 2 3 2 2 2 2 3 2 2 2" xfId="52280"/>
    <cellStyle name="Comma 2 2 2 2 3 2 2 3 2 2 2 2 3 3" xfId="30454"/>
    <cellStyle name="Comma 2 2 2 2 3 2 2 3 2 2 2 2 4" xfId="27115"/>
    <cellStyle name="Comma 2 2 2 2 3 2 2 3 2 2 2 2 4 2" xfId="38764"/>
    <cellStyle name="Comma 2 2 2 2 3 2 2 3 2 2 2 3" xfId="5332"/>
    <cellStyle name="Comma 2 2 2 2 3 2 2 3 2 2 2 3 2" xfId="16847"/>
    <cellStyle name="Comma 2 2 2 2 3 2 2 3 2 2 2 3 2 2" xfId="18905"/>
    <cellStyle name="Comma 2 2 2 2 3 2 2 3 2 2 2 3 2 2 2" xfId="52175"/>
    <cellStyle name="Comma 2 2 2 2 3 2 2 3 2 2 2 3 2 2 2 2" xfId="54231"/>
    <cellStyle name="Comma 2 2 2 2 3 2 2 3 2 2 2 3 2 3" xfId="32406"/>
    <cellStyle name="Comma 2 2 2 2 3 2 2 3 2 2 2 3 3" xfId="30349"/>
    <cellStyle name="Comma 2 2 2 2 3 2 2 3 2 2 2 3 3 2" xfId="40769"/>
    <cellStyle name="Comma 2 2 2 2 3 2 2 3 2 2 2 4" xfId="10535"/>
    <cellStyle name="Comma 2 2 2 2 3 2 2 3 2 2 2 4 2" xfId="38659"/>
    <cellStyle name="Comma 2 2 2 2 3 2 2 3 2 2 2 4 2 2" xfId="45898"/>
    <cellStyle name="Comma 2 2 2 2 3 2 2 3 2 2 2 5" xfId="24021"/>
    <cellStyle name="Comma 2 2 2 2 3 2 2 3 2 2 3" xfId="5227"/>
    <cellStyle name="Comma 2 2 2 2 3 2 2 3 2 2 3 2" xfId="6585"/>
    <cellStyle name="Comma 2 2 2 2 3 2 2 3 2 2 3 2 2" xfId="18800"/>
    <cellStyle name="Comma 2 2 2 2 3 2 2 3 2 2 3 2 2 2" xfId="20138"/>
    <cellStyle name="Comma 2 2 2 2 3 2 2 3 2 2 3 2 2 2 2" xfId="54126"/>
    <cellStyle name="Comma 2 2 2 2 3 2 2 3 2 2 3 2 2 2 2 2" xfId="55464"/>
    <cellStyle name="Comma 2 2 2 2 3 2 2 3 2 2 3 2 2 3" xfId="33640"/>
    <cellStyle name="Comma 2 2 2 2 3 2 2 3 2 2 3 2 3" xfId="32301"/>
    <cellStyle name="Comma 2 2 2 2 3 2 2 3 2 2 3 2 3 2" xfId="42013"/>
    <cellStyle name="Comma 2 2 2 2 3 2 2 3 2 2 3 3" xfId="11808"/>
    <cellStyle name="Comma 2 2 2 2 3 2 2 3 2 2 3 3 2" xfId="40664"/>
    <cellStyle name="Comma 2 2 2 2 3 2 2 3 2 2 3 3 2 2" xfId="47156"/>
    <cellStyle name="Comma 2 2 2 2 3 2 2 3 2 2 3 4" xfId="25293"/>
    <cellStyle name="Comma 2 2 2 2 3 2 2 3 2 2 4" xfId="10430"/>
    <cellStyle name="Comma 2 2 2 2 3 2 2 3 2 2 4 2" xfId="14966"/>
    <cellStyle name="Comma 2 2 2 2 3 2 2 3 2 2 4 2 2" xfId="45793"/>
    <cellStyle name="Comma 2 2 2 2 3 2 2 3 2 2 4 2 2 2" xfId="50305"/>
    <cellStyle name="Comma 2 2 2 2 3 2 2 3 2 2 4 3" xfId="28479"/>
    <cellStyle name="Comma 2 2 2 2 3 2 2 3 2 2 5" xfId="23916"/>
    <cellStyle name="Comma 2 2 2 2 3 2 2 3 2 2 5 2" xfId="36774"/>
    <cellStyle name="Comma 2 2 2 2 3 2 2 3 2 3" xfId="2083"/>
    <cellStyle name="Comma 2 2 2 2 3 2 2 3 2 3 2" xfId="6478"/>
    <cellStyle name="Comma 2 2 2 2 3 2 2 3 2 3 2 2" xfId="7317"/>
    <cellStyle name="Comma 2 2 2 2 3 2 2 3 2 3 2 2 2" xfId="20032"/>
    <cellStyle name="Comma 2 2 2 2 3 2 2 3 2 3 2 2 2 2" xfId="20869"/>
    <cellStyle name="Comma 2 2 2 2 3 2 2 3 2 3 2 2 2 2 2" xfId="55358"/>
    <cellStyle name="Comma 2 2 2 2 3 2 2 3 2 3 2 2 2 2 2 2" xfId="56195"/>
    <cellStyle name="Comma 2 2 2 2 3 2 2 3 2 3 2 2 2 3" xfId="34372"/>
    <cellStyle name="Comma 2 2 2 2 3 2 2 3 2 3 2 2 3" xfId="33534"/>
    <cellStyle name="Comma 2 2 2 2 3 2 2 3 2 3 2 2 3 2" xfId="42744"/>
    <cellStyle name="Comma 2 2 2 2 3 2 2 3 2 3 2 3" xfId="12542"/>
    <cellStyle name="Comma 2 2 2 2 3 2 2 3 2 3 2 3 2" xfId="41906"/>
    <cellStyle name="Comma 2 2 2 2 3 2 2 3 2 3 2 3 2 2" xfId="47888"/>
    <cellStyle name="Comma 2 2 2 2 3 2 2 3 2 3 2 4" xfId="26026"/>
    <cellStyle name="Comma 2 2 2 2 3 2 2 3 2 3 3" xfId="11702"/>
    <cellStyle name="Comma 2 2 2 2 3 2 2 3 2 3 3 2" xfId="15747"/>
    <cellStyle name="Comma 2 2 2 2 3 2 2 3 2 3 3 2 2" xfId="47050"/>
    <cellStyle name="Comma 2 2 2 2 3 2 2 3 2 3 3 2 2 2" xfId="51079"/>
    <cellStyle name="Comma 2 2 2 2 3 2 2 3 2 3 3 3" xfId="29253"/>
    <cellStyle name="Comma 2 2 2 2 3 2 2 3 2 3 4" xfId="25187"/>
    <cellStyle name="Comma 2 2 2 2 3 2 2 3 2 3 4 2" xfId="37561"/>
    <cellStyle name="Comma 2 2 2 2 3 2 2 3 2 4" xfId="4099"/>
    <cellStyle name="Comma 2 2 2 2 3 2 2 3 2 4 2" xfId="14860"/>
    <cellStyle name="Comma 2 2 2 2 3 2 2 3 2 4 2 2" xfId="17692"/>
    <cellStyle name="Comma 2 2 2 2 3 2 2 3 2 4 2 2 2" xfId="50199"/>
    <cellStyle name="Comma 2 2 2 2 3 2 2 3 2 4 2 2 2 2" xfId="53019"/>
    <cellStyle name="Comma 2 2 2 2 3 2 2 3 2 4 2 3" xfId="31194"/>
    <cellStyle name="Comma 2 2 2 2 3 2 2 3 2 4 3" xfId="28373"/>
    <cellStyle name="Comma 2 2 2 2 3 2 2 3 2 4 3 2" xfId="39542"/>
    <cellStyle name="Comma 2 2 2 2 3 2 2 3 2 5" xfId="9290"/>
    <cellStyle name="Comma 2 2 2 2 3 2 2 3 2 5 2" xfId="36668"/>
    <cellStyle name="Comma 2 2 2 2 3 2 2 3 2 5 2 2" xfId="44672"/>
    <cellStyle name="Comma 2 2 2 2 3 2 2 3 2 6" xfId="22786"/>
    <cellStyle name="Comma 2 2 2 2 3 2 2 3 3" xfId="1978"/>
    <cellStyle name="Comma 2 2 2 2 3 2 2 3 3 2" xfId="2561"/>
    <cellStyle name="Comma 2 2 2 2 3 2 2 3 3 2 2" xfId="7212"/>
    <cellStyle name="Comma 2 2 2 2 3 2 2 3 3 2 2 2" xfId="7782"/>
    <cellStyle name="Comma 2 2 2 2 3 2 2 3 3 2 2 2 2" xfId="20764"/>
    <cellStyle name="Comma 2 2 2 2 3 2 2 3 3 2 2 2 2 2" xfId="21334"/>
    <cellStyle name="Comma 2 2 2 2 3 2 2 3 3 2 2 2 2 2 2" xfId="56090"/>
    <cellStyle name="Comma 2 2 2 2 3 2 2 3 3 2 2 2 2 2 2 2" xfId="56660"/>
    <cellStyle name="Comma 2 2 2 2 3 2 2 3 3 2 2 2 2 3" xfId="34837"/>
    <cellStyle name="Comma 2 2 2 2 3 2 2 3 3 2 2 2 3" xfId="34267"/>
    <cellStyle name="Comma 2 2 2 2 3 2 2 3 3 2 2 2 3 2" xfId="43209"/>
    <cellStyle name="Comma 2 2 2 2 3 2 2 3 3 2 2 3" xfId="13007"/>
    <cellStyle name="Comma 2 2 2 2 3 2 2 3 3 2 2 3 2" xfId="42639"/>
    <cellStyle name="Comma 2 2 2 2 3 2 2 3 3 2 2 3 2 2" xfId="48353"/>
    <cellStyle name="Comma 2 2 2 2 3 2 2 3 3 2 2 4" xfId="26491"/>
    <cellStyle name="Comma 2 2 2 2 3 2 2 3 3 2 3" xfId="12437"/>
    <cellStyle name="Comma 2 2 2 2 3 2 2 3 3 2 3 2" xfId="16220"/>
    <cellStyle name="Comma 2 2 2 2 3 2 2 3 3 2 3 2 2" xfId="47783"/>
    <cellStyle name="Comma 2 2 2 2 3 2 2 3 3 2 3 2 2 2" xfId="51550"/>
    <cellStyle name="Comma 2 2 2 2 3 2 2 3 3 2 3 3" xfId="29724"/>
    <cellStyle name="Comma 2 2 2 2 3 2 2 3 3 2 4" xfId="25921"/>
    <cellStyle name="Comma 2 2 2 2 3 2 2 3 3 2 4 2" xfId="38034"/>
    <cellStyle name="Comma 2 2 2 2 3 2 2 3 3 3" xfId="4594"/>
    <cellStyle name="Comma 2 2 2 2 3 2 2 3 3 3 2" xfId="15642"/>
    <cellStyle name="Comma 2 2 2 2 3 2 2 3 3 3 2 2" xfId="18175"/>
    <cellStyle name="Comma 2 2 2 2 3 2 2 3 3 3 2 2 2" xfId="50974"/>
    <cellStyle name="Comma 2 2 2 2 3 2 2 3 3 3 2 2 2 2" xfId="53501"/>
    <cellStyle name="Comma 2 2 2 2 3 2 2 3 3 3 2 3" xfId="31676"/>
    <cellStyle name="Comma 2 2 2 2 3 2 2 3 3 3 3" xfId="29148"/>
    <cellStyle name="Comma 2 2 2 2 3 2 2 3 3 3 3 2" xfId="40033"/>
    <cellStyle name="Comma 2 2 2 2 3 2 2 3 3 4" xfId="9798"/>
    <cellStyle name="Comma 2 2 2 2 3 2 2 3 3 4 2" xfId="37456"/>
    <cellStyle name="Comma 2 2 2 2 3 2 2 3 3 4 2 2" xfId="45168"/>
    <cellStyle name="Comma 2 2 2 2 3 2 2 3 3 5" xfId="23291"/>
    <cellStyle name="Comma 2 2 2 2 3 2 2 3 4" xfId="3992"/>
    <cellStyle name="Comma 2 2 2 2 3 2 2 3 4 2" xfId="5800"/>
    <cellStyle name="Comma 2 2 2 2 3 2 2 3 4 2 2" xfId="17587"/>
    <cellStyle name="Comma 2 2 2 2 3 2 2 3 4 2 2 2" xfId="19368"/>
    <cellStyle name="Comma 2 2 2 2 3 2 2 3 4 2 2 2 2" xfId="52914"/>
    <cellStyle name="Comma 2 2 2 2 3 2 2 3 4 2 2 2 2 2" xfId="54694"/>
    <cellStyle name="Comma 2 2 2 2 3 2 2 3 4 2 2 3" xfId="32869"/>
    <cellStyle name="Comma 2 2 2 2 3 2 2 3 4 2 3" xfId="31089"/>
    <cellStyle name="Comma 2 2 2 2 3 2 2 3 4 2 3 2" xfId="41235"/>
    <cellStyle name="Comma 2 2 2 2 3 2 2 3 4 3" xfId="11022"/>
    <cellStyle name="Comma 2 2 2 2 3 2 2 3 4 3 2" xfId="39436"/>
    <cellStyle name="Comma 2 2 2 2 3 2 2 3 4 3 2 2" xfId="46381"/>
    <cellStyle name="Comma 2 2 2 2 3 2 2 3 4 4" xfId="24516"/>
    <cellStyle name="Comma 2 2 2 2 3 2 2 3 5" xfId="9184"/>
    <cellStyle name="Comma 2 2 2 2 3 2 2 3 5 2" xfId="14183"/>
    <cellStyle name="Comma 2 2 2 2 3 2 2 3 5 2 2" xfId="44567"/>
    <cellStyle name="Comma 2 2 2 2 3 2 2 3 5 2 2 2" xfId="49528"/>
    <cellStyle name="Comma 2 2 2 2 3 2 2 3 5 3" xfId="27689"/>
    <cellStyle name="Comma 2 2 2 2 3 2 2 3 6" xfId="22681"/>
    <cellStyle name="Comma 2 2 2 2 3 2 2 3 6 2" xfId="35995"/>
    <cellStyle name="Comma 2 2 2 2 3 2 2 4" xfId="783"/>
    <cellStyle name="Comma 2 2 2 2 3 2 2 4 2" xfId="2423"/>
    <cellStyle name="Comma 2 2 2 2 3 2 2 4 2 2" xfId="2839"/>
    <cellStyle name="Comma 2 2 2 2 3 2 2 4 2 2 2" xfId="7655"/>
    <cellStyle name="Comma 2 2 2 2 3 2 2 4 2 2 2 2" xfId="8055"/>
    <cellStyle name="Comma 2 2 2 2 3 2 2 4 2 2 2 2 2" xfId="21207"/>
    <cellStyle name="Comma 2 2 2 2 3 2 2 4 2 2 2 2 2 2" xfId="21607"/>
    <cellStyle name="Comma 2 2 2 2 3 2 2 4 2 2 2 2 2 2 2" xfId="56533"/>
    <cellStyle name="Comma 2 2 2 2 3 2 2 4 2 2 2 2 2 2 2 2" xfId="56933"/>
    <cellStyle name="Comma 2 2 2 2 3 2 2 4 2 2 2 2 2 3" xfId="35110"/>
    <cellStyle name="Comma 2 2 2 2 3 2 2 4 2 2 2 2 3" xfId="34710"/>
    <cellStyle name="Comma 2 2 2 2 3 2 2 4 2 2 2 2 3 2" xfId="43482"/>
    <cellStyle name="Comma 2 2 2 2 3 2 2 4 2 2 2 3" xfId="13280"/>
    <cellStyle name="Comma 2 2 2 2 3 2 2 4 2 2 2 3 2" xfId="43082"/>
    <cellStyle name="Comma 2 2 2 2 3 2 2 4 2 2 2 3 2 2" xfId="48626"/>
    <cellStyle name="Comma 2 2 2 2 3 2 2 4 2 2 2 4" xfId="26764"/>
    <cellStyle name="Comma 2 2 2 2 3 2 2 4 2 2 3" xfId="12880"/>
    <cellStyle name="Comma 2 2 2 2 3 2 2 4 2 2 3 2" xfId="16497"/>
    <cellStyle name="Comma 2 2 2 2 3 2 2 4 2 2 3 2 2" xfId="48226"/>
    <cellStyle name="Comma 2 2 2 2 3 2 2 4 2 2 3 2 2 2" xfId="51825"/>
    <cellStyle name="Comma 2 2 2 2 3 2 2 4 2 2 3 3" xfId="29999"/>
    <cellStyle name="Comma 2 2 2 2 3 2 2 4 2 2 4" xfId="26364"/>
    <cellStyle name="Comma 2 2 2 2 3 2 2 4 2 2 4 2" xfId="38309"/>
    <cellStyle name="Comma 2 2 2 2 3 2 2 4 2 3" xfId="4875"/>
    <cellStyle name="Comma 2 2 2 2 3 2 2 4 2 3 2" xfId="16086"/>
    <cellStyle name="Comma 2 2 2 2 3 2 2 4 2 3 2 2" xfId="18449"/>
    <cellStyle name="Comma 2 2 2 2 3 2 2 4 2 3 2 2 2" xfId="51418"/>
    <cellStyle name="Comma 2 2 2 2 3 2 2 4 2 3 2 2 2 2" xfId="53775"/>
    <cellStyle name="Comma 2 2 2 2 3 2 2 4 2 3 2 3" xfId="31950"/>
    <cellStyle name="Comma 2 2 2 2 3 2 2 4 2 3 3" xfId="29592"/>
    <cellStyle name="Comma 2 2 2 2 3 2 2 4 2 3 3 2" xfId="40312"/>
    <cellStyle name="Comma 2 2 2 2 3 2 2 4 2 4" xfId="10078"/>
    <cellStyle name="Comma 2 2 2 2 3 2 2 4 2 4 2" xfId="37901"/>
    <cellStyle name="Comma 2 2 2 2 3 2 2 4 2 4 2 2" xfId="45442"/>
    <cellStyle name="Comma 2 2 2 2 3 2 2 4 2 5" xfId="23565"/>
    <cellStyle name="Comma 2 2 2 2 3 2 2 4 3" xfId="4458"/>
    <cellStyle name="Comma 2 2 2 2 3 2 2 4 3 2" xfId="6099"/>
    <cellStyle name="Comma 2 2 2 2 3 2 2 4 3 2 2" xfId="18048"/>
    <cellStyle name="Comma 2 2 2 2 3 2 2 4 3 2 2 2" xfId="19661"/>
    <cellStyle name="Comma 2 2 2 2 3 2 2 4 3 2 2 2 2" xfId="53374"/>
    <cellStyle name="Comma 2 2 2 2 3 2 2 4 3 2 2 2 2 2" xfId="54987"/>
    <cellStyle name="Comma 2 2 2 2 3 2 2 4 3 2 2 3" xfId="33162"/>
    <cellStyle name="Comma 2 2 2 2 3 2 2 4 3 2 3" xfId="31549"/>
    <cellStyle name="Comma 2 2 2 2 3 2 2 4 3 2 3 2" xfId="41532"/>
    <cellStyle name="Comma 2 2 2 2 3 2 2 4 3 3" xfId="11325"/>
    <cellStyle name="Comma 2 2 2 2 3 2 2 4 3 3 2" xfId="39900"/>
    <cellStyle name="Comma 2 2 2 2 3 2 2 4 3 3 2 2" xfId="46678"/>
    <cellStyle name="Comma 2 2 2 2 3 2 2 4 3 4" xfId="24815"/>
    <cellStyle name="Comma 2 2 2 2 3 2 2 4 4" xfId="9663"/>
    <cellStyle name="Comma 2 2 2 2 3 2 2 4 4 2" xfId="14483"/>
    <cellStyle name="Comma 2 2 2 2 3 2 2 4 4 2 2" xfId="45041"/>
    <cellStyle name="Comma 2 2 2 2 3 2 2 4 4 2 2 2" xfId="49825"/>
    <cellStyle name="Comma 2 2 2 2 3 2 2 4 4 3" xfId="27994"/>
    <cellStyle name="Comma 2 2 2 2 3 2 2 4 5" xfId="23164"/>
    <cellStyle name="Comma 2 2 2 2 3 2 2 4 5 2" xfId="36293"/>
    <cellStyle name="Comma 2 2 2 2 3 2 2 5" xfId="1570"/>
    <cellStyle name="Comma 2 2 2 2 3 2 2 5 2" xfId="5665"/>
    <cellStyle name="Comma 2 2 2 2 3 2 2 5 2 2" xfId="6842"/>
    <cellStyle name="Comma 2 2 2 2 3 2 2 5 2 2 2" xfId="19237"/>
    <cellStyle name="Comma 2 2 2 2 3 2 2 5 2 2 2 2" xfId="20395"/>
    <cellStyle name="Comma 2 2 2 2 3 2 2 5 2 2 2 2 2" xfId="54563"/>
    <cellStyle name="Comma 2 2 2 2 3 2 2 5 2 2 2 2 2 2" xfId="55721"/>
    <cellStyle name="Comma 2 2 2 2 3 2 2 5 2 2 2 3" xfId="33897"/>
    <cellStyle name="Comma 2 2 2 2 3 2 2 5 2 2 3" xfId="32738"/>
    <cellStyle name="Comma 2 2 2 2 3 2 2 5 2 2 3 2" xfId="42270"/>
    <cellStyle name="Comma 2 2 2 2 3 2 2 5 2 3" xfId="12066"/>
    <cellStyle name="Comma 2 2 2 2 3 2 2 5 2 3 2" xfId="41101"/>
    <cellStyle name="Comma 2 2 2 2 3 2 2 5 2 3 2 2" xfId="47413"/>
    <cellStyle name="Comma 2 2 2 2 3 2 2 5 2 4" xfId="25551"/>
    <cellStyle name="Comma 2 2 2 2 3 2 2 5 3" xfId="10883"/>
    <cellStyle name="Comma 2 2 2 2 3 2 2 5 3 2" xfId="15246"/>
    <cellStyle name="Comma 2 2 2 2 3 2 2 5 3 2 2" xfId="46245"/>
    <cellStyle name="Comma 2 2 2 2 3 2 2 5 3 2 2 2" xfId="50583"/>
    <cellStyle name="Comma 2 2 2 2 3 2 2 5 3 3" xfId="28757"/>
    <cellStyle name="Comma 2 2 2 2 3 2 2 5 4" xfId="24376"/>
    <cellStyle name="Comma 2 2 2 2 3 2 2 5 4 2" xfId="37058"/>
    <cellStyle name="Comma 2 2 2 2 3 2 2 6" xfId="3571"/>
    <cellStyle name="Comma 2 2 2 2 3 2 2 6 2" xfId="14049"/>
    <cellStyle name="Comma 2 2 2 2 3 2 2 6 2 2" xfId="17207"/>
    <cellStyle name="Comma 2 2 2 2 3 2 2 6 2 2 2" xfId="49395"/>
    <cellStyle name="Comma 2 2 2 2 3 2 2 6 2 2 2 2" xfId="52534"/>
    <cellStyle name="Comma 2 2 2 2 3 2 2 6 2 3" xfId="30708"/>
    <cellStyle name="Comma 2 2 2 2 3 2 2 6 3" xfId="27548"/>
    <cellStyle name="Comma 2 2 2 2 3 2 2 6 3 2" xfId="39028"/>
    <cellStyle name="Comma 2 2 2 2 3 2 2 7" xfId="8762"/>
    <cellStyle name="Comma 2 2 2 2 3 2 2 7 2" xfId="35861"/>
    <cellStyle name="Comma 2 2 2 2 3 2 2 7 2 2" xfId="44175"/>
    <cellStyle name="Comma 2 2 2 2 3 2 2 8" xfId="22279"/>
    <cellStyle name="Comma 2 2 2 2 3 2 3" xfId="454"/>
    <cellStyle name="Comma 2 2 2 2 3 2 3 2" xfId="537"/>
    <cellStyle name="Comma 2 2 2 2 3 2 3 2 2" xfId="1269"/>
    <cellStyle name="Comma 2 2 2 2 3 2 3 2 2 2" xfId="1342"/>
    <cellStyle name="Comma 2 2 2 2 3 2 3 2 2 2 2" xfId="3287"/>
    <cellStyle name="Comma 2 2 2 2 3 2 3 2 2 2 2 2" xfId="3360"/>
    <cellStyle name="Comma 2 2 2 2 3 2 3 2 2 2 2 2 2" xfId="8502"/>
    <cellStyle name="Comma 2 2 2 2 3 2 3 2 2 2 2 2 2 2" xfId="8575"/>
    <cellStyle name="Comma 2 2 2 2 3 2 3 2 2 2 2 2 2 2 2" xfId="22054"/>
    <cellStyle name="Comma 2 2 2 2 3 2 3 2 2 2 2 2 2 2 2 2" xfId="22127"/>
    <cellStyle name="Comma 2 2 2 2 3 2 3 2 2 2 2 2 2 2 2 2 2" xfId="57380"/>
    <cellStyle name="Comma 2 2 2 2 3 2 3 2 2 2 2 2 2 2 2 2 2 2" xfId="57453"/>
    <cellStyle name="Comma 2 2 2 2 3 2 3 2 2 2 2 2 2 2 2 3" xfId="35630"/>
    <cellStyle name="Comma 2 2 2 2 3 2 3 2 2 2 2 2 2 2 3" xfId="35557"/>
    <cellStyle name="Comma 2 2 2 2 3 2 3 2 2 2 2 2 2 2 3 2" xfId="44002"/>
    <cellStyle name="Comma 2 2 2 2 3 2 3 2 2 2 2 2 2 3" xfId="13800"/>
    <cellStyle name="Comma 2 2 2 2 3 2 3 2 2 2 2 2 2 3 2" xfId="43929"/>
    <cellStyle name="Comma 2 2 2 2 3 2 3 2 2 2 2 2 2 3 2 2" xfId="49146"/>
    <cellStyle name="Comma 2 2 2 2 3 2 3 2 2 2 2 2 2 4" xfId="27285"/>
    <cellStyle name="Comma 2 2 2 2 3 2 3 2 2 2 2 2 3" xfId="13727"/>
    <cellStyle name="Comma 2 2 2 2 3 2 3 2 2 2 2 2 3 2" xfId="17017"/>
    <cellStyle name="Comma 2 2 2 2 3 2 3 2 2 2 2 2 3 2 2" xfId="49073"/>
    <cellStyle name="Comma 2 2 2 2 3 2 3 2 2 2 2 2 3 2 2 2" xfId="52345"/>
    <cellStyle name="Comma 2 2 2 2 3 2 3 2 2 2 2 2 3 3" xfId="30519"/>
    <cellStyle name="Comma 2 2 2 2 3 2 3 2 2 2 2 2 4" xfId="27212"/>
    <cellStyle name="Comma 2 2 2 2 3 2 3 2 2 2 2 2 4 2" xfId="38829"/>
    <cellStyle name="Comma 2 2 2 2 3 2 3 2 2 2 2 3" xfId="5397"/>
    <cellStyle name="Comma 2 2 2 2 3 2 3 2 2 2 2 3 2" xfId="16944"/>
    <cellStyle name="Comma 2 2 2 2 3 2 3 2 2 2 2 3 2 2" xfId="18970"/>
    <cellStyle name="Comma 2 2 2 2 3 2 3 2 2 2 2 3 2 2 2" xfId="52272"/>
    <cellStyle name="Comma 2 2 2 2 3 2 3 2 2 2 2 3 2 2 2 2" xfId="54296"/>
    <cellStyle name="Comma 2 2 2 2 3 2 3 2 2 2 2 3 2 3" xfId="32471"/>
    <cellStyle name="Comma 2 2 2 2 3 2 3 2 2 2 2 3 3" xfId="30446"/>
    <cellStyle name="Comma 2 2 2 2 3 2 3 2 2 2 2 3 3 2" xfId="40834"/>
    <cellStyle name="Comma 2 2 2 2 3 2 3 2 2 2 2 4" xfId="10600"/>
    <cellStyle name="Comma 2 2 2 2 3 2 3 2 2 2 2 4 2" xfId="38756"/>
    <cellStyle name="Comma 2 2 2 2 3 2 3 2 2 2 2 4 2 2" xfId="45963"/>
    <cellStyle name="Comma 2 2 2 2 3 2 3 2 2 2 2 5" xfId="24086"/>
    <cellStyle name="Comma 2 2 2 2 3 2 3 2 2 2 3" xfId="5324"/>
    <cellStyle name="Comma 2 2 2 2 3 2 3 2 2 2 3 2" xfId="6650"/>
    <cellStyle name="Comma 2 2 2 2 3 2 3 2 2 2 3 2 2" xfId="18897"/>
    <cellStyle name="Comma 2 2 2 2 3 2 3 2 2 2 3 2 2 2" xfId="20203"/>
    <cellStyle name="Comma 2 2 2 2 3 2 3 2 2 2 3 2 2 2 2" xfId="54223"/>
    <cellStyle name="Comma 2 2 2 2 3 2 3 2 2 2 3 2 2 2 2 2" xfId="55529"/>
    <cellStyle name="Comma 2 2 2 2 3 2 3 2 2 2 3 2 2 3" xfId="33705"/>
    <cellStyle name="Comma 2 2 2 2 3 2 3 2 2 2 3 2 3" xfId="32398"/>
    <cellStyle name="Comma 2 2 2 2 3 2 3 2 2 2 3 2 3 2" xfId="42078"/>
    <cellStyle name="Comma 2 2 2 2 3 2 3 2 2 2 3 3" xfId="11873"/>
    <cellStyle name="Comma 2 2 2 2 3 2 3 2 2 2 3 3 2" xfId="40761"/>
    <cellStyle name="Comma 2 2 2 2 3 2 3 2 2 2 3 3 2 2" xfId="47221"/>
    <cellStyle name="Comma 2 2 2 2 3 2 3 2 2 2 3 4" xfId="25358"/>
    <cellStyle name="Comma 2 2 2 2 3 2 3 2 2 2 4" xfId="10527"/>
    <cellStyle name="Comma 2 2 2 2 3 2 3 2 2 2 4 2" xfId="15031"/>
    <cellStyle name="Comma 2 2 2 2 3 2 3 2 2 2 4 2 2" xfId="45890"/>
    <cellStyle name="Comma 2 2 2 2 3 2 3 2 2 2 4 2 2 2" xfId="50370"/>
    <cellStyle name="Comma 2 2 2 2 3 2 3 2 2 2 4 3" xfId="28544"/>
    <cellStyle name="Comma 2 2 2 2 3 2 3 2 2 2 5" xfId="24013"/>
    <cellStyle name="Comma 2 2 2 2 3 2 3 2 2 2 5 2" xfId="36839"/>
    <cellStyle name="Comma 2 2 2 2 3 2 3 2 2 3" xfId="2149"/>
    <cellStyle name="Comma 2 2 2 2 3 2 3 2 2 3 2" xfId="6577"/>
    <cellStyle name="Comma 2 2 2 2 3 2 3 2 2 3 2 2" xfId="7383"/>
    <cellStyle name="Comma 2 2 2 2 3 2 3 2 2 3 2 2 2" xfId="20130"/>
    <cellStyle name="Comma 2 2 2 2 3 2 3 2 2 3 2 2 2 2" xfId="20935"/>
    <cellStyle name="Comma 2 2 2 2 3 2 3 2 2 3 2 2 2 2 2" xfId="55456"/>
    <cellStyle name="Comma 2 2 2 2 3 2 3 2 2 3 2 2 2 2 2 2" xfId="56261"/>
    <cellStyle name="Comma 2 2 2 2 3 2 3 2 2 3 2 2 2 3" xfId="34438"/>
    <cellStyle name="Comma 2 2 2 2 3 2 3 2 2 3 2 2 3" xfId="33632"/>
    <cellStyle name="Comma 2 2 2 2 3 2 3 2 2 3 2 2 3 2" xfId="42810"/>
    <cellStyle name="Comma 2 2 2 2 3 2 3 2 2 3 2 3" xfId="12608"/>
    <cellStyle name="Comma 2 2 2 2 3 2 3 2 2 3 2 3 2" xfId="42005"/>
    <cellStyle name="Comma 2 2 2 2 3 2 3 2 2 3 2 3 2 2" xfId="47954"/>
    <cellStyle name="Comma 2 2 2 2 3 2 3 2 2 3 2 4" xfId="26092"/>
    <cellStyle name="Comma 2 2 2 2 3 2 3 2 2 3 3" xfId="11800"/>
    <cellStyle name="Comma 2 2 2 2 3 2 3 2 2 3 3 2" xfId="15813"/>
    <cellStyle name="Comma 2 2 2 2 3 2 3 2 2 3 3 2 2" xfId="47148"/>
    <cellStyle name="Comma 2 2 2 2 3 2 3 2 2 3 3 2 2 2" xfId="51145"/>
    <cellStyle name="Comma 2 2 2 2 3 2 3 2 2 3 3 3" xfId="29319"/>
    <cellStyle name="Comma 2 2 2 2 3 2 3 2 2 3 4" xfId="25285"/>
    <cellStyle name="Comma 2 2 2 2 3 2 3 2 2 3 4 2" xfId="37627"/>
    <cellStyle name="Comma 2 2 2 2 3 2 3 2 2 4" xfId="4165"/>
    <cellStyle name="Comma 2 2 2 2 3 2 3 2 2 4 2" xfId="14958"/>
    <cellStyle name="Comma 2 2 2 2 3 2 3 2 2 4 2 2" xfId="17758"/>
    <cellStyle name="Comma 2 2 2 2 3 2 3 2 2 4 2 2 2" xfId="50297"/>
    <cellStyle name="Comma 2 2 2 2 3 2 3 2 2 4 2 2 2 2" xfId="53085"/>
    <cellStyle name="Comma 2 2 2 2 3 2 3 2 2 4 2 3" xfId="31260"/>
    <cellStyle name="Comma 2 2 2 2 3 2 3 2 2 4 3" xfId="28471"/>
    <cellStyle name="Comma 2 2 2 2 3 2 3 2 2 4 3 2" xfId="39608"/>
    <cellStyle name="Comma 2 2 2 2 3 2 3 2 2 5" xfId="9356"/>
    <cellStyle name="Comma 2 2 2 2 3 2 3 2 2 5 2" xfId="36766"/>
    <cellStyle name="Comma 2 2 2 2 3 2 3 2 2 5 2 2" xfId="44738"/>
    <cellStyle name="Comma 2 2 2 2 3 2 3 2 2 6" xfId="22852"/>
    <cellStyle name="Comma 2 2 2 2 3 2 3 2 3" xfId="2075"/>
    <cellStyle name="Comma 2 2 2 2 3 2 3 2 3 2" xfId="2631"/>
    <cellStyle name="Comma 2 2 2 2 3 2 3 2 3 2 2" xfId="7309"/>
    <cellStyle name="Comma 2 2 2 2 3 2 3 2 3 2 2 2" xfId="7851"/>
    <cellStyle name="Comma 2 2 2 2 3 2 3 2 3 2 2 2 2" xfId="20861"/>
    <cellStyle name="Comma 2 2 2 2 3 2 3 2 3 2 2 2 2 2" xfId="21403"/>
    <cellStyle name="Comma 2 2 2 2 3 2 3 2 3 2 2 2 2 2 2" xfId="56187"/>
    <cellStyle name="Comma 2 2 2 2 3 2 3 2 3 2 2 2 2 2 2 2" xfId="56729"/>
    <cellStyle name="Comma 2 2 2 2 3 2 3 2 3 2 2 2 2 3" xfId="34906"/>
    <cellStyle name="Comma 2 2 2 2 3 2 3 2 3 2 2 2 3" xfId="34364"/>
    <cellStyle name="Comma 2 2 2 2 3 2 3 2 3 2 2 2 3 2" xfId="43278"/>
    <cellStyle name="Comma 2 2 2 2 3 2 3 2 3 2 2 3" xfId="13076"/>
    <cellStyle name="Comma 2 2 2 2 3 2 3 2 3 2 2 3 2" xfId="42736"/>
    <cellStyle name="Comma 2 2 2 2 3 2 3 2 3 2 2 3 2 2" xfId="48422"/>
    <cellStyle name="Comma 2 2 2 2 3 2 3 2 3 2 2 4" xfId="26560"/>
    <cellStyle name="Comma 2 2 2 2 3 2 3 2 3 2 3" xfId="12534"/>
    <cellStyle name="Comma 2 2 2 2 3 2 3 2 3 2 3 2" xfId="16290"/>
    <cellStyle name="Comma 2 2 2 2 3 2 3 2 3 2 3 2 2" xfId="47880"/>
    <cellStyle name="Comma 2 2 2 2 3 2 3 2 3 2 3 2 2 2" xfId="51620"/>
    <cellStyle name="Comma 2 2 2 2 3 2 3 2 3 2 3 3" xfId="29794"/>
    <cellStyle name="Comma 2 2 2 2 3 2 3 2 3 2 4" xfId="26018"/>
    <cellStyle name="Comma 2 2 2 2 3 2 3 2 3 2 4 2" xfId="38104"/>
    <cellStyle name="Comma 2 2 2 2 3 2 3 2 3 3" xfId="4666"/>
    <cellStyle name="Comma 2 2 2 2 3 2 3 2 3 3 2" xfId="15739"/>
    <cellStyle name="Comma 2 2 2 2 3 2 3 2 3 3 2 2" xfId="18245"/>
    <cellStyle name="Comma 2 2 2 2 3 2 3 2 3 3 2 2 2" xfId="51071"/>
    <cellStyle name="Comma 2 2 2 2 3 2 3 2 3 3 2 2 2 2" xfId="53571"/>
    <cellStyle name="Comma 2 2 2 2 3 2 3 2 3 3 2 3" xfId="31746"/>
    <cellStyle name="Comma 2 2 2 2 3 2 3 2 3 3 3" xfId="29245"/>
    <cellStyle name="Comma 2 2 2 2 3 2 3 2 3 3 3 2" xfId="40105"/>
    <cellStyle name="Comma 2 2 2 2 3 2 3 2 3 4" xfId="9869"/>
    <cellStyle name="Comma 2 2 2 2 3 2 3 2 3 4 2" xfId="37553"/>
    <cellStyle name="Comma 2 2 2 2 3 2 3 2 3 4 2 2" xfId="45238"/>
    <cellStyle name="Comma 2 2 2 2 3 2 3 2 3 5" xfId="23361"/>
    <cellStyle name="Comma 2 2 2 2 3 2 3 2 4" xfId="4091"/>
    <cellStyle name="Comma 2 2 2 2 3 2 3 2 4 2" xfId="5870"/>
    <cellStyle name="Comma 2 2 2 2 3 2 3 2 4 2 2" xfId="17684"/>
    <cellStyle name="Comma 2 2 2 2 3 2 3 2 4 2 2 2" xfId="19438"/>
    <cellStyle name="Comma 2 2 2 2 3 2 3 2 4 2 2 2 2" xfId="53011"/>
    <cellStyle name="Comma 2 2 2 2 3 2 3 2 4 2 2 2 2 2" xfId="54764"/>
    <cellStyle name="Comma 2 2 2 2 3 2 3 2 4 2 2 3" xfId="32939"/>
    <cellStyle name="Comma 2 2 2 2 3 2 3 2 4 2 3" xfId="31186"/>
    <cellStyle name="Comma 2 2 2 2 3 2 3 2 4 2 3 2" xfId="41305"/>
    <cellStyle name="Comma 2 2 2 2 3 2 3 2 4 3" xfId="11094"/>
    <cellStyle name="Comma 2 2 2 2 3 2 3 2 4 3 2" xfId="39534"/>
    <cellStyle name="Comma 2 2 2 2 3 2 3 2 4 3 2 2" xfId="46453"/>
    <cellStyle name="Comma 2 2 2 2 3 2 3 2 4 4" xfId="24588"/>
    <cellStyle name="Comma 2 2 2 2 3 2 3 2 5" xfId="9282"/>
    <cellStyle name="Comma 2 2 2 2 3 2 3 2 5 2" xfId="14255"/>
    <cellStyle name="Comma 2 2 2 2 3 2 3 2 5 2 2" xfId="44664"/>
    <cellStyle name="Comma 2 2 2 2 3 2 3 2 5 2 2 2" xfId="49600"/>
    <cellStyle name="Comma 2 2 2 2 3 2 3 2 5 3" xfId="27762"/>
    <cellStyle name="Comma 2 2 2 2 3 2 3 2 6" xfId="22778"/>
    <cellStyle name="Comma 2 2 2 2 3 2 3 2 6 2" xfId="36067"/>
    <cellStyle name="Comma 2 2 2 2 3 2 3 3" xfId="865"/>
    <cellStyle name="Comma 2 2 2 2 3 2 3 3 2" xfId="2553"/>
    <cellStyle name="Comma 2 2 2 2 3 2 3 3 2 2" xfId="2912"/>
    <cellStyle name="Comma 2 2 2 2 3 2 3 3 2 2 2" xfId="7774"/>
    <cellStyle name="Comma 2 2 2 2 3 2 3 3 2 2 2 2" xfId="8127"/>
    <cellStyle name="Comma 2 2 2 2 3 2 3 3 2 2 2 2 2" xfId="21326"/>
    <cellStyle name="Comma 2 2 2 2 3 2 3 3 2 2 2 2 2 2" xfId="21679"/>
    <cellStyle name="Comma 2 2 2 2 3 2 3 3 2 2 2 2 2 2 2" xfId="56652"/>
    <cellStyle name="Comma 2 2 2 2 3 2 3 3 2 2 2 2 2 2 2 2" xfId="57005"/>
    <cellStyle name="Comma 2 2 2 2 3 2 3 3 2 2 2 2 2 3" xfId="35182"/>
    <cellStyle name="Comma 2 2 2 2 3 2 3 3 2 2 2 2 3" xfId="34829"/>
    <cellStyle name="Comma 2 2 2 2 3 2 3 3 2 2 2 2 3 2" xfId="43554"/>
    <cellStyle name="Comma 2 2 2 2 3 2 3 3 2 2 2 3" xfId="13352"/>
    <cellStyle name="Comma 2 2 2 2 3 2 3 3 2 2 2 3 2" xfId="43201"/>
    <cellStyle name="Comma 2 2 2 2 3 2 3 3 2 2 2 3 2 2" xfId="48698"/>
    <cellStyle name="Comma 2 2 2 2 3 2 3 3 2 2 2 4" xfId="26837"/>
    <cellStyle name="Comma 2 2 2 2 3 2 3 3 2 2 3" xfId="12999"/>
    <cellStyle name="Comma 2 2 2 2 3 2 3 3 2 2 3 2" xfId="16569"/>
    <cellStyle name="Comma 2 2 2 2 3 2 3 3 2 2 3 2 2" xfId="48345"/>
    <cellStyle name="Comma 2 2 2 2 3 2 3 3 2 2 3 2 2 2" xfId="51897"/>
    <cellStyle name="Comma 2 2 2 2 3 2 3 3 2 2 3 3" xfId="30071"/>
    <cellStyle name="Comma 2 2 2 2 3 2 3 3 2 2 4" xfId="26483"/>
    <cellStyle name="Comma 2 2 2 2 3 2 3 3 2 2 4 2" xfId="38381"/>
    <cellStyle name="Comma 2 2 2 2 3 2 3 3 2 3" xfId="4948"/>
    <cellStyle name="Comma 2 2 2 2 3 2 3 3 2 3 2" xfId="16212"/>
    <cellStyle name="Comma 2 2 2 2 3 2 3 3 2 3 2 2" xfId="18521"/>
    <cellStyle name="Comma 2 2 2 2 3 2 3 3 2 3 2 2 2" xfId="51542"/>
    <cellStyle name="Comma 2 2 2 2 3 2 3 3 2 3 2 2 2 2" xfId="53847"/>
    <cellStyle name="Comma 2 2 2 2 3 2 3 3 2 3 2 3" xfId="32022"/>
    <cellStyle name="Comma 2 2 2 2 3 2 3 3 2 3 3" xfId="29716"/>
    <cellStyle name="Comma 2 2 2 2 3 2 3 3 2 3 3 2" xfId="40385"/>
    <cellStyle name="Comma 2 2 2 2 3 2 3 3 2 4" xfId="10151"/>
    <cellStyle name="Comma 2 2 2 2 3 2 3 3 2 4 2" xfId="38026"/>
    <cellStyle name="Comma 2 2 2 2 3 2 3 3 2 4 2 2" xfId="45514"/>
    <cellStyle name="Comma 2 2 2 2 3 2 3 3 2 5" xfId="23637"/>
    <cellStyle name="Comma 2 2 2 2 3 2 3 3 3" xfId="4586"/>
    <cellStyle name="Comma 2 2 2 2 3 2 3 3 3 2" xfId="6179"/>
    <cellStyle name="Comma 2 2 2 2 3 2 3 3 3 2 2" xfId="18167"/>
    <cellStyle name="Comma 2 2 2 2 3 2 3 3 3 2 2 2" xfId="19738"/>
    <cellStyle name="Comma 2 2 2 2 3 2 3 3 3 2 2 2 2" xfId="53493"/>
    <cellStyle name="Comma 2 2 2 2 3 2 3 3 3 2 2 2 2 2" xfId="55064"/>
    <cellStyle name="Comma 2 2 2 2 3 2 3 3 3 2 2 3" xfId="33240"/>
    <cellStyle name="Comma 2 2 2 2 3 2 3 3 3 2 3" xfId="31668"/>
    <cellStyle name="Comma 2 2 2 2 3 2 3 3 3 2 3 2" xfId="41609"/>
    <cellStyle name="Comma 2 2 2 2 3 2 3 3 3 3" xfId="11404"/>
    <cellStyle name="Comma 2 2 2 2 3 2 3 3 3 3 2" xfId="40025"/>
    <cellStyle name="Comma 2 2 2 2 3 2 3 3 3 3 2 2" xfId="46755"/>
    <cellStyle name="Comma 2 2 2 2 3 2 3 3 3 4" xfId="24892"/>
    <cellStyle name="Comma 2 2 2 2 3 2 3 3 4" xfId="9790"/>
    <cellStyle name="Comma 2 2 2 2 3 2 3 3 4 2" xfId="14562"/>
    <cellStyle name="Comma 2 2 2 2 3 2 3 3 4 2 2" xfId="45160"/>
    <cellStyle name="Comma 2 2 2 2 3 2 3 3 4 2 2 2" xfId="49903"/>
    <cellStyle name="Comma 2 2 2 2 3 2 3 3 4 3" xfId="28073"/>
    <cellStyle name="Comma 2 2 2 2 3 2 3 3 5" xfId="23283"/>
    <cellStyle name="Comma 2 2 2 2 3 2 3 3 5 2" xfId="36372"/>
    <cellStyle name="Comma 2 2 2 2 3 2 3 4" xfId="1660"/>
    <cellStyle name="Comma 2 2 2 2 3 2 3 4 2" xfId="5792"/>
    <cellStyle name="Comma 2 2 2 2 3 2 3 4 2 2" xfId="6922"/>
    <cellStyle name="Comma 2 2 2 2 3 2 3 4 2 2 2" xfId="19360"/>
    <cellStyle name="Comma 2 2 2 2 3 2 3 4 2 2 2 2" xfId="20475"/>
    <cellStyle name="Comma 2 2 2 2 3 2 3 4 2 2 2 2 2" xfId="54686"/>
    <cellStyle name="Comma 2 2 2 2 3 2 3 4 2 2 2 2 2 2" xfId="55801"/>
    <cellStyle name="Comma 2 2 2 2 3 2 3 4 2 2 2 3" xfId="33977"/>
    <cellStyle name="Comma 2 2 2 2 3 2 3 4 2 2 3" xfId="32861"/>
    <cellStyle name="Comma 2 2 2 2 3 2 3 4 2 2 3 2" xfId="42350"/>
    <cellStyle name="Comma 2 2 2 2 3 2 3 4 2 3" xfId="12146"/>
    <cellStyle name="Comma 2 2 2 2 3 2 3 4 2 3 2" xfId="41227"/>
    <cellStyle name="Comma 2 2 2 2 3 2 3 4 2 3 2 2" xfId="47493"/>
    <cellStyle name="Comma 2 2 2 2 3 2 3 4 2 4" xfId="25631"/>
    <cellStyle name="Comma 2 2 2 2 3 2 3 4 3" xfId="11014"/>
    <cellStyle name="Comma 2 2 2 2 3 2 3 4 3 2" xfId="15333"/>
    <cellStyle name="Comma 2 2 2 2 3 2 3 4 3 2 2" xfId="46373"/>
    <cellStyle name="Comma 2 2 2 2 3 2 3 4 3 2 2 2" xfId="50668"/>
    <cellStyle name="Comma 2 2 2 2 3 2 3 4 3 3" xfId="28842"/>
    <cellStyle name="Comma 2 2 2 2 3 2 3 4 4" xfId="24508"/>
    <cellStyle name="Comma 2 2 2 2 3 2 3 4 4 2" xfId="37144"/>
    <cellStyle name="Comma 2 2 2 2 3 2 3 5" xfId="3665"/>
    <cellStyle name="Comma 2 2 2 2 3 2 3 5 2" xfId="14175"/>
    <cellStyle name="Comma 2 2 2 2 3 2 3 5 2 2" xfId="17290"/>
    <cellStyle name="Comma 2 2 2 2 3 2 3 5 2 2 2" xfId="49520"/>
    <cellStyle name="Comma 2 2 2 2 3 2 3 5 2 2 2 2" xfId="52617"/>
    <cellStyle name="Comma 2 2 2 2 3 2 3 5 2 3" xfId="30791"/>
    <cellStyle name="Comma 2 2 2 2 3 2 3 5 3" xfId="27681"/>
    <cellStyle name="Comma 2 2 2 2 3 2 3 5 3 2" xfId="39118"/>
    <cellStyle name="Comma 2 2 2 2 3 2 3 6" xfId="8858"/>
    <cellStyle name="Comma 2 2 2 2 3 2 3 6 2" xfId="35987"/>
    <cellStyle name="Comma 2 2 2 2 3 2 3 6 2 2" xfId="44262"/>
    <cellStyle name="Comma 2 2 2 2 3 2 3 7" xfId="22370"/>
    <cellStyle name="Comma 2 2 2 2 3 2 4" xfId="775"/>
    <cellStyle name="Comma 2 2 2 2 3 2 4 2" xfId="1037"/>
    <cellStyle name="Comma 2 2 2 2 3 2 4 2 2" xfId="2831"/>
    <cellStyle name="Comma 2 2 2 2 3 2 4 2 2 2" xfId="3073"/>
    <cellStyle name="Comma 2 2 2 2 3 2 4 2 2 2 2" xfId="8047"/>
    <cellStyle name="Comma 2 2 2 2 3 2 4 2 2 2 2 2" xfId="8288"/>
    <cellStyle name="Comma 2 2 2 2 3 2 4 2 2 2 2 2 2" xfId="21599"/>
    <cellStyle name="Comma 2 2 2 2 3 2 4 2 2 2 2 2 2 2" xfId="21840"/>
    <cellStyle name="Comma 2 2 2 2 3 2 4 2 2 2 2 2 2 2 2" xfId="56925"/>
    <cellStyle name="Comma 2 2 2 2 3 2 4 2 2 2 2 2 2 2 2 2" xfId="57166"/>
    <cellStyle name="Comma 2 2 2 2 3 2 4 2 2 2 2 2 2 3" xfId="35343"/>
    <cellStyle name="Comma 2 2 2 2 3 2 4 2 2 2 2 2 3" xfId="35102"/>
    <cellStyle name="Comma 2 2 2 2 3 2 4 2 2 2 2 2 3 2" xfId="43715"/>
    <cellStyle name="Comma 2 2 2 2 3 2 4 2 2 2 2 3" xfId="13513"/>
    <cellStyle name="Comma 2 2 2 2 3 2 4 2 2 2 2 3 2" xfId="43474"/>
    <cellStyle name="Comma 2 2 2 2 3 2 4 2 2 2 2 3 2 2" xfId="48859"/>
    <cellStyle name="Comma 2 2 2 2 3 2 4 2 2 2 2 4" xfId="26998"/>
    <cellStyle name="Comma 2 2 2 2 3 2 4 2 2 2 3" xfId="13272"/>
    <cellStyle name="Comma 2 2 2 2 3 2 4 2 2 2 3 2" xfId="16730"/>
    <cellStyle name="Comma 2 2 2 2 3 2 4 2 2 2 3 2 2" xfId="48618"/>
    <cellStyle name="Comma 2 2 2 2 3 2 4 2 2 2 3 2 2 2" xfId="52058"/>
    <cellStyle name="Comma 2 2 2 2 3 2 4 2 2 2 3 3" xfId="30232"/>
    <cellStyle name="Comma 2 2 2 2 3 2 4 2 2 2 4" xfId="26756"/>
    <cellStyle name="Comma 2 2 2 2 3 2 4 2 2 2 4 2" xfId="38542"/>
    <cellStyle name="Comma 2 2 2 2 3 2 4 2 2 3" xfId="5110"/>
    <cellStyle name="Comma 2 2 2 2 3 2 4 2 2 3 2" xfId="16489"/>
    <cellStyle name="Comma 2 2 2 2 3 2 4 2 2 3 2 2" xfId="18683"/>
    <cellStyle name="Comma 2 2 2 2 3 2 4 2 2 3 2 2 2" xfId="51817"/>
    <cellStyle name="Comma 2 2 2 2 3 2 4 2 2 3 2 2 2 2" xfId="54009"/>
    <cellStyle name="Comma 2 2 2 2 3 2 4 2 2 3 2 3" xfId="32184"/>
    <cellStyle name="Comma 2 2 2 2 3 2 4 2 2 3 3" xfId="29991"/>
    <cellStyle name="Comma 2 2 2 2 3 2 4 2 2 3 3 2" xfId="40547"/>
    <cellStyle name="Comma 2 2 2 2 3 2 4 2 2 4" xfId="10313"/>
    <cellStyle name="Comma 2 2 2 2 3 2 4 2 2 4 2" xfId="38301"/>
    <cellStyle name="Comma 2 2 2 2 3 2 4 2 2 4 2 2" xfId="45676"/>
    <cellStyle name="Comma 2 2 2 2 3 2 4 2 2 5" xfId="23799"/>
    <cellStyle name="Comma 2 2 2 2 3 2 4 2 3" xfId="4867"/>
    <cellStyle name="Comma 2 2 2 2 3 2 4 2 3 2" xfId="6347"/>
    <cellStyle name="Comma 2 2 2 2 3 2 4 2 3 2 2" xfId="18441"/>
    <cellStyle name="Comma 2 2 2 2 3 2 4 2 3 2 2 2" xfId="19904"/>
    <cellStyle name="Comma 2 2 2 2 3 2 4 2 3 2 2 2 2" xfId="53767"/>
    <cellStyle name="Comma 2 2 2 2 3 2 4 2 3 2 2 2 2 2" xfId="55230"/>
    <cellStyle name="Comma 2 2 2 2 3 2 4 2 3 2 2 3" xfId="33406"/>
    <cellStyle name="Comma 2 2 2 2 3 2 4 2 3 2 3" xfId="31942"/>
    <cellStyle name="Comma 2 2 2 2 3 2 4 2 3 2 3 2" xfId="41776"/>
    <cellStyle name="Comma 2 2 2 2 3 2 4 2 3 3" xfId="11573"/>
    <cellStyle name="Comma 2 2 2 2 3 2 4 2 3 3 2" xfId="40304"/>
    <cellStyle name="Comma 2 2 2 2 3 2 4 2 3 3 2 2" xfId="46922"/>
    <cellStyle name="Comma 2 2 2 2 3 2 4 2 3 4" xfId="25059"/>
    <cellStyle name="Comma 2 2 2 2 3 2 4 2 4" xfId="10070"/>
    <cellStyle name="Comma 2 2 2 2 3 2 4 2 4 2" xfId="14730"/>
    <cellStyle name="Comma 2 2 2 2 3 2 4 2 4 2 2" xfId="45434"/>
    <cellStyle name="Comma 2 2 2 2 3 2 4 2 4 2 2 2" xfId="50069"/>
    <cellStyle name="Comma 2 2 2 2 3 2 4 2 4 3" xfId="28242"/>
    <cellStyle name="Comma 2 2 2 2 3 2 4 2 5" xfId="23557"/>
    <cellStyle name="Comma 2 2 2 2 3 2 4 2 5 2" xfId="36538"/>
    <cellStyle name="Comma 2 2 2 2 3 2 4 3" xfId="1842"/>
    <cellStyle name="Comma 2 2 2 2 3 2 4 3 2" xfId="6091"/>
    <cellStyle name="Comma 2 2 2 2 3 2 4 3 2 2" xfId="7092"/>
    <cellStyle name="Comma 2 2 2 2 3 2 4 3 2 2 2" xfId="19653"/>
    <cellStyle name="Comma 2 2 2 2 3 2 4 3 2 2 2 2" xfId="20645"/>
    <cellStyle name="Comma 2 2 2 2 3 2 4 3 2 2 2 2 2" xfId="54979"/>
    <cellStyle name="Comma 2 2 2 2 3 2 4 3 2 2 2 2 2 2" xfId="55971"/>
    <cellStyle name="Comma 2 2 2 2 3 2 4 3 2 2 2 3" xfId="34147"/>
    <cellStyle name="Comma 2 2 2 2 3 2 4 3 2 2 3" xfId="33154"/>
    <cellStyle name="Comma 2 2 2 2 3 2 4 3 2 2 3 2" xfId="42520"/>
    <cellStyle name="Comma 2 2 2 2 3 2 4 3 2 3" xfId="12317"/>
    <cellStyle name="Comma 2 2 2 2 3 2 4 3 2 3 2" xfId="41524"/>
    <cellStyle name="Comma 2 2 2 2 3 2 4 3 2 3 2 2" xfId="47664"/>
    <cellStyle name="Comma 2 2 2 2 3 2 4 3 2 4" xfId="25802"/>
    <cellStyle name="Comma 2 2 2 2 3 2 4 3 3" xfId="11317"/>
    <cellStyle name="Comma 2 2 2 2 3 2 4 3 3 2" xfId="15513"/>
    <cellStyle name="Comma 2 2 2 2 3 2 4 3 3 2 2" xfId="46670"/>
    <cellStyle name="Comma 2 2 2 2 3 2 4 3 3 2 2 2" xfId="50846"/>
    <cellStyle name="Comma 2 2 2 2 3 2 4 3 3 3" xfId="29020"/>
    <cellStyle name="Comma 2 2 2 2 3 2 4 3 4" xfId="24807"/>
    <cellStyle name="Comma 2 2 2 2 3 2 4 3 4 2" xfId="37323"/>
    <cellStyle name="Comma 2 2 2 2 3 2 4 4" xfId="3855"/>
    <cellStyle name="Comma 2 2 2 2 3 2 4 4 2" xfId="14475"/>
    <cellStyle name="Comma 2 2 2 2 3 2 4 4 2 2" xfId="17468"/>
    <cellStyle name="Comma 2 2 2 2 3 2 4 4 2 2 2" xfId="49817"/>
    <cellStyle name="Comma 2 2 2 2 3 2 4 4 2 2 2 2" xfId="52795"/>
    <cellStyle name="Comma 2 2 2 2 3 2 4 4 2 3" xfId="30969"/>
    <cellStyle name="Comma 2 2 2 2 3 2 4 4 3" xfId="27986"/>
    <cellStyle name="Comma 2 2 2 2 3 2 4 4 3 2" xfId="39304"/>
    <cellStyle name="Comma 2 2 2 2 3 2 4 5" xfId="9047"/>
    <cellStyle name="Comma 2 2 2 2 3 2 4 5 2" xfId="36285"/>
    <cellStyle name="Comma 2 2 2 2 3 2 4 5 2 2" xfId="44444"/>
    <cellStyle name="Comma 2 2 2 2 3 2 4 6" xfId="22555"/>
    <cellStyle name="Comma 2 2 2 2 3 2 5" xfId="1561"/>
    <cellStyle name="Comma 2 2 2 2 3 2 5 2" xfId="2300"/>
    <cellStyle name="Comma 2 2 2 2 3 2 5 2 2" xfId="6833"/>
    <cellStyle name="Comma 2 2 2 2 3 2 5 2 2 2" xfId="7534"/>
    <cellStyle name="Comma 2 2 2 2 3 2 5 2 2 2 2" xfId="20386"/>
    <cellStyle name="Comma 2 2 2 2 3 2 5 2 2 2 2 2" xfId="21086"/>
    <cellStyle name="Comma 2 2 2 2 3 2 5 2 2 2 2 2 2" xfId="55712"/>
    <cellStyle name="Comma 2 2 2 2 3 2 5 2 2 2 2 2 2 2" xfId="56412"/>
    <cellStyle name="Comma 2 2 2 2 3 2 5 2 2 2 2 3" xfId="34589"/>
    <cellStyle name="Comma 2 2 2 2 3 2 5 2 2 2 3" xfId="33888"/>
    <cellStyle name="Comma 2 2 2 2 3 2 5 2 2 2 3 2" xfId="42961"/>
    <cellStyle name="Comma 2 2 2 2 3 2 5 2 2 3" xfId="12759"/>
    <cellStyle name="Comma 2 2 2 2 3 2 5 2 2 3 2" xfId="42261"/>
    <cellStyle name="Comma 2 2 2 2 3 2 5 2 2 3 2 2" xfId="48105"/>
    <cellStyle name="Comma 2 2 2 2 3 2 5 2 2 4" xfId="26243"/>
    <cellStyle name="Comma 2 2 2 2 3 2 5 2 3" xfId="12057"/>
    <cellStyle name="Comma 2 2 2 2 3 2 5 2 3 2" xfId="15964"/>
    <cellStyle name="Comma 2 2 2 2 3 2 5 2 3 2 2" xfId="47404"/>
    <cellStyle name="Comma 2 2 2 2 3 2 5 2 3 2 2 2" xfId="51296"/>
    <cellStyle name="Comma 2 2 2 2 3 2 5 2 3 3" xfId="29470"/>
    <cellStyle name="Comma 2 2 2 2 3 2 5 2 4" xfId="25542"/>
    <cellStyle name="Comma 2 2 2 2 3 2 5 2 4 2" xfId="37778"/>
    <cellStyle name="Comma 2 2 2 2 3 2 5 3" xfId="4328"/>
    <cellStyle name="Comma 2 2 2 2 3 2 5 3 2" xfId="15237"/>
    <cellStyle name="Comma 2 2 2 2 3 2 5 3 2 2" xfId="17921"/>
    <cellStyle name="Comma 2 2 2 2 3 2 5 3 2 2 2" xfId="50574"/>
    <cellStyle name="Comma 2 2 2 2 3 2 5 3 2 2 2 2" xfId="53248"/>
    <cellStyle name="Comma 2 2 2 2 3 2 5 3 2 3" xfId="31423"/>
    <cellStyle name="Comma 2 2 2 2 3 2 5 3 3" xfId="28748"/>
    <cellStyle name="Comma 2 2 2 2 3 2 5 3 3 2" xfId="39771"/>
    <cellStyle name="Comma 2 2 2 2 3 2 5 4" xfId="9524"/>
    <cellStyle name="Comma 2 2 2 2 3 2 5 4 2" xfId="37049"/>
    <cellStyle name="Comma 2 2 2 2 3 2 5 4 2 2" xfId="44906"/>
    <cellStyle name="Comma 2 2 2 2 3 2 5 5" xfId="23022"/>
    <cellStyle name="Comma 2 2 2 2 3 2 6" xfId="3562"/>
    <cellStyle name="Comma 2 2 2 2 3 2 6 2" xfId="5539"/>
    <cellStyle name="Comma 2 2 2 2 3 2 6 2 2" xfId="17198"/>
    <cellStyle name="Comma 2 2 2 2 3 2 6 2 2 2" xfId="19112"/>
    <cellStyle name="Comma 2 2 2 2 3 2 6 2 2 2 2" xfId="52525"/>
    <cellStyle name="Comma 2 2 2 2 3 2 6 2 2 2 2 2" xfId="54438"/>
    <cellStyle name="Comma 2 2 2 2 3 2 6 2 2 3" xfId="32613"/>
    <cellStyle name="Comma 2 2 2 2 3 2 6 2 3" xfId="30699"/>
    <cellStyle name="Comma 2 2 2 2 3 2 6 2 3 2" xfId="40976"/>
    <cellStyle name="Comma 2 2 2 2 3 2 6 3" xfId="10746"/>
    <cellStyle name="Comma 2 2 2 2 3 2 6 3 2" xfId="39019"/>
    <cellStyle name="Comma 2 2 2 2 3 2 6 3 2 2" xfId="46108"/>
    <cellStyle name="Comma 2 2 2 2 3 2 6 4" xfId="24233"/>
    <cellStyle name="Comma 2 2 2 2 3 2 7" xfId="8753"/>
    <cellStyle name="Comma 2 2 2 2 3 2 7 2" xfId="13924"/>
    <cellStyle name="Comma 2 2 2 2 3 2 7 2 2" xfId="44166"/>
    <cellStyle name="Comma 2 2 2 2 3 2 7 2 2 2" xfId="49270"/>
    <cellStyle name="Comma 2 2 2 2 3 2 7 3" xfId="27410"/>
    <cellStyle name="Comma 2 2 2 2 3 2 8" xfId="22270"/>
    <cellStyle name="Comma 2 2 2 2 3 2 8 2" xfId="22511"/>
    <cellStyle name="Comma 2 2 2 2 3 3" xfId="219"/>
    <cellStyle name="Comma 2 2 2 2 3 3 2" xfId="518"/>
    <cellStyle name="Comma 2 2 2 2 3 3 2 2" xfId="583"/>
    <cellStyle name="Comma 2 2 2 2 3 3 2 2 2" xfId="1328"/>
    <cellStyle name="Comma 2 2 2 2 3 3 2 2 2 2" xfId="1379"/>
    <cellStyle name="Comma 2 2 2 2 3 3 2 2 2 2 2" xfId="3346"/>
    <cellStyle name="Comma 2 2 2 2 3 3 2 2 2 2 2 2" xfId="3397"/>
    <cellStyle name="Comma 2 2 2 2 3 3 2 2 2 2 2 2 2" xfId="8561"/>
    <cellStyle name="Comma 2 2 2 2 3 3 2 2 2 2 2 2 2 2" xfId="8612"/>
    <cellStyle name="Comma 2 2 2 2 3 3 2 2 2 2 2 2 2 2 2" xfId="22113"/>
    <cellStyle name="Comma 2 2 2 2 3 3 2 2 2 2 2 2 2 2 2 2" xfId="22164"/>
    <cellStyle name="Comma 2 2 2 2 3 3 2 2 2 2 2 2 2 2 2 2 2" xfId="57439"/>
    <cellStyle name="Comma 2 2 2 2 3 3 2 2 2 2 2 2 2 2 2 2 2 2" xfId="57490"/>
    <cellStyle name="Comma 2 2 2 2 3 3 2 2 2 2 2 2 2 2 2 3" xfId="35667"/>
    <cellStyle name="Comma 2 2 2 2 3 3 2 2 2 2 2 2 2 2 3" xfId="35616"/>
    <cellStyle name="Comma 2 2 2 2 3 3 2 2 2 2 2 2 2 2 3 2" xfId="44039"/>
    <cellStyle name="Comma 2 2 2 2 3 3 2 2 2 2 2 2 2 3" xfId="13837"/>
    <cellStyle name="Comma 2 2 2 2 3 3 2 2 2 2 2 2 2 3 2" xfId="43988"/>
    <cellStyle name="Comma 2 2 2 2 3 3 2 2 2 2 2 2 2 3 2 2" xfId="49183"/>
    <cellStyle name="Comma 2 2 2 2 3 3 2 2 2 2 2 2 2 4" xfId="27322"/>
    <cellStyle name="Comma 2 2 2 2 3 3 2 2 2 2 2 2 3" xfId="13786"/>
    <cellStyle name="Comma 2 2 2 2 3 3 2 2 2 2 2 2 3 2" xfId="17054"/>
    <cellStyle name="Comma 2 2 2 2 3 3 2 2 2 2 2 2 3 2 2" xfId="49132"/>
    <cellStyle name="Comma 2 2 2 2 3 3 2 2 2 2 2 2 3 2 2 2" xfId="52382"/>
    <cellStyle name="Comma 2 2 2 2 3 3 2 2 2 2 2 2 3 3" xfId="30556"/>
    <cellStyle name="Comma 2 2 2 2 3 3 2 2 2 2 2 2 4" xfId="27271"/>
    <cellStyle name="Comma 2 2 2 2 3 3 2 2 2 2 2 2 4 2" xfId="38866"/>
    <cellStyle name="Comma 2 2 2 2 3 3 2 2 2 2 2 3" xfId="5434"/>
    <cellStyle name="Comma 2 2 2 2 3 3 2 2 2 2 2 3 2" xfId="17003"/>
    <cellStyle name="Comma 2 2 2 2 3 3 2 2 2 2 2 3 2 2" xfId="19007"/>
    <cellStyle name="Comma 2 2 2 2 3 3 2 2 2 2 2 3 2 2 2" xfId="52331"/>
    <cellStyle name="Comma 2 2 2 2 3 3 2 2 2 2 2 3 2 2 2 2" xfId="54333"/>
    <cellStyle name="Comma 2 2 2 2 3 3 2 2 2 2 2 3 2 3" xfId="32508"/>
    <cellStyle name="Comma 2 2 2 2 3 3 2 2 2 2 2 3 3" xfId="30505"/>
    <cellStyle name="Comma 2 2 2 2 3 3 2 2 2 2 2 3 3 2" xfId="40871"/>
    <cellStyle name="Comma 2 2 2 2 3 3 2 2 2 2 2 4" xfId="10637"/>
    <cellStyle name="Comma 2 2 2 2 3 3 2 2 2 2 2 4 2" xfId="38815"/>
    <cellStyle name="Comma 2 2 2 2 3 3 2 2 2 2 2 4 2 2" xfId="46000"/>
    <cellStyle name="Comma 2 2 2 2 3 3 2 2 2 2 2 5" xfId="24123"/>
    <cellStyle name="Comma 2 2 2 2 3 3 2 2 2 2 3" xfId="5383"/>
    <cellStyle name="Comma 2 2 2 2 3 3 2 2 2 2 3 2" xfId="6687"/>
    <cellStyle name="Comma 2 2 2 2 3 3 2 2 2 2 3 2 2" xfId="18956"/>
    <cellStyle name="Comma 2 2 2 2 3 3 2 2 2 2 3 2 2 2" xfId="20240"/>
    <cellStyle name="Comma 2 2 2 2 3 3 2 2 2 2 3 2 2 2 2" xfId="54282"/>
    <cellStyle name="Comma 2 2 2 2 3 3 2 2 2 2 3 2 2 2 2 2" xfId="55566"/>
    <cellStyle name="Comma 2 2 2 2 3 3 2 2 2 2 3 2 2 3" xfId="33742"/>
    <cellStyle name="Comma 2 2 2 2 3 3 2 2 2 2 3 2 3" xfId="32457"/>
    <cellStyle name="Comma 2 2 2 2 3 3 2 2 2 2 3 2 3 2" xfId="42115"/>
    <cellStyle name="Comma 2 2 2 2 3 3 2 2 2 2 3 3" xfId="11910"/>
    <cellStyle name="Comma 2 2 2 2 3 3 2 2 2 2 3 3 2" xfId="40820"/>
    <cellStyle name="Comma 2 2 2 2 3 3 2 2 2 2 3 3 2 2" xfId="47258"/>
    <cellStyle name="Comma 2 2 2 2 3 3 2 2 2 2 3 4" xfId="25395"/>
    <cellStyle name="Comma 2 2 2 2 3 3 2 2 2 2 4" xfId="10586"/>
    <cellStyle name="Comma 2 2 2 2 3 3 2 2 2 2 4 2" xfId="15068"/>
    <cellStyle name="Comma 2 2 2 2 3 3 2 2 2 2 4 2 2" xfId="45949"/>
    <cellStyle name="Comma 2 2 2 2 3 3 2 2 2 2 4 2 2 2" xfId="50407"/>
    <cellStyle name="Comma 2 2 2 2 3 3 2 2 2 2 4 3" xfId="28581"/>
    <cellStyle name="Comma 2 2 2 2 3 3 2 2 2 2 5" xfId="24072"/>
    <cellStyle name="Comma 2 2 2 2 3 3 2 2 2 2 5 2" xfId="36876"/>
    <cellStyle name="Comma 2 2 2 2 3 3 2 2 2 3" xfId="2186"/>
    <cellStyle name="Comma 2 2 2 2 3 3 2 2 2 3 2" xfId="6636"/>
    <cellStyle name="Comma 2 2 2 2 3 3 2 2 2 3 2 2" xfId="7420"/>
    <cellStyle name="Comma 2 2 2 2 3 3 2 2 2 3 2 2 2" xfId="20189"/>
    <cellStyle name="Comma 2 2 2 2 3 3 2 2 2 3 2 2 2 2" xfId="20972"/>
    <cellStyle name="Comma 2 2 2 2 3 3 2 2 2 3 2 2 2 2 2" xfId="55515"/>
    <cellStyle name="Comma 2 2 2 2 3 3 2 2 2 3 2 2 2 2 2 2" xfId="56298"/>
    <cellStyle name="Comma 2 2 2 2 3 3 2 2 2 3 2 2 2 3" xfId="34475"/>
    <cellStyle name="Comma 2 2 2 2 3 3 2 2 2 3 2 2 3" xfId="33691"/>
    <cellStyle name="Comma 2 2 2 2 3 3 2 2 2 3 2 2 3 2" xfId="42847"/>
    <cellStyle name="Comma 2 2 2 2 3 3 2 2 2 3 2 3" xfId="12645"/>
    <cellStyle name="Comma 2 2 2 2 3 3 2 2 2 3 2 3 2" xfId="42064"/>
    <cellStyle name="Comma 2 2 2 2 3 3 2 2 2 3 2 3 2 2" xfId="47991"/>
    <cellStyle name="Comma 2 2 2 2 3 3 2 2 2 3 2 4" xfId="26129"/>
    <cellStyle name="Comma 2 2 2 2 3 3 2 2 2 3 3" xfId="11859"/>
    <cellStyle name="Comma 2 2 2 2 3 3 2 2 2 3 3 2" xfId="15850"/>
    <cellStyle name="Comma 2 2 2 2 3 3 2 2 2 3 3 2 2" xfId="47207"/>
    <cellStyle name="Comma 2 2 2 2 3 3 2 2 2 3 3 2 2 2" xfId="51182"/>
    <cellStyle name="Comma 2 2 2 2 3 3 2 2 2 3 3 3" xfId="29356"/>
    <cellStyle name="Comma 2 2 2 2 3 3 2 2 2 3 4" xfId="25344"/>
    <cellStyle name="Comma 2 2 2 2 3 3 2 2 2 3 4 2" xfId="37664"/>
    <cellStyle name="Comma 2 2 2 2 3 3 2 2 2 4" xfId="4202"/>
    <cellStyle name="Comma 2 2 2 2 3 3 2 2 2 4 2" xfId="15017"/>
    <cellStyle name="Comma 2 2 2 2 3 3 2 2 2 4 2 2" xfId="17795"/>
    <cellStyle name="Comma 2 2 2 2 3 3 2 2 2 4 2 2 2" xfId="50356"/>
    <cellStyle name="Comma 2 2 2 2 3 3 2 2 2 4 2 2 2 2" xfId="53122"/>
    <cellStyle name="Comma 2 2 2 2 3 3 2 2 2 4 2 3" xfId="31297"/>
    <cellStyle name="Comma 2 2 2 2 3 3 2 2 2 4 3" xfId="28530"/>
    <cellStyle name="Comma 2 2 2 2 3 3 2 2 2 4 3 2" xfId="39645"/>
    <cellStyle name="Comma 2 2 2 2 3 3 2 2 2 5" xfId="9393"/>
    <cellStyle name="Comma 2 2 2 2 3 3 2 2 2 5 2" xfId="36825"/>
    <cellStyle name="Comma 2 2 2 2 3 3 2 2 2 5 2 2" xfId="44775"/>
    <cellStyle name="Comma 2 2 2 2 3 3 2 2 2 6" xfId="22889"/>
    <cellStyle name="Comma 2 2 2 2 3 3 2 2 3" xfId="2135"/>
    <cellStyle name="Comma 2 2 2 2 3 3 2 2 3 2" xfId="2673"/>
    <cellStyle name="Comma 2 2 2 2 3 3 2 2 3 2 2" xfId="7369"/>
    <cellStyle name="Comma 2 2 2 2 3 3 2 2 3 2 2 2" xfId="7892"/>
    <cellStyle name="Comma 2 2 2 2 3 3 2 2 3 2 2 2 2" xfId="20921"/>
    <cellStyle name="Comma 2 2 2 2 3 3 2 2 3 2 2 2 2 2" xfId="21444"/>
    <cellStyle name="Comma 2 2 2 2 3 3 2 2 3 2 2 2 2 2 2" xfId="56247"/>
    <cellStyle name="Comma 2 2 2 2 3 3 2 2 3 2 2 2 2 2 2 2" xfId="56770"/>
    <cellStyle name="Comma 2 2 2 2 3 3 2 2 3 2 2 2 2 3" xfId="34947"/>
    <cellStyle name="Comma 2 2 2 2 3 3 2 2 3 2 2 2 3" xfId="34424"/>
    <cellStyle name="Comma 2 2 2 2 3 3 2 2 3 2 2 2 3 2" xfId="43319"/>
    <cellStyle name="Comma 2 2 2 2 3 3 2 2 3 2 2 3" xfId="13117"/>
    <cellStyle name="Comma 2 2 2 2 3 3 2 2 3 2 2 3 2" xfId="42796"/>
    <cellStyle name="Comma 2 2 2 2 3 3 2 2 3 2 2 3 2 2" xfId="48463"/>
    <cellStyle name="Comma 2 2 2 2 3 3 2 2 3 2 2 4" xfId="26601"/>
    <cellStyle name="Comma 2 2 2 2 3 3 2 2 3 2 3" xfId="12594"/>
    <cellStyle name="Comma 2 2 2 2 3 3 2 2 3 2 3 2" xfId="16332"/>
    <cellStyle name="Comma 2 2 2 2 3 3 2 2 3 2 3 2 2" xfId="47940"/>
    <cellStyle name="Comma 2 2 2 2 3 3 2 2 3 2 3 2 2 2" xfId="51662"/>
    <cellStyle name="Comma 2 2 2 2 3 3 2 2 3 2 3 3" xfId="29836"/>
    <cellStyle name="Comma 2 2 2 2 3 3 2 2 3 2 4" xfId="26078"/>
    <cellStyle name="Comma 2 2 2 2 3 3 2 2 3 2 4 2" xfId="38146"/>
    <cellStyle name="Comma 2 2 2 2 3 3 2 2 3 3" xfId="4709"/>
    <cellStyle name="Comma 2 2 2 2 3 3 2 2 3 3 2" xfId="15799"/>
    <cellStyle name="Comma 2 2 2 2 3 3 2 2 3 3 2 2" xfId="18286"/>
    <cellStyle name="Comma 2 2 2 2 3 3 2 2 3 3 2 2 2" xfId="51131"/>
    <cellStyle name="Comma 2 2 2 2 3 3 2 2 3 3 2 2 2 2" xfId="53612"/>
    <cellStyle name="Comma 2 2 2 2 3 3 2 2 3 3 2 3" xfId="31787"/>
    <cellStyle name="Comma 2 2 2 2 3 3 2 2 3 3 3" xfId="29305"/>
    <cellStyle name="Comma 2 2 2 2 3 3 2 2 3 3 3 2" xfId="40147"/>
    <cellStyle name="Comma 2 2 2 2 3 3 2 2 3 4" xfId="9912"/>
    <cellStyle name="Comma 2 2 2 2 3 3 2 2 3 4 2" xfId="37613"/>
    <cellStyle name="Comma 2 2 2 2 3 3 2 2 3 4 2 2" xfId="45279"/>
    <cellStyle name="Comma 2 2 2 2 3 3 2 2 3 5" xfId="23402"/>
    <cellStyle name="Comma 2 2 2 2 3 3 2 2 4" xfId="4151"/>
    <cellStyle name="Comma 2 2 2 2 3 3 2 2 4 2" xfId="5914"/>
    <cellStyle name="Comma 2 2 2 2 3 3 2 2 4 2 2" xfId="17744"/>
    <cellStyle name="Comma 2 2 2 2 3 3 2 2 4 2 2 2" xfId="19481"/>
    <cellStyle name="Comma 2 2 2 2 3 3 2 2 4 2 2 2 2" xfId="53071"/>
    <cellStyle name="Comma 2 2 2 2 3 3 2 2 4 2 2 2 2 2" xfId="54807"/>
    <cellStyle name="Comma 2 2 2 2 3 3 2 2 4 2 2 3" xfId="32982"/>
    <cellStyle name="Comma 2 2 2 2 3 3 2 2 4 2 3" xfId="31246"/>
    <cellStyle name="Comma 2 2 2 2 3 3 2 2 4 2 3 2" xfId="41348"/>
    <cellStyle name="Comma 2 2 2 2 3 3 2 2 4 3" xfId="11139"/>
    <cellStyle name="Comma 2 2 2 2 3 3 2 2 4 3 2" xfId="39594"/>
    <cellStyle name="Comma 2 2 2 2 3 3 2 2 4 3 2 2" xfId="46497"/>
    <cellStyle name="Comma 2 2 2 2 3 3 2 2 4 4" xfId="24632"/>
    <cellStyle name="Comma 2 2 2 2 3 3 2 2 5" xfId="9342"/>
    <cellStyle name="Comma 2 2 2 2 3 3 2 2 5 2" xfId="14298"/>
    <cellStyle name="Comma 2 2 2 2 3 3 2 2 5 2 2" xfId="44724"/>
    <cellStyle name="Comma 2 2 2 2 3 3 2 2 5 2 2 2" xfId="49643"/>
    <cellStyle name="Comma 2 2 2 2 3 3 2 2 5 3" xfId="27808"/>
    <cellStyle name="Comma 2 2 2 2 3 3 2 2 6" xfId="22838"/>
    <cellStyle name="Comma 2 2 2 2 3 3 2 2 6 2" xfId="36110"/>
    <cellStyle name="Comma 2 2 2 2 3 3 2 3" xfId="911"/>
    <cellStyle name="Comma 2 2 2 2 3 3 2 3 2" xfId="2614"/>
    <cellStyle name="Comma 2 2 2 2 3 3 2 3 2 2" xfId="2949"/>
    <cellStyle name="Comma 2 2 2 2 3 3 2 3 2 2 2" xfId="7834"/>
    <cellStyle name="Comma 2 2 2 2 3 3 2 3 2 2 2 2" xfId="8164"/>
    <cellStyle name="Comma 2 2 2 2 3 3 2 3 2 2 2 2 2" xfId="21386"/>
    <cellStyle name="Comma 2 2 2 2 3 3 2 3 2 2 2 2 2 2" xfId="21716"/>
    <cellStyle name="Comma 2 2 2 2 3 3 2 3 2 2 2 2 2 2 2" xfId="56712"/>
    <cellStyle name="Comma 2 2 2 2 3 3 2 3 2 2 2 2 2 2 2 2" xfId="57042"/>
    <cellStyle name="Comma 2 2 2 2 3 3 2 3 2 2 2 2 2 3" xfId="35219"/>
    <cellStyle name="Comma 2 2 2 2 3 3 2 3 2 2 2 2 3" xfId="34889"/>
    <cellStyle name="Comma 2 2 2 2 3 3 2 3 2 2 2 2 3 2" xfId="43591"/>
    <cellStyle name="Comma 2 2 2 2 3 3 2 3 2 2 2 3" xfId="13389"/>
    <cellStyle name="Comma 2 2 2 2 3 3 2 3 2 2 2 3 2" xfId="43261"/>
    <cellStyle name="Comma 2 2 2 2 3 3 2 3 2 2 2 3 2 2" xfId="48735"/>
    <cellStyle name="Comma 2 2 2 2 3 3 2 3 2 2 2 4" xfId="26874"/>
    <cellStyle name="Comma 2 2 2 2 3 3 2 3 2 2 3" xfId="13059"/>
    <cellStyle name="Comma 2 2 2 2 3 3 2 3 2 2 3 2" xfId="16606"/>
    <cellStyle name="Comma 2 2 2 2 3 3 2 3 2 2 3 2 2" xfId="48405"/>
    <cellStyle name="Comma 2 2 2 2 3 3 2 3 2 2 3 2 2 2" xfId="51934"/>
    <cellStyle name="Comma 2 2 2 2 3 3 2 3 2 2 3 3" xfId="30108"/>
    <cellStyle name="Comma 2 2 2 2 3 3 2 3 2 2 4" xfId="26543"/>
    <cellStyle name="Comma 2 2 2 2 3 3 2 3 2 2 4 2" xfId="38418"/>
    <cellStyle name="Comma 2 2 2 2 3 3 2 3 2 3" xfId="4985"/>
    <cellStyle name="Comma 2 2 2 2 3 3 2 3 2 3 2" xfId="16273"/>
    <cellStyle name="Comma 2 2 2 2 3 3 2 3 2 3 2 2" xfId="18558"/>
    <cellStyle name="Comma 2 2 2 2 3 3 2 3 2 3 2 2 2" xfId="51603"/>
    <cellStyle name="Comma 2 2 2 2 3 3 2 3 2 3 2 2 2 2" xfId="53884"/>
    <cellStyle name="Comma 2 2 2 2 3 3 2 3 2 3 2 3" xfId="32059"/>
    <cellStyle name="Comma 2 2 2 2 3 3 2 3 2 3 3" xfId="29777"/>
    <cellStyle name="Comma 2 2 2 2 3 3 2 3 2 3 3 2" xfId="40422"/>
    <cellStyle name="Comma 2 2 2 2 3 3 2 3 2 4" xfId="10188"/>
    <cellStyle name="Comma 2 2 2 2 3 3 2 3 2 4 2" xfId="38087"/>
    <cellStyle name="Comma 2 2 2 2 3 3 2 3 2 4 2 2" xfId="45551"/>
    <cellStyle name="Comma 2 2 2 2 3 3 2 3 2 5" xfId="23674"/>
    <cellStyle name="Comma 2 2 2 2 3 3 2 3 3" xfId="4648"/>
    <cellStyle name="Comma 2 2 2 2 3 3 2 3 3 2" xfId="6222"/>
    <cellStyle name="Comma 2 2 2 2 3 3 2 3 3 2 2" xfId="18228"/>
    <cellStyle name="Comma 2 2 2 2 3 3 2 3 3 2 2 2" xfId="19779"/>
    <cellStyle name="Comma 2 2 2 2 3 3 2 3 3 2 2 2 2" xfId="53554"/>
    <cellStyle name="Comma 2 2 2 2 3 3 2 3 3 2 2 2 2 2" xfId="55105"/>
    <cellStyle name="Comma 2 2 2 2 3 3 2 3 3 2 2 3" xfId="33281"/>
    <cellStyle name="Comma 2 2 2 2 3 3 2 3 3 2 3" xfId="31729"/>
    <cellStyle name="Comma 2 2 2 2 3 3 2 3 3 2 3 2" xfId="41651"/>
    <cellStyle name="Comma 2 2 2 2 3 3 2 3 3 3" xfId="11447"/>
    <cellStyle name="Comma 2 2 2 2 3 3 2 3 3 3 2" xfId="40087"/>
    <cellStyle name="Comma 2 2 2 2 3 3 2 3 3 3 2 2" xfId="46796"/>
    <cellStyle name="Comma 2 2 2 2 3 3 2 3 3 4" xfId="24933"/>
    <cellStyle name="Comma 2 2 2 2 3 3 2 3 4" xfId="9851"/>
    <cellStyle name="Comma 2 2 2 2 3 3 2 3 4 2" xfId="14605"/>
    <cellStyle name="Comma 2 2 2 2 3 3 2 3 4 2 2" xfId="45221"/>
    <cellStyle name="Comma 2 2 2 2 3 3 2 3 4 2 2 2" xfId="49944"/>
    <cellStyle name="Comma 2 2 2 2 3 3 2 3 4 3" xfId="28116"/>
    <cellStyle name="Comma 2 2 2 2 3 3 2 3 5" xfId="23344"/>
    <cellStyle name="Comma 2 2 2 2 3 3 2 3 5 2" xfId="36413"/>
    <cellStyle name="Comma 2 2 2 2 3 3 2 4" xfId="1707"/>
    <cellStyle name="Comma 2 2 2 2 3 3 2 4 2" xfId="5853"/>
    <cellStyle name="Comma 2 2 2 2 3 3 2 4 2 2" xfId="6960"/>
    <cellStyle name="Comma 2 2 2 2 3 3 2 4 2 2 2" xfId="19421"/>
    <cellStyle name="Comma 2 2 2 2 3 3 2 4 2 2 2 2" xfId="20513"/>
    <cellStyle name="Comma 2 2 2 2 3 3 2 4 2 2 2 2 2" xfId="54747"/>
    <cellStyle name="Comma 2 2 2 2 3 3 2 4 2 2 2 2 2 2" xfId="55839"/>
    <cellStyle name="Comma 2 2 2 2 3 3 2 4 2 2 2 3" xfId="34015"/>
    <cellStyle name="Comma 2 2 2 2 3 3 2 4 2 2 3" xfId="32922"/>
    <cellStyle name="Comma 2 2 2 2 3 3 2 4 2 2 3 2" xfId="42388"/>
    <cellStyle name="Comma 2 2 2 2 3 3 2 4 2 3" xfId="12184"/>
    <cellStyle name="Comma 2 2 2 2 3 3 2 4 2 3 2" xfId="41288"/>
    <cellStyle name="Comma 2 2 2 2 3 3 2 4 2 3 2 2" xfId="47531"/>
    <cellStyle name="Comma 2 2 2 2 3 3 2 4 2 4" xfId="25669"/>
    <cellStyle name="Comma 2 2 2 2 3 3 2 4 3" xfId="11076"/>
    <cellStyle name="Comma 2 2 2 2 3 3 2 4 3 2" xfId="15379"/>
    <cellStyle name="Comma 2 2 2 2 3 3 2 4 3 2 2" xfId="46435"/>
    <cellStyle name="Comma 2 2 2 2 3 3 2 4 3 2 2 2" xfId="50712"/>
    <cellStyle name="Comma 2 2 2 2 3 3 2 4 3 3" xfId="28886"/>
    <cellStyle name="Comma 2 2 2 2 3 3 2 4 4" xfId="24570"/>
    <cellStyle name="Comma 2 2 2 2 3 3 2 4 4 2" xfId="37189"/>
    <cellStyle name="Comma 2 2 2 2 3 3 2 5" xfId="3712"/>
    <cellStyle name="Comma 2 2 2 2 3 3 2 5 2" xfId="14237"/>
    <cellStyle name="Comma 2 2 2 2 3 3 2 5 2 2" xfId="17328"/>
    <cellStyle name="Comma 2 2 2 2 3 3 2 5 2 2 2" xfId="49582"/>
    <cellStyle name="Comma 2 2 2 2 3 3 2 5 2 2 2 2" xfId="52655"/>
    <cellStyle name="Comma 2 2 2 2 3 3 2 5 2 3" xfId="30829"/>
    <cellStyle name="Comma 2 2 2 2 3 3 2 5 3" xfId="27744"/>
    <cellStyle name="Comma 2 2 2 2 3 3 2 5 3 2" xfId="39163"/>
    <cellStyle name="Comma 2 2 2 2 3 3 2 6" xfId="8901"/>
    <cellStyle name="Comma 2 2 2 2 3 3 2 6 2" xfId="36049"/>
    <cellStyle name="Comma 2 2 2 2 3 3 2 6 2 2" xfId="44300"/>
    <cellStyle name="Comma 2 2 2 2 3 3 2 7" xfId="22408"/>
    <cellStyle name="Comma 2 2 2 2 3 3 3" xfId="846"/>
    <cellStyle name="Comma 2 2 2 2 3 3 3 2" xfId="1092"/>
    <cellStyle name="Comma 2 2 2 2 3 3 3 2 2" xfId="2898"/>
    <cellStyle name="Comma 2 2 2 2 3 3 3 2 2 2" xfId="3122"/>
    <cellStyle name="Comma 2 2 2 2 3 3 3 2 2 2 2" xfId="8113"/>
    <cellStyle name="Comma 2 2 2 2 3 3 3 2 2 2 2 2" xfId="8337"/>
    <cellStyle name="Comma 2 2 2 2 3 3 3 2 2 2 2 2 2" xfId="21665"/>
    <cellStyle name="Comma 2 2 2 2 3 3 3 2 2 2 2 2 2 2" xfId="21889"/>
    <cellStyle name="Comma 2 2 2 2 3 3 3 2 2 2 2 2 2 2 2" xfId="56991"/>
    <cellStyle name="Comma 2 2 2 2 3 3 3 2 2 2 2 2 2 2 2 2" xfId="57215"/>
    <cellStyle name="Comma 2 2 2 2 3 3 3 2 2 2 2 2 2 3" xfId="35392"/>
    <cellStyle name="Comma 2 2 2 2 3 3 3 2 2 2 2 2 3" xfId="35168"/>
    <cellStyle name="Comma 2 2 2 2 3 3 3 2 2 2 2 2 3 2" xfId="43764"/>
    <cellStyle name="Comma 2 2 2 2 3 3 3 2 2 2 2 3" xfId="13562"/>
    <cellStyle name="Comma 2 2 2 2 3 3 3 2 2 2 2 3 2" xfId="43540"/>
    <cellStyle name="Comma 2 2 2 2 3 3 3 2 2 2 2 3 2 2" xfId="48908"/>
    <cellStyle name="Comma 2 2 2 2 3 3 3 2 2 2 2 4" xfId="27047"/>
    <cellStyle name="Comma 2 2 2 2 3 3 3 2 2 2 3" xfId="13338"/>
    <cellStyle name="Comma 2 2 2 2 3 3 3 2 2 2 3 2" xfId="16779"/>
    <cellStyle name="Comma 2 2 2 2 3 3 3 2 2 2 3 2 2" xfId="48684"/>
    <cellStyle name="Comma 2 2 2 2 3 3 3 2 2 2 3 2 2 2" xfId="52107"/>
    <cellStyle name="Comma 2 2 2 2 3 3 3 2 2 2 3 3" xfId="30281"/>
    <cellStyle name="Comma 2 2 2 2 3 3 3 2 2 2 4" xfId="26823"/>
    <cellStyle name="Comma 2 2 2 2 3 3 3 2 2 2 4 2" xfId="38591"/>
    <cellStyle name="Comma 2 2 2 2 3 3 3 2 2 3" xfId="5159"/>
    <cellStyle name="Comma 2 2 2 2 3 3 3 2 2 3 2" xfId="16555"/>
    <cellStyle name="Comma 2 2 2 2 3 3 3 2 2 3 2 2" xfId="18732"/>
    <cellStyle name="Comma 2 2 2 2 3 3 3 2 2 3 2 2 2" xfId="51883"/>
    <cellStyle name="Comma 2 2 2 2 3 3 3 2 2 3 2 2 2 2" xfId="54058"/>
    <cellStyle name="Comma 2 2 2 2 3 3 3 2 2 3 2 3" xfId="32233"/>
    <cellStyle name="Comma 2 2 2 2 3 3 3 2 2 3 3" xfId="30057"/>
    <cellStyle name="Comma 2 2 2 2 3 3 3 2 2 3 3 2" xfId="40596"/>
    <cellStyle name="Comma 2 2 2 2 3 3 3 2 2 4" xfId="10362"/>
    <cellStyle name="Comma 2 2 2 2 3 3 3 2 2 4 2" xfId="38367"/>
    <cellStyle name="Comma 2 2 2 2 3 3 3 2 2 4 2 2" xfId="45725"/>
    <cellStyle name="Comma 2 2 2 2 3 3 3 2 2 5" xfId="23848"/>
    <cellStyle name="Comma 2 2 2 2 3 3 3 2 3" xfId="4934"/>
    <cellStyle name="Comma 2 2 2 2 3 3 3 2 3 2" xfId="6401"/>
    <cellStyle name="Comma 2 2 2 2 3 3 3 2 3 2 2" xfId="18507"/>
    <cellStyle name="Comma 2 2 2 2 3 3 3 2 3 2 2 2" xfId="19957"/>
    <cellStyle name="Comma 2 2 2 2 3 3 3 2 3 2 2 2 2" xfId="53833"/>
    <cellStyle name="Comma 2 2 2 2 3 3 3 2 3 2 2 2 2 2" xfId="55283"/>
    <cellStyle name="Comma 2 2 2 2 3 3 3 2 3 2 2 3" xfId="33459"/>
    <cellStyle name="Comma 2 2 2 2 3 3 3 2 3 2 3" xfId="32008"/>
    <cellStyle name="Comma 2 2 2 2 3 3 3 2 3 2 3 2" xfId="41830"/>
    <cellStyle name="Comma 2 2 2 2 3 3 3 2 3 3" xfId="11626"/>
    <cellStyle name="Comma 2 2 2 2 3 3 3 2 3 3 2" xfId="40371"/>
    <cellStyle name="Comma 2 2 2 2 3 3 3 2 3 3 2 2" xfId="46975"/>
    <cellStyle name="Comma 2 2 2 2 3 3 3 2 3 4" xfId="25112"/>
    <cellStyle name="Comma 2 2 2 2 3 3 3 2 4" xfId="10137"/>
    <cellStyle name="Comma 2 2 2 2 3 3 3 2 4 2" xfId="14784"/>
    <cellStyle name="Comma 2 2 2 2 3 3 3 2 4 2 2" xfId="45500"/>
    <cellStyle name="Comma 2 2 2 2 3 3 3 2 4 2 2 2" xfId="50123"/>
    <cellStyle name="Comma 2 2 2 2 3 3 3 2 4 3" xfId="28296"/>
    <cellStyle name="Comma 2 2 2 2 3 3 3 2 5" xfId="23623"/>
    <cellStyle name="Comma 2 2 2 2 3 3 3 2 5 2" xfId="36592"/>
    <cellStyle name="Comma 2 2 2 2 3 3 3 3" xfId="1900"/>
    <cellStyle name="Comma 2 2 2 2 3 3 3 3 2" xfId="6161"/>
    <cellStyle name="Comma 2 2 2 2 3 3 3 3 2 2" xfId="7144"/>
    <cellStyle name="Comma 2 2 2 2 3 3 3 3 2 2 2" xfId="19721"/>
    <cellStyle name="Comma 2 2 2 2 3 3 3 3 2 2 2 2" xfId="20696"/>
    <cellStyle name="Comma 2 2 2 2 3 3 3 3 2 2 2 2 2" xfId="55047"/>
    <cellStyle name="Comma 2 2 2 2 3 3 3 3 2 2 2 2 2 2" xfId="56022"/>
    <cellStyle name="Comma 2 2 2 2 3 3 3 3 2 2 2 3" xfId="34199"/>
    <cellStyle name="Comma 2 2 2 2 3 3 3 3 2 2 3" xfId="33223"/>
    <cellStyle name="Comma 2 2 2 2 3 3 3 3 2 2 3 2" xfId="42571"/>
    <cellStyle name="Comma 2 2 2 2 3 3 3 3 2 3" xfId="12369"/>
    <cellStyle name="Comma 2 2 2 2 3 3 3 3 2 3 2" xfId="41592"/>
    <cellStyle name="Comma 2 2 2 2 3 3 3 3 2 3 2 2" xfId="47715"/>
    <cellStyle name="Comma 2 2 2 2 3 3 3 3 2 4" xfId="25853"/>
    <cellStyle name="Comma 2 2 2 2 3 3 3 3 3" xfId="11387"/>
    <cellStyle name="Comma 2 2 2 2 3 3 3 3 3 2" xfId="15567"/>
    <cellStyle name="Comma 2 2 2 2 3 3 3 3 3 2 2" xfId="46738"/>
    <cellStyle name="Comma 2 2 2 2 3 3 3 3 3 2 2 2" xfId="50899"/>
    <cellStyle name="Comma 2 2 2 2 3 3 3 3 3 3" xfId="29073"/>
    <cellStyle name="Comma 2 2 2 2 3 3 3 3 4" xfId="24875"/>
    <cellStyle name="Comma 2 2 2 2 3 3 3 3 4 2" xfId="37379"/>
    <cellStyle name="Comma 2 2 2 2 3 3 3 4" xfId="3914"/>
    <cellStyle name="Comma 2 2 2 2 3 3 3 4 2" xfId="14544"/>
    <cellStyle name="Comma 2 2 2 2 3 3 3 4 2 2" xfId="17519"/>
    <cellStyle name="Comma 2 2 2 2 3 3 3 4 2 2 2" xfId="49885"/>
    <cellStyle name="Comma 2 2 2 2 3 3 3 4 2 2 2 2" xfId="52846"/>
    <cellStyle name="Comma 2 2 2 2 3 3 3 4 2 3" xfId="31021"/>
    <cellStyle name="Comma 2 2 2 2 3 3 3 4 3" xfId="28055"/>
    <cellStyle name="Comma 2 2 2 2 3 3 3 4 3 2" xfId="39359"/>
    <cellStyle name="Comma 2 2 2 2 3 3 3 5" xfId="9106"/>
    <cellStyle name="Comma 2 2 2 2 3 3 3 5 2" xfId="36354"/>
    <cellStyle name="Comma 2 2 2 2 3 3 3 5 2 2" xfId="44498"/>
    <cellStyle name="Comma 2 2 2 2 3 3 3 6" xfId="22612"/>
    <cellStyle name="Comma 2 2 2 2 3 3 4" xfId="1641"/>
    <cellStyle name="Comma 2 2 2 2 3 3 4 2" xfId="2349"/>
    <cellStyle name="Comma 2 2 2 2 3 3 4 2 2" xfId="6907"/>
    <cellStyle name="Comma 2 2 2 2 3 3 4 2 2 2" xfId="7583"/>
    <cellStyle name="Comma 2 2 2 2 3 3 4 2 2 2 2" xfId="20460"/>
    <cellStyle name="Comma 2 2 2 2 3 3 4 2 2 2 2 2" xfId="21135"/>
    <cellStyle name="Comma 2 2 2 2 3 3 4 2 2 2 2 2 2" xfId="55786"/>
    <cellStyle name="Comma 2 2 2 2 3 3 4 2 2 2 2 2 2 2" xfId="56461"/>
    <cellStyle name="Comma 2 2 2 2 3 3 4 2 2 2 2 3" xfId="34638"/>
    <cellStyle name="Comma 2 2 2 2 3 3 4 2 2 2 3" xfId="33962"/>
    <cellStyle name="Comma 2 2 2 2 3 3 4 2 2 2 3 2" xfId="43010"/>
    <cellStyle name="Comma 2 2 2 2 3 3 4 2 2 3" xfId="12808"/>
    <cellStyle name="Comma 2 2 2 2 3 3 4 2 2 3 2" xfId="42335"/>
    <cellStyle name="Comma 2 2 2 2 3 3 4 2 2 3 2 2" xfId="48154"/>
    <cellStyle name="Comma 2 2 2 2 3 3 4 2 2 4" xfId="26292"/>
    <cellStyle name="Comma 2 2 2 2 3 3 4 2 3" xfId="12131"/>
    <cellStyle name="Comma 2 2 2 2 3 3 4 2 3 2" xfId="16013"/>
    <cellStyle name="Comma 2 2 2 2 3 3 4 2 3 2 2" xfId="47478"/>
    <cellStyle name="Comma 2 2 2 2 3 3 4 2 3 2 2 2" xfId="51345"/>
    <cellStyle name="Comma 2 2 2 2 3 3 4 2 3 3" xfId="29519"/>
    <cellStyle name="Comma 2 2 2 2 3 3 4 2 4" xfId="25616"/>
    <cellStyle name="Comma 2 2 2 2 3 3 4 2 4 2" xfId="37827"/>
    <cellStyle name="Comma 2 2 2 2 3 3 4 3" xfId="4380"/>
    <cellStyle name="Comma 2 2 2 2 3 3 4 3 2" xfId="15315"/>
    <cellStyle name="Comma 2 2 2 2 3 3 4 3 2 2" xfId="17972"/>
    <cellStyle name="Comma 2 2 2 2 3 3 4 3 2 2 2" xfId="50650"/>
    <cellStyle name="Comma 2 2 2 2 3 3 4 3 2 2 2 2" xfId="53298"/>
    <cellStyle name="Comma 2 2 2 2 3 3 4 3 2 3" xfId="31473"/>
    <cellStyle name="Comma 2 2 2 2 3 3 4 3 3" xfId="28824"/>
    <cellStyle name="Comma 2 2 2 2 3 3 4 3 3 2" xfId="39822"/>
    <cellStyle name="Comma 2 2 2 2 3 3 4 4" xfId="9581"/>
    <cellStyle name="Comma 2 2 2 2 3 3 4 4 2" xfId="37126"/>
    <cellStyle name="Comma 2 2 2 2 3 3 4 4 2 2" xfId="44962"/>
    <cellStyle name="Comma 2 2 2 2 3 3 4 5" xfId="23082"/>
    <cellStyle name="Comma 2 2 2 2 3 3 5" xfId="3645"/>
    <cellStyle name="Comma 2 2 2 2 3 3 5 2" xfId="5590"/>
    <cellStyle name="Comma 2 2 2 2 3 3 5 2 2" xfId="17275"/>
    <cellStyle name="Comma 2 2 2 2 3 3 5 2 2 2" xfId="19162"/>
    <cellStyle name="Comma 2 2 2 2 3 3 5 2 2 2 2" xfId="52602"/>
    <cellStyle name="Comma 2 2 2 2 3 3 5 2 2 2 2 2" xfId="54488"/>
    <cellStyle name="Comma 2 2 2 2 3 3 5 2 2 3" xfId="32663"/>
    <cellStyle name="Comma 2 2 2 2 3 3 5 2 3" xfId="30776"/>
    <cellStyle name="Comma 2 2 2 2 3 3 5 2 3 2" xfId="41026"/>
    <cellStyle name="Comma 2 2 2 2 3 3 5 3" xfId="10802"/>
    <cellStyle name="Comma 2 2 2 2 3 3 5 3 2" xfId="39100"/>
    <cellStyle name="Comma 2 2 2 2 3 3 5 3 2 2" xfId="46164"/>
    <cellStyle name="Comma 2 2 2 2 3 3 5 4" xfId="24292"/>
    <cellStyle name="Comma 2 2 2 2 3 3 6" xfId="8840"/>
    <cellStyle name="Comma 2 2 2 2 3 3 6 2" xfId="13974"/>
    <cellStyle name="Comma 2 2 2 2 3 3 6 2 2" xfId="44247"/>
    <cellStyle name="Comma 2 2 2 2 3 3 6 2 2 2" xfId="49320"/>
    <cellStyle name="Comma 2 2 2 2 3 3 6 3" xfId="27466"/>
    <cellStyle name="Comma 2 2 2 2 3 3 7" xfId="22355"/>
    <cellStyle name="Comma 2 2 2 2 3 3 7 2" xfId="35786"/>
    <cellStyle name="Comma 2 2 2 2 3 4" xfId="357"/>
    <cellStyle name="Comma 2 2 2 2 3 4 2" xfId="1021"/>
    <cellStyle name="Comma 2 2 2 2 3 4 2 2" xfId="1206"/>
    <cellStyle name="Comma 2 2 2 2 3 4 2 2 2" xfId="3058"/>
    <cellStyle name="Comma 2 2 2 2 3 4 2 2 2 2" xfId="3225"/>
    <cellStyle name="Comma 2 2 2 2 3 4 2 2 2 2 2" xfId="8273"/>
    <cellStyle name="Comma 2 2 2 2 3 4 2 2 2 2 2 2" xfId="8440"/>
    <cellStyle name="Comma 2 2 2 2 3 4 2 2 2 2 2 2 2" xfId="21825"/>
    <cellStyle name="Comma 2 2 2 2 3 4 2 2 2 2 2 2 2 2" xfId="21992"/>
    <cellStyle name="Comma 2 2 2 2 3 4 2 2 2 2 2 2 2 2 2" xfId="57151"/>
    <cellStyle name="Comma 2 2 2 2 3 4 2 2 2 2 2 2 2 2 2 2" xfId="57318"/>
    <cellStyle name="Comma 2 2 2 2 3 4 2 2 2 2 2 2 2 3" xfId="35495"/>
    <cellStyle name="Comma 2 2 2 2 3 4 2 2 2 2 2 2 3" xfId="35328"/>
    <cellStyle name="Comma 2 2 2 2 3 4 2 2 2 2 2 2 3 2" xfId="43867"/>
    <cellStyle name="Comma 2 2 2 2 3 4 2 2 2 2 2 3" xfId="13665"/>
    <cellStyle name="Comma 2 2 2 2 3 4 2 2 2 2 2 3 2" xfId="43700"/>
    <cellStyle name="Comma 2 2 2 2 3 4 2 2 2 2 2 3 2 2" xfId="49011"/>
    <cellStyle name="Comma 2 2 2 2 3 4 2 2 2 2 2 4" xfId="27150"/>
    <cellStyle name="Comma 2 2 2 2 3 4 2 2 2 2 3" xfId="13498"/>
    <cellStyle name="Comma 2 2 2 2 3 4 2 2 2 2 3 2" xfId="16882"/>
    <cellStyle name="Comma 2 2 2 2 3 4 2 2 2 2 3 2 2" xfId="48844"/>
    <cellStyle name="Comma 2 2 2 2 3 4 2 2 2 2 3 2 2 2" xfId="52210"/>
    <cellStyle name="Comma 2 2 2 2 3 4 2 2 2 2 3 3" xfId="30384"/>
    <cellStyle name="Comma 2 2 2 2 3 4 2 2 2 2 4" xfId="26983"/>
    <cellStyle name="Comma 2 2 2 2 3 4 2 2 2 2 4 2" xfId="38694"/>
    <cellStyle name="Comma 2 2 2 2 3 4 2 2 2 3" xfId="5262"/>
    <cellStyle name="Comma 2 2 2 2 3 4 2 2 2 3 2" xfId="16715"/>
    <cellStyle name="Comma 2 2 2 2 3 4 2 2 2 3 2 2" xfId="18835"/>
    <cellStyle name="Comma 2 2 2 2 3 4 2 2 2 3 2 2 2" xfId="52043"/>
    <cellStyle name="Comma 2 2 2 2 3 4 2 2 2 3 2 2 2 2" xfId="54161"/>
    <cellStyle name="Comma 2 2 2 2 3 4 2 2 2 3 2 3" xfId="32336"/>
    <cellStyle name="Comma 2 2 2 2 3 4 2 2 2 3 3" xfId="30217"/>
    <cellStyle name="Comma 2 2 2 2 3 4 2 2 2 3 3 2" xfId="40699"/>
    <cellStyle name="Comma 2 2 2 2 3 4 2 2 2 4" xfId="10465"/>
    <cellStyle name="Comma 2 2 2 2 3 4 2 2 2 4 2" xfId="38527"/>
    <cellStyle name="Comma 2 2 2 2 3 4 2 2 2 4 2 2" xfId="45828"/>
    <cellStyle name="Comma 2 2 2 2 3 4 2 2 2 5" xfId="23951"/>
    <cellStyle name="Comma 2 2 2 2 3 4 2 2 3" xfId="5095"/>
    <cellStyle name="Comma 2 2 2 2 3 4 2 2 3 2" xfId="6514"/>
    <cellStyle name="Comma 2 2 2 2 3 4 2 2 3 2 2" xfId="18668"/>
    <cellStyle name="Comma 2 2 2 2 3 4 2 2 3 2 2 2" xfId="20067"/>
    <cellStyle name="Comma 2 2 2 2 3 4 2 2 3 2 2 2 2" xfId="53994"/>
    <cellStyle name="Comma 2 2 2 2 3 4 2 2 3 2 2 2 2 2" xfId="55393"/>
    <cellStyle name="Comma 2 2 2 2 3 4 2 2 3 2 2 3" xfId="33569"/>
    <cellStyle name="Comma 2 2 2 2 3 4 2 2 3 2 3" xfId="32169"/>
    <cellStyle name="Comma 2 2 2 2 3 4 2 2 3 2 3 2" xfId="41942"/>
    <cellStyle name="Comma 2 2 2 2 3 4 2 2 3 3" xfId="11737"/>
    <cellStyle name="Comma 2 2 2 2 3 4 2 2 3 3 2" xfId="40532"/>
    <cellStyle name="Comma 2 2 2 2 3 4 2 2 3 3 2 2" xfId="47085"/>
    <cellStyle name="Comma 2 2 2 2 3 4 2 2 3 4" xfId="25222"/>
    <cellStyle name="Comma 2 2 2 2 3 4 2 2 4" xfId="10298"/>
    <cellStyle name="Comma 2 2 2 2 3 4 2 2 4 2" xfId="14895"/>
    <cellStyle name="Comma 2 2 2 2 3 4 2 2 4 2 2" xfId="45661"/>
    <cellStyle name="Comma 2 2 2 2 3 4 2 2 4 2 2 2" xfId="50234"/>
    <cellStyle name="Comma 2 2 2 2 3 4 2 2 4 3" xfId="28408"/>
    <cellStyle name="Comma 2 2 2 2 3 4 2 2 5" xfId="23784"/>
    <cellStyle name="Comma 2 2 2 2 3 4 2 2 5 2" xfId="36703"/>
    <cellStyle name="Comma 2 2 2 2 3 4 2 3" xfId="2013"/>
    <cellStyle name="Comma 2 2 2 2 3 4 2 3 2" xfId="6331"/>
    <cellStyle name="Comma 2 2 2 2 3 4 2 3 2 2" xfId="7247"/>
    <cellStyle name="Comma 2 2 2 2 3 4 2 3 2 2 2" xfId="19888"/>
    <cellStyle name="Comma 2 2 2 2 3 4 2 3 2 2 2 2" xfId="20799"/>
    <cellStyle name="Comma 2 2 2 2 3 4 2 3 2 2 2 2 2" xfId="55214"/>
    <cellStyle name="Comma 2 2 2 2 3 4 2 3 2 2 2 2 2 2" xfId="56125"/>
    <cellStyle name="Comma 2 2 2 2 3 4 2 3 2 2 2 3" xfId="34302"/>
    <cellStyle name="Comma 2 2 2 2 3 4 2 3 2 2 3" xfId="33390"/>
    <cellStyle name="Comma 2 2 2 2 3 4 2 3 2 2 3 2" xfId="42674"/>
    <cellStyle name="Comma 2 2 2 2 3 4 2 3 2 3" xfId="12472"/>
    <cellStyle name="Comma 2 2 2 2 3 4 2 3 2 3 2" xfId="41760"/>
    <cellStyle name="Comma 2 2 2 2 3 4 2 3 2 3 2 2" xfId="47818"/>
    <cellStyle name="Comma 2 2 2 2 3 4 2 3 2 4" xfId="25956"/>
    <cellStyle name="Comma 2 2 2 2 3 4 2 3 3" xfId="11557"/>
    <cellStyle name="Comma 2 2 2 2 3 4 2 3 3 2" xfId="15677"/>
    <cellStyle name="Comma 2 2 2 2 3 4 2 3 3 2 2" xfId="46906"/>
    <cellStyle name="Comma 2 2 2 2 3 4 2 3 3 2 2 2" xfId="51009"/>
    <cellStyle name="Comma 2 2 2 2 3 4 2 3 3 3" xfId="29183"/>
    <cellStyle name="Comma 2 2 2 2 3 4 2 3 4" xfId="25043"/>
    <cellStyle name="Comma 2 2 2 2 3 4 2 3 4 2" xfId="37491"/>
    <cellStyle name="Comma 2 2 2 2 3 4 2 4" xfId="4028"/>
    <cellStyle name="Comma 2 2 2 2 3 4 2 4 2" xfId="14714"/>
    <cellStyle name="Comma 2 2 2 2 3 4 2 4 2 2" xfId="17622"/>
    <cellStyle name="Comma 2 2 2 2 3 4 2 4 2 2 2" xfId="50053"/>
    <cellStyle name="Comma 2 2 2 2 3 4 2 4 2 2 2 2" xfId="52949"/>
    <cellStyle name="Comma 2 2 2 2 3 4 2 4 2 3" xfId="31124"/>
    <cellStyle name="Comma 2 2 2 2 3 4 2 4 3" xfId="28226"/>
    <cellStyle name="Comma 2 2 2 2 3 4 2 4 3 2" xfId="39472"/>
    <cellStyle name="Comma 2 2 2 2 3 4 2 5" xfId="9220"/>
    <cellStyle name="Comma 2 2 2 2 3 4 2 5 2" xfId="36522"/>
    <cellStyle name="Comma 2 2 2 2 3 4 2 5 2 2" xfId="44602"/>
    <cellStyle name="Comma 2 2 2 2 3 4 2 6" xfId="22716"/>
    <cellStyle name="Comma 2 2 2 2 3 4 3" xfId="1824"/>
    <cellStyle name="Comma 2 2 2 2 3 4 3 2" xfId="2466"/>
    <cellStyle name="Comma 2 2 2 2 3 4 3 2 2" xfId="7076"/>
    <cellStyle name="Comma 2 2 2 2 3 4 3 2 2 2" xfId="7696"/>
    <cellStyle name="Comma 2 2 2 2 3 4 3 2 2 2 2" xfId="20629"/>
    <cellStyle name="Comma 2 2 2 2 3 4 3 2 2 2 2 2" xfId="21248"/>
    <cellStyle name="Comma 2 2 2 2 3 4 3 2 2 2 2 2 2" xfId="55955"/>
    <cellStyle name="Comma 2 2 2 2 3 4 3 2 2 2 2 2 2 2" xfId="56574"/>
    <cellStyle name="Comma 2 2 2 2 3 4 3 2 2 2 2 3" xfId="34751"/>
    <cellStyle name="Comma 2 2 2 2 3 4 3 2 2 2 3" xfId="34131"/>
    <cellStyle name="Comma 2 2 2 2 3 4 3 2 2 2 3 2" xfId="43123"/>
    <cellStyle name="Comma 2 2 2 2 3 4 3 2 2 3" xfId="12921"/>
    <cellStyle name="Comma 2 2 2 2 3 4 3 2 2 3 2" xfId="42504"/>
    <cellStyle name="Comma 2 2 2 2 3 4 3 2 2 3 2 2" xfId="48267"/>
    <cellStyle name="Comma 2 2 2 2 3 4 3 2 2 4" xfId="26405"/>
    <cellStyle name="Comma 2 2 2 2 3 4 3 2 3" xfId="12300"/>
    <cellStyle name="Comma 2 2 2 2 3 4 3 2 3 2" xfId="16129"/>
    <cellStyle name="Comma 2 2 2 2 3 4 3 2 3 2 2" xfId="47647"/>
    <cellStyle name="Comma 2 2 2 2 3 4 3 2 3 2 2 2" xfId="51460"/>
    <cellStyle name="Comma 2 2 2 2 3 4 3 2 3 3" xfId="29634"/>
    <cellStyle name="Comma 2 2 2 2 3 4 3 2 4" xfId="25785"/>
    <cellStyle name="Comma 2 2 2 2 3 4 3 2 4 2" xfId="37943"/>
    <cellStyle name="Comma 2 2 2 2 3 4 3 3" xfId="4501"/>
    <cellStyle name="Comma 2 2 2 2 3 4 3 3 2" xfId="15496"/>
    <cellStyle name="Comma 2 2 2 2 3 4 3 3 2 2" xfId="18089"/>
    <cellStyle name="Comma 2 2 2 2 3 4 3 3 2 2 2" xfId="50829"/>
    <cellStyle name="Comma 2 2 2 2 3 4 3 3 2 2 2 2" xfId="53415"/>
    <cellStyle name="Comma 2 2 2 2 3 4 3 3 2 3" xfId="31590"/>
    <cellStyle name="Comma 2 2 2 2 3 4 3 3 3" xfId="29003"/>
    <cellStyle name="Comma 2 2 2 2 3 4 3 3 3 2" xfId="39942"/>
    <cellStyle name="Comma 2 2 2 2 3 4 3 4" xfId="9705"/>
    <cellStyle name="Comma 2 2 2 2 3 4 3 4 2" xfId="37306"/>
    <cellStyle name="Comma 2 2 2 2 3 4 3 4 2 2" xfId="45082"/>
    <cellStyle name="Comma 2 2 2 2 3 4 3 5" xfId="23205"/>
    <cellStyle name="Comma 2 2 2 2 3 4 4" xfId="3835"/>
    <cellStyle name="Comma 2 2 2 2 3 4 4 2" xfId="5708"/>
    <cellStyle name="Comma 2 2 2 2 3 4 4 2 2" xfId="17450"/>
    <cellStyle name="Comma 2 2 2 2 3 4 4 2 2 2" xfId="19278"/>
    <cellStyle name="Comma 2 2 2 2 3 4 4 2 2 2 2" xfId="52777"/>
    <cellStyle name="Comma 2 2 2 2 3 4 4 2 2 2 2 2" xfId="54604"/>
    <cellStyle name="Comma 2 2 2 2 3 4 4 2 2 3" xfId="32779"/>
    <cellStyle name="Comma 2 2 2 2 3 4 4 2 3" xfId="30951"/>
    <cellStyle name="Comma 2 2 2 2 3 4 4 2 3 2" xfId="41143"/>
    <cellStyle name="Comma 2 2 2 2 3 4 4 3" xfId="10928"/>
    <cellStyle name="Comma 2 2 2 2 3 4 4 3 2" xfId="39285"/>
    <cellStyle name="Comma 2 2 2 2 3 4 4 3 2 2" xfId="46288"/>
    <cellStyle name="Comma 2 2 2 2 3 4 4 4" xfId="24420"/>
    <cellStyle name="Comma 2 2 2 2 3 4 5" xfId="9027"/>
    <cellStyle name="Comma 2 2 2 2 3 4 5 2" xfId="14092"/>
    <cellStyle name="Comma 2 2 2 2 3 4 5 2 2" xfId="44425"/>
    <cellStyle name="Comma 2 2 2 2 3 4 5 2 2 2" xfId="49437"/>
    <cellStyle name="Comma 2 2 2 2 3 4 5 3" xfId="27592"/>
    <cellStyle name="Comma 2 2 2 2 3 4 6" xfId="22536"/>
    <cellStyle name="Comma 2 2 2 2 3 4 6 2" xfId="35903"/>
    <cellStyle name="Comma 2 2 2 2 3 5" xfId="671"/>
    <cellStyle name="Comma 2 2 2 2 3 5 2" xfId="2285"/>
    <cellStyle name="Comma 2 2 2 2 3 5 2 2" xfId="2760"/>
    <cellStyle name="Comma 2 2 2 2 3 5 2 2 2" xfId="7519"/>
    <cellStyle name="Comma 2 2 2 2 3 5 2 2 2 2" xfId="7978"/>
    <cellStyle name="Comma 2 2 2 2 3 5 2 2 2 2 2" xfId="21071"/>
    <cellStyle name="Comma 2 2 2 2 3 5 2 2 2 2 2 2" xfId="21530"/>
    <cellStyle name="Comma 2 2 2 2 3 5 2 2 2 2 2 2 2" xfId="56397"/>
    <cellStyle name="Comma 2 2 2 2 3 5 2 2 2 2 2 2 2 2" xfId="56856"/>
    <cellStyle name="Comma 2 2 2 2 3 5 2 2 2 2 2 3" xfId="35033"/>
    <cellStyle name="Comma 2 2 2 2 3 5 2 2 2 2 3" xfId="34574"/>
    <cellStyle name="Comma 2 2 2 2 3 5 2 2 2 2 3 2" xfId="43405"/>
    <cellStyle name="Comma 2 2 2 2 3 5 2 2 2 3" xfId="13203"/>
    <cellStyle name="Comma 2 2 2 2 3 5 2 2 2 3 2" xfId="42946"/>
    <cellStyle name="Comma 2 2 2 2 3 5 2 2 2 3 2 2" xfId="48549"/>
    <cellStyle name="Comma 2 2 2 2 3 5 2 2 2 4" xfId="26687"/>
    <cellStyle name="Comma 2 2 2 2 3 5 2 2 3" xfId="12744"/>
    <cellStyle name="Comma 2 2 2 2 3 5 2 2 3 2" xfId="16419"/>
    <cellStyle name="Comma 2 2 2 2 3 5 2 2 3 2 2" xfId="48090"/>
    <cellStyle name="Comma 2 2 2 2 3 5 2 2 3 2 2 2" xfId="51748"/>
    <cellStyle name="Comma 2 2 2 2 3 5 2 2 3 3" xfId="29922"/>
    <cellStyle name="Comma 2 2 2 2 3 5 2 2 4" xfId="26228"/>
    <cellStyle name="Comma 2 2 2 2 3 5 2 2 4 2" xfId="38232"/>
    <cellStyle name="Comma 2 2 2 2 3 5 2 3" xfId="4796"/>
    <cellStyle name="Comma 2 2 2 2 3 5 2 3 2" xfId="15949"/>
    <cellStyle name="Comma 2 2 2 2 3 5 2 3 2 2" xfId="18372"/>
    <cellStyle name="Comma 2 2 2 2 3 5 2 3 2 2 2" xfId="51281"/>
    <cellStyle name="Comma 2 2 2 2 3 5 2 3 2 2 2 2" xfId="53698"/>
    <cellStyle name="Comma 2 2 2 2 3 5 2 3 2 3" xfId="31873"/>
    <cellStyle name="Comma 2 2 2 2 3 5 2 3 3" xfId="29455"/>
    <cellStyle name="Comma 2 2 2 2 3 5 2 3 3 2" xfId="40234"/>
    <cellStyle name="Comma 2 2 2 2 3 5 2 4" xfId="9999"/>
    <cellStyle name="Comma 2 2 2 2 3 5 2 4 2" xfId="37763"/>
    <cellStyle name="Comma 2 2 2 2 3 5 2 4 2 2" xfId="45365"/>
    <cellStyle name="Comma 2 2 2 2 3 5 2 5" xfId="23488"/>
    <cellStyle name="Comma 2 2 2 2 3 5 3" xfId="4309"/>
    <cellStyle name="Comma 2 2 2 2 3 5 3 2" xfId="6001"/>
    <cellStyle name="Comma 2 2 2 2 3 5 3 2 2" xfId="17902"/>
    <cellStyle name="Comma 2 2 2 2 3 5 3 2 2 2" xfId="19567"/>
    <cellStyle name="Comma 2 2 2 2 3 5 3 2 2 2 2" xfId="53229"/>
    <cellStyle name="Comma 2 2 2 2 3 5 3 2 2 2 2 2" xfId="54893"/>
    <cellStyle name="Comma 2 2 2 2 3 5 3 2 2 3" xfId="33068"/>
    <cellStyle name="Comma 2 2 2 2 3 5 3 2 3" xfId="31404"/>
    <cellStyle name="Comma 2 2 2 2 3 5 3 2 3 2" xfId="41435"/>
    <cellStyle name="Comma 2 2 2 2 3 5 3 3" xfId="11226"/>
    <cellStyle name="Comma 2 2 2 2 3 5 3 3 2" xfId="39752"/>
    <cellStyle name="Comma 2 2 2 2 3 5 3 3 2 2" xfId="46583"/>
    <cellStyle name="Comma 2 2 2 2 3 5 3 4" xfId="24719"/>
    <cellStyle name="Comma 2 2 2 2 3 5 4" xfId="9503"/>
    <cellStyle name="Comma 2 2 2 2 3 5 4 2" xfId="14384"/>
    <cellStyle name="Comma 2 2 2 2 3 5 4 2 2" xfId="44885"/>
    <cellStyle name="Comma 2 2 2 2 3 5 4 2 2 2" xfId="49729"/>
    <cellStyle name="Comma 2 2 2 2 3 5 4 3" xfId="27895"/>
    <cellStyle name="Comma 2 2 2 2 3 5 5" xfId="23001"/>
    <cellStyle name="Comma 2 2 2 2 3 5 5 2" xfId="36196"/>
    <cellStyle name="Comma 2 2 2 2 3 6" xfId="754"/>
    <cellStyle name="Comma 2 2 2 2 3 6 2" xfId="5524"/>
    <cellStyle name="Comma 2 2 2 2 3 6 2 2" xfId="6072"/>
    <cellStyle name="Comma 2 2 2 2 3 6 2 2 2" xfId="19097"/>
    <cellStyle name="Comma 2 2 2 2 3 6 2 2 2 2" xfId="19636"/>
    <cellStyle name="Comma 2 2 2 2 3 6 2 2 2 2 2" xfId="54423"/>
    <cellStyle name="Comma 2 2 2 2 3 6 2 2 2 2 2 2" xfId="54962"/>
    <cellStyle name="Comma 2 2 2 2 3 6 2 2 2 3" xfId="33137"/>
    <cellStyle name="Comma 2 2 2 2 3 6 2 2 3" xfId="32598"/>
    <cellStyle name="Comma 2 2 2 2 3 6 2 2 3 2" xfId="41506"/>
    <cellStyle name="Comma 2 2 2 2 3 6 2 3" xfId="11298"/>
    <cellStyle name="Comma 2 2 2 2 3 6 2 3 2" xfId="40961"/>
    <cellStyle name="Comma 2 2 2 2 3 6 2 3 2 2" xfId="46653"/>
    <cellStyle name="Comma 2 2 2 2 3 6 2 4" xfId="24790"/>
    <cellStyle name="Comma 2 2 2 2 3 6 3" xfId="10727"/>
    <cellStyle name="Comma 2 2 2 2 3 6 3 2" xfId="14458"/>
    <cellStyle name="Comma 2 2 2 2 3 6 3 2 2" xfId="46090"/>
    <cellStyle name="Comma 2 2 2 2 3 6 3 2 2 2" xfId="49800"/>
    <cellStyle name="Comma 2 2 2 2 3 6 3 3" xfId="27968"/>
    <cellStyle name="Comma 2 2 2 2 3 6 4" xfId="24214"/>
    <cellStyle name="Comma 2 2 2 2 3 6 4 2" xfId="36268"/>
    <cellStyle name="Comma 2 2 2 2 3 7" xfId="1535"/>
    <cellStyle name="Comma 2 2 2 2 3 7 2" xfId="8796"/>
    <cellStyle name="Comma 2 2 2 2 3 7 2 2" xfId="15213"/>
    <cellStyle name="Comma 2 2 2 2 3 7 2 2 2" xfId="44208"/>
    <cellStyle name="Comma 2 2 2 2 3 7 2 2 2 2" xfId="50551"/>
    <cellStyle name="Comma 2 2 2 2 3 7 2 3" xfId="28725"/>
    <cellStyle name="Comma 2 2 2 2 3 7 3" xfId="22313"/>
    <cellStyle name="Comma 2 2 2 2 3 7 3 2" xfId="37025"/>
    <cellStyle name="Comma 2 2 2 2 3 8" xfId="3535"/>
    <cellStyle name="Comma 2 2 2 2 3 8 2" xfId="27511"/>
    <cellStyle name="Comma 2 2 2 2 3 8 2 2" xfId="38998"/>
    <cellStyle name="Comma 2 2 2 2 3 9" xfId="9899"/>
    <cellStyle name="Comma 2 2 2 2 4" xfId="194"/>
    <cellStyle name="Comma 2 2 2 2 4 2" xfId="221"/>
    <cellStyle name="Comma 2 2 2 2 4 2 2" xfId="573"/>
    <cellStyle name="Comma 2 2 2 2 4 2 2 2" xfId="585"/>
    <cellStyle name="Comma 2 2 2 2 4 2 2 2 2" xfId="1370"/>
    <cellStyle name="Comma 2 2 2 2 4 2 2 2 2 2" xfId="1381"/>
    <cellStyle name="Comma 2 2 2 2 4 2 2 2 2 2 2" xfId="3388"/>
    <cellStyle name="Comma 2 2 2 2 4 2 2 2 2 2 2 2" xfId="3399"/>
    <cellStyle name="Comma 2 2 2 2 4 2 2 2 2 2 2 2 2" xfId="8603"/>
    <cellStyle name="Comma 2 2 2 2 4 2 2 2 2 2 2 2 2 2" xfId="8614"/>
    <cellStyle name="Comma 2 2 2 2 4 2 2 2 2 2 2 2 2 2 2" xfId="22155"/>
    <cellStyle name="Comma 2 2 2 2 4 2 2 2 2 2 2 2 2 2 2 2" xfId="22166"/>
    <cellStyle name="Comma 2 2 2 2 4 2 2 2 2 2 2 2 2 2 2 2 2" xfId="57481"/>
    <cellStyle name="Comma 2 2 2 2 4 2 2 2 2 2 2 2 2 2 2 2 2 2" xfId="57492"/>
    <cellStyle name="Comma 2 2 2 2 4 2 2 2 2 2 2 2 2 2 2 3" xfId="35669"/>
    <cellStyle name="Comma 2 2 2 2 4 2 2 2 2 2 2 2 2 2 3" xfId="35658"/>
    <cellStyle name="Comma 2 2 2 2 4 2 2 2 2 2 2 2 2 2 3 2" xfId="44041"/>
    <cellStyle name="Comma 2 2 2 2 4 2 2 2 2 2 2 2 2 3" xfId="13839"/>
    <cellStyle name="Comma 2 2 2 2 4 2 2 2 2 2 2 2 2 3 2" xfId="44030"/>
    <cellStyle name="Comma 2 2 2 2 4 2 2 2 2 2 2 2 2 3 2 2" xfId="49185"/>
    <cellStyle name="Comma 2 2 2 2 4 2 2 2 2 2 2 2 2 4" xfId="27324"/>
    <cellStyle name="Comma 2 2 2 2 4 2 2 2 2 2 2 2 3" xfId="13828"/>
    <cellStyle name="Comma 2 2 2 2 4 2 2 2 2 2 2 2 3 2" xfId="17056"/>
    <cellStyle name="Comma 2 2 2 2 4 2 2 2 2 2 2 2 3 2 2" xfId="49174"/>
    <cellStyle name="Comma 2 2 2 2 4 2 2 2 2 2 2 2 3 2 2 2" xfId="52384"/>
    <cellStyle name="Comma 2 2 2 2 4 2 2 2 2 2 2 2 3 3" xfId="30558"/>
    <cellStyle name="Comma 2 2 2 2 4 2 2 2 2 2 2 2 4" xfId="27313"/>
    <cellStyle name="Comma 2 2 2 2 4 2 2 2 2 2 2 2 4 2" xfId="38868"/>
    <cellStyle name="Comma 2 2 2 2 4 2 2 2 2 2 2 3" xfId="5436"/>
    <cellStyle name="Comma 2 2 2 2 4 2 2 2 2 2 2 3 2" xfId="17045"/>
    <cellStyle name="Comma 2 2 2 2 4 2 2 2 2 2 2 3 2 2" xfId="19009"/>
    <cellStyle name="Comma 2 2 2 2 4 2 2 2 2 2 2 3 2 2 2" xfId="52373"/>
    <cellStyle name="Comma 2 2 2 2 4 2 2 2 2 2 2 3 2 2 2 2" xfId="54335"/>
    <cellStyle name="Comma 2 2 2 2 4 2 2 2 2 2 2 3 2 3" xfId="32510"/>
    <cellStyle name="Comma 2 2 2 2 4 2 2 2 2 2 2 3 3" xfId="30547"/>
    <cellStyle name="Comma 2 2 2 2 4 2 2 2 2 2 2 3 3 2" xfId="40873"/>
    <cellStyle name="Comma 2 2 2 2 4 2 2 2 2 2 2 4" xfId="10639"/>
    <cellStyle name="Comma 2 2 2 2 4 2 2 2 2 2 2 4 2" xfId="38857"/>
    <cellStyle name="Comma 2 2 2 2 4 2 2 2 2 2 2 4 2 2" xfId="46002"/>
    <cellStyle name="Comma 2 2 2 2 4 2 2 2 2 2 2 5" xfId="24125"/>
    <cellStyle name="Comma 2 2 2 2 4 2 2 2 2 2 3" xfId="5425"/>
    <cellStyle name="Comma 2 2 2 2 4 2 2 2 2 2 3 2" xfId="6689"/>
    <cellStyle name="Comma 2 2 2 2 4 2 2 2 2 2 3 2 2" xfId="18998"/>
    <cellStyle name="Comma 2 2 2 2 4 2 2 2 2 2 3 2 2 2" xfId="20242"/>
    <cellStyle name="Comma 2 2 2 2 4 2 2 2 2 2 3 2 2 2 2" xfId="54324"/>
    <cellStyle name="Comma 2 2 2 2 4 2 2 2 2 2 3 2 2 2 2 2" xfId="55568"/>
    <cellStyle name="Comma 2 2 2 2 4 2 2 2 2 2 3 2 2 3" xfId="33744"/>
    <cellStyle name="Comma 2 2 2 2 4 2 2 2 2 2 3 2 3" xfId="32499"/>
    <cellStyle name="Comma 2 2 2 2 4 2 2 2 2 2 3 2 3 2" xfId="42117"/>
    <cellStyle name="Comma 2 2 2 2 4 2 2 2 2 2 3 3" xfId="11912"/>
    <cellStyle name="Comma 2 2 2 2 4 2 2 2 2 2 3 3 2" xfId="40862"/>
    <cellStyle name="Comma 2 2 2 2 4 2 2 2 2 2 3 3 2 2" xfId="47260"/>
    <cellStyle name="Comma 2 2 2 2 4 2 2 2 2 2 3 4" xfId="25397"/>
    <cellStyle name="Comma 2 2 2 2 4 2 2 2 2 2 4" xfId="10628"/>
    <cellStyle name="Comma 2 2 2 2 4 2 2 2 2 2 4 2" xfId="15070"/>
    <cellStyle name="Comma 2 2 2 2 4 2 2 2 2 2 4 2 2" xfId="45991"/>
    <cellStyle name="Comma 2 2 2 2 4 2 2 2 2 2 4 2 2 2" xfId="50409"/>
    <cellStyle name="Comma 2 2 2 2 4 2 2 2 2 2 4 3" xfId="28583"/>
    <cellStyle name="Comma 2 2 2 2 4 2 2 2 2 2 5" xfId="24114"/>
    <cellStyle name="Comma 2 2 2 2 4 2 2 2 2 2 5 2" xfId="36878"/>
    <cellStyle name="Comma 2 2 2 2 4 2 2 2 2 3" xfId="2188"/>
    <cellStyle name="Comma 2 2 2 2 4 2 2 2 2 3 2" xfId="6678"/>
    <cellStyle name="Comma 2 2 2 2 4 2 2 2 2 3 2 2" xfId="7422"/>
    <cellStyle name="Comma 2 2 2 2 4 2 2 2 2 3 2 2 2" xfId="20231"/>
    <cellStyle name="Comma 2 2 2 2 4 2 2 2 2 3 2 2 2 2" xfId="20974"/>
    <cellStyle name="Comma 2 2 2 2 4 2 2 2 2 3 2 2 2 2 2" xfId="55557"/>
    <cellStyle name="Comma 2 2 2 2 4 2 2 2 2 3 2 2 2 2 2 2" xfId="56300"/>
    <cellStyle name="Comma 2 2 2 2 4 2 2 2 2 3 2 2 2 3" xfId="34477"/>
    <cellStyle name="Comma 2 2 2 2 4 2 2 2 2 3 2 2 3" xfId="33733"/>
    <cellStyle name="Comma 2 2 2 2 4 2 2 2 2 3 2 2 3 2" xfId="42849"/>
    <cellStyle name="Comma 2 2 2 2 4 2 2 2 2 3 2 3" xfId="12647"/>
    <cellStyle name="Comma 2 2 2 2 4 2 2 2 2 3 2 3 2" xfId="42106"/>
    <cellStyle name="Comma 2 2 2 2 4 2 2 2 2 3 2 3 2 2" xfId="47993"/>
    <cellStyle name="Comma 2 2 2 2 4 2 2 2 2 3 2 4" xfId="26131"/>
    <cellStyle name="Comma 2 2 2 2 4 2 2 2 2 3 3" xfId="11901"/>
    <cellStyle name="Comma 2 2 2 2 4 2 2 2 2 3 3 2" xfId="15852"/>
    <cellStyle name="Comma 2 2 2 2 4 2 2 2 2 3 3 2 2" xfId="47249"/>
    <cellStyle name="Comma 2 2 2 2 4 2 2 2 2 3 3 2 2 2" xfId="51184"/>
    <cellStyle name="Comma 2 2 2 2 4 2 2 2 2 3 3 3" xfId="29358"/>
    <cellStyle name="Comma 2 2 2 2 4 2 2 2 2 3 4" xfId="25386"/>
    <cellStyle name="Comma 2 2 2 2 4 2 2 2 2 3 4 2" xfId="37666"/>
    <cellStyle name="Comma 2 2 2 2 4 2 2 2 2 4" xfId="4204"/>
    <cellStyle name="Comma 2 2 2 2 4 2 2 2 2 4 2" xfId="15059"/>
    <cellStyle name="Comma 2 2 2 2 4 2 2 2 2 4 2 2" xfId="17797"/>
    <cellStyle name="Comma 2 2 2 2 4 2 2 2 2 4 2 2 2" xfId="50398"/>
    <cellStyle name="Comma 2 2 2 2 4 2 2 2 2 4 2 2 2 2" xfId="53124"/>
    <cellStyle name="Comma 2 2 2 2 4 2 2 2 2 4 2 3" xfId="31299"/>
    <cellStyle name="Comma 2 2 2 2 4 2 2 2 2 4 3" xfId="28572"/>
    <cellStyle name="Comma 2 2 2 2 4 2 2 2 2 4 3 2" xfId="39647"/>
    <cellStyle name="Comma 2 2 2 2 4 2 2 2 2 5" xfId="9395"/>
    <cellStyle name="Comma 2 2 2 2 4 2 2 2 2 5 2" xfId="36867"/>
    <cellStyle name="Comma 2 2 2 2 4 2 2 2 2 5 2 2" xfId="44777"/>
    <cellStyle name="Comma 2 2 2 2 4 2 2 2 2 6" xfId="22891"/>
    <cellStyle name="Comma 2 2 2 2 4 2 2 2 3" xfId="2177"/>
    <cellStyle name="Comma 2 2 2 2 4 2 2 2 3 2" xfId="2675"/>
    <cellStyle name="Comma 2 2 2 2 4 2 2 2 3 2 2" xfId="7411"/>
    <cellStyle name="Comma 2 2 2 2 4 2 2 2 3 2 2 2" xfId="7894"/>
    <cellStyle name="Comma 2 2 2 2 4 2 2 2 3 2 2 2 2" xfId="20963"/>
    <cellStyle name="Comma 2 2 2 2 4 2 2 2 3 2 2 2 2 2" xfId="21446"/>
    <cellStyle name="Comma 2 2 2 2 4 2 2 2 3 2 2 2 2 2 2" xfId="56289"/>
    <cellStyle name="Comma 2 2 2 2 4 2 2 2 3 2 2 2 2 2 2 2" xfId="56772"/>
    <cellStyle name="Comma 2 2 2 2 4 2 2 2 3 2 2 2 2 3" xfId="34949"/>
    <cellStyle name="Comma 2 2 2 2 4 2 2 2 3 2 2 2 3" xfId="34466"/>
    <cellStyle name="Comma 2 2 2 2 4 2 2 2 3 2 2 2 3 2" xfId="43321"/>
    <cellStyle name="Comma 2 2 2 2 4 2 2 2 3 2 2 3" xfId="13119"/>
    <cellStyle name="Comma 2 2 2 2 4 2 2 2 3 2 2 3 2" xfId="42838"/>
    <cellStyle name="Comma 2 2 2 2 4 2 2 2 3 2 2 3 2 2" xfId="48465"/>
    <cellStyle name="Comma 2 2 2 2 4 2 2 2 3 2 2 4" xfId="26603"/>
    <cellStyle name="Comma 2 2 2 2 4 2 2 2 3 2 3" xfId="12636"/>
    <cellStyle name="Comma 2 2 2 2 4 2 2 2 3 2 3 2" xfId="16334"/>
    <cellStyle name="Comma 2 2 2 2 4 2 2 2 3 2 3 2 2" xfId="47982"/>
    <cellStyle name="Comma 2 2 2 2 4 2 2 2 3 2 3 2 2 2" xfId="51664"/>
    <cellStyle name="Comma 2 2 2 2 4 2 2 2 3 2 3 3" xfId="29838"/>
    <cellStyle name="Comma 2 2 2 2 4 2 2 2 3 2 4" xfId="26120"/>
    <cellStyle name="Comma 2 2 2 2 4 2 2 2 3 2 4 2" xfId="38148"/>
    <cellStyle name="Comma 2 2 2 2 4 2 2 2 3 3" xfId="4711"/>
    <cellStyle name="Comma 2 2 2 2 4 2 2 2 3 3 2" xfId="15841"/>
    <cellStyle name="Comma 2 2 2 2 4 2 2 2 3 3 2 2" xfId="18288"/>
    <cellStyle name="Comma 2 2 2 2 4 2 2 2 3 3 2 2 2" xfId="51173"/>
    <cellStyle name="Comma 2 2 2 2 4 2 2 2 3 3 2 2 2 2" xfId="53614"/>
    <cellStyle name="Comma 2 2 2 2 4 2 2 2 3 3 2 3" xfId="31789"/>
    <cellStyle name="Comma 2 2 2 2 4 2 2 2 3 3 3" xfId="29347"/>
    <cellStyle name="Comma 2 2 2 2 4 2 2 2 3 3 3 2" xfId="40149"/>
    <cellStyle name="Comma 2 2 2 2 4 2 2 2 3 4" xfId="9914"/>
    <cellStyle name="Comma 2 2 2 2 4 2 2 2 3 4 2" xfId="37655"/>
    <cellStyle name="Comma 2 2 2 2 4 2 2 2 3 4 2 2" xfId="45281"/>
    <cellStyle name="Comma 2 2 2 2 4 2 2 2 3 5" xfId="23404"/>
    <cellStyle name="Comma 2 2 2 2 4 2 2 2 4" xfId="4193"/>
    <cellStyle name="Comma 2 2 2 2 4 2 2 2 4 2" xfId="5916"/>
    <cellStyle name="Comma 2 2 2 2 4 2 2 2 4 2 2" xfId="17786"/>
    <cellStyle name="Comma 2 2 2 2 4 2 2 2 4 2 2 2" xfId="19483"/>
    <cellStyle name="Comma 2 2 2 2 4 2 2 2 4 2 2 2 2" xfId="53113"/>
    <cellStyle name="Comma 2 2 2 2 4 2 2 2 4 2 2 2 2 2" xfId="54809"/>
    <cellStyle name="Comma 2 2 2 2 4 2 2 2 4 2 2 3" xfId="32984"/>
    <cellStyle name="Comma 2 2 2 2 4 2 2 2 4 2 3" xfId="31288"/>
    <cellStyle name="Comma 2 2 2 2 4 2 2 2 4 2 3 2" xfId="41350"/>
    <cellStyle name="Comma 2 2 2 2 4 2 2 2 4 3" xfId="11141"/>
    <cellStyle name="Comma 2 2 2 2 4 2 2 2 4 3 2" xfId="39636"/>
    <cellStyle name="Comma 2 2 2 2 4 2 2 2 4 3 2 2" xfId="46499"/>
    <cellStyle name="Comma 2 2 2 2 4 2 2 2 4 4" xfId="24634"/>
    <cellStyle name="Comma 2 2 2 2 4 2 2 2 5" xfId="9384"/>
    <cellStyle name="Comma 2 2 2 2 4 2 2 2 5 2" xfId="14300"/>
    <cellStyle name="Comma 2 2 2 2 4 2 2 2 5 2 2" xfId="44766"/>
    <cellStyle name="Comma 2 2 2 2 4 2 2 2 5 2 2 2" xfId="49645"/>
    <cellStyle name="Comma 2 2 2 2 4 2 2 2 5 3" xfId="27810"/>
    <cellStyle name="Comma 2 2 2 2 4 2 2 2 6" xfId="22880"/>
    <cellStyle name="Comma 2 2 2 2 4 2 2 2 6 2" xfId="36112"/>
    <cellStyle name="Comma 2 2 2 2 4 2 2 3" xfId="913"/>
    <cellStyle name="Comma 2 2 2 2 4 2 2 3 2" xfId="2663"/>
    <cellStyle name="Comma 2 2 2 2 4 2 2 3 2 2" xfId="2951"/>
    <cellStyle name="Comma 2 2 2 2 4 2 2 3 2 2 2" xfId="7882"/>
    <cellStyle name="Comma 2 2 2 2 4 2 2 3 2 2 2 2" xfId="8166"/>
    <cellStyle name="Comma 2 2 2 2 4 2 2 3 2 2 2 2 2" xfId="21434"/>
    <cellStyle name="Comma 2 2 2 2 4 2 2 3 2 2 2 2 2 2" xfId="21718"/>
    <cellStyle name="Comma 2 2 2 2 4 2 2 3 2 2 2 2 2 2 2" xfId="56760"/>
    <cellStyle name="Comma 2 2 2 2 4 2 2 3 2 2 2 2 2 2 2 2" xfId="57044"/>
    <cellStyle name="Comma 2 2 2 2 4 2 2 3 2 2 2 2 2 3" xfId="35221"/>
    <cellStyle name="Comma 2 2 2 2 4 2 2 3 2 2 2 2 3" xfId="34937"/>
    <cellStyle name="Comma 2 2 2 2 4 2 2 3 2 2 2 2 3 2" xfId="43593"/>
    <cellStyle name="Comma 2 2 2 2 4 2 2 3 2 2 2 3" xfId="13391"/>
    <cellStyle name="Comma 2 2 2 2 4 2 2 3 2 2 2 3 2" xfId="43309"/>
    <cellStyle name="Comma 2 2 2 2 4 2 2 3 2 2 2 3 2 2" xfId="48737"/>
    <cellStyle name="Comma 2 2 2 2 4 2 2 3 2 2 2 4" xfId="26876"/>
    <cellStyle name="Comma 2 2 2 2 4 2 2 3 2 2 3" xfId="13107"/>
    <cellStyle name="Comma 2 2 2 2 4 2 2 3 2 2 3 2" xfId="16608"/>
    <cellStyle name="Comma 2 2 2 2 4 2 2 3 2 2 3 2 2" xfId="48453"/>
    <cellStyle name="Comma 2 2 2 2 4 2 2 3 2 2 3 2 2 2" xfId="51936"/>
    <cellStyle name="Comma 2 2 2 2 4 2 2 3 2 2 3 3" xfId="30110"/>
    <cellStyle name="Comma 2 2 2 2 4 2 2 3 2 2 4" xfId="26591"/>
    <cellStyle name="Comma 2 2 2 2 4 2 2 3 2 2 4 2" xfId="38420"/>
    <cellStyle name="Comma 2 2 2 2 4 2 2 3 2 3" xfId="4987"/>
    <cellStyle name="Comma 2 2 2 2 4 2 2 3 2 3 2" xfId="16322"/>
    <cellStyle name="Comma 2 2 2 2 4 2 2 3 2 3 2 2" xfId="18560"/>
    <cellStyle name="Comma 2 2 2 2 4 2 2 3 2 3 2 2 2" xfId="51652"/>
    <cellStyle name="Comma 2 2 2 2 4 2 2 3 2 3 2 2 2 2" xfId="53886"/>
    <cellStyle name="Comma 2 2 2 2 4 2 2 3 2 3 2 3" xfId="32061"/>
    <cellStyle name="Comma 2 2 2 2 4 2 2 3 2 3 3" xfId="29826"/>
    <cellStyle name="Comma 2 2 2 2 4 2 2 3 2 3 3 2" xfId="40424"/>
    <cellStyle name="Comma 2 2 2 2 4 2 2 3 2 4" xfId="10190"/>
    <cellStyle name="Comma 2 2 2 2 4 2 2 3 2 4 2" xfId="38136"/>
    <cellStyle name="Comma 2 2 2 2 4 2 2 3 2 4 2 2" xfId="45553"/>
    <cellStyle name="Comma 2 2 2 2 4 2 2 3 2 5" xfId="23676"/>
    <cellStyle name="Comma 2 2 2 2 4 2 2 3 3" xfId="4699"/>
    <cellStyle name="Comma 2 2 2 2 4 2 2 3 3 2" xfId="6224"/>
    <cellStyle name="Comma 2 2 2 2 4 2 2 3 3 2 2" xfId="18276"/>
    <cellStyle name="Comma 2 2 2 2 4 2 2 3 3 2 2 2" xfId="19781"/>
    <cellStyle name="Comma 2 2 2 2 4 2 2 3 3 2 2 2 2" xfId="53602"/>
    <cellStyle name="Comma 2 2 2 2 4 2 2 3 3 2 2 2 2 2" xfId="55107"/>
    <cellStyle name="Comma 2 2 2 2 4 2 2 3 3 2 2 3" xfId="33283"/>
    <cellStyle name="Comma 2 2 2 2 4 2 2 3 3 2 3" xfId="31777"/>
    <cellStyle name="Comma 2 2 2 2 4 2 2 3 3 2 3 2" xfId="41653"/>
    <cellStyle name="Comma 2 2 2 2 4 2 2 3 3 3" xfId="11449"/>
    <cellStyle name="Comma 2 2 2 2 4 2 2 3 3 3 2" xfId="40137"/>
    <cellStyle name="Comma 2 2 2 2 4 2 2 3 3 3 2 2" xfId="46798"/>
    <cellStyle name="Comma 2 2 2 2 4 2 2 3 3 4" xfId="24935"/>
    <cellStyle name="Comma 2 2 2 2 4 2 2 3 4" xfId="9902"/>
    <cellStyle name="Comma 2 2 2 2 4 2 2 3 4 2" xfId="14607"/>
    <cellStyle name="Comma 2 2 2 2 4 2 2 3 4 2 2" xfId="45269"/>
    <cellStyle name="Comma 2 2 2 2 4 2 2 3 4 2 2 2" xfId="49946"/>
    <cellStyle name="Comma 2 2 2 2 4 2 2 3 4 3" xfId="28118"/>
    <cellStyle name="Comma 2 2 2 2 4 2 2 3 5" xfId="23392"/>
    <cellStyle name="Comma 2 2 2 2 4 2 2 3 5 2" xfId="36415"/>
    <cellStyle name="Comma 2 2 2 2 4 2 2 4" xfId="1709"/>
    <cellStyle name="Comma 2 2 2 2 4 2 2 4 2" xfId="5904"/>
    <cellStyle name="Comma 2 2 2 2 4 2 2 4 2 2" xfId="6962"/>
    <cellStyle name="Comma 2 2 2 2 4 2 2 4 2 2 2" xfId="19471"/>
    <cellStyle name="Comma 2 2 2 2 4 2 2 4 2 2 2 2" xfId="20515"/>
    <cellStyle name="Comma 2 2 2 2 4 2 2 4 2 2 2 2 2" xfId="54797"/>
    <cellStyle name="Comma 2 2 2 2 4 2 2 4 2 2 2 2 2 2" xfId="55841"/>
    <cellStyle name="Comma 2 2 2 2 4 2 2 4 2 2 2 3" xfId="34017"/>
    <cellStyle name="Comma 2 2 2 2 4 2 2 4 2 2 3" xfId="32972"/>
    <cellStyle name="Comma 2 2 2 2 4 2 2 4 2 2 3 2" xfId="42390"/>
    <cellStyle name="Comma 2 2 2 2 4 2 2 4 2 3" xfId="12186"/>
    <cellStyle name="Comma 2 2 2 2 4 2 2 4 2 3 2" xfId="41338"/>
    <cellStyle name="Comma 2 2 2 2 4 2 2 4 2 3 2 2" xfId="47533"/>
    <cellStyle name="Comma 2 2 2 2 4 2 2 4 2 4" xfId="25671"/>
    <cellStyle name="Comma 2 2 2 2 4 2 2 4 3" xfId="11129"/>
    <cellStyle name="Comma 2 2 2 2 4 2 2 4 3 2" xfId="15381"/>
    <cellStyle name="Comma 2 2 2 2 4 2 2 4 3 2 2" xfId="46487"/>
    <cellStyle name="Comma 2 2 2 2 4 2 2 4 3 2 2 2" xfId="50714"/>
    <cellStyle name="Comma 2 2 2 2 4 2 2 4 3 3" xfId="28888"/>
    <cellStyle name="Comma 2 2 2 2 4 2 2 4 4" xfId="24622"/>
    <cellStyle name="Comma 2 2 2 2 4 2 2 4 4 2" xfId="37191"/>
    <cellStyle name="Comma 2 2 2 2 4 2 2 5" xfId="3714"/>
    <cellStyle name="Comma 2 2 2 2 4 2 2 5 2" xfId="14288"/>
    <cellStyle name="Comma 2 2 2 2 4 2 2 5 2 2" xfId="17330"/>
    <cellStyle name="Comma 2 2 2 2 4 2 2 5 2 2 2" xfId="49633"/>
    <cellStyle name="Comma 2 2 2 2 4 2 2 5 2 2 2 2" xfId="52657"/>
    <cellStyle name="Comma 2 2 2 2 4 2 2 5 2 3" xfId="30831"/>
    <cellStyle name="Comma 2 2 2 2 4 2 2 5 3" xfId="27798"/>
    <cellStyle name="Comma 2 2 2 2 4 2 2 5 3 2" xfId="39165"/>
    <cellStyle name="Comma 2 2 2 2 4 2 2 6" xfId="8903"/>
    <cellStyle name="Comma 2 2 2 2 4 2 2 6 2" xfId="36100"/>
    <cellStyle name="Comma 2 2 2 2 4 2 2 6 2 2" xfId="44302"/>
    <cellStyle name="Comma 2 2 2 2 4 2 2 7" xfId="22410"/>
    <cellStyle name="Comma 2 2 2 2 4 2 3" xfId="901"/>
    <cellStyle name="Comma 2 2 2 2 4 2 3 2" xfId="1094"/>
    <cellStyle name="Comma 2 2 2 2 4 2 3 2 2" xfId="2940"/>
    <cellStyle name="Comma 2 2 2 2 4 2 3 2 2 2" xfId="3124"/>
    <cellStyle name="Comma 2 2 2 2 4 2 3 2 2 2 2" xfId="8155"/>
    <cellStyle name="Comma 2 2 2 2 4 2 3 2 2 2 2 2" xfId="8339"/>
    <cellStyle name="Comma 2 2 2 2 4 2 3 2 2 2 2 2 2" xfId="21707"/>
    <cellStyle name="Comma 2 2 2 2 4 2 3 2 2 2 2 2 2 2" xfId="21891"/>
    <cellStyle name="Comma 2 2 2 2 4 2 3 2 2 2 2 2 2 2 2" xfId="57033"/>
    <cellStyle name="Comma 2 2 2 2 4 2 3 2 2 2 2 2 2 2 2 2" xfId="57217"/>
    <cellStyle name="Comma 2 2 2 2 4 2 3 2 2 2 2 2 2 3" xfId="35394"/>
    <cellStyle name="Comma 2 2 2 2 4 2 3 2 2 2 2 2 3" xfId="35210"/>
    <cellStyle name="Comma 2 2 2 2 4 2 3 2 2 2 2 2 3 2" xfId="43766"/>
    <cellStyle name="Comma 2 2 2 2 4 2 3 2 2 2 2 3" xfId="13564"/>
    <cellStyle name="Comma 2 2 2 2 4 2 3 2 2 2 2 3 2" xfId="43582"/>
    <cellStyle name="Comma 2 2 2 2 4 2 3 2 2 2 2 3 2 2" xfId="48910"/>
    <cellStyle name="Comma 2 2 2 2 4 2 3 2 2 2 2 4" xfId="27049"/>
    <cellStyle name="Comma 2 2 2 2 4 2 3 2 2 2 3" xfId="13380"/>
    <cellStyle name="Comma 2 2 2 2 4 2 3 2 2 2 3 2" xfId="16781"/>
    <cellStyle name="Comma 2 2 2 2 4 2 3 2 2 2 3 2 2" xfId="48726"/>
    <cellStyle name="Comma 2 2 2 2 4 2 3 2 2 2 3 2 2 2" xfId="52109"/>
    <cellStyle name="Comma 2 2 2 2 4 2 3 2 2 2 3 3" xfId="30283"/>
    <cellStyle name="Comma 2 2 2 2 4 2 3 2 2 2 4" xfId="26865"/>
    <cellStyle name="Comma 2 2 2 2 4 2 3 2 2 2 4 2" xfId="38593"/>
    <cellStyle name="Comma 2 2 2 2 4 2 3 2 2 3" xfId="5161"/>
    <cellStyle name="Comma 2 2 2 2 4 2 3 2 2 3 2" xfId="16597"/>
    <cellStyle name="Comma 2 2 2 2 4 2 3 2 2 3 2 2" xfId="18734"/>
    <cellStyle name="Comma 2 2 2 2 4 2 3 2 2 3 2 2 2" xfId="51925"/>
    <cellStyle name="Comma 2 2 2 2 4 2 3 2 2 3 2 2 2 2" xfId="54060"/>
    <cellStyle name="Comma 2 2 2 2 4 2 3 2 2 3 2 3" xfId="32235"/>
    <cellStyle name="Comma 2 2 2 2 4 2 3 2 2 3 3" xfId="30099"/>
    <cellStyle name="Comma 2 2 2 2 4 2 3 2 2 3 3 2" xfId="40598"/>
    <cellStyle name="Comma 2 2 2 2 4 2 3 2 2 4" xfId="10364"/>
    <cellStyle name="Comma 2 2 2 2 4 2 3 2 2 4 2" xfId="38409"/>
    <cellStyle name="Comma 2 2 2 2 4 2 3 2 2 4 2 2" xfId="45727"/>
    <cellStyle name="Comma 2 2 2 2 4 2 3 2 2 5" xfId="23850"/>
    <cellStyle name="Comma 2 2 2 2 4 2 3 2 3" xfId="4976"/>
    <cellStyle name="Comma 2 2 2 2 4 2 3 2 3 2" xfId="6403"/>
    <cellStyle name="Comma 2 2 2 2 4 2 3 2 3 2 2" xfId="18549"/>
    <cellStyle name="Comma 2 2 2 2 4 2 3 2 3 2 2 2" xfId="19959"/>
    <cellStyle name="Comma 2 2 2 2 4 2 3 2 3 2 2 2 2" xfId="53875"/>
    <cellStyle name="Comma 2 2 2 2 4 2 3 2 3 2 2 2 2 2" xfId="55285"/>
    <cellStyle name="Comma 2 2 2 2 4 2 3 2 3 2 2 3" xfId="33461"/>
    <cellStyle name="Comma 2 2 2 2 4 2 3 2 3 2 3" xfId="32050"/>
    <cellStyle name="Comma 2 2 2 2 4 2 3 2 3 2 3 2" xfId="41832"/>
    <cellStyle name="Comma 2 2 2 2 4 2 3 2 3 3" xfId="11628"/>
    <cellStyle name="Comma 2 2 2 2 4 2 3 2 3 3 2" xfId="40413"/>
    <cellStyle name="Comma 2 2 2 2 4 2 3 2 3 3 2 2" xfId="46977"/>
    <cellStyle name="Comma 2 2 2 2 4 2 3 2 3 4" xfId="25114"/>
    <cellStyle name="Comma 2 2 2 2 4 2 3 2 4" xfId="10179"/>
    <cellStyle name="Comma 2 2 2 2 4 2 3 2 4 2" xfId="14786"/>
    <cellStyle name="Comma 2 2 2 2 4 2 3 2 4 2 2" xfId="45542"/>
    <cellStyle name="Comma 2 2 2 2 4 2 3 2 4 2 2 2" xfId="50125"/>
    <cellStyle name="Comma 2 2 2 2 4 2 3 2 4 3" xfId="28298"/>
    <cellStyle name="Comma 2 2 2 2 4 2 3 2 5" xfId="23665"/>
    <cellStyle name="Comma 2 2 2 2 4 2 3 2 5 2" xfId="36594"/>
    <cellStyle name="Comma 2 2 2 2 4 2 3 3" xfId="1902"/>
    <cellStyle name="Comma 2 2 2 2 4 2 3 3 2" xfId="6212"/>
    <cellStyle name="Comma 2 2 2 2 4 2 3 3 2 2" xfId="7146"/>
    <cellStyle name="Comma 2 2 2 2 4 2 3 3 2 2 2" xfId="19770"/>
    <cellStyle name="Comma 2 2 2 2 4 2 3 3 2 2 2 2" xfId="20698"/>
    <cellStyle name="Comma 2 2 2 2 4 2 3 3 2 2 2 2 2" xfId="55096"/>
    <cellStyle name="Comma 2 2 2 2 4 2 3 3 2 2 2 2 2 2" xfId="56024"/>
    <cellStyle name="Comma 2 2 2 2 4 2 3 3 2 2 2 3" xfId="34201"/>
    <cellStyle name="Comma 2 2 2 2 4 2 3 3 2 2 3" xfId="33272"/>
    <cellStyle name="Comma 2 2 2 2 4 2 3 3 2 2 3 2" xfId="42573"/>
    <cellStyle name="Comma 2 2 2 2 4 2 3 3 2 3" xfId="12371"/>
    <cellStyle name="Comma 2 2 2 2 4 2 3 3 2 3 2" xfId="41641"/>
    <cellStyle name="Comma 2 2 2 2 4 2 3 3 2 3 2 2" xfId="47717"/>
    <cellStyle name="Comma 2 2 2 2 4 2 3 3 2 4" xfId="25855"/>
    <cellStyle name="Comma 2 2 2 2 4 2 3 3 3" xfId="11437"/>
    <cellStyle name="Comma 2 2 2 2 4 2 3 3 3 2" xfId="15569"/>
    <cellStyle name="Comma 2 2 2 2 4 2 3 3 3 2 2" xfId="46787"/>
    <cellStyle name="Comma 2 2 2 2 4 2 3 3 3 2 2 2" xfId="50901"/>
    <cellStyle name="Comma 2 2 2 2 4 2 3 3 3 3" xfId="29075"/>
    <cellStyle name="Comma 2 2 2 2 4 2 3 3 4" xfId="24924"/>
    <cellStyle name="Comma 2 2 2 2 4 2 3 3 4 2" xfId="37381"/>
    <cellStyle name="Comma 2 2 2 2 4 2 3 4" xfId="3916"/>
    <cellStyle name="Comma 2 2 2 2 4 2 3 4 2" xfId="14596"/>
    <cellStyle name="Comma 2 2 2 2 4 2 3 4 2 2" xfId="17521"/>
    <cellStyle name="Comma 2 2 2 2 4 2 3 4 2 2 2" xfId="49935"/>
    <cellStyle name="Comma 2 2 2 2 4 2 3 4 2 2 2 2" xfId="52848"/>
    <cellStyle name="Comma 2 2 2 2 4 2 3 4 2 3" xfId="31023"/>
    <cellStyle name="Comma 2 2 2 2 4 2 3 4 3" xfId="28106"/>
    <cellStyle name="Comma 2 2 2 2 4 2 3 4 3 2" xfId="39361"/>
    <cellStyle name="Comma 2 2 2 2 4 2 3 5" xfId="9108"/>
    <cellStyle name="Comma 2 2 2 2 4 2 3 5 2" xfId="36404"/>
    <cellStyle name="Comma 2 2 2 2 4 2 3 5 2 2" xfId="44500"/>
    <cellStyle name="Comma 2 2 2 2 4 2 3 6" xfId="22614"/>
    <cellStyle name="Comma 2 2 2 2 4 2 4" xfId="1697"/>
    <cellStyle name="Comma 2 2 2 2 4 2 4 2" xfId="2351"/>
    <cellStyle name="Comma 2 2 2 2 4 2 4 2 2" xfId="6951"/>
    <cellStyle name="Comma 2 2 2 2 4 2 4 2 2 2" xfId="7585"/>
    <cellStyle name="Comma 2 2 2 2 4 2 4 2 2 2 2" xfId="20504"/>
    <cellStyle name="Comma 2 2 2 2 4 2 4 2 2 2 2 2" xfId="21137"/>
    <cellStyle name="Comma 2 2 2 2 4 2 4 2 2 2 2 2 2" xfId="55830"/>
    <cellStyle name="Comma 2 2 2 2 4 2 4 2 2 2 2 2 2 2" xfId="56463"/>
    <cellStyle name="Comma 2 2 2 2 4 2 4 2 2 2 2 3" xfId="34640"/>
    <cellStyle name="Comma 2 2 2 2 4 2 4 2 2 2 3" xfId="34006"/>
    <cellStyle name="Comma 2 2 2 2 4 2 4 2 2 2 3 2" xfId="43012"/>
    <cellStyle name="Comma 2 2 2 2 4 2 4 2 2 3" xfId="12810"/>
    <cellStyle name="Comma 2 2 2 2 4 2 4 2 2 3 2" xfId="42379"/>
    <cellStyle name="Comma 2 2 2 2 4 2 4 2 2 3 2 2" xfId="48156"/>
    <cellStyle name="Comma 2 2 2 2 4 2 4 2 2 4" xfId="26294"/>
    <cellStyle name="Comma 2 2 2 2 4 2 4 2 3" xfId="12175"/>
    <cellStyle name="Comma 2 2 2 2 4 2 4 2 3 2" xfId="16015"/>
    <cellStyle name="Comma 2 2 2 2 4 2 4 2 3 2 2" xfId="47522"/>
    <cellStyle name="Comma 2 2 2 2 4 2 4 2 3 2 2 2" xfId="51347"/>
    <cellStyle name="Comma 2 2 2 2 4 2 4 2 3 3" xfId="29521"/>
    <cellStyle name="Comma 2 2 2 2 4 2 4 2 4" xfId="25660"/>
    <cellStyle name="Comma 2 2 2 2 4 2 4 2 4 2" xfId="37829"/>
    <cellStyle name="Comma 2 2 2 2 4 2 4 3" xfId="4382"/>
    <cellStyle name="Comma 2 2 2 2 4 2 4 3 2" xfId="15369"/>
    <cellStyle name="Comma 2 2 2 2 4 2 4 3 2 2" xfId="17974"/>
    <cellStyle name="Comma 2 2 2 2 4 2 4 3 2 2 2" xfId="50703"/>
    <cellStyle name="Comma 2 2 2 2 4 2 4 3 2 2 2 2" xfId="53300"/>
    <cellStyle name="Comma 2 2 2 2 4 2 4 3 2 3" xfId="31475"/>
    <cellStyle name="Comma 2 2 2 2 4 2 4 3 3" xfId="28877"/>
    <cellStyle name="Comma 2 2 2 2 4 2 4 3 3 2" xfId="39824"/>
    <cellStyle name="Comma 2 2 2 2 4 2 4 4" xfId="9583"/>
    <cellStyle name="Comma 2 2 2 2 4 2 4 4 2" xfId="37180"/>
    <cellStyle name="Comma 2 2 2 2 4 2 4 4 2 2" xfId="44964"/>
    <cellStyle name="Comma 2 2 2 2 4 2 4 5" xfId="23084"/>
    <cellStyle name="Comma 2 2 2 2 4 2 5" xfId="3702"/>
    <cellStyle name="Comma 2 2 2 2 4 2 5 2" xfId="5592"/>
    <cellStyle name="Comma 2 2 2 2 4 2 5 2 2" xfId="17319"/>
    <cellStyle name="Comma 2 2 2 2 4 2 5 2 2 2" xfId="19164"/>
    <cellStyle name="Comma 2 2 2 2 4 2 5 2 2 2 2" xfId="52646"/>
    <cellStyle name="Comma 2 2 2 2 4 2 5 2 2 2 2 2" xfId="54490"/>
    <cellStyle name="Comma 2 2 2 2 4 2 5 2 2 3" xfId="32665"/>
    <cellStyle name="Comma 2 2 2 2 4 2 5 2 3" xfId="30820"/>
    <cellStyle name="Comma 2 2 2 2 4 2 5 2 3 2" xfId="41028"/>
    <cellStyle name="Comma 2 2 2 2 4 2 5 3" xfId="10804"/>
    <cellStyle name="Comma 2 2 2 2 4 2 5 3 2" xfId="39153"/>
    <cellStyle name="Comma 2 2 2 2 4 2 5 3 2 2" xfId="46166"/>
    <cellStyle name="Comma 2 2 2 2 4 2 5 4" xfId="24294"/>
    <cellStyle name="Comma 2 2 2 2 4 2 6" xfId="8891"/>
    <cellStyle name="Comma 2 2 2 2 4 2 6 2" xfId="13976"/>
    <cellStyle name="Comma 2 2 2 2 4 2 6 2 2" xfId="44291"/>
    <cellStyle name="Comma 2 2 2 2 4 2 6 2 2 2" xfId="49322"/>
    <cellStyle name="Comma 2 2 2 2 4 2 6 3" xfId="27468"/>
    <cellStyle name="Comma 2 2 2 2 4 2 7" xfId="22399"/>
    <cellStyle name="Comma 2 2 2 2 4 2 7 2" xfId="35788"/>
    <cellStyle name="Comma 2 2 2 2 4 3" xfId="359"/>
    <cellStyle name="Comma 2 2 2 2 4 3 2" xfId="1069"/>
    <cellStyle name="Comma 2 2 2 2 4 3 2 2" xfId="1208"/>
    <cellStyle name="Comma 2 2 2 2 4 3 2 2 2" xfId="3104"/>
    <cellStyle name="Comma 2 2 2 2 4 3 2 2 2 2" xfId="3227"/>
    <cellStyle name="Comma 2 2 2 2 4 3 2 2 2 2 2" xfId="8319"/>
    <cellStyle name="Comma 2 2 2 2 4 3 2 2 2 2 2 2" xfId="8442"/>
    <cellStyle name="Comma 2 2 2 2 4 3 2 2 2 2 2 2 2" xfId="21871"/>
    <cellStyle name="Comma 2 2 2 2 4 3 2 2 2 2 2 2 2 2" xfId="21994"/>
    <cellStyle name="Comma 2 2 2 2 4 3 2 2 2 2 2 2 2 2 2" xfId="57197"/>
    <cellStyle name="Comma 2 2 2 2 4 3 2 2 2 2 2 2 2 2 2 2" xfId="57320"/>
    <cellStyle name="Comma 2 2 2 2 4 3 2 2 2 2 2 2 2 3" xfId="35497"/>
    <cellStyle name="Comma 2 2 2 2 4 3 2 2 2 2 2 2 3" xfId="35374"/>
    <cellStyle name="Comma 2 2 2 2 4 3 2 2 2 2 2 2 3 2" xfId="43869"/>
    <cellStyle name="Comma 2 2 2 2 4 3 2 2 2 2 2 3" xfId="13667"/>
    <cellStyle name="Comma 2 2 2 2 4 3 2 2 2 2 2 3 2" xfId="43746"/>
    <cellStyle name="Comma 2 2 2 2 4 3 2 2 2 2 2 3 2 2" xfId="49013"/>
    <cellStyle name="Comma 2 2 2 2 4 3 2 2 2 2 2 4" xfId="27152"/>
    <cellStyle name="Comma 2 2 2 2 4 3 2 2 2 2 3" xfId="13544"/>
    <cellStyle name="Comma 2 2 2 2 4 3 2 2 2 2 3 2" xfId="16884"/>
    <cellStyle name="Comma 2 2 2 2 4 3 2 2 2 2 3 2 2" xfId="48890"/>
    <cellStyle name="Comma 2 2 2 2 4 3 2 2 2 2 3 2 2 2" xfId="52212"/>
    <cellStyle name="Comma 2 2 2 2 4 3 2 2 2 2 3 3" xfId="30386"/>
    <cellStyle name="Comma 2 2 2 2 4 3 2 2 2 2 4" xfId="27029"/>
    <cellStyle name="Comma 2 2 2 2 4 3 2 2 2 2 4 2" xfId="38696"/>
    <cellStyle name="Comma 2 2 2 2 4 3 2 2 2 3" xfId="5264"/>
    <cellStyle name="Comma 2 2 2 2 4 3 2 2 2 3 2" xfId="16761"/>
    <cellStyle name="Comma 2 2 2 2 4 3 2 2 2 3 2 2" xfId="18837"/>
    <cellStyle name="Comma 2 2 2 2 4 3 2 2 2 3 2 2 2" xfId="52089"/>
    <cellStyle name="Comma 2 2 2 2 4 3 2 2 2 3 2 2 2 2" xfId="54163"/>
    <cellStyle name="Comma 2 2 2 2 4 3 2 2 2 3 2 3" xfId="32338"/>
    <cellStyle name="Comma 2 2 2 2 4 3 2 2 2 3 3" xfId="30263"/>
    <cellStyle name="Comma 2 2 2 2 4 3 2 2 2 3 3 2" xfId="40701"/>
    <cellStyle name="Comma 2 2 2 2 4 3 2 2 2 4" xfId="10467"/>
    <cellStyle name="Comma 2 2 2 2 4 3 2 2 2 4 2" xfId="38573"/>
    <cellStyle name="Comma 2 2 2 2 4 3 2 2 2 4 2 2" xfId="45830"/>
    <cellStyle name="Comma 2 2 2 2 4 3 2 2 2 5" xfId="23953"/>
    <cellStyle name="Comma 2 2 2 2 4 3 2 2 3" xfId="5141"/>
    <cellStyle name="Comma 2 2 2 2 4 3 2 2 3 2" xfId="6516"/>
    <cellStyle name="Comma 2 2 2 2 4 3 2 2 3 2 2" xfId="18714"/>
    <cellStyle name="Comma 2 2 2 2 4 3 2 2 3 2 2 2" xfId="20069"/>
    <cellStyle name="Comma 2 2 2 2 4 3 2 2 3 2 2 2 2" xfId="54040"/>
    <cellStyle name="Comma 2 2 2 2 4 3 2 2 3 2 2 2 2 2" xfId="55395"/>
    <cellStyle name="Comma 2 2 2 2 4 3 2 2 3 2 2 3" xfId="33571"/>
    <cellStyle name="Comma 2 2 2 2 4 3 2 2 3 2 3" xfId="32215"/>
    <cellStyle name="Comma 2 2 2 2 4 3 2 2 3 2 3 2" xfId="41944"/>
    <cellStyle name="Comma 2 2 2 2 4 3 2 2 3 3" xfId="11739"/>
    <cellStyle name="Comma 2 2 2 2 4 3 2 2 3 3 2" xfId="40578"/>
    <cellStyle name="Comma 2 2 2 2 4 3 2 2 3 3 2 2" xfId="47087"/>
    <cellStyle name="Comma 2 2 2 2 4 3 2 2 3 4" xfId="25224"/>
    <cellStyle name="Comma 2 2 2 2 4 3 2 2 4" xfId="10344"/>
    <cellStyle name="Comma 2 2 2 2 4 3 2 2 4 2" xfId="14897"/>
    <cellStyle name="Comma 2 2 2 2 4 3 2 2 4 2 2" xfId="45707"/>
    <cellStyle name="Comma 2 2 2 2 4 3 2 2 4 2 2 2" xfId="50236"/>
    <cellStyle name="Comma 2 2 2 2 4 3 2 2 4 3" xfId="28410"/>
    <cellStyle name="Comma 2 2 2 2 4 3 2 2 5" xfId="23830"/>
    <cellStyle name="Comma 2 2 2 2 4 3 2 2 5 2" xfId="36705"/>
    <cellStyle name="Comma 2 2 2 2 4 3 2 3" xfId="2015"/>
    <cellStyle name="Comma 2 2 2 2 4 3 2 3 2" xfId="6379"/>
    <cellStyle name="Comma 2 2 2 2 4 3 2 3 2 2" xfId="7249"/>
    <cellStyle name="Comma 2 2 2 2 4 3 2 3 2 2 2" xfId="19935"/>
    <cellStyle name="Comma 2 2 2 2 4 3 2 3 2 2 2 2" xfId="20801"/>
    <cellStyle name="Comma 2 2 2 2 4 3 2 3 2 2 2 2 2" xfId="55261"/>
    <cellStyle name="Comma 2 2 2 2 4 3 2 3 2 2 2 2 2 2" xfId="56127"/>
    <cellStyle name="Comma 2 2 2 2 4 3 2 3 2 2 2 3" xfId="34304"/>
    <cellStyle name="Comma 2 2 2 2 4 3 2 3 2 2 3" xfId="33437"/>
    <cellStyle name="Comma 2 2 2 2 4 3 2 3 2 2 3 2" xfId="42676"/>
    <cellStyle name="Comma 2 2 2 2 4 3 2 3 2 3" xfId="12474"/>
    <cellStyle name="Comma 2 2 2 2 4 3 2 3 2 3 2" xfId="41808"/>
    <cellStyle name="Comma 2 2 2 2 4 3 2 3 2 3 2 2" xfId="47820"/>
    <cellStyle name="Comma 2 2 2 2 4 3 2 3 2 4" xfId="25958"/>
    <cellStyle name="Comma 2 2 2 2 4 3 2 3 3" xfId="11604"/>
    <cellStyle name="Comma 2 2 2 2 4 3 2 3 3 2" xfId="15679"/>
    <cellStyle name="Comma 2 2 2 2 4 3 2 3 3 2 2" xfId="46953"/>
    <cellStyle name="Comma 2 2 2 2 4 3 2 3 3 2 2 2" xfId="51011"/>
    <cellStyle name="Comma 2 2 2 2 4 3 2 3 3 3" xfId="29185"/>
    <cellStyle name="Comma 2 2 2 2 4 3 2 3 4" xfId="25090"/>
    <cellStyle name="Comma 2 2 2 2 4 3 2 3 4 2" xfId="37493"/>
    <cellStyle name="Comma 2 2 2 2 4 3 2 4" xfId="4030"/>
    <cellStyle name="Comma 2 2 2 2 4 3 2 4 2" xfId="14761"/>
    <cellStyle name="Comma 2 2 2 2 4 3 2 4 2 2" xfId="17624"/>
    <cellStyle name="Comma 2 2 2 2 4 3 2 4 2 2 2" xfId="50100"/>
    <cellStyle name="Comma 2 2 2 2 4 3 2 4 2 2 2 2" xfId="52951"/>
    <cellStyle name="Comma 2 2 2 2 4 3 2 4 2 3" xfId="31126"/>
    <cellStyle name="Comma 2 2 2 2 4 3 2 4 3" xfId="28273"/>
    <cellStyle name="Comma 2 2 2 2 4 3 2 4 3 2" xfId="39474"/>
    <cellStyle name="Comma 2 2 2 2 4 3 2 5" xfId="9222"/>
    <cellStyle name="Comma 2 2 2 2 4 3 2 5 2" xfId="36569"/>
    <cellStyle name="Comma 2 2 2 2 4 3 2 5 2 2" xfId="44604"/>
    <cellStyle name="Comma 2 2 2 2 4 3 2 6" xfId="22718"/>
    <cellStyle name="Comma 2 2 2 2 4 3 3" xfId="1877"/>
    <cellStyle name="Comma 2 2 2 2 4 3 3 2" xfId="2468"/>
    <cellStyle name="Comma 2 2 2 2 4 3 3 2 2" xfId="7126"/>
    <cellStyle name="Comma 2 2 2 2 4 3 3 2 2 2" xfId="7698"/>
    <cellStyle name="Comma 2 2 2 2 4 3 3 2 2 2 2" xfId="20678"/>
    <cellStyle name="Comma 2 2 2 2 4 3 3 2 2 2 2 2" xfId="21250"/>
    <cellStyle name="Comma 2 2 2 2 4 3 3 2 2 2 2 2 2" xfId="56004"/>
    <cellStyle name="Comma 2 2 2 2 4 3 3 2 2 2 2 2 2 2" xfId="56576"/>
    <cellStyle name="Comma 2 2 2 2 4 3 3 2 2 2 2 3" xfId="34753"/>
    <cellStyle name="Comma 2 2 2 2 4 3 3 2 2 2 3" xfId="34181"/>
    <cellStyle name="Comma 2 2 2 2 4 3 3 2 2 2 3 2" xfId="43125"/>
    <cellStyle name="Comma 2 2 2 2 4 3 3 2 2 3" xfId="12923"/>
    <cellStyle name="Comma 2 2 2 2 4 3 3 2 2 3 2" xfId="42553"/>
    <cellStyle name="Comma 2 2 2 2 4 3 3 2 2 3 2 2" xfId="48269"/>
    <cellStyle name="Comma 2 2 2 2 4 3 3 2 2 4" xfId="26407"/>
    <cellStyle name="Comma 2 2 2 2 4 3 3 2 3" xfId="12351"/>
    <cellStyle name="Comma 2 2 2 2 4 3 3 2 3 2" xfId="16131"/>
    <cellStyle name="Comma 2 2 2 2 4 3 3 2 3 2 2" xfId="47697"/>
    <cellStyle name="Comma 2 2 2 2 4 3 3 2 3 2 2 2" xfId="51462"/>
    <cellStyle name="Comma 2 2 2 2 4 3 3 2 3 3" xfId="29636"/>
    <cellStyle name="Comma 2 2 2 2 4 3 3 2 4" xfId="25835"/>
    <cellStyle name="Comma 2 2 2 2 4 3 3 2 4 2" xfId="37945"/>
    <cellStyle name="Comma 2 2 2 2 4 3 3 3" xfId="4503"/>
    <cellStyle name="Comma 2 2 2 2 4 3 3 3 2" xfId="15547"/>
    <cellStyle name="Comma 2 2 2 2 4 3 3 3 2 2" xfId="18091"/>
    <cellStyle name="Comma 2 2 2 2 4 3 3 3 2 2 2" xfId="50879"/>
    <cellStyle name="Comma 2 2 2 2 4 3 3 3 2 2 2 2" xfId="53417"/>
    <cellStyle name="Comma 2 2 2 2 4 3 3 3 2 3" xfId="31592"/>
    <cellStyle name="Comma 2 2 2 2 4 3 3 3 3" xfId="29053"/>
    <cellStyle name="Comma 2 2 2 2 4 3 3 3 3 2" xfId="39944"/>
    <cellStyle name="Comma 2 2 2 2 4 3 3 4" xfId="9707"/>
    <cellStyle name="Comma 2 2 2 2 4 3 3 4 2" xfId="37358"/>
    <cellStyle name="Comma 2 2 2 2 4 3 3 4 2 2" xfId="45084"/>
    <cellStyle name="Comma 2 2 2 2 4 3 3 5" xfId="23207"/>
    <cellStyle name="Comma 2 2 2 2 4 3 4" xfId="3891"/>
    <cellStyle name="Comma 2 2 2 2 4 3 4 2" xfId="5710"/>
    <cellStyle name="Comma 2 2 2 2 4 3 4 2 2" xfId="17501"/>
    <cellStyle name="Comma 2 2 2 2 4 3 4 2 2 2" xfId="19280"/>
    <cellStyle name="Comma 2 2 2 2 4 3 4 2 2 2 2" xfId="52828"/>
    <cellStyle name="Comma 2 2 2 2 4 3 4 2 2 2 2 2" xfId="54606"/>
    <cellStyle name="Comma 2 2 2 2 4 3 4 2 2 3" xfId="32781"/>
    <cellStyle name="Comma 2 2 2 2 4 3 4 2 3" xfId="31003"/>
    <cellStyle name="Comma 2 2 2 2 4 3 4 2 3 2" xfId="41145"/>
    <cellStyle name="Comma 2 2 2 2 4 3 4 3" xfId="10930"/>
    <cellStyle name="Comma 2 2 2 2 4 3 4 3 2" xfId="39339"/>
    <cellStyle name="Comma 2 2 2 2 4 3 4 3 2 2" xfId="46290"/>
    <cellStyle name="Comma 2 2 2 2 4 3 4 4" xfId="24422"/>
    <cellStyle name="Comma 2 2 2 2 4 3 5" xfId="9084"/>
    <cellStyle name="Comma 2 2 2 2 4 3 5 2" xfId="14094"/>
    <cellStyle name="Comma 2 2 2 2 4 3 5 2 2" xfId="44480"/>
    <cellStyle name="Comma 2 2 2 2 4 3 5 2 2 2" xfId="49439"/>
    <cellStyle name="Comma 2 2 2 2 4 3 5 3" xfId="27594"/>
    <cellStyle name="Comma 2 2 2 2 4 3 6" xfId="22593"/>
    <cellStyle name="Comma 2 2 2 2 4 3 6 2" xfId="35905"/>
    <cellStyle name="Comma 2 2 2 2 4 4" xfId="673"/>
    <cellStyle name="Comma 2 2 2 2 4 4 2" xfId="2331"/>
    <cellStyle name="Comma 2 2 2 2 4 4 2 2" xfId="2762"/>
    <cellStyle name="Comma 2 2 2 2 4 4 2 2 2" xfId="7565"/>
    <cellStyle name="Comma 2 2 2 2 4 4 2 2 2 2" xfId="7980"/>
    <cellStyle name="Comma 2 2 2 2 4 4 2 2 2 2 2" xfId="21117"/>
    <cellStyle name="Comma 2 2 2 2 4 4 2 2 2 2 2 2" xfId="21532"/>
    <cellStyle name="Comma 2 2 2 2 4 4 2 2 2 2 2 2 2" xfId="56443"/>
    <cellStyle name="Comma 2 2 2 2 4 4 2 2 2 2 2 2 2 2" xfId="56858"/>
    <cellStyle name="Comma 2 2 2 2 4 4 2 2 2 2 2 3" xfId="35035"/>
    <cellStyle name="Comma 2 2 2 2 4 4 2 2 2 2 3" xfId="34620"/>
    <cellStyle name="Comma 2 2 2 2 4 4 2 2 2 2 3 2" xfId="43407"/>
    <cellStyle name="Comma 2 2 2 2 4 4 2 2 2 3" xfId="13205"/>
    <cellStyle name="Comma 2 2 2 2 4 4 2 2 2 3 2" xfId="42992"/>
    <cellStyle name="Comma 2 2 2 2 4 4 2 2 2 3 2 2" xfId="48551"/>
    <cellStyle name="Comma 2 2 2 2 4 4 2 2 2 4" xfId="26689"/>
    <cellStyle name="Comma 2 2 2 2 4 4 2 2 3" xfId="12790"/>
    <cellStyle name="Comma 2 2 2 2 4 4 2 2 3 2" xfId="16421"/>
    <cellStyle name="Comma 2 2 2 2 4 4 2 2 3 2 2" xfId="48136"/>
    <cellStyle name="Comma 2 2 2 2 4 4 2 2 3 2 2 2" xfId="51750"/>
    <cellStyle name="Comma 2 2 2 2 4 4 2 2 3 3" xfId="29924"/>
    <cellStyle name="Comma 2 2 2 2 4 4 2 2 4" xfId="26274"/>
    <cellStyle name="Comma 2 2 2 2 4 4 2 2 4 2" xfId="38234"/>
    <cellStyle name="Comma 2 2 2 2 4 4 2 3" xfId="4798"/>
    <cellStyle name="Comma 2 2 2 2 4 4 2 3 2" xfId="15995"/>
    <cellStyle name="Comma 2 2 2 2 4 4 2 3 2 2" xfId="18374"/>
    <cellStyle name="Comma 2 2 2 2 4 4 2 3 2 2 2" xfId="51327"/>
    <cellStyle name="Comma 2 2 2 2 4 4 2 3 2 2 2 2" xfId="53700"/>
    <cellStyle name="Comma 2 2 2 2 4 4 2 3 2 3" xfId="31875"/>
    <cellStyle name="Comma 2 2 2 2 4 4 2 3 3" xfId="29501"/>
    <cellStyle name="Comma 2 2 2 2 4 4 2 3 3 2" xfId="40236"/>
    <cellStyle name="Comma 2 2 2 2 4 4 2 4" xfId="10001"/>
    <cellStyle name="Comma 2 2 2 2 4 4 2 4 2" xfId="37809"/>
    <cellStyle name="Comma 2 2 2 2 4 4 2 4 2 2" xfId="45367"/>
    <cellStyle name="Comma 2 2 2 2 4 4 2 5" xfId="23490"/>
    <cellStyle name="Comma 2 2 2 2 4 4 3" xfId="4361"/>
    <cellStyle name="Comma 2 2 2 2 4 4 3 2" xfId="6003"/>
    <cellStyle name="Comma 2 2 2 2 4 4 3 2 2" xfId="17953"/>
    <cellStyle name="Comma 2 2 2 2 4 4 3 2 2 2" xfId="19569"/>
    <cellStyle name="Comma 2 2 2 2 4 4 3 2 2 2 2" xfId="53280"/>
    <cellStyle name="Comma 2 2 2 2 4 4 3 2 2 2 2 2" xfId="54895"/>
    <cellStyle name="Comma 2 2 2 2 4 4 3 2 2 3" xfId="33070"/>
    <cellStyle name="Comma 2 2 2 2 4 4 3 2 3" xfId="31455"/>
    <cellStyle name="Comma 2 2 2 2 4 4 3 2 3 2" xfId="41437"/>
    <cellStyle name="Comma 2 2 2 2 4 4 3 3" xfId="11228"/>
    <cellStyle name="Comma 2 2 2 2 4 4 3 3 2" xfId="39803"/>
    <cellStyle name="Comma 2 2 2 2 4 4 3 3 2 2" xfId="46585"/>
    <cellStyle name="Comma 2 2 2 2 4 4 3 4" xfId="24721"/>
    <cellStyle name="Comma 2 2 2 2 4 4 4" xfId="9561"/>
    <cellStyle name="Comma 2 2 2 2 4 4 4 2" xfId="14386"/>
    <cellStyle name="Comma 2 2 2 2 4 4 4 2 2" xfId="44943"/>
    <cellStyle name="Comma 2 2 2 2 4 4 4 2 2 2" xfId="49731"/>
    <cellStyle name="Comma 2 2 2 2 4 4 4 3" xfId="27897"/>
    <cellStyle name="Comma 2 2 2 2 4 4 5" xfId="23062"/>
    <cellStyle name="Comma 2 2 2 2 4 4 5 2" xfId="36198"/>
    <cellStyle name="Comma 2 2 2 2 4 5" xfId="389"/>
    <cellStyle name="Comma 2 2 2 2 4 5 2" xfId="5571"/>
    <cellStyle name="Comma 2 2 2 2 4 5 2 2" xfId="5732"/>
    <cellStyle name="Comma 2 2 2 2 4 5 2 2 2" xfId="19144"/>
    <cellStyle name="Comma 2 2 2 2 4 5 2 2 2 2" xfId="19301"/>
    <cellStyle name="Comma 2 2 2 2 4 5 2 2 2 2 2" xfId="54470"/>
    <cellStyle name="Comma 2 2 2 2 4 5 2 2 2 2 2 2" xfId="54627"/>
    <cellStyle name="Comma 2 2 2 2 4 5 2 2 2 3" xfId="32802"/>
    <cellStyle name="Comma 2 2 2 2 4 5 2 2 3" xfId="32645"/>
    <cellStyle name="Comma 2 2 2 2 4 5 2 2 3 2" xfId="41167"/>
    <cellStyle name="Comma 2 2 2 2 4 5 2 3" xfId="10953"/>
    <cellStyle name="Comma 2 2 2 2 4 5 2 3 2" xfId="41008"/>
    <cellStyle name="Comma 2 2 2 2 4 5 2 3 2 2" xfId="46312"/>
    <cellStyle name="Comma 2 2 2 2 4 5 2 4" xfId="24446"/>
    <cellStyle name="Comma 2 2 2 2 4 5 3" xfId="10781"/>
    <cellStyle name="Comma 2 2 2 2 4 5 3 2" xfId="14116"/>
    <cellStyle name="Comma 2 2 2 2 4 5 3 2 2" xfId="46143"/>
    <cellStyle name="Comma 2 2 2 2 4 5 3 2 2 2" xfId="49461"/>
    <cellStyle name="Comma 2 2 2 2 4 5 3 3" xfId="27618"/>
    <cellStyle name="Comma 2 2 2 2 4 5 4" xfId="24270"/>
    <cellStyle name="Comma 2 2 2 2 4 5 4 2" xfId="35927"/>
    <cellStyle name="Comma 2 2 2 2 4 6" xfId="1084"/>
    <cellStyle name="Comma 2 2 2 2 4 6 2" xfId="13956"/>
    <cellStyle name="Comma 2 2 2 2 4 6 2 2" xfId="14776"/>
    <cellStyle name="Comma 2 2 2 2 4 6 2 2 2" xfId="49302"/>
    <cellStyle name="Comma 2 2 2 2 4 6 2 2 2 2" xfId="50115"/>
    <cellStyle name="Comma 2 2 2 2 4 6 2 3" xfId="28288"/>
    <cellStyle name="Comma 2 2 2 2 4 6 3" xfId="27446"/>
    <cellStyle name="Comma 2 2 2 2 4 6 3 2" xfId="36584"/>
    <cellStyle name="Comma 2 2 2 2 4 7" xfId="1531"/>
    <cellStyle name="Comma 2 2 2 2 4 7 2" xfId="35768"/>
    <cellStyle name="Comma 2 2 2 2 4 7 2 2" xfId="37021"/>
    <cellStyle name="Comma 2 2 2 2 4 8" xfId="8726"/>
    <cellStyle name="Comma 2 2 2 2 5" xfId="232"/>
    <cellStyle name="Comma 2 2 2 2 5 2" xfId="202"/>
    <cellStyle name="Comma 2 2 2 2 5 2 2" xfId="1103"/>
    <cellStyle name="Comma 2 2 2 2 5 2 2 2" xfId="1076"/>
    <cellStyle name="Comma 2 2 2 2 5 2 2 2 2" xfId="3132"/>
    <cellStyle name="Comma 2 2 2 2 5 2 2 2 2 2" xfId="3111"/>
    <cellStyle name="Comma 2 2 2 2 5 2 2 2 2 2 2" xfId="8347"/>
    <cellStyle name="Comma 2 2 2 2 5 2 2 2 2 2 2 2" xfId="8326"/>
    <cellStyle name="Comma 2 2 2 2 5 2 2 2 2 2 2 2 2" xfId="21899"/>
    <cellStyle name="Comma 2 2 2 2 5 2 2 2 2 2 2 2 2 2" xfId="21878"/>
    <cellStyle name="Comma 2 2 2 2 5 2 2 2 2 2 2 2 2 2 2" xfId="57225"/>
    <cellStyle name="Comma 2 2 2 2 5 2 2 2 2 2 2 2 2 2 2 2" xfId="57204"/>
    <cellStyle name="Comma 2 2 2 2 5 2 2 2 2 2 2 2 2 3" xfId="35381"/>
    <cellStyle name="Comma 2 2 2 2 5 2 2 2 2 2 2 2 3" xfId="35402"/>
    <cellStyle name="Comma 2 2 2 2 5 2 2 2 2 2 2 2 3 2" xfId="43753"/>
    <cellStyle name="Comma 2 2 2 2 5 2 2 2 2 2 2 3" xfId="13551"/>
    <cellStyle name="Comma 2 2 2 2 5 2 2 2 2 2 2 3 2" xfId="43774"/>
    <cellStyle name="Comma 2 2 2 2 5 2 2 2 2 2 2 3 2 2" xfId="48897"/>
    <cellStyle name="Comma 2 2 2 2 5 2 2 2 2 2 2 4" xfId="27036"/>
    <cellStyle name="Comma 2 2 2 2 5 2 2 2 2 2 3" xfId="13572"/>
    <cellStyle name="Comma 2 2 2 2 5 2 2 2 2 2 3 2" xfId="16768"/>
    <cellStyle name="Comma 2 2 2 2 5 2 2 2 2 2 3 2 2" xfId="48918"/>
    <cellStyle name="Comma 2 2 2 2 5 2 2 2 2 2 3 2 2 2" xfId="52096"/>
    <cellStyle name="Comma 2 2 2 2 5 2 2 2 2 2 3 3" xfId="30270"/>
    <cellStyle name="Comma 2 2 2 2 5 2 2 2 2 2 4" xfId="27057"/>
    <cellStyle name="Comma 2 2 2 2 5 2 2 2 2 2 4 2" xfId="38580"/>
    <cellStyle name="Comma 2 2 2 2 5 2 2 2 2 3" xfId="5148"/>
    <cellStyle name="Comma 2 2 2 2 5 2 2 2 2 3 2" xfId="16789"/>
    <cellStyle name="Comma 2 2 2 2 5 2 2 2 2 3 2 2" xfId="18721"/>
    <cellStyle name="Comma 2 2 2 2 5 2 2 2 2 3 2 2 2" xfId="52117"/>
    <cellStyle name="Comma 2 2 2 2 5 2 2 2 2 3 2 2 2 2" xfId="54047"/>
    <cellStyle name="Comma 2 2 2 2 5 2 2 2 2 3 2 3" xfId="32222"/>
    <cellStyle name="Comma 2 2 2 2 5 2 2 2 2 3 3" xfId="30291"/>
    <cellStyle name="Comma 2 2 2 2 5 2 2 2 2 3 3 2" xfId="40585"/>
    <cellStyle name="Comma 2 2 2 2 5 2 2 2 2 4" xfId="10351"/>
    <cellStyle name="Comma 2 2 2 2 5 2 2 2 2 4 2" xfId="38601"/>
    <cellStyle name="Comma 2 2 2 2 5 2 2 2 2 4 2 2" xfId="45714"/>
    <cellStyle name="Comma 2 2 2 2 5 2 2 2 2 5" xfId="23837"/>
    <cellStyle name="Comma 2 2 2 2 5 2 2 2 3" xfId="5169"/>
    <cellStyle name="Comma 2 2 2 2 5 2 2 2 3 2" xfId="6386"/>
    <cellStyle name="Comma 2 2 2 2 5 2 2 2 3 2 2" xfId="18742"/>
    <cellStyle name="Comma 2 2 2 2 5 2 2 2 3 2 2 2" xfId="19942"/>
    <cellStyle name="Comma 2 2 2 2 5 2 2 2 3 2 2 2 2" xfId="54068"/>
    <cellStyle name="Comma 2 2 2 2 5 2 2 2 3 2 2 2 2 2" xfId="55268"/>
    <cellStyle name="Comma 2 2 2 2 5 2 2 2 3 2 2 3" xfId="33444"/>
    <cellStyle name="Comma 2 2 2 2 5 2 2 2 3 2 3" xfId="32243"/>
    <cellStyle name="Comma 2 2 2 2 5 2 2 2 3 2 3 2" xfId="41815"/>
    <cellStyle name="Comma 2 2 2 2 5 2 2 2 3 3" xfId="11611"/>
    <cellStyle name="Comma 2 2 2 2 5 2 2 2 3 3 2" xfId="40606"/>
    <cellStyle name="Comma 2 2 2 2 5 2 2 2 3 3 2 2" xfId="46960"/>
    <cellStyle name="Comma 2 2 2 2 5 2 2 2 3 4" xfId="25097"/>
    <cellStyle name="Comma 2 2 2 2 5 2 2 2 4" xfId="10372"/>
    <cellStyle name="Comma 2 2 2 2 5 2 2 2 4 2" xfId="14768"/>
    <cellStyle name="Comma 2 2 2 2 5 2 2 2 4 2 2" xfId="45735"/>
    <cellStyle name="Comma 2 2 2 2 5 2 2 2 4 2 2 2" xfId="50107"/>
    <cellStyle name="Comma 2 2 2 2 5 2 2 2 4 3" xfId="28280"/>
    <cellStyle name="Comma 2 2 2 2 5 2 2 2 5" xfId="23858"/>
    <cellStyle name="Comma 2 2 2 2 5 2 2 2 5 2" xfId="36576"/>
    <cellStyle name="Comma 2 2 2 2 5 2 2 3" xfId="1884"/>
    <cellStyle name="Comma 2 2 2 2 5 2 2 3 2" xfId="6412"/>
    <cellStyle name="Comma 2 2 2 2 5 2 2 3 2 2" xfId="7133"/>
    <cellStyle name="Comma 2 2 2 2 5 2 2 3 2 2 2" xfId="19967"/>
    <cellStyle name="Comma 2 2 2 2 5 2 2 3 2 2 2 2" xfId="20685"/>
    <cellStyle name="Comma 2 2 2 2 5 2 2 3 2 2 2 2 2" xfId="55293"/>
    <cellStyle name="Comma 2 2 2 2 5 2 2 3 2 2 2 2 2 2" xfId="56011"/>
    <cellStyle name="Comma 2 2 2 2 5 2 2 3 2 2 2 3" xfId="34188"/>
    <cellStyle name="Comma 2 2 2 2 5 2 2 3 2 2 3" xfId="33469"/>
    <cellStyle name="Comma 2 2 2 2 5 2 2 3 2 2 3 2" xfId="42560"/>
    <cellStyle name="Comma 2 2 2 2 5 2 2 3 2 3" xfId="12358"/>
    <cellStyle name="Comma 2 2 2 2 5 2 2 3 2 3 2" xfId="41840"/>
    <cellStyle name="Comma 2 2 2 2 5 2 2 3 2 3 2 2" xfId="47704"/>
    <cellStyle name="Comma 2 2 2 2 5 2 2 3 2 4" xfId="25842"/>
    <cellStyle name="Comma 2 2 2 2 5 2 2 3 3" xfId="11636"/>
    <cellStyle name="Comma 2 2 2 2 5 2 2 3 3 2" xfId="15554"/>
    <cellStyle name="Comma 2 2 2 2 5 2 2 3 3 2 2" xfId="46985"/>
    <cellStyle name="Comma 2 2 2 2 5 2 2 3 3 2 2 2" xfId="50886"/>
    <cellStyle name="Comma 2 2 2 2 5 2 2 3 3 3" xfId="29060"/>
    <cellStyle name="Comma 2 2 2 2 5 2 2 3 4" xfId="25122"/>
    <cellStyle name="Comma 2 2 2 2 5 2 2 3 4 2" xfId="37365"/>
    <cellStyle name="Comma 2 2 2 2 5 2 2 4" xfId="3898"/>
    <cellStyle name="Comma 2 2 2 2 5 2 2 4 2" xfId="14794"/>
    <cellStyle name="Comma 2 2 2 2 5 2 2 4 2 2" xfId="17508"/>
    <cellStyle name="Comma 2 2 2 2 5 2 2 4 2 2 2" xfId="50133"/>
    <cellStyle name="Comma 2 2 2 2 5 2 2 4 2 2 2 2" xfId="52835"/>
    <cellStyle name="Comma 2 2 2 2 5 2 2 4 2 3" xfId="31010"/>
    <cellStyle name="Comma 2 2 2 2 5 2 2 4 3" xfId="28306"/>
    <cellStyle name="Comma 2 2 2 2 5 2 2 4 3 2" xfId="39346"/>
    <cellStyle name="Comma 2 2 2 2 5 2 2 5" xfId="9091"/>
    <cellStyle name="Comma 2 2 2 2 5 2 2 5 2" xfId="36602"/>
    <cellStyle name="Comma 2 2 2 2 5 2 2 5 2 2" xfId="44487"/>
    <cellStyle name="Comma 2 2 2 2 5 2 2 6" xfId="22600"/>
    <cellStyle name="Comma 2 2 2 2 5 2 3" xfId="1911"/>
    <cellStyle name="Comma 2 2 2 2 5 2 3 2" xfId="2338"/>
    <cellStyle name="Comma 2 2 2 2 5 2 3 2 2" xfId="7154"/>
    <cellStyle name="Comma 2 2 2 2 5 2 3 2 2 2" xfId="7572"/>
    <cellStyle name="Comma 2 2 2 2 5 2 3 2 2 2 2" xfId="20706"/>
    <cellStyle name="Comma 2 2 2 2 5 2 3 2 2 2 2 2" xfId="21124"/>
    <cellStyle name="Comma 2 2 2 2 5 2 3 2 2 2 2 2 2" xfId="56032"/>
    <cellStyle name="Comma 2 2 2 2 5 2 3 2 2 2 2 2 2 2" xfId="56450"/>
    <cellStyle name="Comma 2 2 2 2 5 2 3 2 2 2 2 3" xfId="34627"/>
    <cellStyle name="Comma 2 2 2 2 5 2 3 2 2 2 3" xfId="34209"/>
    <cellStyle name="Comma 2 2 2 2 5 2 3 2 2 2 3 2" xfId="42999"/>
    <cellStyle name="Comma 2 2 2 2 5 2 3 2 2 3" xfId="12797"/>
    <cellStyle name="Comma 2 2 2 2 5 2 3 2 2 3 2" xfId="42581"/>
    <cellStyle name="Comma 2 2 2 2 5 2 3 2 2 3 2 2" xfId="48143"/>
    <cellStyle name="Comma 2 2 2 2 5 2 3 2 2 4" xfId="26281"/>
    <cellStyle name="Comma 2 2 2 2 5 2 3 2 3" xfId="12379"/>
    <cellStyle name="Comma 2 2 2 2 5 2 3 2 3 2" xfId="16002"/>
    <cellStyle name="Comma 2 2 2 2 5 2 3 2 3 2 2" xfId="47725"/>
    <cellStyle name="Comma 2 2 2 2 5 2 3 2 3 2 2 2" xfId="51334"/>
    <cellStyle name="Comma 2 2 2 2 5 2 3 2 3 3" xfId="29508"/>
    <cellStyle name="Comma 2 2 2 2 5 2 3 2 4" xfId="25863"/>
    <cellStyle name="Comma 2 2 2 2 5 2 3 2 4 2" xfId="37816"/>
    <cellStyle name="Comma 2 2 2 2 5 2 3 3" xfId="4368"/>
    <cellStyle name="Comma 2 2 2 2 5 2 3 3 2" xfId="15578"/>
    <cellStyle name="Comma 2 2 2 2 5 2 3 3 2 2" xfId="17960"/>
    <cellStyle name="Comma 2 2 2 2 5 2 3 3 2 2 2" xfId="50910"/>
    <cellStyle name="Comma 2 2 2 2 5 2 3 3 2 2 2 2" xfId="53287"/>
    <cellStyle name="Comma 2 2 2 2 5 2 3 3 2 3" xfId="31462"/>
    <cellStyle name="Comma 2 2 2 2 5 2 3 3 3" xfId="29084"/>
    <cellStyle name="Comma 2 2 2 2 5 2 3 3 3 2" xfId="39810"/>
    <cellStyle name="Comma 2 2 2 2 5 2 3 4" xfId="9568"/>
    <cellStyle name="Comma 2 2 2 2 5 2 3 4 2" xfId="37390"/>
    <cellStyle name="Comma 2 2 2 2 5 2 3 4 2 2" xfId="44950"/>
    <cellStyle name="Comma 2 2 2 2 5 2 3 5" xfId="23069"/>
    <cellStyle name="Comma 2 2 2 2 5 2 4" xfId="3925"/>
    <cellStyle name="Comma 2 2 2 2 5 2 4 2" xfId="5579"/>
    <cellStyle name="Comma 2 2 2 2 5 2 4 2 2" xfId="17529"/>
    <cellStyle name="Comma 2 2 2 2 5 2 4 2 2 2" xfId="19151"/>
    <cellStyle name="Comma 2 2 2 2 5 2 4 2 2 2 2" xfId="52856"/>
    <cellStyle name="Comma 2 2 2 2 5 2 4 2 2 2 2 2" xfId="54477"/>
    <cellStyle name="Comma 2 2 2 2 5 2 4 2 2 3" xfId="32652"/>
    <cellStyle name="Comma 2 2 2 2 5 2 4 2 3" xfId="31031"/>
    <cellStyle name="Comma 2 2 2 2 5 2 4 2 3 2" xfId="41015"/>
    <cellStyle name="Comma 2 2 2 2 5 2 4 3" xfId="10788"/>
    <cellStyle name="Comma 2 2 2 2 5 2 4 3 2" xfId="39369"/>
    <cellStyle name="Comma 2 2 2 2 5 2 4 3 2 2" xfId="46150"/>
    <cellStyle name="Comma 2 2 2 2 5 2 4 4" xfId="24277"/>
    <cellStyle name="Comma 2 2 2 2 5 2 5" xfId="9117"/>
    <cellStyle name="Comma 2 2 2 2 5 2 5 2" xfId="13963"/>
    <cellStyle name="Comma 2 2 2 2 5 2 5 2 2" xfId="44508"/>
    <cellStyle name="Comma 2 2 2 2 5 2 5 2 2 2" xfId="49309"/>
    <cellStyle name="Comma 2 2 2 2 5 2 5 3" xfId="27453"/>
    <cellStyle name="Comma 2 2 2 2 5 2 6" xfId="22622"/>
    <cellStyle name="Comma 2 2 2 2 5 2 6 2" xfId="35775"/>
    <cellStyle name="Comma 2 2 2 2 5 3" xfId="344"/>
    <cellStyle name="Comma 2 2 2 2 5 3 2" xfId="2360"/>
    <cellStyle name="Comma 2 2 2 2 5 3 2 2" xfId="2455"/>
    <cellStyle name="Comma 2 2 2 2 5 3 2 2 2" xfId="7594"/>
    <cellStyle name="Comma 2 2 2 2 5 3 2 2 2 2" xfId="7687"/>
    <cellStyle name="Comma 2 2 2 2 5 3 2 2 2 2 2" xfId="21146"/>
    <cellStyle name="Comma 2 2 2 2 5 3 2 2 2 2 2 2" xfId="21239"/>
    <cellStyle name="Comma 2 2 2 2 5 3 2 2 2 2 2 2 2" xfId="56472"/>
    <cellStyle name="Comma 2 2 2 2 5 3 2 2 2 2 2 2 2 2" xfId="56565"/>
    <cellStyle name="Comma 2 2 2 2 5 3 2 2 2 2 2 3" xfId="34742"/>
    <cellStyle name="Comma 2 2 2 2 5 3 2 2 2 2 3" xfId="34649"/>
    <cellStyle name="Comma 2 2 2 2 5 3 2 2 2 2 3 2" xfId="43114"/>
    <cellStyle name="Comma 2 2 2 2 5 3 2 2 2 3" xfId="12912"/>
    <cellStyle name="Comma 2 2 2 2 5 3 2 2 2 3 2" xfId="43021"/>
    <cellStyle name="Comma 2 2 2 2 5 3 2 2 2 3 2 2" xfId="48258"/>
    <cellStyle name="Comma 2 2 2 2 5 3 2 2 2 4" xfId="26396"/>
    <cellStyle name="Comma 2 2 2 2 5 3 2 2 3" xfId="12819"/>
    <cellStyle name="Comma 2 2 2 2 5 3 2 2 3 2" xfId="16118"/>
    <cellStyle name="Comma 2 2 2 2 5 3 2 2 3 2 2" xfId="48165"/>
    <cellStyle name="Comma 2 2 2 2 5 3 2 2 3 2 2 2" xfId="51450"/>
    <cellStyle name="Comma 2 2 2 2 5 3 2 2 3 3" xfId="29624"/>
    <cellStyle name="Comma 2 2 2 2 5 3 2 2 4" xfId="26303"/>
    <cellStyle name="Comma 2 2 2 2 5 3 2 2 4 2" xfId="37933"/>
    <cellStyle name="Comma 2 2 2 2 5 3 2 3" xfId="4490"/>
    <cellStyle name="Comma 2 2 2 2 5 3 2 3 2" xfId="16024"/>
    <cellStyle name="Comma 2 2 2 2 5 3 2 3 2 2" xfId="18080"/>
    <cellStyle name="Comma 2 2 2 2 5 3 2 3 2 2 2" xfId="51356"/>
    <cellStyle name="Comma 2 2 2 2 5 3 2 3 2 2 2 2" xfId="53406"/>
    <cellStyle name="Comma 2 2 2 2 5 3 2 3 2 3" xfId="31581"/>
    <cellStyle name="Comma 2 2 2 2 5 3 2 3 3" xfId="29530"/>
    <cellStyle name="Comma 2 2 2 2 5 3 2 3 3 2" xfId="39932"/>
    <cellStyle name="Comma 2 2 2 2 5 3 2 4" xfId="9695"/>
    <cellStyle name="Comma 2 2 2 2 5 3 2 4 2" xfId="37838"/>
    <cellStyle name="Comma 2 2 2 2 5 3 2 4 2 2" xfId="45073"/>
    <cellStyle name="Comma 2 2 2 2 5 3 2 5" xfId="23196"/>
    <cellStyle name="Comma 2 2 2 2 5 3 3" xfId="4391"/>
    <cellStyle name="Comma 2 2 2 2 5 3 3 2" xfId="5698"/>
    <cellStyle name="Comma 2 2 2 2 5 3 3 2 2" xfId="17983"/>
    <cellStyle name="Comma 2 2 2 2 5 3 3 2 2 2" xfId="19269"/>
    <cellStyle name="Comma 2 2 2 2 5 3 3 2 2 2 2" xfId="53309"/>
    <cellStyle name="Comma 2 2 2 2 5 3 3 2 2 2 2 2" xfId="54595"/>
    <cellStyle name="Comma 2 2 2 2 5 3 3 2 2 3" xfId="32770"/>
    <cellStyle name="Comma 2 2 2 2 5 3 3 2 3" xfId="31484"/>
    <cellStyle name="Comma 2 2 2 2 5 3 3 2 3 2" xfId="41134"/>
    <cellStyle name="Comma 2 2 2 2 5 3 3 3" xfId="10916"/>
    <cellStyle name="Comma 2 2 2 2 5 3 3 3 2" xfId="39833"/>
    <cellStyle name="Comma 2 2 2 2 5 3 3 3 2 2" xfId="46277"/>
    <cellStyle name="Comma 2 2 2 2 5 3 3 4" xfId="24408"/>
    <cellStyle name="Comma 2 2 2 2 5 3 4" xfId="9593"/>
    <cellStyle name="Comma 2 2 2 2 5 3 4 2" xfId="14083"/>
    <cellStyle name="Comma 2 2 2 2 5 3 4 2 2" xfId="44974"/>
    <cellStyle name="Comma 2 2 2 2 5 3 4 2 2 2" xfId="49428"/>
    <cellStyle name="Comma 2 2 2 2 5 3 4 3" xfId="27581"/>
    <cellStyle name="Comma 2 2 2 2 5 3 5" xfId="23095"/>
    <cellStyle name="Comma 2 2 2 2 5 3 5 2" xfId="35894"/>
    <cellStyle name="Comma 2 2 2 2 5 4" xfId="698"/>
    <cellStyle name="Comma 2 2 2 2 5 4 2" xfId="5601"/>
    <cellStyle name="Comma 2 2 2 2 5 4 2 2" xfId="6026"/>
    <cellStyle name="Comma 2 2 2 2 5 4 2 2 2" xfId="19173"/>
    <cellStyle name="Comma 2 2 2 2 5 4 2 2 2 2" xfId="19590"/>
    <cellStyle name="Comma 2 2 2 2 5 4 2 2 2 2 2" xfId="54499"/>
    <cellStyle name="Comma 2 2 2 2 5 4 2 2 2 2 2 2" xfId="54916"/>
    <cellStyle name="Comma 2 2 2 2 5 4 2 2 2 3" xfId="33091"/>
    <cellStyle name="Comma 2 2 2 2 5 4 2 2 3" xfId="32674"/>
    <cellStyle name="Comma 2 2 2 2 5 4 2 2 3 2" xfId="41460"/>
    <cellStyle name="Comma 2 2 2 2 5 4 2 3" xfId="11251"/>
    <cellStyle name="Comma 2 2 2 2 5 4 2 3 2" xfId="41037"/>
    <cellStyle name="Comma 2 2 2 2 5 4 2 3 2 2" xfId="46606"/>
    <cellStyle name="Comma 2 2 2 2 5 4 2 4" xfId="24743"/>
    <cellStyle name="Comma 2 2 2 2 5 4 3" xfId="10814"/>
    <cellStyle name="Comma 2 2 2 2 5 4 3 2" xfId="14407"/>
    <cellStyle name="Comma 2 2 2 2 5 4 3 2 2" xfId="46176"/>
    <cellStyle name="Comma 2 2 2 2 5 4 3 2 2 2" xfId="49752"/>
    <cellStyle name="Comma 2 2 2 2 5 4 3 3" xfId="27920"/>
    <cellStyle name="Comma 2 2 2 2 5 4 4" xfId="24304"/>
    <cellStyle name="Comma 2 2 2 2 5 4 4 2" xfId="36219"/>
    <cellStyle name="Comma 2 2 2 2 5 5" xfId="2484"/>
    <cellStyle name="Comma 2 2 2 2 5 5 2" xfId="13985"/>
    <cellStyle name="Comma 2 2 2 2 5 5 2 2" xfId="16147"/>
    <cellStyle name="Comma 2 2 2 2 5 5 2 2 2" xfId="49331"/>
    <cellStyle name="Comma 2 2 2 2 5 5 2 2 2 2" xfId="51478"/>
    <cellStyle name="Comma 2 2 2 2 5 5 2 3" xfId="29652"/>
    <cellStyle name="Comma 2 2 2 2 5 5 3" xfId="27477"/>
    <cellStyle name="Comma 2 2 2 2 5 5 3 2" xfId="37961"/>
    <cellStyle name="Comma 2 2 2 2 5 6" xfId="4024"/>
    <cellStyle name="Comma 2 2 2 2 5 6 2" xfId="35797"/>
    <cellStyle name="Comma 2 2 2 2 5 6 2 2" xfId="39468"/>
    <cellStyle name="Comma 2 2 2 2 5 7" xfId="8739"/>
    <cellStyle name="Comma 2 2 2 2 6" xfId="336"/>
    <cellStyle name="Comma 2 2 2 2 6 2" xfId="425"/>
    <cellStyle name="Comma 2 2 2 2 6 2 2" xfId="2450"/>
    <cellStyle name="Comma 2 2 2 2 6 2 2 2" xfId="2527"/>
    <cellStyle name="Comma 2 2 2 2 6 2 2 2 2" xfId="7682"/>
    <cellStyle name="Comma 2 2 2 2 6 2 2 2 2 2" xfId="7752"/>
    <cellStyle name="Comma 2 2 2 2 6 2 2 2 2 2 2" xfId="21234"/>
    <cellStyle name="Comma 2 2 2 2 6 2 2 2 2 2 2 2" xfId="21304"/>
    <cellStyle name="Comma 2 2 2 2 6 2 2 2 2 2 2 2 2" xfId="56560"/>
    <cellStyle name="Comma 2 2 2 2 6 2 2 2 2 2 2 2 2 2" xfId="56630"/>
    <cellStyle name="Comma 2 2 2 2 6 2 2 2 2 2 2 3" xfId="34807"/>
    <cellStyle name="Comma 2 2 2 2 6 2 2 2 2 2 3" xfId="34737"/>
    <cellStyle name="Comma 2 2 2 2 6 2 2 2 2 2 3 2" xfId="43179"/>
    <cellStyle name="Comma 2 2 2 2 6 2 2 2 2 3" xfId="12977"/>
    <cellStyle name="Comma 2 2 2 2 6 2 2 2 2 3 2" xfId="43109"/>
    <cellStyle name="Comma 2 2 2 2 6 2 2 2 2 3 2 2" xfId="48323"/>
    <cellStyle name="Comma 2 2 2 2 6 2 2 2 2 4" xfId="26461"/>
    <cellStyle name="Comma 2 2 2 2 6 2 2 2 3" xfId="12907"/>
    <cellStyle name="Comma 2 2 2 2 6 2 2 2 3 2" xfId="16188"/>
    <cellStyle name="Comma 2 2 2 2 6 2 2 2 3 2 2" xfId="48253"/>
    <cellStyle name="Comma 2 2 2 2 6 2 2 2 3 2 2 2" xfId="51519"/>
    <cellStyle name="Comma 2 2 2 2 6 2 2 2 3 3" xfId="29693"/>
    <cellStyle name="Comma 2 2 2 2 6 2 2 2 4" xfId="26391"/>
    <cellStyle name="Comma 2 2 2 2 6 2 2 2 4 2" xfId="38002"/>
    <cellStyle name="Comma 2 2 2 2 6 2 2 3" xfId="4562"/>
    <cellStyle name="Comma 2 2 2 2 6 2 2 3 2" xfId="16113"/>
    <cellStyle name="Comma 2 2 2 2 6 2 2 3 2 2" xfId="18145"/>
    <cellStyle name="Comma 2 2 2 2 6 2 2 3 2 2 2" xfId="51445"/>
    <cellStyle name="Comma 2 2 2 2 6 2 2 3 2 2 2 2" xfId="53471"/>
    <cellStyle name="Comma 2 2 2 2 6 2 2 3 2 3" xfId="31646"/>
    <cellStyle name="Comma 2 2 2 2 6 2 2 3 3" xfId="29619"/>
    <cellStyle name="Comma 2 2 2 2 6 2 2 3 3 2" xfId="40003"/>
    <cellStyle name="Comma 2 2 2 2 6 2 2 4" xfId="9765"/>
    <cellStyle name="Comma 2 2 2 2 6 2 2 4 2" xfId="37928"/>
    <cellStyle name="Comma 2 2 2 2 6 2 2 4 2 2" xfId="45138"/>
    <cellStyle name="Comma 2 2 2 2 6 2 2 5" xfId="23261"/>
    <cellStyle name="Comma 2 2 2 2 6 2 3" xfId="4485"/>
    <cellStyle name="Comma 2 2 2 2 6 2 3 2" xfId="5768"/>
    <cellStyle name="Comma 2 2 2 2 6 2 3 2 2" xfId="18075"/>
    <cellStyle name="Comma 2 2 2 2 6 2 3 2 2 2" xfId="19337"/>
    <cellStyle name="Comma 2 2 2 2 6 2 3 2 2 2 2" xfId="53401"/>
    <cellStyle name="Comma 2 2 2 2 6 2 3 2 2 2 2 2" xfId="54663"/>
    <cellStyle name="Comma 2 2 2 2 6 2 3 2 2 3" xfId="32838"/>
    <cellStyle name="Comma 2 2 2 2 6 2 3 2 3" xfId="31576"/>
    <cellStyle name="Comma 2 2 2 2 6 2 3 2 3 2" xfId="41203"/>
    <cellStyle name="Comma 2 2 2 2 6 2 3 3" xfId="10989"/>
    <cellStyle name="Comma 2 2 2 2 6 2 3 3 2" xfId="39927"/>
    <cellStyle name="Comma 2 2 2 2 6 2 3 3 2 2" xfId="46348"/>
    <cellStyle name="Comma 2 2 2 2 6 2 3 4" xfId="24482"/>
    <cellStyle name="Comma 2 2 2 2 6 2 4" xfId="9690"/>
    <cellStyle name="Comma 2 2 2 2 6 2 4 2" xfId="14152"/>
    <cellStyle name="Comma 2 2 2 2 6 2 4 2 2" xfId="45068"/>
    <cellStyle name="Comma 2 2 2 2 6 2 4 2 2 2" xfId="49497"/>
    <cellStyle name="Comma 2 2 2 2 6 2 4 3" xfId="27654"/>
    <cellStyle name="Comma 2 2 2 2 6 2 5" xfId="23191"/>
    <cellStyle name="Comma 2 2 2 2 6 2 5 2" xfId="35963"/>
    <cellStyle name="Comma 2 2 2 2 6 3" xfId="852"/>
    <cellStyle name="Comma 2 2 2 2 6 3 2" xfId="5692"/>
    <cellStyle name="Comma 2 2 2 2 6 3 2 2" xfId="6167"/>
    <cellStyle name="Comma 2 2 2 2 6 3 2 2 2" xfId="19264"/>
    <cellStyle name="Comma 2 2 2 2 6 3 2 2 2 2" xfId="19727"/>
    <cellStyle name="Comma 2 2 2 2 6 3 2 2 2 2 2" xfId="54590"/>
    <cellStyle name="Comma 2 2 2 2 6 3 2 2 2 2 2 2" xfId="55053"/>
    <cellStyle name="Comma 2 2 2 2 6 3 2 2 2 3" xfId="33229"/>
    <cellStyle name="Comma 2 2 2 2 6 3 2 2 3" xfId="32765"/>
    <cellStyle name="Comma 2 2 2 2 6 3 2 2 3 2" xfId="41598"/>
    <cellStyle name="Comma 2 2 2 2 6 3 2 3" xfId="11393"/>
    <cellStyle name="Comma 2 2 2 2 6 3 2 3 2" xfId="41128"/>
    <cellStyle name="Comma 2 2 2 2 6 3 2 3 2 2" xfId="46744"/>
    <cellStyle name="Comma 2 2 2 2 6 3 2 4" xfId="24881"/>
    <cellStyle name="Comma 2 2 2 2 6 3 3" xfId="10910"/>
    <cellStyle name="Comma 2 2 2 2 6 3 3 2" xfId="14550"/>
    <cellStyle name="Comma 2 2 2 2 6 3 3 2 2" xfId="46272"/>
    <cellStyle name="Comma 2 2 2 2 6 3 3 2 2 2" xfId="49891"/>
    <cellStyle name="Comma 2 2 2 2 6 3 3 3" xfId="28061"/>
    <cellStyle name="Comma 2 2 2 2 6 3 4" xfId="24403"/>
    <cellStyle name="Comma 2 2 2 2 6 3 4 2" xfId="36360"/>
    <cellStyle name="Comma 2 2 2 2 6 4" xfId="1546"/>
    <cellStyle name="Comma 2 2 2 2 6 4 2" xfId="14076"/>
    <cellStyle name="Comma 2 2 2 2 6 4 2 2" xfId="15222"/>
    <cellStyle name="Comma 2 2 2 2 6 4 2 2 2" xfId="49422"/>
    <cellStyle name="Comma 2 2 2 2 6 4 2 2 2 2" xfId="50560"/>
    <cellStyle name="Comma 2 2 2 2 6 4 2 3" xfId="28734"/>
    <cellStyle name="Comma 2 2 2 2 6 4 3" xfId="27575"/>
    <cellStyle name="Comma 2 2 2 2 6 4 3 2" xfId="37035"/>
    <cellStyle name="Comma 2 2 2 2 6 5" xfId="3966"/>
    <cellStyle name="Comma 2 2 2 2 6 5 2" xfId="35888"/>
    <cellStyle name="Comma 2 2 2 2 6 5 2 2" xfId="39410"/>
    <cellStyle name="Comma 2 2 2 2 6 6" xfId="11247"/>
    <cellStyle name="Comma 2 2 2 2 7" xfId="856"/>
    <cellStyle name="Comma 2 2 2 2 7 2" xfId="1596"/>
    <cellStyle name="Comma 2 2 2 2 7 2 2" xfId="6171"/>
    <cellStyle name="Comma 2 2 2 2 7 2 2 2" xfId="6867"/>
    <cellStyle name="Comma 2 2 2 2 7 2 2 2 2" xfId="19731"/>
    <cellStyle name="Comma 2 2 2 2 7 2 2 2 2 2" xfId="20420"/>
    <cellStyle name="Comma 2 2 2 2 7 2 2 2 2 2 2" xfId="55057"/>
    <cellStyle name="Comma 2 2 2 2 7 2 2 2 2 2 2 2" xfId="55746"/>
    <cellStyle name="Comma 2 2 2 2 7 2 2 2 2 3" xfId="33922"/>
    <cellStyle name="Comma 2 2 2 2 7 2 2 2 3" xfId="33233"/>
    <cellStyle name="Comma 2 2 2 2 7 2 2 2 3 2" xfId="42295"/>
    <cellStyle name="Comma 2 2 2 2 7 2 2 3" xfId="12091"/>
    <cellStyle name="Comma 2 2 2 2 7 2 2 3 2" xfId="41602"/>
    <cellStyle name="Comma 2 2 2 2 7 2 2 3 2 2" xfId="47438"/>
    <cellStyle name="Comma 2 2 2 2 7 2 2 4" xfId="25576"/>
    <cellStyle name="Comma 2 2 2 2 7 2 3" xfId="11397"/>
    <cellStyle name="Comma 2 2 2 2 7 2 3 2" xfId="15272"/>
    <cellStyle name="Comma 2 2 2 2 7 2 3 2 2" xfId="46748"/>
    <cellStyle name="Comma 2 2 2 2 7 2 3 2 2 2" xfId="50608"/>
    <cellStyle name="Comma 2 2 2 2 7 2 3 3" xfId="28782"/>
    <cellStyle name="Comma 2 2 2 2 7 2 4" xfId="24885"/>
    <cellStyle name="Comma 2 2 2 2 7 2 4 2" xfId="37083"/>
    <cellStyle name="Comma 2 2 2 2 7 3" xfId="3596"/>
    <cellStyle name="Comma 2 2 2 2 7 3 2" xfId="14554"/>
    <cellStyle name="Comma 2 2 2 2 7 3 2 2" xfId="17232"/>
    <cellStyle name="Comma 2 2 2 2 7 3 2 2 2" xfId="49895"/>
    <cellStyle name="Comma 2 2 2 2 7 3 2 2 2 2" xfId="52559"/>
    <cellStyle name="Comma 2 2 2 2 7 3 2 3" xfId="30733"/>
    <cellStyle name="Comma 2 2 2 2 7 3 3" xfId="28065"/>
    <cellStyle name="Comma 2 2 2 2 7 3 3 2" xfId="39053"/>
    <cellStyle name="Comma 2 2 2 2 7 4" xfId="8788"/>
    <cellStyle name="Comma 2 2 2 2 7 4 2" xfId="36364"/>
    <cellStyle name="Comma 2 2 2 2 7 4 2 2" xfId="44200"/>
    <cellStyle name="Comma 2 2 2 2 7 5" xfId="22305"/>
    <cellStyle name="Comma 2 2 2 2 8" xfId="530"/>
    <cellStyle name="Comma 2 2 2 2 8 2" xfId="4399"/>
    <cellStyle name="Comma 2 2 2 2 8 2 2" xfId="14248"/>
    <cellStyle name="Comma 2 2 2 2 8 2 2 2" xfId="17990"/>
    <cellStyle name="Comma 2 2 2 2 8 2 2 2 2" xfId="49593"/>
    <cellStyle name="Comma 2 2 2 2 8 2 2 2 2 2" xfId="53316"/>
    <cellStyle name="Comma 2 2 2 2 8 2 2 3" xfId="31491"/>
    <cellStyle name="Comma 2 2 2 2 8 2 3" xfId="27755"/>
    <cellStyle name="Comma 2 2 2 2 8 2 3 2" xfId="39841"/>
    <cellStyle name="Comma 2 2 2 2 8 3" xfId="9602"/>
    <cellStyle name="Comma 2 2 2 2 8 3 2" xfId="36060"/>
    <cellStyle name="Comma 2 2 2 2 8 3 2 2" xfId="44982"/>
    <cellStyle name="Comma 2 2 2 2 8 4" xfId="23103"/>
    <cellStyle name="Comma 2 2 2 2 9" xfId="3978"/>
    <cellStyle name="Comma 2 2 2 2 9 2" xfId="10812"/>
    <cellStyle name="Comma 2 2 2 2 9 2 2" xfId="39422"/>
    <cellStyle name="Comma 2 2 2 2 9 2 2 2" xfId="46174"/>
    <cellStyle name="Comma 2 2 2 2 9 3" xfId="24302"/>
    <cellStyle name="Comma 2 2 2 3" xfId="41"/>
    <cellStyle name="Comma 2 2 2 3 2" xfId="150"/>
    <cellStyle name="Comma 2 2 2 3 2 2" xfId="152"/>
    <cellStyle name="Comma 2 2 2 3 2 2 2" xfId="316"/>
    <cellStyle name="Comma 2 2 2 3 2 2 2 2" xfId="318"/>
    <cellStyle name="Comma 2 2 2 3 2 2 2 2 2" xfId="645"/>
    <cellStyle name="Comma 2 2 2 3 2 2 2 2 2 2" xfId="647"/>
    <cellStyle name="Comma 2 2 2 3 2 2 2 2 2 2 2" xfId="1441"/>
    <cellStyle name="Comma 2 2 2 3 2 2 2 2 2 2 2 2" xfId="1443"/>
    <cellStyle name="Comma 2 2 2 3 2 2 2 2 2 2 2 2 2" xfId="3459"/>
    <cellStyle name="Comma 2 2 2 3 2 2 2 2 2 2 2 2 2 2" xfId="3461"/>
    <cellStyle name="Comma 2 2 2 3 2 2 2 2 2 2 2 2 2 2 2" xfId="8674"/>
    <cellStyle name="Comma 2 2 2 3 2 2 2 2 2 2 2 2 2 2 2 2" xfId="8676"/>
    <cellStyle name="Comma 2 2 2 3 2 2 2 2 2 2 2 2 2 2 2 2 2" xfId="22226"/>
    <cellStyle name="Comma 2 2 2 3 2 2 2 2 2 2 2 2 2 2 2 2 2 2" xfId="22228"/>
    <cellStyle name="Comma 2 2 2 3 2 2 2 2 2 2 2 2 2 2 2 2 2 2 2" xfId="57552"/>
    <cellStyle name="Comma 2 2 2 3 2 2 2 2 2 2 2 2 2 2 2 2 2 2 2 2" xfId="57554"/>
    <cellStyle name="Comma 2 2 2 3 2 2 2 2 2 2 2 2 2 2 2 2 2 3" xfId="35731"/>
    <cellStyle name="Comma 2 2 2 3 2 2 2 2 2 2 2 2 2 2 2 2 3" xfId="35729"/>
    <cellStyle name="Comma 2 2 2 3 2 2 2 2 2 2 2 2 2 2 2 2 3 2" xfId="44103"/>
    <cellStyle name="Comma 2 2 2 3 2 2 2 2 2 2 2 2 2 2 2 3" xfId="13901"/>
    <cellStyle name="Comma 2 2 2 3 2 2 2 2 2 2 2 2 2 2 2 3 2" xfId="44101"/>
    <cellStyle name="Comma 2 2 2 3 2 2 2 2 2 2 2 2 2 2 2 3 2 2" xfId="49247"/>
    <cellStyle name="Comma 2 2 2 3 2 2 2 2 2 2 2 2 2 2 2 4" xfId="27386"/>
    <cellStyle name="Comma 2 2 2 3 2 2 2 2 2 2 2 2 2 2 3" xfId="13899"/>
    <cellStyle name="Comma 2 2 2 3 2 2 2 2 2 2 2 2 2 2 3 2" xfId="17118"/>
    <cellStyle name="Comma 2 2 2 3 2 2 2 2 2 2 2 2 2 2 3 2 2" xfId="49245"/>
    <cellStyle name="Comma 2 2 2 3 2 2 2 2 2 2 2 2 2 2 3 2 2 2" xfId="52446"/>
    <cellStyle name="Comma 2 2 2 3 2 2 2 2 2 2 2 2 2 2 3 3" xfId="30620"/>
    <cellStyle name="Comma 2 2 2 3 2 2 2 2 2 2 2 2 2 2 4" xfId="27384"/>
    <cellStyle name="Comma 2 2 2 3 2 2 2 2 2 2 2 2 2 2 4 2" xfId="38930"/>
    <cellStyle name="Comma 2 2 2 3 2 2 2 2 2 2 2 2 2 3" xfId="5498"/>
    <cellStyle name="Comma 2 2 2 3 2 2 2 2 2 2 2 2 2 3 2" xfId="17116"/>
    <cellStyle name="Comma 2 2 2 3 2 2 2 2 2 2 2 2 2 3 2 2" xfId="19071"/>
    <cellStyle name="Comma 2 2 2 3 2 2 2 2 2 2 2 2 2 3 2 2 2" xfId="52444"/>
    <cellStyle name="Comma 2 2 2 3 2 2 2 2 2 2 2 2 2 3 2 2 2 2" xfId="54397"/>
    <cellStyle name="Comma 2 2 2 3 2 2 2 2 2 2 2 2 2 3 2 3" xfId="32572"/>
    <cellStyle name="Comma 2 2 2 3 2 2 2 2 2 2 2 2 2 3 3" xfId="30618"/>
    <cellStyle name="Comma 2 2 2 3 2 2 2 2 2 2 2 2 2 3 3 2" xfId="40935"/>
    <cellStyle name="Comma 2 2 2 3 2 2 2 2 2 2 2 2 2 4" xfId="10701"/>
    <cellStyle name="Comma 2 2 2 3 2 2 2 2 2 2 2 2 2 4 2" xfId="38928"/>
    <cellStyle name="Comma 2 2 2 3 2 2 2 2 2 2 2 2 2 4 2 2" xfId="46064"/>
    <cellStyle name="Comma 2 2 2 3 2 2 2 2 2 2 2 2 2 5" xfId="24187"/>
    <cellStyle name="Comma 2 2 2 3 2 2 2 2 2 2 2 2 3" xfId="5496"/>
    <cellStyle name="Comma 2 2 2 3 2 2 2 2 2 2 2 2 3 2" xfId="6751"/>
    <cellStyle name="Comma 2 2 2 3 2 2 2 2 2 2 2 2 3 2 2" xfId="19069"/>
    <cellStyle name="Comma 2 2 2 3 2 2 2 2 2 2 2 2 3 2 2 2" xfId="20304"/>
    <cellStyle name="Comma 2 2 2 3 2 2 2 2 2 2 2 2 3 2 2 2 2" xfId="54395"/>
    <cellStyle name="Comma 2 2 2 3 2 2 2 2 2 2 2 2 3 2 2 2 2 2" xfId="55630"/>
    <cellStyle name="Comma 2 2 2 3 2 2 2 2 2 2 2 2 3 2 2 3" xfId="33806"/>
    <cellStyle name="Comma 2 2 2 3 2 2 2 2 2 2 2 2 3 2 3" xfId="32570"/>
    <cellStyle name="Comma 2 2 2 3 2 2 2 2 2 2 2 2 3 2 3 2" xfId="42179"/>
    <cellStyle name="Comma 2 2 2 3 2 2 2 2 2 2 2 2 3 3" xfId="11974"/>
    <cellStyle name="Comma 2 2 2 3 2 2 2 2 2 2 2 2 3 3 2" xfId="40933"/>
    <cellStyle name="Comma 2 2 2 3 2 2 2 2 2 2 2 2 3 3 2 2" xfId="47322"/>
    <cellStyle name="Comma 2 2 2 3 2 2 2 2 2 2 2 2 3 4" xfId="25459"/>
    <cellStyle name="Comma 2 2 2 3 2 2 2 2 2 2 2 2 4" xfId="10699"/>
    <cellStyle name="Comma 2 2 2 3 2 2 2 2 2 2 2 2 4 2" xfId="15132"/>
    <cellStyle name="Comma 2 2 2 3 2 2 2 2 2 2 2 2 4 2 2" xfId="46062"/>
    <cellStyle name="Comma 2 2 2 3 2 2 2 2 2 2 2 2 4 2 2 2" xfId="50471"/>
    <cellStyle name="Comma 2 2 2 3 2 2 2 2 2 2 2 2 4 3" xfId="28645"/>
    <cellStyle name="Comma 2 2 2 3 2 2 2 2 2 2 2 2 5" xfId="24185"/>
    <cellStyle name="Comma 2 2 2 3 2 2 2 2 2 2 2 2 5 2" xfId="36940"/>
    <cellStyle name="Comma 2 2 2 3 2 2 2 2 2 2 2 3" xfId="2250"/>
    <cellStyle name="Comma 2 2 2 3 2 2 2 2 2 2 2 3 2" xfId="6749"/>
    <cellStyle name="Comma 2 2 2 3 2 2 2 2 2 2 2 3 2 2" xfId="7484"/>
    <cellStyle name="Comma 2 2 2 3 2 2 2 2 2 2 2 3 2 2 2" xfId="20302"/>
    <cellStyle name="Comma 2 2 2 3 2 2 2 2 2 2 2 3 2 2 2 2" xfId="21036"/>
    <cellStyle name="Comma 2 2 2 3 2 2 2 2 2 2 2 3 2 2 2 2 2" xfId="55628"/>
    <cellStyle name="Comma 2 2 2 3 2 2 2 2 2 2 2 3 2 2 2 2 2 2" xfId="56362"/>
    <cellStyle name="Comma 2 2 2 3 2 2 2 2 2 2 2 3 2 2 2 3" xfId="34539"/>
    <cellStyle name="Comma 2 2 2 3 2 2 2 2 2 2 2 3 2 2 3" xfId="33804"/>
    <cellStyle name="Comma 2 2 2 3 2 2 2 2 2 2 2 3 2 2 3 2" xfId="42911"/>
    <cellStyle name="Comma 2 2 2 3 2 2 2 2 2 2 2 3 2 3" xfId="12709"/>
    <cellStyle name="Comma 2 2 2 3 2 2 2 2 2 2 2 3 2 3 2" xfId="42177"/>
    <cellStyle name="Comma 2 2 2 3 2 2 2 2 2 2 2 3 2 3 2 2" xfId="48055"/>
    <cellStyle name="Comma 2 2 2 3 2 2 2 2 2 2 2 3 2 4" xfId="26193"/>
    <cellStyle name="Comma 2 2 2 3 2 2 2 2 2 2 2 3 3" xfId="11972"/>
    <cellStyle name="Comma 2 2 2 3 2 2 2 2 2 2 2 3 3 2" xfId="15914"/>
    <cellStyle name="Comma 2 2 2 3 2 2 2 2 2 2 2 3 3 2 2" xfId="47320"/>
    <cellStyle name="Comma 2 2 2 3 2 2 2 2 2 2 2 3 3 2 2 2" xfId="51246"/>
    <cellStyle name="Comma 2 2 2 3 2 2 2 2 2 2 2 3 3 3" xfId="29420"/>
    <cellStyle name="Comma 2 2 2 3 2 2 2 2 2 2 2 3 4" xfId="25457"/>
    <cellStyle name="Comma 2 2 2 3 2 2 2 2 2 2 2 3 4 2" xfId="37728"/>
    <cellStyle name="Comma 2 2 2 3 2 2 2 2 2 2 2 4" xfId="4266"/>
    <cellStyle name="Comma 2 2 2 3 2 2 2 2 2 2 2 4 2" xfId="15130"/>
    <cellStyle name="Comma 2 2 2 3 2 2 2 2 2 2 2 4 2 2" xfId="17859"/>
    <cellStyle name="Comma 2 2 2 3 2 2 2 2 2 2 2 4 2 2 2" xfId="50469"/>
    <cellStyle name="Comma 2 2 2 3 2 2 2 2 2 2 2 4 2 2 2 2" xfId="53186"/>
    <cellStyle name="Comma 2 2 2 3 2 2 2 2 2 2 2 4 2 3" xfId="31361"/>
    <cellStyle name="Comma 2 2 2 3 2 2 2 2 2 2 2 4 3" xfId="28643"/>
    <cellStyle name="Comma 2 2 2 3 2 2 2 2 2 2 2 4 3 2" xfId="39709"/>
    <cellStyle name="Comma 2 2 2 3 2 2 2 2 2 2 2 5" xfId="9457"/>
    <cellStyle name="Comma 2 2 2 3 2 2 2 2 2 2 2 5 2" xfId="36938"/>
    <cellStyle name="Comma 2 2 2 3 2 2 2 2 2 2 2 5 2 2" xfId="44839"/>
    <cellStyle name="Comma 2 2 2 3 2 2 2 2 2 2 2 6" xfId="22953"/>
    <cellStyle name="Comma 2 2 2 3 2 2 2 2 2 2 3" xfId="2248"/>
    <cellStyle name="Comma 2 2 2 3 2 2 2 2 2 2 3 2" xfId="2737"/>
    <cellStyle name="Comma 2 2 2 3 2 2 2 2 2 2 3 2 2" xfId="7482"/>
    <cellStyle name="Comma 2 2 2 3 2 2 2 2 2 2 3 2 2 2" xfId="7956"/>
    <cellStyle name="Comma 2 2 2 3 2 2 2 2 2 2 3 2 2 2 2" xfId="21034"/>
    <cellStyle name="Comma 2 2 2 3 2 2 2 2 2 2 3 2 2 2 2 2" xfId="21508"/>
    <cellStyle name="Comma 2 2 2 3 2 2 2 2 2 2 3 2 2 2 2 2 2" xfId="56360"/>
    <cellStyle name="Comma 2 2 2 3 2 2 2 2 2 2 3 2 2 2 2 2 2 2" xfId="56834"/>
    <cellStyle name="Comma 2 2 2 3 2 2 2 2 2 2 3 2 2 2 2 3" xfId="35011"/>
    <cellStyle name="Comma 2 2 2 3 2 2 2 2 2 2 3 2 2 2 3" xfId="34537"/>
    <cellStyle name="Comma 2 2 2 3 2 2 2 2 2 2 3 2 2 2 3 2" xfId="43383"/>
    <cellStyle name="Comma 2 2 2 3 2 2 2 2 2 2 3 2 2 3" xfId="13181"/>
    <cellStyle name="Comma 2 2 2 3 2 2 2 2 2 2 3 2 2 3 2" xfId="42909"/>
    <cellStyle name="Comma 2 2 2 3 2 2 2 2 2 2 3 2 2 3 2 2" xfId="48527"/>
    <cellStyle name="Comma 2 2 2 3 2 2 2 2 2 2 3 2 2 4" xfId="26665"/>
    <cellStyle name="Comma 2 2 2 3 2 2 2 2 2 2 3 2 3" xfId="12707"/>
    <cellStyle name="Comma 2 2 2 3 2 2 2 2 2 2 3 2 3 2" xfId="16396"/>
    <cellStyle name="Comma 2 2 2 3 2 2 2 2 2 2 3 2 3 2 2" xfId="48053"/>
    <cellStyle name="Comma 2 2 2 3 2 2 2 2 2 2 3 2 3 2 2 2" xfId="51726"/>
    <cellStyle name="Comma 2 2 2 3 2 2 2 2 2 2 3 2 3 3" xfId="29900"/>
    <cellStyle name="Comma 2 2 2 3 2 2 2 2 2 2 3 2 4" xfId="26191"/>
    <cellStyle name="Comma 2 2 2 3 2 2 2 2 2 2 3 2 4 2" xfId="38210"/>
    <cellStyle name="Comma 2 2 2 3 2 2 2 2 2 2 3 3" xfId="4773"/>
    <cellStyle name="Comma 2 2 2 3 2 2 2 2 2 2 3 3 2" xfId="15912"/>
    <cellStyle name="Comma 2 2 2 3 2 2 2 2 2 2 3 3 2 2" xfId="18350"/>
    <cellStyle name="Comma 2 2 2 3 2 2 2 2 2 2 3 3 2 2 2" xfId="51244"/>
    <cellStyle name="Comma 2 2 2 3 2 2 2 2 2 2 3 3 2 2 2 2" xfId="53676"/>
    <cellStyle name="Comma 2 2 2 3 2 2 2 2 2 2 3 3 2 3" xfId="31851"/>
    <cellStyle name="Comma 2 2 2 3 2 2 2 2 2 2 3 3 3" xfId="29418"/>
    <cellStyle name="Comma 2 2 2 3 2 2 2 2 2 2 3 3 3 2" xfId="40211"/>
    <cellStyle name="Comma 2 2 2 3 2 2 2 2 2 2 3 4" xfId="9976"/>
    <cellStyle name="Comma 2 2 2 3 2 2 2 2 2 2 3 4 2" xfId="37726"/>
    <cellStyle name="Comma 2 2 2 3 2 2 2 2 2 2 3 4 2 2" xfId="45343"/>
    <cellStyle name="Comma 2 2 2 3 2 2 2 2 2 2 3 5" xfId="23466"/>
    <cellStyle name="Comma 2 2 2 3 2 2 2 2 2 2 4" xfId="4264"/>
    <cellStyle name="Comma 2 2 2 3 2 2 2 2 2 2 4 2" xfId="5978"/>
    <cellStyle name="Comma 2 2 2 3 2 2 2 2 2 2 4 2 2" xfId="17857"/>
    <cellStyle name="Comma 2 2 2 3 2 2 2 2 2 2 4 2 2 2" xfId="19545"/>
    <cellStyle name="Comma 2 2 2 3 2 2 2 2 2 2 4 2 2 2 2" xfId="53184"/>
    <cellStyle name="Comma 2 2 2 3 2 2 2 2 2 2 4 2 2 2 2 2" xfId="54871"/>
    <cellStyle name="Comma 2 2 2 3 2 2 2 2 2 2 4 2 2 3" xfId="33046"/>
    <cellStyle name="Comma 2 2 2 3 2 2 2 2 2 2 4 2 3" xfId="31359"/>
    <cellStyle name="Comma 2 2 2 3 2 2 2 2 2 2 4 2 3 2" xfId="41412"/>
    <cellStyle name="Comma 2 2 2 3 2 2 2 2 2 2 4 3" xfId="11203"/>
    <cellStyle name="Comma 2 2 2 3 2 2 2 2 2 2 4 3 2" xfId="39707"/>
    <cellStyle name="Comma 2 2 2 3 2 2 2 2 2 2 4 3 2 2" xfId="46561"/>
    <cellStyle name="Comma 2 2 2 3 2 2 2 2 2 2 4 4" xfId="24696"/>
    <cellStyle name="Comma 2 2 2 3 2 2 2 2 2 2 5" xfId="9455"/>
    <cellStyle name="Comma 2 2 2 3 2 2 2 2 2 2 5 2" xfId="14362"/>
    <cellStyle name="Comma 2 2 2 3 2 2 2 2 2 2 5 2 2" xfId="44837"/>
    <cellStyle name="Comma 2 2 2 3 2 2 2 2 2 2 5 2 2 2" xfId="49707"/>
    <cellStyle name="Comma 2 2 2 3 2 2 2 2 2 2 5 3" xfId="27872"/>
    <cellStyle name="Comma 2 2 2 3 2 2 2 2 2 2 6" xfId="22951"/>
    <cellStyle name="Comma 2 2 2 3 2 2 2 2 2 2 6 2" xfId="36174"/>
    <cellStyle name="Comma 2 2 2 3 2 2 2 2 2 3" xfId="975"/>
    <cellStyle name="Comma 2 2 2 3 2 2 2 2 2 3 2" xfId="2735"/>
    <cellStyle name="Comma 2 2 2 3 2 2 2 2 2 3 2 2" xfId="3013"/>
    <cellStyle name="Comma 2 2 2 3 2 2 2 2 2 3 2 2 2" xfId="7954"/>
    <cellStyle name="Comma 2 2 2 3 2 2 2 2 2 3 2 2 2 2" xfId="8228"/>
    <cellStyle name="Comma 2 2 2 3 2 2 2 2 2 3 2 2 2 2 2" xfId="21506"/>
    <cellStyle name="Comma 2 2 2 3 2 2 2 2 2 3 2 2 2 2 2 2" xfId="21780"/>
    <cellStyle name="Comma 2 2 2 3 2 2 2 2 2 3 2 2 2 2 2 2 2" xfId="56832"/>
    <cellStyle name="Comma 2 2 2 3 2 2 2 2 2 3 2 2 2 2 2 2 2 2" xfId="57106"/>
    <cellStyle name="Comma 2 2 2 3 2 2 2 2 2 3 2 2 2 2 2 3" xfId="35283"/>
    <cellStyle name="Comma 2 2 2 3 2 2 2 2 2 3 2 2 2 2 3" xfId="35009"/>
    <cellStyle name="Comma 2 2 2 3 2 2 2 2 2 3 2 2 2 2 3 2" xfId="43655"/>
    <cellStyle name="Comma 2 2 2 3 2 2 2 2 2 3 2 2 2 3" xfId="13453"/>
    <cellStyle name="Comma 2 2 2 3 2 2 2 2 2 3 2 2 2 3 2" xfId="43381"/>
    <cellStyle name="Comma 2 2 2 3 2 2 2 2 2 3 2 2 2 3 2 2" xfId="48799"/>
    <cellStyle name="Comma 2 2 2 3 2 2 2 2 2 3 2 2 2 4" xfId="26938"/>
    <cellStyle name="Comma 2 2 2 3 2 2 2 2 2 3 2 2 3" xfId="13179"/>
    <cellStyle name="Comma 2 2 2 3 2 2 2 2 2 3 2 2 3 2" xfId="16670"/>
    <cellStyle name="Comma 2 2 2 3 2 2 2 2 2 3 2 2 3 2 2" xfId="48525"/>
    <cellStyle name="Comma 2 2 2 3 2 2 2 2 2 3 2 2 3 2 2 2" xfId="51998"/>
    <cellStyle name="Comma 2 2 2 3 2 2 2 2 2 3 2 2 3 3" xfId="30172"/>
    <cellStyle name="Comma 2 2 2 3 2 2 2 2 2 3 2 2 4" xfId="26663"/>
    <cellStyle name="Comma 2 2 2 3 2 2 2 2 2 3 2 2 4 2" xfId="38482"/>
    <cellStyle name="Comma 2 2 2 3 2 2 2 2 2 3 2 3" xfId="5049"/>
    <cellStyle name="Comma 2 2 2 3 2 2 2 2 2 3 2 3 2" xfId="16394"/>
    <cellStyle name="Comma 2 2 2 3 2 2 2 2 2 3 2 3 2 2" xfId="18622"/>
    <cellStyle name="Comma 2 2 2 3 2 2 2 2 2 3 2 3 2 2 2" xfId="51724"/>
    <cellStyle name="Comma 2 2 2 3 2 2 2 2 2 3 2 3 2 2 2 2" xfId="53948"/>
    <cellStyle name="Comma 2 2 2 3 2 2 2 2 2 3 2 3 2 3" xfId="32123"/>
    <cellStyle name="Comma 2 2 2 3 2 2 2 2 2 3 2 3 3" xfId="29898"/>
    <cellStyle name="Comma 2 2 2 3 2 2 2 2 2 3 2 3 3 2" xfId="40486"/>
    <cellStyle name="Comma 2 2 2 3 2 2 2 2 2 3 2 4" xfId="10252"/>
    <cellStyle name="Comma 2 2 2 3 2 2 2 2 2 3 2 4 2" xfId="38208"/>
    <cellStyle name="Comma 2 2 2 3 2 2 2 2 2 3 2 4 2 2" xfId="45615"/>
    <cellStyle name="Comma 2 2 2 3 2 2 2 2 2 3 2 5" xfId="23738"/>
    <cellStyle name="Comma 2 2 2 3 2 2 2 2 2 3 3" xfId="4771"/>
    <cellStyle name="Comma 2 2 2 3 2 2 2 2 2 3 3 2" xfId="6286"/>
    <cellStyle name="Comma 2 2 2 3 2 2 2 2 2 3 3 2 2" xfId="18348"/>
    <cellStyle name="Comma 2 2 2 3 2 2 2 2 2 3 3 2 2 2" xfId="19843"/>
    <cellStyle name="Comma 2 2 2 3 2 2 2 2 2 3 3 2 2 2 2" xfId="53674"/>
    <cellStyle name="Comma 2 2 2 3 2 2 2 2 2 3 3 2 2 2 2 2" xfId="55169"/>
    <cellStyle name="Comma 2 2 2 3 2 2 2 2 2 3 3 2 2 3" xfId="33345"/>
    <cellStyle name="Comma 2 2 2 3 2 2 2 2 2 3 3 2 3" xfId="31849"/>
    <cellStyle name="Comma 2 2 2 3 2 2 2 2 2 3 3 2 3 2" xfId="41715"/>
    <cellStyle name="Comma 2 2 2 3 2 2 2 2 2 3 3 3" xfId="11511"/>
    <cellStyle name="Comma 2 2 2 3 2 2 2 2 2 3 3 3 2" xfId="40209"/>
    <cellStyle name="Comma 2 2 2 3 2 2 2 2 2 3 3 3 2 2" xfId="46860"/>
    <cellStyle name="Comma 2 2 2 3 2 2 2 2 2 3 3 4" xfId="24997"/>
    <cellStyle name="Comma 2 2 2 3 2 2 2 2 2 3 4" xfId="9974"/>
    <cellStyle name="Comma 2 2 2 3 2 2 2 2 2 3 4 2" xfId="14669"/>
    <cellStyle name="Comma 2 2 2 3 2 2 2 2 2 3 4 2 2" xfId="45341"/>
    <cellStyle name="Comma 2 2 2 3 2 2 2 2 2 3 4 2 2 2" xfId="50008"/>
    <cellStyle name="Comma 2 2 2 3 2 2 2 2 2 3 4 3" xfId="28180"/>
    <cellStyle name="Comma 2 2 2 3 2 2 2 2 2 3 5" xfId="23464"/>
    <cellStyle name="Comma 2 2 2 3 2 2 2 2 2 3 5 2" xfId="36477"/>
    <cellStyle name="Comma 2 2 2 3 2 2 2 2 2 4" xfId="1771"/>
    <cellStyle name="Comma 2 2 2 3 2 2 2 2 2 4 2" xfId="5976"/>
    <cellStyle name="Comma 2 2 2 3 2 2 2 2 2 4 2 2" xfId="7024"/>
    <cellStyle name="Comma 2 2 2 3 2 2 2 2 2 4 2 2 2" xfId="19543"/>
    <cellStyle name="Comma 2 2 2 3 2 2 2 2 2 4 2 2 2 2" xfId="20577"/>
    <cellStyle name="Comma 2 2 2 3 2 2 2 2 2 4 2 2 2 2 2" xfId="54869"/>
    <cellStyle name="Comma 2 2 2 3 2 2 2 2 2 4 2 2 2 2 2 2" xfId="55903"/>
    <cellStyle name="Comma 2 2 2 3 2 2 2 2 2 4 2 2 2 3" xfId="34079"/>
    <cellStyle name="Comma 2 2 2 3 2 2 2 2 2 4 2 2 3" xfId="33044"/>
    <cellStyle name="Comma 2 2 2 3 2 2 2 2 2 4 2 2 3 2" xfId="42452"/>
    <cellStyle name="Comma 2 2 2 3 2 2 2 2 2 4 2 3" xfId="12248"/>
    <cellStyle name="Comma 2 2 2 3 2 2 2 2 2 4 2 3 2" xfId="41410"/>
    <cellStyle name="Comma 2 2 2 3 2 2 2 2 2 4 2 3 2 2" xfId="47595"/>
    <cellStyle name="Comma 2 2 2 3 2 2 2 2 2 4 2 4" xfId="25733"/>
    <cellStyle name="Comma 2 2 2 3 2 2 2 2 2 4 3" xfId="11201"/>
    <cellStyle name="Comma 2 2 2 3 2 2 2 2 2 4 3 2" xfId="15443"/>
    <cellStyle name="Comma 2 2 2 3 2 2 2 2 2 4 3 2 2" xfId="46559"/>
    <cellStyle name="Comma 2 2 2 3 2 2 2 2 2 4 3 2 2 2" xfId="50776"/>
    <cellStyle name="Comma 2 2 2 3 2 2 2 2 2 4 3 3" xfId="28950"/>
    <cellStyle name="Comma 2 2 2 3 2 2 2 2 2 4 4" xfId="24694"/>
    <cellStyle name="Comma 2 2 2 3 2 2 2 2 2 4 4 2" xfId="37253"/>
    <cellStyle name="Comma 2 2 2 3 2 2 2 2 2 5" xfId="3777"/>
    <cellStyle name="Comma 2 2 2 3 2 2 2 2 2 5 2" xfId="14360"/>
    <cellStyle name="Comma 2 2 2 3 2 2 2 2 2 5 2 2" xfId="17393"/>
    <cellStyle name="Comma 2 2 2 3 2 2 2 2 2 5 2 2 2" xfId="49705"/>
    <cellStyle name="Comma 2 2 2 3 2 2 2 2 2 5 2 2 2 2" xfId="52720"/>
    <cellStyle name="Comma 2 2 2 3 2 2 2 2 2 5 2 3" xfId="30894"/>
    <cellStyle name="Comma 2 2 2 3 2 2 2 2 2 5 3" xfId="27870"/>
    <cellStyle name="Comma 2 2 2 3 2 2 2 2 2 5 3 2" xfId="39228"/>
    <cellStyle name="Comma 2 2 2 3 2 2 2 2 2 6" xfId="8967"/>
    <cellStyle name="Comma 2 2 2 3 2 2 2 2 2 6 2" xfId="36172"/>
    <cellStyle name="Comma 2 2 2 3 2 2 2 2 2 6 2 2" xfId="44366"/>
    <cellStyle name="Comma 2 2 2 3 2 2 2 2 2 7" xfId="22474"/>
    <cellStyle name="Comma 2 2 2 3 2 2 2 2 3" xfId="973"/>
    <cellStyle name="Comma 2 2 2 3 2 2 2 2 3 2" xfId="1179"/>
    <cellStyle name="Comma 2 2 2 3 2 2 2 2 3 2 2" xfId="3011"/>
    <cellStyle name="Comma 2 2 2 3 2 2 2 2 3 2 2 2" xfId="3199"/>
    <cellStyle name="Comma 2 2 2 3 2 2 2 2 3 2 2 2 2" xfId="8226"/>
    <cellStyle name="Comma 2 2 2 3 2 2 2 2 3 2 2 2 2 2" xfId="8414"/>
    <cellStyle name="Comma 2 2 2 3 2 2 2 2 3 2 2 2 2 2 2" xfId="21778"/>
    <cellStyle name="Comma 2 2 2 3 2 2 2 2 3 2 2 2 2 2 2 2" xfId="21966"/>
    <cellStyle name="Comma 2 2 2 3 2 2 2 2 3 2 2 2 2 2 2 2 2" xfId="57104"/>
    <cellStyle name="Comma 2 2 2 3 2 2 2 2 3 2 2 2 2 2 2 2 2 2" xfId="57292"/>
    <cellStyle name="Comma 2 2 2 3 2 2 2 2 3 2 2 2 2 2 2 3" xfId="35469"/>
    <cellStyle name="Comma 2 2 2 3 2 2 2 2 3 2 2 2 2 2 3" xfId="35281"/>
    <cellStyle name="Comma 2 2 2 3 2 2 2 2 3 2 2 2 2 2 3 2" xfId="43841"/>
    <cellStyle name="Comma 2 2 2 3 2 2 2 2 3 2 2 2 2 3" xfId="13639"/>
    <cellStyle name="Comma 2 2 2 3 2 2 2 2 3 2 2 2 2 3 2" xfId="43653"/>
    <cellStyle name="Comma 2 2 2 3 2 2 2 2 3 2 2 2 2 3 2 2" xfId="48985"/>
    <cellStyle name="Comma 2 2 2 3 2 2 2 2 3 2 2 2 2 4" xfId="27124"/>
    <cellStyle name="Comma 2 2 2 3 2 2 2 2 3 2 2 2 3" xfId="13451"/>
    <cellStyle name="Comma 2 2 2 3 2 2 2 2 3 2 2 2 3 2" xfId="16856"/>
    <cellStyle name="Comma 2 2 2 3 2 2 2 2 3 2 2 2 3 2 2" xfId="48797"/>
    <cellStyle name="Comma 2 2 2 3 2 2 2 2 3 2 2 2 3 2 2 2" xfId="52184"/>
    <cellStyle name="Comma 2 2 2 3 2 2 2 2 3 2 2 2 3 3" xfId="30358"/>
    <cellStyle name="Comma 2 2 2 3 2 2 2 2 3 2 2 2 4" xfId="26936"/>
    <cellStyle name="Comma 2 2 2 3 2 2 2 2 3 2 2 2 4 2" xfId="38668"/>
    <cellStyle name="Comma 2 2 2 3 2 2 2 2 3 2 2 3" xfId="5236"/>
    <cellStyle name="Comma 2 2 2 3 2 2 2 2 3 2 2 3 2" xfId="16668"/>
    <cellStyle name="Comma 2 2 2 3 2 2 2 2 3 2 2 3 2 2" xfId="18809"/>
    <cellStyle name="Comma 2 2 2 3 2 2 2 2 3 2 2 3 2 2 2" xfId="51996"/>
    <cellStyle name="Comma 2 2 2 3 2 2 2 2 3 2 2 3 2 2 2 2" xfId="54135"/>
    <cellStyle name="Comma 2 2 2 3 2 2 2 2 3 2 2 3 2 3" xfId="32310"/>
    <cellStyle name="Comma 2 2 2 3 2 2 2 2 3 2 2 3 3" xfId="30170"/>
    <cellStyle name="Comma 2 2 2 3 2 2 2 2 3 2 2 3 3 2" xfId="40673"/>
    <cellStyle name="Comma 2 2 2 3 2 2 2 2 3 2 2 4" xfId="10439"/>
    <cellStyle name="Comma 2 2 2 3 2 2 2 2 3 2 2 4 2" xfId="38480"/>
    <cellStyle name="Comma 2 2 2 3 2 2 2 2 3 2 2 4 2 2" xfId="45802"/>
    <cellStyle name="Comma 2 2 2 3 2 2 2 2 3 2 2 5" xfId="23925"/>
    <cellStyle name="Comma 2 2 2 3 2 2 2 2 3 2 3" xfId="5047"/>
    <cellStyle name="Comma 2 2 2 3 2 2 2 2 3 2 3 2" xfId="6487"/>
    <cellStyle name="Comma 2 2 2 3 2 2 2 2 3 2 3 2 2" xfId="18620"/>
    <cellStyle name="Comma 2 2 2 3 2 2 2 2 3 2 3 2 2 2" xfId="20041"/>
    <cellStyle name="Comma 2 2 2 3 2 2 2 2 3 2 3 2 2 2 2" xfId="53946"/>
    <cellStyle name="Comma 2 2 2 3 2 2 2 2 3 2 3 2 2 2 2 2" xfId="55367"/>
    <cellStyle name="Comma 2 2 2 3 2 2 2 2 3 2 3 2 2 3" xfId="33543"/>
    <cellStyle name="Comma 2 2 2 3 2 2 2 2 3 2 3 2 3" xfId="32121"/>
    <cellStyle name="Comma 2 2 2 3 2 2 2 2 3 2 3 2 3 2" xfId="41915"/>
    <cellStyle name="Comma 2 2 2 3 2 2 2 2 3 2 3 3" xfId="11711"/>
    <cellStyle name="Comma 2 2 2 3 2 2 2 2 3 2 3 3 2" xfId="40484"/>
    <cellStyle name="Comma 2 2 2 3 2 2 2 2 3 2 3 3 2 2" xfId="47059"/>
    <cellStyle name="Comma 2 2 2 3 2 2 2 2 3 2 3 4" xfId="25196"/>
    <cellStyle name="Comma 2 2 2 3 2 2 2 2 3 2 4" xfId="10250"/>
    <cellStyle name="Comma 2 2 2 3 2 2 2 2 3 2 4 2" xfId="14869"/>
    <cellStyle name="Comma 2 2 2 3 2 2 2 2 3 2 4 2 2" xfId="45613"/>
    <cellStyle name="Comma 2 2 2 3 2 2 2 2 3 2 4 2 2 2" xfId="50208"/>
    <cellStyle name="Comma 2 2 2 3 2 2 2 2 3 2 4 3" xfId="28382"/>
    <cellStyle name="Comma 2 2 2 3 2 2 2 2 3 2 5" xfId="23736"/>
    <cellStyle name="Comma 2 2 2 3 2 2 2 2 3 2 5 2" xfId="36677"/>
    <cellStyle name="Comma 2 2 2 3 2 2 2 2 3 3" xfId="1987"/>
    <cellStyle name="Comma 2 2 2 3 2 2 2 2 3 3 2" xfId="6284"/>
    <cellStyle name="Comma 2 2 2 3 2 2 2 2 3 3 2 2" xfId="7221"/>
    <cellStyle name="Comma 2 2 2 3 2 2 2 2 3 3 2 2 2" xfId="19841"/>
    <cellStyle name="Comma 2 2 2 3 2 2 2 2 3 3 2 2 2 2" xfId="20773"/>
    <cellStyle name="Comma 2 2 2 3 2 2 2 2 3 3 2 2 2 2 2" xfId="55167"/>
    <cellStyle name="Comma 2 2 2 3 2 2 2 2 3 3 2 2 2 2 2 2" xfId="56099"/>
    <cellStyle name="Comma 2 2 2 3 2 2 2 2 3 3 2 2 2 3" xfId="34276"/>
    <cellStyle name="Comma 2 2 2 3 2 2 2 2 3 3 2 2 3" xfId="33343"/>
    <cellStyle name="Comma 2 2 2 3 2 2 2 2 3 3 2 2 3 2" xfId="42648"/>
    <cellStyle name="Comma 2 2 2 3 2 2 2 2 3 3 2 3" xfId="12446"/>
    <cellStyle name="Comma 2 2 2 3 2 2 2 2 3 3 2 3 2" xfId="41713"/>
    <cellStyle name="Comma 2 2 2 3 2 2 2 2 3 3 2 3 2 2" xfId="47792"/>
    <cellStyle name="Comma 2 2 2 3 2 2 2 2 3 3 2 4" xfId="25930"/>
    <cellStyle name="Comma 2 2 2 3 2 2 2 2 3 3 3" xfId="11509"/>
    <cellStyle name="Comma 2 2 2 3 2 2 2 2 3 3 3 2" xfId="15651"/>
    <cellStyle name="Comma 2 2 2 3 2 2 2 2 3 3 3 2 2" xfId="46858"/>
    <cellStyle name="Comma 2 2 2 3 2 2 2 2 3 3 3 2 2 2" xfId="50983"/>
    <cellStyle name="Comma 2 2 2 3 2 2 2 2 3 3 3 3" xfId="29157"/>
    <cellStyle name="Comma 2 2 2 3 2 2 2 2 3 3 4" xfId="24995"/>
    <cellStyle name="Comma 2 2 2 3 2 2 2 2 3 3 4 2" xfId="37465"/>
    <cellStyle name="Comma 2 2 2 3 2 2 2 2 3 4" xfId="4001"/>
    <cellStyle name="Comma 2 2 2 3 2 2 2 2 3 4 2" xfId="14667"/>
    <cellStyle name="Comma 2 2 2 3 2 2 2 2 3 4 2 2" xfId="17596"/>
    <cellStyle name="Comma 2 2 2 3 2 2 2 2 3 4 2 2 2" xfId="50006"/>
    <cellStyle name="Comma 2 2 2 3 2 2 2 2 3 4 2 2 2 2" xfId="52923"/>
    <cellStyle name="Comma 2 2 2 3 2 2 2 2 3 4 2 3" xfId="31098"/>
    <cellStyle name="Comma 2 2 2 3 2 2 2 2 3 4 3" xfId="28178"/>
    <cellStyle name="Comma 2 2 2 3 2 2 2 2 3 4 3 2" xfId="39445"/>
    <cellStyle name="Comma 2 2 2 3 2 2 2 2 3 5" xfId="9193"/>
    <cellStyle name="Comma 2 2 2 3 2 2 2 2 3 5 2" xfId="36475"/>
    <cellStyle name="Comma 2 2 2 3 2 2 2 2 3 5 2 2" xfId="44576"/>
    <cellStyle name="Comma 2 2 2 3 2 2 2 2 3 6" xfId="22690"/>
    <cellStyle name="Comma 2 2 2 3 2 2 2 2 4" xfId="1769"/>
    <cellStyle name="Comma 2 2 2 3 2 2 2 2 4 2" xfId="2432"/>
    <cellStyle name="Comma 2 2 2 3 2 2 2 2 4 2 2" xfId="7022"/>
    <cellStyle name="Comma 2 2 2 3 2 2 2 2 4 2 2 2" xfId="7664"/>
    <cellStyle name="Comma 2 2 2 3 2 2 2 2 4 2 2 2 2" xfId="20575"/>
    <cellStyle name="Comma 2 2 2 3 2 2 2 2 4 2 2 2 2 2" xfId="21216"/>
    <cellStyle name="Comma 2 2 2 3 2 2 2 2 4 2 2 2 2 2 2" xfId="55901"/>
    <cellStyle name="Comma 2 2 2 3 2 2 2 2 4 2 2 2 2 2 2 2" xfId="56542"/>
    <cellStyle name="Comma 2 2 2 3 2 2 2 2 4 2 2 2 2 3" xfId="34719"/>
    <cellStyle name="Comma 2 2 2 3 2 2 2 2 4 2 2 2 3" xfId="34077"/>
    <cellStyle name="Comma 2 2 2 3 2 2 2 2 4 2 2 2 3 2" xfId="43091"/>
    <cellStyle name="Comma 2 2 2 3 2 2 2 2 4 2 2 3" xfId="12889"/>
    <cellStyle name="Comma 2 2 2 3 2 2 2 2 4 2 2 3 2" xfId="42450"/>
    <cellStyle name="Comma 2 2 2 3 2 2 2 2 4 2 2 3 2 2" xfId="48235"/>
    <cellStyle name="Comma 2 2 2 3 2 2 2 2 4 2 2 4" xfId="26373"/>
    <cellStyle name="Comma 2 2 2 3 2 2 2 2 4 2 3" xfId="12246"/>
    <cellStyle name="Comma 2 2 2 3 2 2 2 2 4 2 3 2" xfId="16095"/>
    <cellStyle name="Comma 2 2 2 3 2 2 2 2 4 2 3 2 2" xfId="47593"/>
    <cellStyle name="Comma 2 2 2 3 2 2 2 2 4 2 3 2 2 2" xfId="51427"/>
    <cellStyle name="Comma 2 2 2 3 2 2 2 2 4 2 3 3" xfId="29601"/>
    <cellStyle name="Comma 2 2 2 3 2 2 2 2 4 2 4" xfId="25731"/>
    <cellStyle name="Comma 2 2 2 3 2 2 2 2 4 2 4 2" xfId="37910"/>
    <cellStyle name="Comma 2 2 2 3 2 2 2 2 4 3" xfId="4467"/>
    <cellStyle name="Comma 2 2 2 3 2 2 2 2 4 3 2" xfId="15441"/>
    <cellStyle name="Comma 2 2 2 3 2 2 2 2 4 3 2 2" xfId="18057"/>
    <cellStyle name="Comma 2 2 2 3 2 2 2 2 4 3 2 2 2" xfId="50774"/>
    <cellStyle name="Comma 2 2 2 3 2 2 2 2 4 3 2 2 2 2" xfId="53383"/>
    <cellStyle name="Comma 2 2 2 3 2 2 2 2 4 3 2 3" xfId="31558"/>
    <cellStyle name="Comma 2 2 2 3 2 2 2 2 4 3 3" xfId="28948"/>
    <cellStyle name="Comma 2 2 2 3 2 2 2 2 4 3 3 2" xfId="39909"/>
    <cellStyle name="Comma 2 2 2 3 2 2 2 2 4 4" xfId="9672"/>
    <cellStyle name="Comma 2 2 2 3 2 2 2 2 4 4 2" xfId="37251"/>
    <cellStyle name="Comma 2 2 2 3 2 2 2 2 4 4 2 2" xfId="45050"/>
    <cellStyle name="Comma 2 2 2 3 2 2 2 2 4 5" xfId="23173"/>
    <cellStyle name="Comma 2 2 2 3 2 2 2 2 5" xfId="3775"/>
    <cellStyle name="Comma 2 2 2 3 2 2 2 2 5 2" xfId="5674"/>
    <cellStyle name="Comma 2 2 2 3 2 2 2 2 5 2 2" xfId="17391"/>
    <cellStyle name="Comma 2 2 2 3 2 2 2 2 5 2 2 2" xfId="19246"/>
    <cellStyle name="Comma 2 2 2 3 2 2 2 2 5 2 2 2 2" xfId="52718"/>
    <cellStyle name="Comma 2 2 2 3 2 2 2 2 5 2 2 2 2 2" xfId="54572"/>
    <cellStyle name="Comma 2 2 2 3 2 2 2 2 5 2 2 3" xfId="32747"/>
    <cellStyle name="Comma 2 2 2 3 2 2 2 2 5 2 3" xfId="30892"/>
    <cellStyle name="Comma 2 2 2 3 2 2 2 2 5 2 3 2" xfId="41110"/>
    <cellStyle name="Comma 2 2 2 3 2 2 2 2 5 3" xfId="10892"/>
    <cellStyle name="Comma 2 2 2 3 2 2 2 2 5 3 2" xfId="39226"/>
    <cellStyle name="Comma 2 2 2 3 2 2 2 2 5 3 2 2" xfId="46254"/>
    <cellStyle name="Comma 2 2 2 3 2 2 2 2 5 4" xfId="24385"/>
    <cellStyle name="Comma 2 2 2 3 2 2 2 2 6" xfId="8965"/>
    <cellStyle name="Comma 2 2 2 3 2 2 2 2 6 2" xfId="14058"/>
    <cellStyle name="Comma 2 2 2 3 2 2 2 2 6 2 2" xfId="44364"/>
    <cellStyle name="Comma 2 2 2 3 2 2 2 2 6 2 2 2" xfId="49404"/>
    <cellStyle name="Comma 2 2 2 3 2 2 2 2 6 3" xfId="27557"/>
    <cellStyle name="Comma 2 2 2 3 2 2 2 2 7" xfId="22472"/>
    <cellStyle name="Comma 2 2 2 3 2 2 2 2 7 2" xfId="35870"/>
    <cellStyle name="Comma 2 2 2 3 2 2 2 3" xfId="463"/>
    <cellStyle name="Comma 2 2 2 3 2 2 2 3 2" xfId="1177"/>
    <cellStyle name="Comma 2 2 2 3 2 2 2 3 2 2" xfId="1278"/>
    <cellStyle name="Comma 2 2 2 3 2 2 2 3 2 2 2" xfId="3197"/>
    <cellStyle name="Comma 2 2 2 3 2 2 2 3 2 2 2 2" xfId="3296"/>
    <cellStyle name="Comma 2 2 2 3 2 2 2 3 2 2 2 2 2" xfId="8412"/>
    <cellStyle name="Comma 2 2 2 3 2 2 2 3 2 2 2 2 2 2" xfId="8511"/>
    <cellStyle name="Comma 2 2 2 3 2 2 2 3 2 2 2 2 2 2 2" xfId="21964"/>
    <cellStyle name="Comma 2 2 2 3 2 2 2 3 2 2 2 2 2 2 2 2" xfId="22063"/>
    <cellStyle name="Comma 2 2 2 3 2 2 2 3 2 2 2 2 2 2 2 2 2" xfId="57290"/>
    <cellStyle name="Comma 2 2 2 3 2 2 2 3 2 2 2 2 2 2 2 2 2 2" xfId="57389"/>
    <cellStyle name="Comma 2 2 2 3 2 2 2 3 2 2 2 2 2 2 2 3" xfId="35566"/>
    <cellStyle name="Comma 2 2 2 3 2 2 2 3 2 2 2 2 2 2 3" xfId="35467"/>
    <cellStyle name="Comma 2 2 2 3 2 2 2 3 2 2 2 2 2 2 3 2" xfId="43938"/>
    <cellStyle name="Comma 2 2 2 3 2 2 2 3 2 2 2 2 2 3" xfId="13736"/>
    <cellStyle name="Comma 2 2 2 3 2 2 2 3 2 2 2 2 2 3 2" xfId="43839"/>
    <cellStyle name="Comma 2 2 2 3 2 2 2 3 2 2 2 2 2 3 2 2" xfId="49082"/>
    <cellStyle name="Comma 2 2 2 3 2 2 2 3 2 2 2 2 2 4" xfId="27221"/>
    <cellStyle name="Comma 2 2 2 3 2 2 2 3 2 2 2 2 3" xfId="13637"/>
    <cellStyle name="Comma 2 2 2 3 2 2 2 3 2 2 2 2 3 2" xfId="16953"/>
    <cellStyle name="Comma 2 2 2 3 2 2 2 3 2 2 2 2 3 2 2" xfId="48983"/>
    <cellStyle name="Comma 2 2 2 3 2 2 2 3 2 2 2 2 3 2 2 2" xfId="52281"/>
    <cellStyle name="Comma 2 2 2 3 2 2 2 3 2 2 2 2 3 3" xfId="30455"/>
    <cellStyle name="Comma 2 2 2 3 2 2 2 3 2 2 2 2 4" xfId="27122"/>
    <cellStyle name="Comma 2 2 2 3 2 2 2 3 2 2 2 2 4 2" xfId="38765"/>
    <cellStyle name="Comma 2 2 2 3 2 2 2 3 2 2 2 3" xfId="5333"/>
    <cellStyle name="Comma 2 2 2 3 2 2 2 3 2 2 2 3 2" xfId="16854"/>
    <cellStyle name="Comma 2 2 2 3 2 2 2 3 2 2 2 3 2 2" xfId="18906"/>
    <cellStyle name="Comma 2 2 2 3 2 2 2 3 2 2 2 3 2 2 2" xfId="52182"/>
    <cellStyle name="Comma 2 2 2 3 2 2 2 3 2 2 2 3 2 2 2 2" xfId="54232"/>
    <cellStyle name="Comma 2 2 2 3 2 2 2 3 2 2 2 3 2 3" xfId="32407"/>
    <cellStyle name="Comma 2 2 2 3 2 2 2 3 2 2 2 3 3" xfId="30356"/>
    <cellStyle name="Comma 2 2 2 3 2 2 2 3 2 2 2 3 3 2" xfId="40770"/>
    <cellStyle name="Comma 2 2 2 3 2 2 2 3 2 2 2 4" xfId="10536"/>
    <cellStyle name="Comma 2 2 2 3 2 2 2 3 2 2 2 4 2" xfId="38666"/>
    <cellStyle name="Comma 2 2 2 3 2 2 2 3 2 2 2 4 2 2" xfId="45899"/>
    <cellStyle name="Comma 2 2 2 3 2 2 2 3 2 2 2 5" xfId="24022"/>
    <cellStyle name="Comma 2 2 2 3 2 2 2 3 2 2 3" xfId="5234"/>
    <cellStyle name="Comma 2 2 2 3 2 2 2 3 2 2 3 2" xfId="6586"/>
    <cellStyle name="Comma 2 2 2 3 2 2 2 3 2 2 3 2 2" xfId="18807"/>
    <cellStyle name="Comma 2 2 2 3 2 2 2 3 2 2 3 2 2 2" xfId="20139"/>
    <cellStyle name="Comma 2 2 2 3 2 2 2 3 2 2 3 2 2 2 2" xfId="54133"/>
    <cellStyle name="Comma 2 2 2 3 2 2 2 3 2 2 3 2 2 2 2 2" xfId="55465"/>
    <cellStyle name="Comma 2 2 2 3 2 2 2 3 2 2 3 2 2 3" xfId="33641"/>
    <cellStyle name="Comma 2 2 2 3 2 2 2 3 2 2 3 2 3" xfId="32308"/>
    <cellStyle name="Comma 2 2 2 3 2 2 2 3 2 2 3 2 3 2" xfId="42014"/>
    <cellStyle name="Comma 2 2 2 3 2 2 2 3 2 2 3 3" xfId="11809"/>
    <cellStyle name="Comma 2 2 2 3 2 2 2 3 2 2 3 3 2" xfId="40671"/>
    <cellStyle name="Comma 2 2 2 3 2 2 2 3 2 2 3 3 2 2" xfId="47157"/>
    <cellStyle name="Comma 2 2 2 3 2 2 2 3 2 2 3 4" xfId="25294"/>
    <cellStyle name="Comma 2 2 2 3 2 2 2 3 2 2 4" xfId="10437"/>
    <cellStyle name="Comma 2 2 2 3 2 2 2 3 2 2 4 2" xfId="14967"/>
    <cellStyle name="Comma 2 2 2 3 2 2 2 3 2 2 4 2 2" xfId="45800"/>
    <cellStyle name="Comma 2 2 2 3 2 2 2 3 2 2 4 2 2 2" xfId="50306"/>
    <cellStyle name="Comma 2 2 2 3 2 2 2 3 2 2 4 3" xfId="28480"/>
    <cellStyle name="Comma 2 2 2 3 2 2 2 3 2 2 5" xfId="23923"/>
    <cellStyle name="Comma 2 2 2 3 2 2 2 3 2 2 5 2" xfId="36775"/>
    <cellStyle name="Comma 2 2 2 3 2 2 2 3 2 3" xfId="2084"/>
    <cellStyle name="Comma 2 2 2 3 2 2 2 3 2 3 2" xfId="6485"/>
    <cellStyle name="Comma 2 2 2 3 2 2 2 3 2 3 2 2" xfId="7318"/>
    <cellStyle name="Comma 2 2 2 3 2 2 2 3 2 3 2 2 2" xfId="20039"/>
    <cellStyle name="Comma 2 2 2 3 2 2 2 3 2 3 2 2 2 2" xfId="20870"/>
    <cellStyle name="Comma 2 2 2 3 2 2 2 3 2 3 2 2 2 2 2" xfId="55365"/>
    <cellStyle name="Comma 2 2 2 3 2 2 2 3 2 3 2 2 2 2 2 2" xfId="56196"/>
    <cellStyle name="Comma 2 2 2 3 2 2 2 3 2 3 2 2 2 3" xfId="34373"/>
    <cellStyle name="Comma 2 2 2 3 2 2 2 3 2 3 2 2 3" xfId="33541"/>
    <cellStyle name="Comma 2 2 2 3 2 2 2 3 2 3 2 2 3 2" xfId="42745"/>
    <cellStyle name="Comma 2 2 2 3 2 2 2 3 2 3 2 3" xfId="12543"/>
    <cellStyle name="Comma 2 2 2 3 2 2 2 3 2 3 2 3 2" xfId="41913"/>
    <cellStyle name="Comma 2 2 2 3 2 2 2 3 2 3 2 3 2 2" xfId="47889"/>
    <cellStyle name="Comma 2 2 2 3 2 2 2 3 2 3 2 4" xfId="26027"/>
    <cellStyle name="Comma 2 2 2 3 2 2 2 3 2 3 3" xfId="11709"/>
    <cellStyle name="Comma 2 2 2 3 2 2 2 3 2 3 3 2" xfId="15748"/>
    <cellStyle name="Comma 2 2 2 3 2 2 2 3 2 3 3 2 2" xfId="47057"/>
    <cellStyle name="Comma 2 2 2 3 2 2 2 3 2 3 3 2 2 2" xfId="51080"/>
    <cellStyle name="Comma 2 2 2 3 2 2 2 3 2 3 3 3" xfId="29254"/>
    <cellStyle name="Comma 2 2 2 3 2 2 2 3 2 3 4" xfId="25194"/>
    <cellStyle name="Comma 2 2 2 3 2 2 2 3 2 3 4 2" xfId="37562"/>
    <cellStyle name="Comma 2 2 2 3 2 2 2 3 2 4" xfId="4100"/>
    <cellStyle name="Comma 2 2 2 3 2 2 2 3 2 4 2" xfId="14867"/>
    <cellStyle name="Comma 2 2 2 3 2 2 2 3 2 4 2 2" xfId="17693"/>
    <cellStyle name="Comma 2 2 2 3 2 2 2 3 2 4 2 2 2" xfId="50206"/>
    <cellStyle name="Comma 2 2 2 3 2 2 2 3 2 4 2 2 2 2" xfId="53020"/>
    <cellStyle name="Comma 2 2 2 3 2 2 2 3 2 4 2 3" xfId="31195"/>
    <cellStyle name="Comma 2 2 2 3 2 2 2 3 2 4 3" xfId="28380"/>
    <cellStyle name="Comma 2 2 2 3 2 2 2 3 2 4 3 2" xfId="39543"/>
    <cellStyle name="Comma 2 2 2 3 2 2 2 3 2 5" xfId="9291"/>
    <cellStyle name="Comma 2 2 2 3 2 2 2 3 2 5 2" xfId="36675"/>
    <cellStyle name="Comma 2 2 2 3 2 2 2 3 2 5 2 2" xfId="44673"/>
    <cellStyle name="Comma 2 2 2 3 2 2 2 3 2 6" xfId="22787"/>
    <cellStyle name="Comma 2 2 2 3 2 2 2 3 3" xfId="1985"/>
    <cellStyle name="Comma 2 2 2 3 2 2 2 3 3 2" xfId="2562"/>
    <cellStyle name="Comma 2 2 2 3 2 2 2 3 3 2 2" xfId="7219"/>
    <cellStyle name="Comma 2 2 2 3 2 2 2 3 3 2 2 2" xfId="7783"/>
    <cellStyle name="Comma 2 2 2 3 2 2 2 3 3 2 2 2 2" xfId="20771"/>
    <cellStyle name="Comma 2 2 2 3 2 2 2 3 3 2 2 2 2 2" xfId="21335"/>
    <cellStyle name="Comma 2 2 2 3 2 2 2 3 3 2 2 2 2 2 2" xfId="56097"/>
    <cellStyle name="Comma 2 2 2 3 2 2 2 3 3 2 2 2 2 2 2 2" xfId="56661"/>
    <cellStyle name="Comma 2 2 2 3 2 2 2 3 3 2 2 2 2 3" xfId="34838"/>
    <cellStyle name="Comma 2 2 2 3 2 2 2 3 3 2 2 2 3" xfId="34274"/>
    <cellStyle name="Comma 2 2 2 3 2 2 2 3 3 2 2 2 3 2" xfId="43210"/>
    <cellStyle name="Comma 2 2 2 3 2 2 2 3 3 2 2 3" xfId="13008"/>
    <cellStyle name="Comma 2 2 2 3 2 2 2 3 3 2 2 3 2" xfId="42646"/>
    <cellStyle name="Comma 2 2 2 3 2 2 2 3 3 2 2 3 2 2" xfId="48354"/>
    <cellStyle name="Comma 2 2 2 3 2 2 2 3 3 2 2 4" xfId="26492"/>
    <cellStyle name="Comma 2 2 2 3 2 2 2 3 3 2 3" xfId="12444"/>
    <cellStyle name="Comma 2 2 2 3 2 2 2 3 3 2 3 2" xfId="16221"/>
    <cellStyle name="Comma 2 2 2 3 2 2 2 3 3 2 3 2 2" xfId="47790"/>
    <cellStyle name="Comma 2 2 2 3 2 2 2 3 3 2 3 2 2 2" xfId="51551"/>
    <cellStyle name="Comma 2 2 2 3 2 2 2 3 3 2 3 3" xfId="29725"/>
    <cellStyle name="Comma 2 2 2 3 2 2 2 3 3 2 4" xfId="25928"/>
    <cellStyle name="Comma 2 2 2 3 2 2 2 3 3 2 4 2" xfId="38035"/>
    <cellStyle name="Comma 2 2 2 3 2 2 2 3 3 3" xfId="4595"/>
    <cellStyle name="Comma 2 2 2 3 2 2 2 3 3 3 2" xfId="15649"/>
    <cellStyle name="Comma 2 2 2 3 2 2 2 3 3 3 2 2" xfId="18176"/>
    <cellStyle name="Comma 2 2 2 3 2 2 2 3 3 3 2 2 2" xfId="50981"/>
    <cellStyle name="Comma 2 2 2 3 2 2 2 3 3 3 2 2 2 2" xfId="53502"/>
    <cellStyle name="Comma 2 2 2 3 2 2 2 3 3 3 2 3" xfId="31677"/>
    <cellStyle name="Comma 2 2 2 3 2 2 2 3 3 3 3" xfId="29155"/>
    <cellStyle name="Comma 2 2 2 3 2 2 2 3 3 3 3 2" xfId="40034"/>
    <cellStyle name="Comma 2 2 2 3 2 2 2 3 3 4" xfId="9799"/>
    <cellStyle name="Comma 2 2 2 3 2 2 2 3 3 4 2" xfId="37463"/>
    <cellStyle name="Comma 2 2 2 3 2 2 2 3 3 4 2 2" xfId="45169"/>
    <cellStyle name="Comma 2 2 2 3 2 2 2 3 3 5" xfId="23292"/>
    <cellStyle name="Comma 2 2 2 3 2 2 2 3 4" xfId="3999"/>
    <cellStyle name="Comma 2 2 2 3 2 2 2 3 4 2" xfId="5801"/>
    <cellStyle name="Comma 2 2 2 3 2 2 2 3 4 2 2" xfId="17594"/>
    <cellStyle name="Comma 2 2 2 3 2 2 2 3 4 2 2 2" xfId="19369"/>
    <cellStyle name="Comma 2 2 2 3 2 2 2 3 4 2 2 2 2" xfId="52921"/>
    <cellStyle name="Comma 2 2 2 3 2 2 2 3 4 2 2 2 2 2" xfId="54695"/>
    <cellStyle name="Comma 2 2 2 3 2 2 2 3 4 2 2 3" xfId="32870"/>
    <cellStyle name="Comma 2 2 2 3 2 2 2 3 4 2 3" xfId="31096"/>
    <cellStyle name="Comma 2 2 2 3 2 2 2 3 4 2 3 2" xfId="41236"/>
    <cellStyle name="Comma 2 2 2 3 2 2 2 3 4 3" xfId="11023"/>
    <cellStyle name="Comma 2 2 2 3 2 2 2 3 4 3 2" xfId="39443"/>
    <cellStyle name="Comma 2 2 2 3 2 2 2 3 4 3 2 2" xfId="46382"/>
    <cellStyle name="Comma 2 2 2 3 2 2 2 3 4 4" xfId="24517"/>
    <cellStyle name="Comma 2 2 2 3 2 2 2 3 5" xfId="9191"/>
    <cellStyle name="Comma 2 2 2 3 2 2 2 3 5 2" xfId="14184"/>
    <cellStyle name="Comma 2 2 2 3 2 2 2 3 5 2 2" xfId="44574"/>
    <cellStyle name="Comma 2 2 2 3 2 2 2 3 5 2 2 2" xfId="49529"/>
    <cellStyle name="Comma 2 2 2 3 2 2 2 3 5 3" xfId="27690"/>
    <cellStyle name="Comma 2 2 2 3 2 2 2 3 6" xfId="22688"/>
    <cellStyle name="Comma 2 2 2 3 2 2 2 3 6 2" xfId="35996"/>
    <cellStyle name="Comma 2 2 2 3 2 2 2 4" xfId="784"/>
    <cellStyle name="Comma 2 2 2 3 2 2 2 4 2" xfId="2430"/>
    <cellStyle name="Comma 2 2 2 3 2 2 2 4 2 2" xfId="2840"/>
    <cellStyle name="Comma 2 2 2 3 2 2 2 4 2 2 2" xfId="7662"/>
    <cellStyle name="Comma 2 2 2 3 2 2 2 4 2 2 2 2" xfId="8056"/>
    <cellStyle name="Comma 2 2 2 3 2 2 2 4 2 2 2 2 2" xfId="21214"/>
    <cellStyle name="Comma 2 2 2 3 2 2 2 4 2 2 2 2 2 2" xfId="21608"/>
    <cellStyle name="Comma 2 2 2 3 2 2 2 4 2 2 2 2 2 2 2" xfId="56540"/>
    <cellStyle name="Comma 2 2 2 3 2 2 2 4 2 2 2 2 2 2 2 2" xfId="56934"/>
    <cellStyle name="Comma 2 2 2 3 2 2 2 4 2 2 2 2 2 3" xfId="35111"/>
    <cellStyle name="Comma 2 2 2 3 2 2 2 4 2 2 2 2 3" xfId="34717"/>
    <cellStyle name="Comma 2 2 2 3 2 2 2 4 2 2 2 2 3 2" xfId="43483"/>
    <cellStyle name="Comma 2 2 2 3 2 2 2 4 2 2 2 3" xfId="13281"/>
    <cellStyle name="Comma 2 2 2 3 2 2 2 4 2 2 2 3 2" xfId="43089"/>
    <cellStyle name="Comma 2 2 2 3 2 2 2 4 2 2 2 3 2 2" xfId="48627"/>
    <cellStyle name="Comma 2 2 2 3 2 2 2 4 2 2 2 4" xfId="26765"/>
    <cellStyle name="Comma 2 2 2 3 2 2 2 4 2 2 3" xfId="12887"/>
    <cellStyle name="Comma 2 2 2 3 2 2 2 4 2 2 3 2" xfId="16498"/>
    <cellStyle name="Comma 2 2 2 3 2 2 2 4 2 2 3 2 2" xfId="48233"/>
    <cellStyle name="Comma 2 2 2 3 2 2 2 4 2 2 3 2 2 2" xfId="51826"/>
    <cellStyle name="Comma 2 2 2 3 2 2 2 4 2 2 3 3" xfId="30000"/>
    <cellStyle name="Comma 2 2 2 3 2 2 2 4 2 2 4" xfId="26371"/>
    <cellStyle name="Comma 2 2 2 3 2 2 2 4 2 2 4 2" xfId="38310"/>
    <cellStyle name="Comma 2 2 2 3 2 2 2 4 2 3" xfId="4876"/>
    <cellStyle name="Comma 2 2 2 3 2 2 2 4 2 3 2" xfId="16093"/>
    <cellStyle name="Comma 2 2 2 3 2 2 2 4 2 3 2 2" xfId="18450"/>
    <cellStyle name="Comma 2 2 2 3 2 2 2 4 2 3 2 2 2" xfId="51425"/>
    <cellStyle name="Comma 2 2 2 3 2 2 2 4 2 3 2 2 2 2" xfId="53776"/>
    <cellStyle name="Comma 2 2 2 3 2 2 2 4 2 3 2 3" xfId="31951"/>
    <cellStyle name="Comma 2 2 2 3 2 2 2 4 2 3 3" xfId="29599"/>
    <cellStyle name="Comma 2 2 2 3 2 2 2 4 2 3 3 2" xfId="40313"/>
    <cellStyle name="Comma 2 2 2 3 2 2 2 4 2 4" xfId="10079"/>
    <cellStyle name="Comma 2 2 2 3 2 2 2 4 2 4 2" xfId="37908"/>
    <cellStyle name="Comma 2 2 2 3 2 2 2 4 2 4 2 2" xfId="45443"/>
    <cellStyle name="Comma 2 2 2 3 2 2 2 4 2 5" xfId="23566"/>
    <cellStyle name="Comma 2 2 2 3 2 2 2 4 3" xfId="4465"/>
    <cellStyle name="Comma 2 2 2 3 2 2 2 4 3 2" xfId="6100"/>
    <cellStyle name="Comma 2 2 2 3 2 2 2 4 3 2 2" xfId="18055"/>
    <cellStyle name="Comma 2 2 2 3 2 2 2 4 3 2 2 2" xfId="19662"/>
    <cellStyle name="Comma 2 2 2 3 2 2 2 4 3 2 2 2 2" xfId="53381"/>
    <cellStyle name="Comma 2 2 2 3 2 2 2 4 3 2 2 2 2 2" xfId="54988"/>
    <cellStyle name="Comma 2 2 2 3 2 2 2 4 3 2 2 3" xfId="33163"/>
    <cellStyle name="Comma 2 2 2 3 2 2 2 4 3 2 3" xfId="31556"/>
    <cellStyle name="Comma 2 2 2 3 2 2 2 4 3 2 3 2" xfId="41533"/>
    <cellStyle name="Comma 2 2 2 3 2 2 2 4 3 3" xfId="11326"/>
    <cellStyle name="Comma 2 2 2 3 2 2 2 4 3 3 2" xfId="39907"/>
    <cellStyle name="Comma 2 2 2 3 2 2 2 4 3 3 2 2" xfId="46679"/>
    <cellStyle name="Comma 2 2 2 3 2 2 2 4 3 4" xfId="24816"/>
    <cellStyle name="Comma 2 2 2 3 2 2 2 4 4" xfId="9670"/>
    <cellStyle name="Comma 2 2 2 3 2 2 2 4 4 2" xfId="14484"/>
    <cellStyle name="Comma 2 2 2 3 2 2 2 4 4 2 2" xfId="45048"/>
    <cellStyle name="Comma 2 2 2 3 2 2 2 4 4 2 2 2" xfId="49826"/>
    <cellStyle name="Comma 2 2 2 3 2 2 2 4 4 3" xfId="27995"/>
    <cellStyle name="Comma 2 2 2 3 2 2 2 4 5" xfId="23171"/>
    <cellStyle name="Comma 2 2 2 3 2 2 2 4 5 2" xfId="36294"/>
    <cellStyle name="Comma 2 2 2 3 2 2 2 5" xfId="1571"/>
    <cellStyle name="Comma 2 2 2 3 2 2 2 5 2" xfId="5672"/>
    <cellStyle name="Comma 2 2 2 3 2 2 2 5 2 2" xfId="6843"/>
    <cellStyle name="Comma 2 2 2 3 2 2 2 5 2 2 2" xfId="19244"/>
    <cellStyle name="Comma 2 2 2 3 2 2 2 5 2 2 2 2" xfId="20396"/>
    <cellStyle name="Comma 2 2 2 3 2 2 2 5 2 2 2 2 2" xfId="54570"/>
    <cellStyle name="Comma 2 2 2 3 2 2 2 5 2 2 2 2 2 2" xfId="55722"/>
    <cellStyle name="Comma 2 2 2 3 2 2 2 5 2 2 2 3" xfId="33898"/>
    <cellStyle name="Comma 2 2 2 3 2 2 2 5 2 2 3" xfId="32745"/>
    <cellStyle name="Comma 2 2 2 3 2 2 2 5 2 2 3 2" xfId="42271"/>
    <cellStyle name="Comma 2 2 2 3 2 2 2 5 2 3" xfId="12067"/>
    <cellStyle name="Comma 2 2 2 3 2 2 2 5 2 3 2" xfId="41108"/>
    <cellStyle name="Comma 2 2 2 3 2 2 2 5 2 3 2 2" xfId="47414"/>
    <cellStyle name="Comma 2 2 2 3 2 2 2 5 2 4" xfId="25552"/>
    <cellStyle name="Comma 2 2 2 3 2 2 2 5 3" xfId="10890"/>
    <cellStyle name="Comma 2 2 2 3 2 2 2 5 3 2" xfId="15247"/>
    <cellStyle name="Comma 2 2 2 3 2 2 2 5 3 2 2" xfId="46252"/>
    <cellStyle name="Comma 2 2 2 3 2 2 2 5 3 2 2 2" xfId="50584"/>
    <cellStyle name="Comma 2 2 2 3 2 2 2 5 3 3" xfId="28758"/>
    <cellStyle name="Comma 2 2 2 3 2 2 2 5 4" xfId="24383"/>
    <cellStyle name="Comma 2 2 2 3 2 2 2 5 4 2" xfId="37059"/>
    <cellStyle name="Comma 2 2 2 3 2 2 2 6" xfId="3572"/>
    <cellStyle name="Comma 2 2 2 3 2 2 2 6 2" xfId="14056"/>
    <cellStyle name="Comma 2 2 2 3 2 2 2 6 2 2" xfId="17208"/>
    <cellStyle name="Comma 2 2 2 3 2 2 2 6 2 2 2" xfId="49402"/>
    <cellStyle name="Comma 2 2 2 3 2 2 2 6 2 2 2 2" xfId="52535"/>
    <cellStyle name="Comma 2 2 2 3 2 2 2 6 2 3" xfId="30709"/>
    <cellStyle name="Comma 2 2 2 3 2 2 2 6 3" xfId="27555"/>
    <cellStyle name="Comma 2 2 2 3 2 2 2 6 3 2" xfId="39029"/>
    <cellStyle name="Comma 2 2 2 3 2 2 2 7" xfId="8763"/>
    <cellStyle name="Comma 2 2 2 3 2 2 2 7 2" xfId="35868"/>
    <cellStyle name="Comma 2 2 2 3 2 2 2 7 2 2" xfId="44176"/>
    <cellStyle name="Comma 2 2 2 3 2 2 2 8" xfId="22280"/>
    <cellStyle name="Comma 2 2 2 3 2 2 3" xfId="461"/>
    <cellStyle name="Comma 2 2 2 3 2 2 3 2" xfId="538"/>
    <cellStyle name="Comma 2 2 2 3 2 2 3 2 2" xfId="1276"/>
    <cellStyle name="Comma 2 2 2 3 2 2 3 2 2 2" xfId="1343"/>
    <cellStyle name="Comma 2 2 2 3 2 2 3 2 2 2 2" xfId="3294"/>
    <cellStyle name="Comma 2 2 2 3 2 2 3 2 2 2 2 2" xfId="3361"/>
    <cellStyle name="Comma 2 2 2 3 2 2 3 2 2 2 2 2 2" xfId="8509"/>
    <cellStyle name="Comma 2 2 2 3 2 2 3 2 2 2 2 2 2 2" xfId="8576"/>
    <cellStyle name="Comma 2 2 2 3 2 2 3 2 2 2 2 2 2 2 2" xfId="22061"/>
    <cellStyle name="Comma 2 2 2 3 2 2 3 2 2 2 2 2 2 2 2 2" xfId="22128"/>
    <cellStyle name="Comma 2 2 2 3 2 2 3 2 2 2 2 2 2 2 2 2 2" xfId="57387"/>
    <cellStyle name="Comma 2 2 2 3 2 2 3 2 2 2 2 2 2 2 2 2 2 2" xfId="57454"/>
    <cellStyle name="Comma 2 2 2 3 2 2 3 2 2 2 2 2 2 2 2 3" xfId="35631"/>
    <cellStyle name="Comma 2 2 2 3 2 2 3 2 2 2 2 2 2 2 3" xfId="35564"/>
    <cellStyle name="Comma 2 2 2 3 2 2 3 2 2 2 2 2 2 2 3 2" xfId="44003"/>
    <cellStyle name="Comma 2 2 2 3 2 2 3 2 2 2 2 2 2 3" xfId="13801"/>
    <cellStyle name="Comma 2 2 2 3 2 2 3 2 2 2 2 2 2 3 2" xfId="43936"/>
    <cellStyle name="Comma 2 2 2 3 2 2 3 2 2 2 2 2 2 3 2 2" xfId="49147"/>
    <cellStyle name="Comma 2 2 2 3 2 2 3 2 2 2 2 2 2 4" xfId="27286"/>
    <cellStyle name="Comma 2 2 2 3 2 2 3 2 2 2 2 2 3" xfId="13734"/>
    <cellStyle name="Comma 2 2 2 3 2 2 3 2 2 2 2 2 3 2" xfId="17018"/>
    <cellStyle name="Comma 2 2 2 3 2 2 3 2 2 2 2 2 3 2 2" xfId="49080"/>
    <cellStyle name="Comma 2 2 2 3 2 2 3 2 2 2 2 2 3 2 2 2" xfId="52346"/>
    <cellStyle name="Comma 2 2 2 3 2 2 3 2 2 2 2 2 3 3" xfId="30520"/>
    <cellStyle name="Comma 2 2 2 3 2 2 3 2 2 2 2 2 4" xfId="27219"/>
    <cellStyle name="Comma 2 2 2 3 2 2 3 2 2 2 2 2 4 2" xfId="38830"/>
    <cellStyle name="Comma 2 2 2 3 2 2 3 2 2 2 2 3" xfId="5398"/>
    <cellStyle name="Comma 2 2 2 3 2 2 3 2 2 2 2 3 2" xfId="16951"/>
    <cellStyle name="Comma 2 2 2 3 2 2 3 2 2 2 2 3 2 2" xfId="18971"/>
    <cellStyle name="Comma 2 2 2 3 2 2 3 2 2 2 2 3 2 2 2" xfId="52279"/>
    <cellStyle name="Comma 2 2 2 3 2 2 3 2 2 2 2 3 2 2 2 2" xfId="54297"/>
    <cellStyle name="Comma 2 2 2 3 2 2 3 2 2 2 2 3 2 3" xfId="32472"/>
    <cellStyle name="Comma 2 2 2 3 2 2 3 2 2 2 2 3 3" xfId="30453"/>
    <cellStyle name="Comma 2 2 2 3 2 2 3 2 2 2 2 3 3 2" xfId="40835"/>
    <cellStyle name="Comma 2 2 2 3 2 2 3 2 2 2 2 4" xfId="10601"/>
    <cellStyle name="Comma 2 2 2 3 2 2 3 2 2 2 2 4 2" xfId="38763"/>
    <cellStyle name="Comma 2 2 2 3 2 2 3 2 2 2 2 4 2 2" xfId="45964"/>
    <cellStyle name="Comma 2 2 2 3 2 2 3 2 2 2 2 5" xfId="24087"/>
    <cellStyle name="Comma 2 2 2 3 2 2 3 2 2 2 3" xfId="5331"/>
    <cellStyle name="Comma 2 2 2 3 2 2 3 2 2 2 3 2" xfId="6651"/>
    <cellStyle name="Comma 2 2 2 3 2 2 3 2 2 2 3 2 2" xfId="18904"/>
    <cellStyle name="Comma 2 2 2 3 2 2 3 2 2 2 3 2 2 2" xfId="20204"/>
    <cellStyle name="Comma 2 2 2 3 2 2 3 2 2 2 3 2 2 2 2" xfId="54230"/>
    <cellStyle name="Comma 2 2 2 3 2 2 3 2 2 2 3 2 2 2 2 2" xfId="55530"/>
    <cellStyle name="Comma 2 2 2 3 2 2 3 2 2 2 3 2 2 3" xfId="33706"/>
    <cellStyle name="Comma 2 2 2 3 2 2 3 2 2 2 3 2 3" xfId="32405"/>
    <cellStyle name="Comma 2 2 2 3 2 2 3 2 2 2 3 2 3 2" xfId="42079"/>
    <cellStyle name="Comma 2 2 2 3 2 2 3 2 2 2 3 3" xfId="11874"/>
    <cellStyle name="Comma 2 2 2 3 2 2 3 2 2 2 3 3 2" xfId="40768"/>
    <cellStyle name="Comma 2 2 2 3 2 2 3 2 2 2 3 3 2 2" xfId="47222"/>
    <cellStyle name="Comma 2 2 2 3 2 2 3 2 2 2 3 4" xfId="25359"/>
    <cellStyle name="Comma 2 2 2 3 2 2 3 2 2 2 4" xfId="10534"/>
    <cellStyle name="Comma 2 2 2 3 2 2 3 2 2 2 4 2" xfId="15032"/>
    <cellStyle name="Comma 2 2 2 3 2 2 3 2 2 2 4 2 2" xfId="45897"/>
    <cellStyle name="Comma 2 2 2 3 2 2 3 2 2 2 4 2 2 2" xfId="50371"/>
    <cellStyle name="Comma 2 2 2 3 2 2 3 2 2 2 4 3" xfId="28545"/>
    <cellStyle name="Comma 2 2 2 3 2 2 3 2 2 2 5" xfId="24020"/>
    <cellStyle name="Comma 2 2 2 3 2 2 3 2 2 2 5 2" xfId="36840"/>
    <cellStyle name="Comma 2 2 2 3 2 2 3 2 2 3" xfId="2150"/>
    <cellStyle name="Comma 2 2 2 3 2 2 3 2 2 3 2" xfId="6584"/>
    <cellStyle name="Comma 2 2 2 3 2 2 3 2 2 3 2 2" xfId="7384"/>
    <cellStyle name="Comma 2 2 2 3 2 2 3 2 2 3 2 2 2" xfId="20137"/>
    <cellStyle name="Comma 2 2 2 3 2 2 3 2 2 3 2 2 2 2" xfId="20936"/>
    <cellStyle name="Comma 2 2 2 3 2 2 3 2 2 3 2 2 2 2 2" xfId="55463"/>
    <cellStyle name="Comma 2 2 2 3 2 2 3 2 2 3 2 2 2 2 2 2" xfId="56262"/>
    <cellStyle name="Comma 2 2 2 3 2 2 3 2 2 3 2 2 2 3" xfId="34439"/>
    <cellStyle name="Comma 2 2 2 3 2 2 3 2 2 3 2 2 3" xfId="33639"/>
    <cellStyle name="Comma 2 2 2 3 2 2 3 2 2 3 2 2 3 2" xfId="42811"/>
    <cellStyle name="Comma 2 2 2 3 2 2 3 2 2 3 2 3" xfId="12609"/>
    <cellStyle name="Comma 2 2 2 3 2 2 3 2 2 3 2 3 2" xfId="42012"/>
    <cellStyle name="Comma 2 2 2 3 2 2 3 2 2 3 2 3 2 2" xfId="47955"/>
    <cellStyle name="Comma 2 2 2 3 2 2 3 2 2 3 2 4" xfId="26093"/>
    <cellStyle name="Comma 2 2 2 3 2 2 3 2 2 3 3" xfId="11807"/>
    <cellStyle name="Comma 2 2 2 3 2 2 3 2 2 3 3 2" xfId="15814"/>
    <cellStyle name="Comma 2 2 2 3 2 2 3 2 2 3 3 2 2" xfId="47155"/>
    <cellStyle name="Comma 2 2 2 3 2 2 3 2 2 3 3 2 2 2" xfId="51146"/>
    <cellStyle name="Comma 2 2 2 3 2 2 3 2 2 3 3 3" xfId="29320"/>
    <cellStyle name="Comma 2 2 2 3 2 2 3 2 2 3 4" xfId="25292"/>
    <cellStyle name="Comma 2 2 2 3 2 2 3 2 2 3 4 2" xfId="37628"/>
    <cellStyle name="Comma 2 2 2 3 2 2 3 2 2 4" xfId="4166"/>
    <cellStyle name="Comma 2 2 2 3 2 2 3 2 2 4 2" xfId="14965"/>
    <cellStyle name="Comma 2 2 2 3 2 2 3 2 2 4 2 2" xfId="17759"/>
    <cellStyle name="Comma 2 2 2 3 2 2 3 2 2 4 2 2 2" xfId="50304"/>
    <cellStyle name="Comma 2 2 2 3 2 2 3 2 2 4 2 2 2 2" xfId="53086"/>
    <cellStyle name="Comma 2 2 2 3 2 2 3 2 2 4 2 3" xfId="31261"/>
    <cellStyle name="Comma 2 2 2 3 2 2 3 2 2 4 3" xfId="28478"/>
    <cellStyle name="Comma 2 2 2 3 2 2 3 2 2 4 3 2" xfId="39609"/>
    <cellStyle name="Comma 2 2 2 3 2 2 3 2 2 5" xfId="9357"/>
    <cellStyle name="Comma 2 2 2 3 2 2 3 2 2 5 2" xfId="36773"/>
    <cellStyle name="Comma 2 2 2 3 2 2 3 2 2 5 2 2" xfId="44739"/>
    <cellStyle name="Comma 2 2 2 3 2 2 3 2 2 6" xfId="22853"/>
    <cellStyle name="Comma 2 2 2 3 2 2 3 2 3" xfId="2082"/>
    <cellStyle name="Comma 2 2 2 3 2 2 3 2 3 2" xfId="2632"/>
    <cellStyle name="Comma 2 2 2 3 2 2 3 2 3 2 2" xfId="7316"/>
    <cellStyle name="Comma 2 2 2 3 2 2 3 2 3 2 2 2" xfId="7852"/>
    <cellStyle name="Comma 2 2 2 3 2 2 3 2 3 2 2 2 2" xfId="20868"/>
    <cellStyle name="Comma 2 2 2 3 2 2 3 2 3 2 2 2 2 2" xfId="21404"/>
    <cellStyle name="Comma 2 2 2 3 2 2 3 2 3 2 2 2 2 2 2" xfId="56194"/>
    <cellStyle name="Comma 2 2 2 3 2 2 3 2 3 2 2 2 2 2 2 2" xfId="56730"/>
    <cellStyle name="Comma 2 2 2 3 2 2 3 2 3 2 2 2 2 3" xfId="34907"/>
    <cellStyle name="Comma 2 2 2 3 2 2 3 2 3 2 2 2 3" xfId="34371"/>
    <cellStyle name="Comma 2 2 2 3 2 2 3 2 3 2 2 2 3 2" xfId="43279"/>
    <cellStyle name="Comma 2 2 2 3 2 2 3 2 3 2 2 3" xfId="13077"/>
    <cellStyle name="Comma 2 2 2 3 2 2 3 2 3 2 2 3 2" xfId="42743"/>
    <cellStyle name="Comma 2 2 2 3 2 2 3 2 3 2 2 3 2 2" xfId="48423"/>
    <cellStyle name="Comma 2 2 2 3 2 2 3 2 3 2 2 4" xfId="26561"/>
    <cellStyle name="Comma 2 2 2 3 2 2 3 2 3 2 3" xfId="12541"/>
    <cellStyle name="Comma 2 2 2 3 2 2 3 2 3 2 3 2" xfId="16291"/>
    <cellStyle name="Comma 2 2 2 3 2 2 3 2 3 2 3 2 2" xfId="47887"/>
    <cellStyle name="Comma 2 2 2 3 2 2 3 2 3 2 3 2 2 2" xfId="51621"/>
    <cellStyle name="Comma 2 2 2 3 2 2 3 2 3 2 3 3" xfId="29795"/>
    <cellStyle name="Comma 2 2 2 3 2 2 3 2 3 2 4" xfId="26025"/>
    <cellStyle name="Comma 2 2 2 3 2 2 3 2 3 2 4 2" xfId="38105"/>
    <cellStyle name="Comma 2 2 2 3 2 2 3 2 3 3" xfId="4667"/>
    <cellStyle name="Comma 2 2 2 3 2 2 3 2 3 3 2" xfId="15746"/>
    <cellStyle name="Comma 2 2 2 3 2 2 3 2 3 3 2 2" xfId="18246"/>
    <cellStyle name="Comma 2 2 2 3 2 2 3 2 3 3 2 2 2" xfId="51078"/>
    <cellStyle name="Comma 2 2 2 3 2 2 3 2 3 3 2 2 2 2" xfId="53572"/>
    <cellStyle name="Comma 2 2 2 3 2 2 3 2 3 3 2 3" xfId="31747"/>
    <cellStyle name="Comma 2 2 2 3 2 2 3 2 3 3 3" xfId="29252"/>
    <cellStyle name="Comma 2 2 2 3 2 2 3 2 3 3 3 2" xfId="40106"/>
    <cellStyle name="Comma 2 2 2 3 2 2 3 2 3 4" xfId="9870"/>
    <cellStyle name="Comma 2 2 2 3 2 2 3 2 3 4 2" xfId="37560"/>
    <cellStyle name="Comma 2 2 2 3 2 2 3 2 3 4 2 2" xfId="45239"/>
    <cellStyle name="Comma 2 2 2 3 2 2 3 2 3 5" xfId="23362"/>
    <cellStyle name="Comma 2 2 2 3 2 2 3 2 4" xfId="4098"/>
    <cellStyle name="Comma 2 2 2 3 2 2 3 2 4 2" xfId="5871"/>
    <cellStyle name="Comma 2 2 2 3 2 2 3 2 4 2 2" xfId="17691"/>
    <cellStyle name="Comma 2 2 2 3 2 2 3 2 4 2 2 2" xfId="19439"/>
    <cellStyle name="Comma 2 2 2 3 2 2 3 2 4 2 2 2 2" xfId="53018"/>
    <cellStyle name="Comma 2 2 2 3 2 2 3 2 4 2 2 2 2 2" xfId="54765"/>
    <cellStyle name="Comma 2 2 2 3 2 2 3 2 4 2 2 3" xfId="32940"/>
    <cellStyle name="Comma 2 2 2 3 2 2 3 2 4 2 3" xfId="31193"/>
    <cellStyle name="Comma 2 2 2 3 2 2 3 2 4 2 3 2" xfId="41306"/>
    <cellStyle name="Comma 2 2 2 3 2 2 3 2 4 3" xfId="11095"/>
    <cellStyle name="Comma 2 2 2 3 2 2 3 2 4 3 2" xfId="39541"/>
    <cellStyle name="Comma 2 2 2 3 2 2 3 2 4 3 2 2" xfId="46454"/>
    <cellStyle name="Comma 2 2 2 3 2 2 3 2 4 4" xfId="24589"/>
    <cellStyle name="Comma 2 2 2 3 2 2 3 2 5" xfId="9289"/>
    <cellStyle name="Comma 2 2 2 3 2 2 3 2 5 2" xfId="14256"/>
    <cellStyle name="Comma 2 2 2 3 2 2 3 2 5 2 2" xfId="44671"/>
    <cellStyle name="Comma 2 2 2 3 2 2 3 2 5 2 2 2" xfId="49601"/>
    <cellStyle name="Comma 2 2 2 3 2 2 3 2 5 3" xfId="27763"/>
    <cellStyle name="Comma 2 2 2 3 2 2 3 2 6" xfId="22785"/>
    <cellStyle name="Comma 2 2 2 3 2 2 3 2 6 2" xfId="36068"/>
    <cellStyle name="Comma 2 2 2 3 2 2 3 3" xfId="866"/>
    <cellStyle name="Comma 2 2 2 3 2 2 3 3 2" xfId="2560"/>
    <cellStyle name="Comma 2 2 2 3 2 2 3 3 2 2" xfId="2913"/>
    <cellStyle name="Comma 2 2 2 3 2 2 3 3 2 2 2" xfId="7781"/>
    <cellStyle name="Comma 2 2 2 3 2 2 3 3 2 2 2 2" xfId="8128"/>
    <cellStyle name="Comma 2 2 2 3 2 2 3 3 2 2 2 2 2" xfId="21333"/>
    <cellStyle name="Comma 2 2 2 3 2 2 3 3 2 2 2 2 2 2" xfId="21680"/>
    <cellStyle name="Comma 2 2 2 3 2 2 3 3 2 2 2 2 2 2 2" xfId="56659"/>
    <cellStyle name="Comma 2 2 2 3 2 2 3 3 2 2 2 2 2 2 2 2" xfId="57006"/>
    <cellStyle name="Comma 2 2 2 3 2 2 3 3 2 2 2 2 2 3" xfId="35183"/>
    <cellStyle name="Comma 2 2 2 3 2 2 3 3 2 2 2 2 3" xfId="34836"/>
    <cellStyle name="Comma 2 2 2 3 2 2 3 3 2 2 2 2 3 2" xfId="43555"/>
    <cellStyle name="Comma 2 2 2 3 2 2 3 3 2 2 2 3" xfId="13353"/>
    <cellStyle name="Comma 2 2 2 3 2 2 3 3 2 2 2 3 2" xfId="43208"/>
    <cellStyle name="Comma 2 2 2 3 2 2 3 3 2 2 2 3 2 2" xfId="48699"/>
    <cellStyle name="Comma 2 2 2 3 2 2 3 3 2 2 2 4" xfId="26838"/>
    <cellStyle name="Comma 2 2 2 3 2 2 3 3 2 2 3" xfId="13006"/>
    <cellStyle name="Comma 2 2 2 3 2 2 3 3 2 2 3 2" xfId="16570"/>
    <cellStyle name="Comma 2 2 2 3 2 2 3 3 2 2 3 2 2" xfId="48352"/>
    <cellStyle name="Comma 2 2 2 3 2 2 3 3 2 2 3 2 2 2" xfId="51898"/>
    <cellStyle name="Comma 2 2 2 3 2 2 3 3 2 2 3 3" xfId="30072"/>
    <cellStyle name="Comma 2 2 2 3 2 2 3 3 2 2 4" xfId="26490"/>
    <cellStyle name="Comma 2 2 2 3 2 2 3 3 2 2 4 2" xfId="38382"/>
    <cellStyle name="Comma 2 2 2 3 2 2 3 3 2 3" xfId="4949"/>
    <cellStyle name="Comma 2 2 2 3 2 2 3 3 2 3 2" xfId="16219"/>
    <cellStyle name="Comma 2 2 2 3 2 2 3 3 2 3 2 2" xfId="18522"/>
    <cellStyle name="Comma 2 2 2 3 2 2 3 3 2 3 2 2 2" xfId="51549"/>
    <cellStyle name="Comma 2 2 2 3 2 2 3 3 2 3 2 2 2 2" xfId="53848"/>
    <cellStyle name="Comma 2 2 2 3 2 2 3 3 2 3 2 3" xfId="32023"/>
    <cellStyle name="Comma 2 2 2 3 2 2 3 3 2 3 3" xfId="29723"/>
    <cellStyle name="Comma 2 2 2 3 2 2 3 3 2 3 3 2" xfId="40386"/>
    <cellStyle name="Comma 2 2 2 3 2 2 3 3 2 4" xfId="10152"/>
    <cellStyle name="Comma 2 2 2 3 2 2 3 3 2 4 2" xfId="38033"/>
    <cellStyle name="Comma 2 2 2 3 2 2 3 3 2 4 2 2" xfId="45515"/>
    <cellStyle name="Comma 2 2 2 3 2 2 3 3 2 5" xfId="23638"/>
    <cellStyle name="Comma 2 2 2 3 2 2 3 3 3" xfId="4593"/>
    <cellStyle name="Comma 2 2 2 3 2 2 3 3 3 2" xfId="6180"/>
    <cellStyle name="Comma 2 2 2 3 2 2 3 3 3 2 2" xfId="18174"/>
    <cellStyle name="Comma 2 2 2 3 2 2 3 3 3 2 2 2" xfId="19739"/>
    <cellStyle name="Comma 2 2 2 3 2 2 3 3 3 2 2 2 2" xfId="53500"/>
    <cellStyle name="Comma 2 2 2 3 2 2 3 3 3 2 2 2 2 2" xfId="55065"/>
    <cellStyle name="Comma 2 2 2 3 2 2 3 3 3 2 2 3" xfId="33241"/>
    <cellStyle name="Comma 2 2 2 3 2 2 3 3 3 2 3" xfId="31675"/>
    <cellStyle name="Comma 2 2 2 3 2 2 3 3 3 2 3 2" xfId="41610"/>
    <cellStyle name="Comma 2 2 2 3 2 2 3 3 3 3" xfId="11405"/>
    <cellStyle name="Comma 2 2 2 3 2 2 3 3 3 3 2" xfId="40032"/>
    <cellStyle name="Comma 2 2 2 3 2 2 3 3 3 3 2 2" xfId="46756"/>
    <cellStyle name="Comma 2 2 2 3 2 2 3 3 3 4" xfId="24893"/>
    <cellStyle name="Comma 2 2 2 3 2 2 3 3 4" xfId="9797"/>
    <cellStyle name="Comma 2 2 2 3 2 2 3 3 4 2" xfId="14563"/>
    <cellStyle name="Comma 2 2 2 3 2 2 3 3 4 2 2" xfId="45167"/>
    <cellStyle name="Comma 2 2 2 3 2 2 3 3 4 2 2 2" xfId="49904"/>
    <cellStyle name="Comma 2 2 2 3 2 2 3 3 4 3" xfId="28074"/>
    <cellStyle name="Comma 2 2 2 3 2 2 3 3 5" xfId="23290"/>
    <cellStyle name="Comma 2 2 2 3 2 2 3 3 5 2" xfId="36373"/>
    <cellStyle name="Comma 2 2 2 3 2 2 3 4" xfId="1661"/>
    <cellStyle name="Comma 2 2 2 3 2 2 3 4 2" xfId="5799"/>
    <cellStyle name="Comma 2 2 2 3 2 2 3 4 2 2" xfId="6923"/>
    <cellStyle name="Comma 2 2 2 3 2 2 3 4 2 2 2" xfId="19367"/>
    <cellStyle name="Comma 2 2 2 3 2 2 3 4 2 2 2 2" xfId="20476"/>
    <cellStyle name="Comma 2 2 2 3 2 2 3 4 2 2 2 2 2" xfId="54693"/>
    <cellStyle name="Comma 2 2 2 3 2 2 3 4 2 2 2 2 2 2" xfId="55802"/>
    <cellStyle name="Comma 2 2 2 3 2 2 3 4 2 2 2 3" xfId="33978"/>
    <cellStyle name="Comma 2 2 2 3 2 2 3 4 2 2 3" xfId="32868"/>
    <cellStyle name="Comma 2 2 2 3 2 2 3 4 2 2 3 2" xfId="42351"/>
    <cellStyle name="Comma 2 2 2 3 2 2 3 4 2 3" xfId="12147"/>
    <cellStyle name="Comma 2 2 2 3 2 2 3 4 2 3 2" xfId="41234"/>
    <cellStyle name="Comma 2 2 2 3 2 2 3 4 2 3 2 2" xfId="47494"/>
    <cellStyle name="Comma 2 2 2 3 2 2 3 4 2 4" xfId="25632"/>
    <cellStyle name="Comma 2 2 2 3 2 2 3 4 3" xfId="11021"/>
    <cellStyle name="Comma 2 2 2 3 2 2 3 4 3 2" xfId="15334"/>
    <cellStyle name="Comma 2 2 2 3 2 2 3 4 3 2 2" xfId="46380"/>
    <cellStyle name="Comma 2 2 2 3 2 2 3 4 3 2 2 2" xfId="50669"/>
    <cellStyle name="Comma 2 2 2 3 2 2 3 4 3 3" xfId="28843"/>
    <cellStyle name="Comma 2 2 2 3 2 2 3 4 4" xfId="24515"/>
    <cellStyle name="Comma 2 2 2 3 2 2 3 4 4 2" xfId="37145"/>
    <cellStyle name="Comma 2 2 2 3 2 2 3 5" xfId="3666"/>
    <cellStyle name="Comma 2 2 2 3 2 2 3 5 2" xfId="14182"/>
    <cellStyle name="Comma 2 2 2 3 2 2 3 5 2 2" xfId="17291"/>
    <cellStyle name="Comma 2 2 2 3 2 2 3 5 2 2 2" xfId="49527"/>
    <cellStyle name="Comma 2 2 2 3 2 2 3 5 2 2 2 2" xfId="52618"/>
    <cellStyle name="Comma 2 2 2 3 2 2 3 5 2 3" xfId="30792"/>
    <cellStyle name="Comma 2 2 2 3 2 2 3 5 3" xfId="27688"/>
    <cellStyle name="Comma 2 2 2 3 2 2 3 5 3 2" xfId="39119"/>
    <cellStyle name="Comma 2 2 2 3 2 2 3 6" xfId="8859"/>
    <cellStyle name="Comma 2 2 2 3 2 2 3 6 2" xfId="35994"/>
    <cellStyle name="Comma 2 2 2 3 2 2 3 6 2 2" xfId="44263"/>
    <cellStyle name="Comma 2 2 2 3 2 2 3 7" xfId="22371"/>
    <cellStyle name="Comma 2 2 2 3 2 2 4" xfId="782"/>
    <cellStyle name="Comma 2 2 2 3 2 2 4 2" xfId="1038"/>
    <cellStyle name="Comma 2 2 2 3 2 2 4 2 2" xfId="2838"/>
    <cellStyle name="Comma 2 2 2 3 2 2 4 2 2 2" xfId="3074"/>
    <cellStyle name="Comma 2 2 2 3 2 2 4 2 2 2 2" xfId="8054"/>
    <cellStyle name="Comma 2 2 2 3 2 2 4 2 2 2 2 2" xfId="8289"/>
    <cellStyle name="Comma 2 2 2 3 2 2 4 2 2 2 2 2 2" xfId="21606"/>
    <cellStyle name="Comma 2 2 2 3 2 2 4 2 2 2 2 2 2 2" xfId="21841"/>
    <cellStyle name="Comma 2 2 2 3 2 2 4 2 2 2 2 2 2 2 2" xfId="56932"/>
    <cellStyle name="Comma 2 2 2 3 2 2 4 2 2 2 2 2 2 2 2 2" xfId="57167"/>
    <cellStyle name="Comma 2 2 2 3 2 2 4 2 2 2 2 2 2 3" xfId="35344"/>
    <cellStyle name="Comma 2 2 2 3 2 2 4 2 2 2 2 2 3" xfId="35109"/>
    <cellStyle name="Comma 2 2 2 3 2 2 4 2 2 2 2 2 3 2" xfId="43716"/>
    <cellStyle name="Comma 2 2 2 3 2 2 4 2 2 2 2 3" xfId="13514"/>
    <cellStyle name="Comma 2 2 2 3 2 2 4 2 2 2 2 3 2" xfId="43481"/>
    <cellStyle name="Comma 2 2 2 3 2 2 4 2 2 2 2 3 2 2" xfId="48860"/>
    <cellStyle name="Comma 2 2 2 3 2 2 4 2 2 2 2 4" xfId="26999"/>
    <cellStyle name="Comma 2 2 2 3 2 2 4 2 2 2 3" xfId="13279"/>
    <cellStyle name="Comma 2 2 2 3 2 2 4 2 2 2 3 2" xfId="16731"/>
    <cellStyle name="Comma 2 2 2 3 2 2 4 2 2 2 3 2 2" xfId="48625"/>
    <cellStyle name="Comma 2 2 2 3 2 2 4 2 2 2 3 2 2 2" xfId="52059"/>
    <cellStyle name="Comma 2 2 2 3 2 2 4 2 2 2 3 3" xfId="30233"/>
    <cellStyle name="Comma 2 2 2 3 2 2 4 2 2 2 4" xfId="26763"/>
    <cellStyle name="Comma 2 2 2 3 2 2 4 2 2 2 4 2" xfId="38543"/>
    <cellStyle name="Comma 2 2 2 3 2 2 4 2 2 3" xfId="5111"/>
    <cellStyle name="Comma 2 2 2 3 2 2 4 2 2 3 2" xfId="16496"/>
    <cellStyle name="Comma 2 2 2 3 2 2 4 2 2 3 2 2" xfId="18684"/>
    <cellStyle name="Comma 2 2 2 3 2 2 4 2 2 3 2 2 2" xfId="51824"/>
    <cellStyle name="Comma 2 2 2 3 2 2 4 2 2 3 2 2 2 2" xfId="54010"/>
    <cellStyle name="Comma 2 2 2 3 2 2 4 2 2 3 2 3" xfId="32185"/>
    <cellStyle name="Comma 2 2 2 3 2 2 4 2 2 3 3" xfId="29998"/>
    <cellStyle name="Comma 2 2 2 3 2 2 4 2 2 3 3 2" xfId="40548"/>
    <cellStyle name="Comma 2 2 2 3 2 2 4 2 2 4" xfId="10314"/>
    <cellStyle name="Comma 2 2 2 3 2 2 4 2 2 4 2" xfId="38308"/>
    <cellStyle name="Comma 2 2 2 3 2 2 4 2 2 4 2 2" xfId="45677"/>
    <cellStyle name="Comma 2 2 2 3 2 2 4 2 2 5" xfId="23800"/>
    <cellStyle name="Comma 2 2 2 3 2 2 4 2 3" xfId="4874"/>
    <cellStyle name="Comma 2 2 2 3 2 2 4 2 3 2" xfId="6348"/>
    <cellStyle name="Comma 2 2 2 3 2 2 4 2 3 2 2" xfId="18448"/>
    <cellStyle name="Comma 2 2 2 3 2 2 4 2 3 2 2 2" xfId="19905"/>
    <cellStyle name="Comma 2 2 2 3 2 2 4 2 3 2 2 2 2" xfId="53774"/>
    <cellStyle name="Comma 2 2 2 3 2 2 4 2 3 2 2 2 2 2" xfId="55231"/>
    <cellStyle name="Comma 2 2 2 3 2 2 4 2 3 2 2 3" xfId="33407"/>
    <cellStyle name="Comma 2 2 2 3 2 2 4 2 3 2 3" xfId="31949"/>
    <cellStyle name="Comma 2 2 2 3 2 2 4 2 3 2 3 2" xfId="41777"/>
    <cellStyle name="Comma 2 2 2 3 2 2 4 2 3 3" xfId="11574"/>
    <cellStyle name="Comma 2 2 2 3 2 2 4 2 3 3 2" xfId="40311"/>
    <cellStyle name="Comma 2 2 2 3 2 2 4 2 3 3 2 2" xfId="46923"/>
    <cellStyle name="Comma 2 2 2 3 2 2 4 2 3 4" xfId="25060"/>
    <cellStyle name="Comma 2 2 2 3 2 2 4 2 4" xfId="10077"/>
    <cellStyle name="Comma 2 2 2 3 2 2 4 2 4 2" xfId="14731"/>
    <cellStyle name="Comma 2 2 2 3 2 2 4 2 4 2 2" xfId="45441"/>
    <cellStyle name="Comma 2 2 2 3 2 2 4 2 4 2 2 2" xfId="50070"/>
    <cellStyle name="Comma 2 2 2 3 2 2 4 2 4 3" xfId="28243"/>
    <cellStyle name="Comma 2 2 2 3 2 2 4 2 5" xfId="23564"/>
    <cellStyle name="Comma 2 2 2 3 2 2 4 2 5 2" xfId="36539"/>
    <cellStyle name="Comma 2 2 2 3 2 2 4 3" xfId="1843"/>
    <cellStyle name="Comma 2 2 2 3 2 2 4 3 2" xfId="6098"/>
    <cellStyle name="Comma 2 2 2 3 2 2 4 3 2 2" xfId="7093"/>
    <cellStyle name="Comma 2 2 2 3 2 2 4 3 2 2 2" xfId="19660"/>
    <cellStyle name="Comma 2 2 2 3 2 2 4 3 2 2 2 2" xfId="20646"/>
    <cellStyle name="Comma 2 2 2 3 2 2 4 3 2 2 2 2 2" xfId="54986"/>
    <cellStyle name="Comma 2 2 2 3 2 2 4 3 2 2 2 2 2 2" xfId="55972"/>
    <cellStyle name="Comma 2 2 2 3 2 2 4 3 2 2 2 3" xfId="34148"/>
    <cellStyle name="Comma 2 2 2 3 2 2 4 3 2 2 3" xfId="33161"/>
    <cellStyle name="Comma 2 2 2 3 2 2 4 3 2 2 3 2" xfId="42521"/>
    <cellStyle name="Comma 2 2 2 3 2 2 4 3 2 3" xfId="12318"/>
    <cellStyle name="Comma 2 2 2 3 2 2 4 3 2 3 2" xfId="41531"/>
    <cellStyle name="Comma 2 2 2 3 2 2 4 3 2 3 2 2" xfId="47665"/>
    <cellStyle name="Comma 2 2 2 3 2 2 4 3 2 4" xfId="25803"/>
    <cellStyle name="Comma 2 2 2 3 2 2 4 3 3" xfId="11324"/>
    <cellStyle name="Comma 2 2 2 3 2 2 4 3 3 2" xfId="15514"/>
    <cellStyle name="Comma 2 2 2 3 2 2 4 3 3 2 2" xfId="46677"/>
    <cellStyle name="Comma 2 2 2 3 2 2 4 3 3 2 2 2" xfId="50847"/>
    <cellStyle name="Comma 2 2 2 3 2 2 4 3 3 3" xfId="29021"/>
    <cellStyle name="Comma 2 2 2 3 2 2 4 3 4" xfId="24814"/>
    <cellStyle name="Comma 2 2 2 3 2 2 4 3 4 2" xfId="37324"/>
    <cellStyle name="Comma 2 2 2 3 2 2 4 4" xfId="3856"/>
    <cellStyle name="Comma 2 2 2 3 2 2 4 4 2" xfId="14482"/>
    <cellStyle name="Comma 2 2 2 3 2 2 4 4 2 2" xfId="17469"/>
    <cellStyle name="Comma 2 2 2 3 2 2 4 4 2 2 2" xfId="49824"/>
    <cellStyle name="Comma 2 2 2 3 2 2 4 4 2 2 2 2" xfId="52796"/>
    <cellStyle name="Comma 2 2 2 3 2 2 4 4 2 3" xfId="30970"/>
    <cellStyle name="Comma 2 2 2 3 2 2 4 4 3" xfId="27993"/>
    <cellStyle name="Comma 2 2 2 3 2 2 4 4 3 2" xfId="39305"/>
    <cellStyle name="Comma 2 2 2 3 2 2 4 5" xfId="9048"/>
    <cellStyle name="Comma 2 2 2 3 2 2 4 5 2" xfId="36292"/>
    <cellStyle name="Comma 2 2 2 3 2 2 4 5 2 2" xfId="44445"/>
    <cellStyle name="Comma 2 2 2 3 2 2 4 6" xfId="22556"/>
    <cellStyle name="Comma 2 2 2 3 2 2 5" xfId="1569"/>
    <cellStyle name="Comma 2 2 2 3 2 2 5 2" xfId="2301"/>
    <cellStyle name="Comma 2 2 2 3 2 2 5 2 2" xfId="6841"/>
    <cellStyle name="Comma 2 2 2 3 2 2 5 2 2 2" xfId="7535"/>
    <cellStyle name="Comma 2 2 2 3 2 2 5 2 2 2 2" xfId="20394"/>
    <cellStyle name="Comma 2 2 2 3 2 2 5 2 2 2 2 2" xfId="21087"/>
    <cellStyle name="Comma 2 2 2 3 2 2 5 2 2 2 2 2 2" xfId="55720"/>
    <cellStyle name="Comma 2 2 2 3 2 2 5 2 2 2 2 2 2 2" xfId="56413"/>
    <cellStyle name="Comma 2 2 2 3 2 2 5 2 2 2 2 3" xfId="34590"/>
    <cellStyle name="Comma 2 2 2 3 2 2 5 2 2 2 3" xfId="33896"/>
    <cellStyle name="Comma 2 2 2 3 2 2 5 2 2 2 3 2" xfId="42962"/>
    <cellStyle name="Comma 2 2 2 3 2 2 5 2 2 3" xfId="12760"/>
    <cellStyle name="Comma 2 2 2 3 2 2 5 2 2 3 2" xfId="42269"/>
    <cellStyle name="Comma 2 2 2 3 2 2 5 2 2 3 2 2" xfId="48106"/>
    <cellStyle name="Comma 2 2 2 3 2 2 5 2 2 4" xfId="26244"/>
    <cellStyle name="Comma 2 2 2 3 2 2 5 2 3" xfId="12065"/>
    <cellStyle name="Comma 2 2 2 3 2 2 5 2 3 2" xfId="15965"/>
    <cellStyle name="Comma 2 2 2 3 2 2 5 2 3 2 2" xfId="47412"/>
    <cellStyle name="Comma 2 2 2 3 2 2 5 2 3 2 2 2" xfId="51297"/>
    <cellStyle name="Comma 2 2 2 3 2 2 5 2 3 3" xfId="29471"/>
    <cellStyle name="Comma 2 2 2 3 2 2 5 2 4" xfId="25550"/>
    <cellStyle name="Comma 2 2 2 3 2 2 5 2 4 2" xfId="37779"/>
    <cellStyle name="Comma 2 2 2 3 2 2 5 3" xfId="4329"/>
    <cellStyle name="Comma 2 2 2 3 2 2 5 3 2" xfId="15245"/>
    <cellStyle name="Comma 2 2 2 3 2 2 5 3 2 2" xfId="17922"/>
    <cellStyle name="Comma 2 2 2 3 2 2 5 3 2 2 2" xfId="50582"/>
    <cellStyle name="Comma 2 2 2 3 2 2 5 3 2 2 2 2" xfId="53249"/>
    <cellStyle name="Comma 2 2 2 3 2 2 5 3 2 3" xfId="31424"/>
    <cellStyle name="Comma 2 2 2 3 2 2 5 3 3" xfId="28756"/>
    <cellStyle name="Comma 2 2 2 3 2 2 5 3 3 2" xfId="39772"/>
    <cellStyle name="Comma 2 2 2 3 2 2 5 4" xfId="9525"/>
    <cellStyle name="Comma 2 2 2 3 2 2 5 4 2" xfId="37057"/>
    <cellStyle name="Comma 2 2 2 3 2 2 5 4 2 2" xfId="44907"/>
    <cellStyle name="Comma 2 2 2 3 2 2 5 5" xfId="23023"/>
    <cellStyle name="Comma 2 2 2 3 2 2 6" xfId="3570"/>
    <cellStyle name="Comma 2 2 2 3 2 2 6 2" xfId="5540"/>
    <cellStyle name="Comma 2 2 2 3 2 2 6 2 2" xfId="17206"/>
    <cellStyle name="Comma 2 2 2 3 2 2 6 2 2 2" xfId="19113"/>
    <cellStyle name="Comma 2 2 2 3 2 2 6 2 2 2 2" xfId="52533"/>
    <cellStyle name="Comma 2 2 2 3 2 2 6 2 2 2 2 2" xfId="54439"/>
    <cellStyle name="Comma 2 2 2 3 2 2 6 2 2 3" xfId="32614"/>
    <cellStyle name="Comma 2 2 2 3 2 2 6 2 3" xfId="30707"/>
    <cellStyle name="Comma 2 2 2 3 2 2 6 2 3 2" xfId="40977"/>
    <cellStyle name="Comma 2 2 2 3 2 2 6 3" xfId="10747"/>
    <cellStyle name="Comma 2 2 2 3 2 2 6 3 2" xfId="39027"/>
    <cellStyle name="Comma 2 2 2 3 2 2 6 3 2 2" xfId="46109"/>
    <cellStyle name="Comma 2 2 2 3 2 2 6 4" xfId="24234"/>
    <cellStyle name="Comma 2 2 2 3 2 2 7" xfId="8761"/>
    <cellStyle name="Comma 2 2 2 3 2 2 7 2" xfId="13925"/>
    <cellStyle name="Comma 2 2 2 3 2 2 7 2 2" xfId="44174"/>
    <cellStyle name="Comma 2 2 2 3 2 2 7 2 2 2" xfId="49271"/>
    <cellStyle name="Comma 2 2 2 3 2 2 7 3" xfId="27411"/>
    <cellStyle name="Comma 2 2 2 3 2 2 8" xfId="22278"/>
    <cellStyle name="Comma 2 2 2 3 2 2 8 2" xfId="24349"/>
    <cellStyle name="Comma 2 2 2 3 2 3" xfId="222"/>
    <cellStyle name="Comma 2 2 2 3 2 3 2" xfId="536"/>
    <cellStyle name="Comma 2 2 2 3 2 3 2 2" xfId="586"/>
    <cellStyle name="Comma 2 2 2 3 2 3 2 2 2" xfId="1341"/>
    <cellStyle name="Comma 2 2 2 3 2 3 2 2 2 2" xfId="1382"/>
    <cellStyle name="Comma 2 2 2 3 2 3 2 2 2 2 2" xfId="3359"/>
    <cellStyle name="Comma 2 2 2 3 2 3 2 2 2 2 2 2" xfId="3400"/>
    <cellStyle name="Comma 2 2 2 3 2 3 2 2 2 2 2 2 2" xfId="8574"/>
    <cellStyle name="Comma 2 2 2 3 2 3 2 2 2 2 2 2 2 2" xfId="8615"/>
    <cellStyle name="Comma 2 2 2 3 2 3 2 2 2 2 2 2 2 2 2" xfId="22126"/>
    <cellStyle name="Comma 2 2 2 3 2 3 2 2 2 2 2 2 2 2 2 2" xfId="22167"/>
    <cellStyle name="Comma 2 2 2 3 2 3 2 2 2 2 2 2 2 2 2 2 2" xfId="57452"/>
    <cellStyle name="Comma 2 2 2 3 2 3 2 2 2 2 2 2 2 2 2 2 2 2" xfId="57493"/>
    <cellStyle name="Comma 2 2 2 3 2 3 2 2 2 2 2 2 2 2 2 3" xfId="35670"/>
    <cellStyle name="Comma 2 2 2 3 2 3 2 2 2 2 2 2 2 2 3" xfId="35629"/>
    <cellStyle name="Comma 2 2 2 3 2 3 2 2 2 2 2 2 2 2 3 2" xfId="44042"/>
    <cellStyle name="Comma 2 2 2 3 2 3 2 2 2 2 2 2 2 3" xfId="13840"/>
    <cellStyle name="Comma 2 2 2 3 2 3 2 2 2 2 2 2 2 3 2" xfId="44001"/>
    <cellStyle name="Comma 2 2 2 3 2 3 2 2 2 2 2 2 2 3 2 2" xfId="49186"/>
    <cellStyle name="Comma 2 2 2 3 2 3 2 2 2 2 2 2 2 4" xfId="27325"/>
    <cellStyle name="Comma 2 2 2 3 2 3 2 2 2 2 2 2 3" xfId="13799"/>
    <cellStyle name="Comma 2 2 2 3 2 3 2 2 2 2 2 2 3 2" xfId="17057"/>
    <cellStyle name="Comma 2 2 2 3 2 3 2 2 2 2 2 2 3 2 2" xfId="49145"/>
    <cellStyle name="Comma 2 2 2 3 2 3 2 2 2 2 2 2 3 2 2 2" xfId="52385"/>
    <cellStyle name="Comma 2 2 2 3 2 3 2 2 2 2 2 2 3 3" xfId="30559"/>
    <cellStyle name="Comma 2 2 2 3 2 3 2 2 2 2 2 2 4" xfId="27284"/>
    <cellStyle name="Comma 2 2 2 3 2 3 2 2 2 2 2 2 4 2" xfId="38869"/>
    <cellStyle name="Comma 2 2 2 3 2 3 2 2 2 2 2 3" xfId="5437"/>
    <cellStyle name="Comma 2 2 2 3 2 3 2 2 2 2 2 3 2" xfId="17016"/>
    <cellStyle name="Comma 2 2 2 3 2 3 2 2 2 2 2 3 2 2" xfId="19010"/>
    <cellStyle name="Comma 2 2 2 3 2 3 2 2 2 2 2 3 2 2 2" xfId="52344"/>
    <cellStyle name="Comma 2 2 2 3 2 3 2 2 2 2 2 3 2 2 2 2" xfId="54336"/>
    <cellStyle name="Comma 2 2 2 3 2 3 2 2 2 2 2 3 2 3" xfId="32511"/>
    <cellStyle name="Comma 2 2 2 3 2 3 2 2 2 2 2 3 3" xfId="30518"/>
    <cellStyle name="Comma 2 2 2 3 2 3 2 2 2 2 2 3 3 2" xfId="40874"/>
    <cellStyle name="Comma 2 2 2 3 2 3 2 2 2 2 2 4" xfId="10640"/>
    <cellStyle name="Comma 2 2 2 3 2 3 2 2 2 2 2 4 2" xfId="38828"/>
    <cellStyle name="Comma 2 2 2 3 2 3 2 2 2 2 2 4 2 2" xfId="46003"/>
    <cellStyle name="Comma 2 2 2 3 2 3 2 2 2 2 2 5" xfId="24126"/>
    <cellStyle name="Comma 2 2 2 3 2 3 2 2 2 2 3" xfId="5396"/>
    <cellStyle name="Comma 2 2 2 3 2 3 2 2 2 2 3 2" xfId="6690"/>
    <cellStyle name="Comma 2 2 2 3 2 3 2 2 2 2 3 2 2" xfId="18969"/>
    <cellStyle name="Comma 2 2 2 3 2 3 2 2 2 2 3 2 2 2" xfId="20243"/>
    <cellStyle name="Comma 2 2 2 3 2 3 2 2 2 2 3 2 2 2 2" xfId="54295"/>
    <cellStyle name="Comma 2 2 2 3 2 3 2 2 2 2 3 2 2 2 2 2" xfId="55569"/>
    <cellStyle name="Comma 2 2 2 3 2 3 2 2 2 2 3 2 2 3" xfId="33745"/>
    <cellStyle name="Comma 2 2 2 3 2 3 2 2 2 2 3 2 3" xfId="32470"/>
    <cellStyle name="Comma 2 2 2 3 2 3 2 2 2 2 3 2 3 2" xfId="42118"/>
    <cellStyle name="Comma 2 2 2 3 2 3 2 2 2 2 3 3" xfId="11913"/>
    <cellStyle name="Comma 2 2 2 3 2 3 2 2 2 2 3 3 2" xfId="40833"/>
    <cellStyle name="Comma 2 2 2 3 2 3 2 2 2 2 3 3 2 2" xfId="47261"/>
    <cellStyle name="Comma 2 2 2 3 2 3 2 2 2 2 3 4" xfId="25398"/>
    <cellStyle name="Comma 2 2 2 3 2 3 2 2 2 2 4" xfId="10599"/>
    <cellStyle name="Comma 2 2 2 3 2 3 2 2 2 2 4 2" xfId="15071"/>
    <cellStyle name="Comma 2 2 2 3 2 3 2 2 2 2 4 2 2" xfId="45962"/>
    <cellStyle name="Comma 2 2 2 3 2 3 2 2 2 2 4 2 2 2" xfId="50410"/>
    <cellStyle name="Comma 2 2 2 3 2 3 2 2 2 2 4 3" xfId="28584"/>
    <cellStyle name="Comma 2 2 2 3 2 3 2 2 2 2 5" xfId="24085"/>
    <cellStyle name="Comma 2 2 2 3 2 3 2 2 2 2 5 2" xfId="36879"/>
    <cellStyle name="Comma 2 2 2 3 2 3 2 2 2 3" xfId="2189"/>
    <cellStyle name="Comma 2 2 2 3 2 3 2 2 2 3 2" xfId="6649"/>
    <cellStyle name="Comma 2 2 2 3 2 3 2 2 2 3 2 2" xfId="7423"/>
    <cellStyle name="Comma 2 2 2 3 2 3 2 2 2 3 2 2 2" xfId="20202"/>
    <cellStyle name="Comma 2 2 2 3 2 3 2 2 2 3 2 2 2 2" xfId="20975"/>
    <cellStyle name="Comma 2 2 2 3 2 3 2 2 2 3 2 2 2 2 2" xfId="55528"/>
    <cellStyle name="Comma 2 2 2 3 2 3 2 2 2 3 2 2 2 2 2 2" xfId="56301"/>
    <cellStyle name="Comma 2 2 2 3 2 3 2 2 2 3 2 2 2 3" xfId="34478"/>
    <cellStyle name="Comma 2 2 2 3 2 3 2 2 2 3 2 2 3" xfId="33704"/>
    <cellStyle name="Comma 2 2 2 3 2 3 2 2 2 3 2 2 3 2" xfId="42850"/>
    <cellStyle name="Comma 2 2 2 3 2 3 2 2 2 3 2 3" xfId="12648"/>
    <cellStyle name="Comma 2 2 2 3 2 3 2 2 2 3 2 3 2" xfId="42077"/>
    <cellStyle name="Comma 2 2 2 3 2 3 2 2 2 3 2 3 2 2" xfId="47994"/>
    <cellStyle name="Comma 2 2 2 3 2 3 2 2 2 3 2 4" xfId="26132"/>
    <cellStyle name="Comma 2 2 2 3 2 3 2 2 2 3 3" xfId="11872"/>
    <cellStyle name="Comma 2 2 2 3 2 3 2 2 2 3 3 2" xfId="15853"/>
    <cellStyle name="Comma 2 2 2 3 2 3 2 2 2 3 3 2 2" xfId="47220"/>
    <cellStyle name="Comma 2 2 2 3 2 3 2 2 2 3 3 2 2 2" xfId="51185"/>
    <cellStyle name="Comma 2 2 2 3 2 3 2 2 2 3 3 3" xfId="29359"/>
    <cellStyle name="Comma 2 2 2 3 2 3 2 2 2 3 4" xfId="25357"/>
    <cellStyle name="Comma 2 2 2 3 2 3 2 2 2 3 4 2" xfId="37667"/>
    <cellStyle name="Comma 2 2 2 3 2 3 2 2 2 4" xfId="4205"/>
    <cellStyle name="Comma 2 2 2 3 2 3 2 2 2 4 2" xfId="15030"/>
    <cellStyle name="Comma 2 2 2 3 2 3 2 2 2 4 2 2" xfId="17798"/>
    <cellStyle name="Comma 2 2 2 3 2 3 2 2 2 4 2 2 2" xfId="50369"/>
    <cellStyle name="Comma 2 2 2 3 2 3 2 2 2 4 2 2 2 2" xfId="53125"/>
    <cellStyle name="Comma 2 2 2 3 2 3 2 2 2 4 2 3" xfId="31300"/>
    <cellStyle name="Comma 2 2 2 3 2 3 2 2 2 4 3" xfId="28543"/>
    <cellStyle name="Comma 2 2 2 3 2 3 2 2 2 4 3 2" xfId="39648"/>
    <cellStyle name="Comma 2 2 2 3 2 3 2 2 2 5" xfId="9396"/>
    <cellStyle name="Comma 2 2 2 3 2 3 2 2 2 5 2" xfId="36838"/>
    <cellStyle name="Comma 2 2 2 3 2 3 2 2 2 5 2 2" xfId="44778"/>
    <cellStyle name="Comma 2 2 2 3 2 3 2 2 2 6" xfId="22892"/>
    <cellStyle name="Comma 2 2 2 3 2 3 2 2 3" xfId="2148"/>
    <cellStyle name="Comma 2 2 2 3 2 3 2 2 3 2" xfId="2676"/>
    <cellStyle name="Comma 2 2 2 3 2 3 2 2 3 2 2" xfId="7382"/>
    <cellStyle name="Comma 2 2 2 3 2 3 2 2 3 2 2 2" xfId="7895"/>
    <cellStyle name="Comma 2 2 2 3 2 3 2 2 3 2 2 2 2" xfId="20934"/>
    <cellStyle name="Comma 2 2 2 3 2 3 2 2 3 2 2 2 2 2" xfId="21447"/>
    <cellStyle name="Comma 2 2 2 3 2 3 2 2 3 2 2 2 2 2 2" xfId="56260"/>
    <cellStyle name="Comma 2 2 2 3 2 3 2 2 3 2 2 2 2 2 2 2" xfId="56773"/>
    <cellStyle name="Comma 2 2 2 3 2 3 2 2 3 2 2 2 2 3" xfId="34950"/>
    <cellStyle name="Comma 2 2 2 3 2 3 2 2 3 2 2 2 3" xfId="34437"/>
    <cellStyle name="Comma 2 2 2 3 2 3 2 2 3 2 2 2 3 2" xfId="43322"/>
    <cellStyle name="Comma 2 2 2 3 2 3 2 2 3 2 2 3" xfId="13120"/>
    <cellStyle name="Comma 2 2 2 3 2 3 2 2 3 2 2 3 2" xfId="42809"/>
    <cellStyle name="Comma 2 2 2 3 2 3 2 2 3 2 2 3 2 2" xfId="48466"/>
    <cellStyle name="Comma 2 2 2 3 2 3 2 2 3 2 2 4" xfId="26604"/>
    <cellStyle name="Comma 2 2 2 3 2 3 2 2 3 2 3" xfId="12607"/>
    <cellStyle name="Comma 2 2 2 3 2 3 2 2 3 2 3 2" xfId="16335"/>
    <cellStyle name="Comma 2 2 2 3 2 3 2 2 3 2 3 2 2" xfId="47953"/>
    <cellStyle name="Comma 2 2 2 3 2 3 2 2 3 2 3 2 2 2" xfId="51665"/>
    <cellStyle name="Comma 2 2 2 3 2 3 2 2 3 2 3 3" xfId="29839"/>
    <cellStyle name="Comma 2 2 2 3 2 3 2 2 3 2 4" xfId="26091"/>
    <cellStyle name="Comma 2 2 2 3 2 3 2 2 3 2 4 2" xfId="38149"/>
    <cellStyle name="Comma 2 2 2 3 2 3 2 2 3 3" xfId="4712"/>
    <cellStyle name="Comma 2 2 2 3 2 3 2 2 3 3 2" xfId="15812"/>
    <cellStyle name="Comma 2 2 2 3 2 3 2 2 3 3 2 2" xfId="18289"/>
    <cellStyle name="Comma 2 2 2 3 2 3 2 2 3 3 2 2 2" xfId="51144"/>
    <cellStyle name="Comma 2 2 2 3 2 3 2 2 3 3 2 2 2 2" xfId="53615"/>
    <cellStyle name="Comma 2 2 2 3 2 3 2 2 3 3 2 3" xfId="31790"/>
    <cellStyle name="Comma 2 2 2 3 2 3 2 2 3 3 3" xfId="29318"/>
    <cellStyle name="Comma 2 2 2 3 2 3 2 2 3 3 3 2" xfId="40150"/>
    <cellStyle name="Comma 2 2 2 3 2 3 2 2 3 4" xfId="9915"/>
    <cellStyle name="Comma 2 2 2 3 2 3 2 2 3 4 2" xfId="37626"/>
    <cellStyle name="Comma 2 2 2 3 2 3 2 2 3 4 2 2" xfId="45282"/>
    <cellStyle name="Comma 2 2 2 3 2 3 2 2 3 5" xfId="23405"/>
    <cellStyle name="Comma 2 2 2 3 2 3 2 2 4" xfId="4164"/>
    <cellStyle name="Comma 2 2 2 3 2 3 2 2 4 2" xfId="5917"/>
    <cellStyle name="Comma 2 2 2 3 2 3 2 2 4 2 2" xfId="17757"/>
    <cellStyle name="Comma 2 2 2 3 2 3 2 2 4 2 2 2" xfId="19484"/>
    <cellStyle name="Comma 2 2 2 3 2 3 2 2 4 2 2 2 2" xfId="53084"/>
    <cellStyle name="Comma 2 2 2 3 2 3 2 2 4 2 2 2 2 2" xfId="54810"/>
    <cellStyle name="Comma 2 2 2 3 2 3 2 2 4 2 2 3" xfId="32985"/>
    <cellStyle name="Comma 2 2 2 3 2 3 2 2 4 2 3" xfId="31259"/>
    <cellStyle name="Comma 2 2 2 3 2 3 2 2 4 2 3 2" xfId="41351"/>
    <cellStyle name="Comma 2 2 2 3 2 3 2 2 4 3" xfId="11142"/>
    <cellStyle name="Comma 2 2 2 3 2 3 2 2 4 3 2" xfId="39607"/>
    <cellStyle name="Comma 2 2 2 3 2 3 2 2 4 3 2 2" xfId="46500"/>
    <cellStyle name="Comma 2 2 2 3 2 3 2 2 4 4" xfId="24635"/>
    <cellStyle name="Comma 2 2 2 3 2 3 2 2 5" xfId="9355"/>
    <cellStyle name="Comma 2 2 2 3 2 3 2 2 5 2" xfId="14301"/>
    <cellStyle name="Comma 2 2 2 3 2 3 2 2 5 2 2" xfId="44737"/>
    <cellStyle name="Comma 2 2 2 3 2 3 2 2 5 2 2 2" xfId="49646"/>
    <cellStyle name="Comma 2 2 2 3 2 3 2 2 5 3" xfId="27811"/>
    <cellStyle name="Comma 2 2 2 3 2 3 2 2 6" xfId="22851"/>
    <cellStyle name="Comma 2 2 2 3 2 3 2 2 6 2" xfId="36113"/>
    <cellStyle name="Comma 2 2 2 3 2 3 2 3" xfId="914"/>
    <cellStyle name="Comma 2 2 2 3 2 3 2 3 2" xfId="2630"/>
    <cellStyle name="Comma 2 2 2 3 2 3 2 3 2 2" xfId="2952"/>
    <cellStyle name="Comma 2 2 2 3 2 3 2 3 2 2 2" xfId="7850"/>
    <cellStyle name="Comma 2 2 2 3 2 3 2 3 2 2 2 2" xfId="8167"/>
    <cellStyle name="Comma 2 2 2 3 2 3 2 3 2 2 2 2 2" xfId="21402"/>
    <cellStyle name="Comma 2 2 2 3 2 3 2 3 2 2 2 2 2 2" xfId="21719"/>
    <cellStyle name="Comma 2 2 2 3 2 3 2 3 2 2 2 2 2 2 2" xfId="56728"/>
    <cellStyle name="Comma 2 2 2 3 2 3 2 3 2 2 2 2 2 2 2 2" xfId="57045"/>
    <cellStyle name="Comma 2 2 2 3 2 3 2 3 2 2 2 2 2 3" xfId="35222"/>
    <cellStyle name="Comma 2 2 2 3 2 3 2 3 2 2 2 2 3" xfId="34905"/>
    <cellStyle name="Comma 2 2 2 3 2 3 2 3 2 2 2 2 3 2" xfId="43594"/>
    <cellStyle name="Comma 2 2 2 3 2 3 2 3 2 2 2 3" xfId="13392"/>
    <cellStyle name="Comma 2 2 2 3 2 3 2 3 2 2 2 3 2" xfId="43277"/>
    <cellStyle name="Comma 2 2 2 3 2 3 2 3 2 2 2 3 2 2" xfId="48738"/>
    <cellStyle name="Comma 2 2 2 3 2 3 2 3 2 2 2 4" xfId="26877"/>
    <cellStyle name="Comma 2 2 2 3 2 3 2 3 2 2 3" xfId="13075"/>
    <cellStyle name="Comma 2 2 2 3 2 3 2 3 2 2 3 2" xfId="16609"/>
    <cellStyle name="Comma 2 2 2 3 2 3 2 3 2 2 3 2 2" xfId="48421"/>
    <cellStyle name="Comma 2 2 2 3 2 3 2 3 2 2 3 2 2 2" xfId="51937"/>
    <cellStyle name="Comma 2 2 2 3 2 3 2 3 2 2 3 3" xfId="30111"/>
    <cellStyle name="Comma 2 2 2 3 2 3 2 3 2 2 4" xfId="26559"/>
    <cellStyle name="Comma 2 2 2 3 2 3 2 3 2 2 4 2" xfId="38421"/>
    <cellStyle name="Comma 2 2 2 3 2 3 2 3 2 3" xfId="4988"/>
    <cellStyle name="Comma 2 2 2 3 2 3 2 3 2 3 2" xfId="16289"/>
    <cellStyle name="Comma 2 2 2 3 2 3 2 3 2 3 2 2" xfId="18561"/>
    <cellStyle name="Comma 2 2 2 3 2 3 2 3 2 3 2 2 2" xfId="51619"/>
    <cellStyle name="Comma 2 2 2 3 2 3 2 3 2 3 2 2 2 2" xfId="53887"/>
    <cellStyle name="Comma 2 2 2 3 2 3 2 3 2 3 2 3" xfId="32062"/>
    <cellStyle name="Comma 2 2 2 3 2 3 2 3 2 3 3" xfId="29793"/>
    <cellStyle name="Comma 2 2 2 3 2 3 2 3 2 3 3 2" xfId="40425"/>
    <cellStyle name="Comma 2 2 2 3 2 3 2 3 2 4" xfId="10191"/>
    <cellStyle name="Comma 2 2 2 3 2 3 2 3 2 4 2" xfId="38103"/>
    <cellStyle name="Comma 2 2 2 3 2 3 2 3 2 4 2 2" xfId="45554"/>
    <cellStyle name="Comma 2 2 2 3 2 3 2 3 2 5" xfId="23677"/>
    <cellStyle name="Comma 2 2 2 3 2 3 2 3 3" xfId="4665"/>
    <cellStyle name="Comma 2 2 2 3 2 3 2 3 3 2" xfId="6225"/>
    <cellStyle name="Comma 2 2 2 3 2 3 2 3 3 2 2" xfId="18244"/>
    <cellStyle name="Comma 2 2 2 3 2 3 2 3 3 2 2 2" xfId="19782"/>
    <cellStyle name="Comma 2 2 2 3 2 3 2 3 3 2 2 2 2" xfId="53570"/>
    <cellStyle name="Comma 2 2 2 3 2 3 2 3 3 2 2 2 2 2" xfId="55108"/>
    <cellStyle name="Comma 2 2 2 3 2 3 2 3 3 2 2 3" xfId="33284"/>
    <cellStyle name="Comma 2 2 2 3 2 3 2 3 3 2 3" xfId="31745"/>
    <cellStyle name="Comma 2 2 2 3 2 3 2 3 3 2 3 2" xfId="41654"/>
    <cellStyle name="Comma 2 2 2 3 2 3 2 3 3 3" xfId="11450"/>
    <cellStyle name="Comma 2 2 2 3 2 3 2 3 3 3 2" xfId="40104"/>
    <cellStyle name="Comma 2 2 2 3 2 3 2 3 3 3 2 2" xfId="46799"/>
    <cellStyle name="Comma 2 2 2 3 2 3 2 3 3 4" xfId="24936"/>
    <cellStyle name="Comma 2 2 2 3 2 3 2 3 4" xfId="9868"/>
    <cellStyle name="Comma 2 2 2 3 2 3 2 3 4 2" xfId="14608"/>
    <cellStyle name="Comma 2 2 2 3 2 3 2 3 4 2 2" xfId="45237"/>
    <cellStyle name="Comma 2 2 2 3 2 3 2 3 4 2 2 2" xfId="49947"/>
    <cellStyle name="Comma 2 2 2 3 2 3 2 3 4 3" xfId="28119"/>
    <cellStyle name="Comma 2 2 2 3 2 3 2 3 5" xfId="23360"/>
    <cellStyle name="Comma 2 2 2 3 2 3 2 3 5 2" xfId="36416"/>
    <cellStyle name="Comma 2 2 2 3 2 3 2 4" xfId="1710"/>
    <cellStyle name="Comma 2 2 2 3 2 3 2 4 2" xfId="5869"/>
    <cellStyle name="Comma 2 2 2 3 2 3 2 4 2 2" xfId="6963"/>
    <cellStyle name="Comma 2 2 2 3 2 3 2 4 2 2 2" xfId="19437"/>
    <cellStyle name="Comma 2 2 2 3 2 3 2 4 2 2 2 2" xfId="20516"/>
    <cellStyle name="Comma 2 2 2 3 2 3 2 4 2 2 2 2 2" xfId="54763"/>
    <cellStyle name="Comma 2 2 2 3 2 3 2 4 2 2 2 2 2 2" xfId="55842"/>
    <cellStyle name="Comma 2 2 2 3 2 3 2 4 2 2 2 3" xfId="34018"/>
    <cellStyle name="Comma 2 2 2 3 2 3 2 4 2 2 3" xfId="32938"/>
    <cellStyle name="Comma 2 2 2 3 2 3 2 4 2 2 3 2" xfId="42391"/>
    <cellStyle name="Comma 2 2 2 3 2 3 2 4 2 3" xfId="12187"/>
    <cellStyle name="Comma 2 2 2 3 2 3 2 4 2 3 2" xfId="41304"/>
    <cellStyle name="Comma 2 2 2 3 2 3 2 4 2 3 2 2" xfId="47534"/>
    <cellStyle name="Comma 2 2 2 3 2 3 2 4 2 4" xfId="25672"/>
    <cellStyle name="Comma 2 2 2 3 2 3 2 4 3" xfId="11093"/>
    <cellStyle name="Comma 2 2 2 3 2 3 2 4 3 2" xfId="15382"/>
    <cellStyle name="Comma 2 2 2 3 2 3 2 4 3 2 2" xfId="46452"/>
    <cellStyle name="Comma 2 2 2 3 2 3 2 4 3 2 2 2" xfId="50715"/>
    <cellStyle name="Comma 2 2 2 3 2 3 2 4 3 3" xfId="28889"/>
    <cellStyle name="Comma 2 2 2 3 2 3 2 4 4" xfId="24587"/>
    <cellStyle name="Comma 2 2 2 3 2 3 2 4 4 2" xfId="37192"/>
    <cellStyle name="Comma 2 2 2 3 2 3 2 5" xfId="3715"/>
    <cellStyle name="Comma 2 2 2 3 2 3 2 5 2" xfId="14254"/>
    <cellStyle name="Comma 2 2 2 3 2 3 2 5 2 2" xfId="17331"/>
    <cellStyle name="Comma 2 2 2 3 2 3 2 5 2 2 2" xfId="49599"/>
    <cellStyle name="Comma 2 2 2 3 2 3 2 5 2 2 2 2" xfId="52658"/>
    <cellStyle name="Comma 2 2 2 3 2 3 2 5 2 3" xfId="30832"/>
    <cellStyle name="Comma 2 2 2 3 2 3 2 5 3" xfId="27761"/>
    <cellStyle name="Comma 2 2 2 3 2 3 2 5 3 2" xfId="39166"/>
    <cellStyle name="Comma 2 2 2 3 2 3 2 6" xfId="8904"/>
    <cellStyle name="Comma 2 2 2 3 2 3 2 6 2" xfId="36066"/>
    <cellStyle name="Comma 2 2 2 3 2 3 2 6 2 2" xfId="44303"/>
    <cellStyle name="Comma 2 2 2 3 2 3 2 7" xfId="22411"/>
    <cellStyle name="Comma 2 2 2 3 2 3 3" xfId="864"/>
    <cellStyle name="Comma 2 2 2 3 2 3 3 2" xfId="1095"/>
    <cellStyle name="Comma 2 2 2 3 2 3 3 2 2" xfId="2911"/>
    <cellStyle name="Comma 2 2 2 3 2 3 3 2 2 2" xfId="3125"/>
    <cellStyle name="Comma 2 2 2 3 2 3 3 2 2 2 2" xfId="8126"/>
    <cellStyle name="Comma 2 2 2 3 2 3 3 2 2 2 2 2" xfId="8340"/>
    <cellStyle name="Comma 2 2 2 3 2 3 3 2 2 2 2 2 2" xfId="21678"/>
    <cellStyle name="Comma 2 2 2 3 2 3 3 2 2 2 2 2 2 2" xfId="21892"/>
    <cellStyle name="Comma 2 2 2 3 2 3 3 2 2 2 2 2 2 2 2" xfId="57004"/>
    <cellStyle name="Comma 2 2 2 3 2 3 3 2 2 2 2 2 2 2 2 2" xfId="57218"/>
    <cellStyle name="Comma 2 2 2 3 2 3 3 2 2 2 2 2 2 3" xfId="35395"/>
    <cellStyle name="Comma 2 2 2 3 2 3 3 2 2 2 2 2 3" xfId="35181"/>
    <cellStyle name="Comma 2 2 2 3 2 3 3 2 2 2 2 2 3 2" xfId="43767"/>
    <cellStyle name="Comma 2 2 2 3 2 3 3 2 2 2 2 3" xfId="13565"/>
    <cellStyle name="Comma 2 2 2 3 2 3 3 2 2 2 2 3 2" xfId="43553"/>
    <cellStyle name="Comma 2 2 2 3 2 3 3 2 2 2 2 3 2 2" xfId="48911"/>
    <cellStyle name="Comma 2 2 2 3 2 3 3 2 2 2 2 4" xfId="27050"/>
    <cellStyle name="Comma 2 2 2 3 2 3 3 2 2 2 3" xfId="13351"/>
    <cellStyle name="Comma 2 2 2 3 2 3 3 2 2 2 3 2" xfId="16782"/>
    <cellStyle name="Comma 2 2 2 3 2 3 3 2 2 2 3 2 2" xfId="48697"/>
    <cellStyle name="Comma 2 2 2 3 2 3 3 2 2 2 3 2 2 2" xfId="52110"/>
    <cellStyle name="Comma 2 2 2 3 2 3 3 2 2 2 3 3" xfId="30284"/>
    <cellStyle name="Comma 2 2 2 3 2 3 3 2 2 2 4" xfId="26836"/>
    <cellStyle name="Comma 2 2 2 3 2 3 3 2 2 2 4 2" xfId="38594"/>
    <cellStyle name="Comma 2 2 2 3 2 3 3 2 2 3" xfId="5162"/>
    <cellStyle name="Comma 2 2 2 3 2 3 3 2 2 3 2" xfId="16568"/>
    <cellStyle name="Comma 2 2 2 3 2 3 3 2 2 3 2 2" xfId="18735"/>
    <cellStyle name="Comma 2 2 2 3 2 3 3 2 2 3 2 2 2" xfId="51896"/>
    <cellStyle name="Comma 2 2 2 3 2 3 3 2 2 3 2 2 2 2" xfId="54061"/>
    <cellStyle name="Comma 2 2 2 3 2 3 3 2 2 3 2 3" xfId="32236"/>
    <cellStyle name="Comma 2 2 2 3 2 3 3 2 2 3 3" xfId="30070"/>
    <cellStyle name="Comma 2 2 2 3 2 3 3 2 2 3 3 2" xfId="40599"/>
    <cellStyle name="Comma 2 2 2 3 2 3 3 2 2 4" xfId="10365"/>
    <cellStyle name="Comma 2 2 2 3 2 3 3 2 2 4 2" xfId="38380"/>
    <cellStyle name="Comma 2 2 2 3 2 3 3 2 2 4 2 2" xfId="45728"/>
    <cellStyle name="Comma 2 2 2 3 2 3 3 2 2 5" xfId="23851"/>
    <cellStyle name="Comma 2 2 2 3 2 3 3 2 3" xfId="4947"/>
    <cellStyle name="Comma 2 2 2 3 2 3 3 2 3 2" xfId="6404"/>
    <cellStyle name="Comma 2 2 2 3 2 3 3 2 3 2 2" xfId="18520"/>
    <cellStyle name="Comma 2 2 2 3 2 3 3 2 3 2 2 2" xfId="19960"/>
    <cellStyle name="Comma 2 2 2 3 2 3 3 2 3 2 2 2 2" xfId="53846"/>
    <cellStyle name="Comma 2 2 2 3 2 3 3 2 3 2 2 2 2 2" xfId="55286"/>
    <cellStyle name="Comma 2 2 2 3 2 3 3 2 3 2 2 3" xfId="33462"/>
    <cellStyle name="Comma 2 2 2 3 2 3 3 2 3 2 3" xfId="32021"/>
    <cellStyle name="Comma 2 2 2 3 2 3 3 2 3 2 3 2" xfId="41833"/>
    <cellStyle name="Comma 2 2 2 3 2 3 3 2 3 3" xfId="11629"/>
    <cellStyle name="Comma 2 2 2 3 2 3 3 2 3 3 2" xfId="40384"/>
    <cellStyle name="Comma 2 2 2 3 2 3 3 2 3 3 2 2" xfId="46978"/>
    <cellStyle name="Comma 2 2 2 3 2 3 3 2 3 4" xfId="25115"/>
    <cellStyle name="Comma 2 2 2 3 2 3 3 2 4" xfId="10150"/>
    <cellStyle name="Comma 2 2 2 3 2 3 3 2 4 2" xfId="14787"/>
    <cellStyle name="Comma 2 2 2 3 2 3 3 2 4 2 2" xfId="45513"/>
    <cellStyle name="Comma 2 2 2 3 2 3 3 2 4 2 2 2" xfId="50126"/>
    <cellStyle name="Comma 2 2 2 3 2 3 3 2 4 3" xfId="28299"/>
    <cellStyle name="Comma 2 2 2 3 2 3 3 2 5" xfId="23636"/>
    <cellStyle name="Comma 2 2 2 3 2 3 3 2 5 2" xfId="36595"/>
    <cellStyle name="Comma 2 2 2 3 2 3 3 3" xfId="1903"/>
    <cellStyle name="Comma 2 2 2 3 2 3 3 3 2" xfId="6178"/>
    <cellStyle name="Comma 2 2 2 3 2 3 3 3 2 2" xfId="7147"/>
    <cellStyle name="Comma 2 2 2 3 2 3 3 3 2 2 2" xfId="19737"/>
    <cellStyle name="Comma 2 2 2 3 2 3 3 3 2 2 2 2" xfId="20699"/>
    <cellStyle name="Comma 2 2 2 3 2 3 3 3 2 2 2 2 2" xfId="55063"/>
    <cellStyle name="Comma 2 2 2 3 2 3 3 3 2 2 2 2 2 2" xfId="56025"/>
    <cellStyle name="Comma 2 2 2 3 2 3 3 3 2 2 2 3" xfId="34202"/>
    <cellStyle name="Comma 2 2 2 3 2 3 3 3 2 2 3" xfId="33239"/>
    <cellStyle name="Comma 2 2 2 3 2 3 3 3 2 2 3 2" xfId="42574"/>
    <cellStyle name="Comma 2 2 2 3 2 3 3 3 2 3" xfId="12372"/>
    <cellStyle name="Comma 2 2 2 3 2 3 3 3 2 3 2" xfId="41608"/>
    <cellStyle name="Comma 2 2 2 3 2 3 3 3 2 3 2 2" xfId="47718"/>
    <cellStyle name="Comma 2 2 2 3 2 3 3 3 2 4" xfId="25856"/>
    <cellStyle name="Comma 2 2 2 3 2 3 3 3 3" xfId="11403"/>
    <cellStyle name="Comma 2 2 2 3 2 3 3 3 3 2" xfId="15570"/>
    <cellStyle name="Comma 2 2 2 3 2 3 3 3 3 2 2" xfId="46754"/>
    <cellStyle name="Comma 2 2 2 3 2 3 3 3 3 2 2 2" xfId="50902"/>
    <cellStyle name="Comma 2 2 2 3 2 3 3 3 3 3" xfId="29076"/>
    <cellStyle name="Comma 2 2 2 3 2 3 3 3 4" xfId="24891"/>
    <cellStyle name="Comma 2 2 2 3 2 3 3 3 4 2" xfId="37382"/>
    <cellStyle name="Comma 2 2 2 3 2 3 3 4" xfId="3917"/>
    <cellStyle name="Comma 2 2 2 3 2 3 3 4 2" xfId="14561"/>
    <cellStyle name="Comma 2 2 2 3 2 3 3 4 2 2" xfId="17522"/>
    <cellStyle name="Comma 2 2 2 3 2 3 3 4 2 2 2" xfId="49902"/>
    <cellStyle name="Comma 2 2 2 3 2 3 3 4 2 2 2 2" xfId="52849"/>
    <cellStyle name="Comma 2 2 2 3 2 3 3 4 2 3" xfId="31024"/>
    <cellStyle name="Comma 2 2 2 3 2 3 3 4 3" xfId="28072"/>
    <cellStyle name="Comma 2 2 2 3 2 3 3 4 3 2" xfId="39362"/>
    <cellStyle name="Comma 2 2 2 3 2 3 3 5" xfId="9109"/>
    <cellStyle name="Comma 2 2 2 3 2 3 3 5 2" xfId="36371"/>
    <cellStyle name="Comma 2 2 2 3 2 3 3 5 2 2" xfId="44501"/>
    <cellStyle name="Comma 2 2 2 3 2 3 3 6" xfId="22615"/>
    <cellStyle name="Comma 2 2 2 3 2 3 4" xfId="1659"/>
    <cellStyle name="Comma 2 2 2 3 2 3 4 2" xfId="2352"/>
    <cellStyle name="Comma 2 2 2 3 2 3 4 2 2" xfId="6921"/>
    <cellStyle name="Comma 2 2 2 3 2 3 4 2 2 2" xfId="7586"/>
    <cellStyle name="Comma 2 2 2 3 2 3 4 2 2 2 2" xfId="20474"/>
    <cellStyle name="Comma 2 2 2 3 2 3 4 2 2 2 2 2" xfId="21138"/>
    <cellStyle name="Comma 2 2 2 3 2 3 4 2 2 2 2 2 2" xfId="55800"/>
    <cellStyle name="Comma 2 2 2 3 2 3 4 2 2 2 2 2 2 2" xfId="56464"/>
    <cellStyle name="Comma 2 2 2 3 2 3 4 2 2 2 2 3" xfId="34641"/>
    <cellStyle name="Comma 2 2 2 3 2 3 4 2 2 2 3" xfId="33976"/>
    <cellStyle name="Comma 2 2 2 3 2 3 4 2 2 2 3 2" xfId="43013"/>
    <cellStyle name="Comma 2 2 2 3 2 3 4 2 2 3" xfId="12811"/>
    <cellStyle name="Comma 2 2 2 3 2 3 4 2 2 3 2" xfId="42349"/>
    <cellStyle name="Comma 2 2 2 3 2 3 4 2 2 3 2 2" xfId="48157"/>
    <cellStyle name="Comma 2 2 2 3 2 3 4 2 2 4" xfId="26295"/>
    <cellStyle name="Comma 2 2 2 3 2 3 4 2 3" xfId="12145"/>
    <cellStyle name="Comma 2 2 2 3 2 3 4 2 3 2" xfId="16016"/>
    <cellStyle name="Comma 2 2 2 3 2 3 4 2 3 2 2" xfId="47492"/>
    <cellStyle name="Comma 2 2 2 3 2 3 4 2 3 2 2 2" xfId="51348"/>
    <cellStyle name="Comma 2 2 2 3 2 3 4 2 3 3" xfId="29522"/>
    <cellStyle name="Comma 2 2 2 3 2 3 4 2 4" xfId="25630"/>
    <cellStyle name="Comma 2 2 2 3 2 3 4 2 4 2" xfId="37830"/>
    <cellStyle name="Comma 2 2 2 3 2 3 4 3" xfId="4383"/>
    <cellStyle name="Comma 2 2 2 3 2 3 4 3 2" xfId="15332"/>
    <cellStyle name="Comma 2 2 2 3 2 3 4 3 2 2" xfId="17975"/>
    <cellStyle name="Comma 2 2 2 3 2 3 4 3 2 2 2" xfId="50667"/>
    <cellStyle name="Comma 2 2 2 3 2 3 4 3 2 2 2 2" xfId="53301"/>
    <cellStyle name="Comma 2 2 2 3 2 3 4 3 2 3" xfId="31476"/>
    <cellStyle name="Comma 2 2 2 3 2 3 4 3 3" xfId="28841"/>
    <cellStyle name="Comma 2 2 2 3 2 3 4 3 3 2" xfId="39825"/>
    <cellStyle name="Comma 2 2 2 3 2 3 4 4" xfId="9584"/>
    <cellStyle name="Comma 2 2 2 3 2 3 4 4 2" xfId="37143"/>
    <cellStyle name="Comma 2 2 2 3 2 3 4 4 2 2" xfId="44965"/>
    <cellStyle name="Comma 2 2 2 3 2 3 4 5" xfId="23085"/>
    <cellStyle name="Comma 2 2 2 3 2 3 5" xfId="3664"/>
    <cellStyle name="Comma 2 2 2 3 2 3 5 2" xfId="5593"/>
    <cellStyle name="Comma 2 2 2 3 2 3 5 2 2" xfId="17289"/>
    <cellStyle name="Comma 2 2 2 3 2 3 5 2 2 2" xfId="19165"/>
    <cellStyle name="Comma 2 2 2 3 2 3 5 2 2 2 2" xfId="52616"/>
    <cellStyle name="Comma 2 2 2 3 2 3 5 2 2 2 2 2" xfId="54491"/>
    <cellStyle name="Comma 2 2 2 3 2 3 5 2 2 3" xfId="32666"/>
    <cellStyle name="Comma 2 2 2 3 2 3 5 2 3" xfId="30790"/>
    <cellStyle name="Comma 2 2 2 3 2 3 5 2 3 2" xfId="41029"/>
    <cellStyle name="Comma 2 2 2 3 2 3 5 3" xfId="10805"/>
    <cellStyle name="Comma 2 2 2 3 2 3 5 3 2" xfId="39117"/>
    <cellStyle name="Comma 2 2 2 3 2 3 5 3 2 2" xfId="46167"/>
    <cellStyle name="Comma 2 2 2 3 2 3 5 4" xfId="24295"/>
    <cellStyle name="Comma 2 2 2 3 2 3 6" xfId="8857"/>
    <cellStyle name="Comma 2 2 2 3 2 3 6 2" xfId="13977"/>
    <cellStyle name="Comma 2 2 2 3 2 3 6 2 2" xfId="44261"/>
    <cellStyle name="Comma 2 2 2 3 2 3 6 2 2 2" xfId="49323"/>
    <cellStyle name="Comma 2 2 2 3 2 3 6 3" xfId="27469"/>
    <cellStyle name="Comma 2 2 2 3 2 3 7" xfId="22369"/>
    <cellStyle name="Comma 2 2 2 3 2 3 7 2" xfId="35789"/>
    <cellStyle name="Comma 2 2 2 3 2 4" xfId="360"/>
    <cellStyle name="Comma 2 2 2 3 2 4 2" xfId="1036"/>
    <cellStyle name="Comma 2 2 2 3 2 4 2 2" xfId="1209"/>
    <cellStyle name="Comma 2 2 2 3 2 4 2 2 2" xfId="3072"/>
    <cellStyle name="Comma 2 2 2 3 2 4 2 2 2 2" xfId="3228"/>
    <cellStyle name="Comma 2 2 2 3 2 4 2 2 2 2 2" xfId="8287"/>
    <cellStyle name="Comma 2 2 2 3 2 4 2 2 2 2 2 2" xfId="8443"/>
    <cellStyle name="Comma 2 2 2 3 2 4 2 2 2 2 2 2 2" xfId="21839"/>
    <cellStyle name="Comma 2 2 2 3 2 4 2 2 2 2 2 2 2 2" xfId="21995"/>
    <cellStyle name="Comma 2 2 2 3 2 4 2 2 2 2 2 2 2 2 2" xfId="57165"/>
    <cellStyle name="Comma 2 2 2 3 2 4 2 2 2 2 2 2 2 2 2 2" xfId="57321"/>
    <cellStyle name="Comma 2 2 2 3 2 4 2 2 2 2 2 2 2 3" xfId="35498"/>
    <cellStyle name="Comma 2 2 2 3 2 4 2 2 2 2 2 2 3" xfId="35342"/>
    <cellStyle name="Comma 2 2 2 3 2 4 2 2 2 2 2 2 3 2" xfId="43870"/>
    <cellStyle name="Comma 2 2 2 3 2 4 2 2 2 2 2 3" xfId="13668"/>
    <cellStyle name="Comma 2 2 2 3 2 4 2 2 2 2 2 3 2" xfId="43714"/>
    <cellStyle name="Comma 2 2 2 3 2 4 2 2 2 2 2 3 2 2" xfId="49014"/>
    <cellStyle name="Comma 2 2 2 3 2 4 2 2 2 2 2 4" xfId="27153"/>
    <cellStyle name="Comma 2 2 2 3 2 4 2 2 2 2 3" xfId="13512"/>
    <cellStyle name="Comma 2 2 2 3 2 4 2 2 2 2 3 2" xfId="16885"/>
    <cellStyle name="Comma 2 2 2 3 2 4 2 2 2 2 3 2 2" xfId="48858"/>
    <cellStyle name="Comma 2 2 2 3 2 4 2 2 2 2 3 2 2 2" xfId="52213"/>
    <cellStyle name="Comma 2 2 2 3 2 4 2 2 2 2 3 3" xfId="30387"/>
    <cellStyle name="Comma 2 2 2 3 2 4 2 2 2 2 4" xfId="26997"/>
    <cellStyle name="Comma 2 2 2 3 2 4 2 2 2 2 4 2" xfId="38697"/>
    <cellStyle name="Comma 2 2 2 3 2 4 2 2 2 3" xfId="5265"/>
    <cellStyle name="Comma 2 2 2 3 2 4 2 2 2 3 2" xfId="16729"/>
    <cellStyle name="Comma 2 2 2 3 2 4 2 2 2 3 2 2" xfId="18838"/>
    <cellStyle name="Comma 2 2 2 3 2 4 2 2 2 3 2 2 2" xfId="52057"/>
    <cellStyle name="Comma 2 2 2 3 2 4 2 2 2 3 2 2 2 2" xfId="54164"/>
    <cellStyle name="Comma 2 2 2 3 2 4 2 2 2 3 2 3" xfId="32339"/>
    <cellStyle name="Comma 2 2 2 3 2 4 2 2 2 3 3" xfId="30231"/>
    <cellStyle name="Comma 2 2 2 3 2 4 2 2 2 3 3 2" xfId="40702"/>
    <cellStyle name="Comma 2 2 2 3 2 4 2 2 2 4" xfId="10468"/>
    <cellStyle name="Comma 2 2 2 3 2 4 2 2 2 4 2" xfId="38541"/>
    <cellStyle name="Comma 2 2 2 3 2 4 2 2 2 4 2 2" xfId="45831"/>
    <cellStyle name="Comma 2 2 2 3 2 4 2 2 2 5" xfId="23954"/>
    <cellStyle name="Comma 2 2 2 3 2 4 2 2 3" xfId="5109"/>
    <cellStyle name="Comma 2 2 2 3 2 4 2 2 3 2" xfId="6517"/>
    <cellStyle name="Comma 2 2 2 3 2 4 2 2 3 2 2" xfId="18682"/>
    <cellStyle name="Comma 2 2 2 3 2 4 2 2 3 2 2 2" xfId="20070"/>
    <cellStyle name="Comma 2 2 2 3 2 4 2 2 3 2 2 2 2" xfId="54008"/>
    <cellStyle name="Comma 2 2 2 3 2 4 2 2 3 2 2 2 2 2" xfId="55396"/>
    <cellStyle name="Comma 2 2 2 3 2 4 2 2 3 2 2 3" xfId="33572"/>
    <cellStyle name="Comma 2 2 2 3 2 4 2 2 3 2 3" xfId="32183"/>
    <cellStyle name="Comma 2 2 2 3 2 4 2 2 3 2 3 2" xfId="41945"/>
    <cellStyle name="Comma 2 2 2 3 2 4 2 2 3 3" xfId="11740"/>
    <cellStyle name="Comma 2 2 2 3 2 4 2 2 3 3 2" xfId="40546"/>
    <cellStyle name="Comma 2 2 2 3 2 4 2 2 3 3 2 2" xfId="47088"/>
    <cellStyle name="Comma 2 2 2 3 2 4 2 2 3 4" xfId="25225"/>
    <cellStyle name="Comma 2 2 2 3 2 4 2 2 4" xfId="10312"/>
    <cellStyle name="Comma 2 2 2 3 2 4 2 2 4 2" xfId="14898"/>
    <cellStyle name="Comma 2 2 2 3 2 4 2 2 4 2 2" xfId="45675"/>
    <cellStyle name="Comma 2 2 2 3 2 4 2 2 4 2 2 2" xfId="50237"/>
    <cellStyle name="Comma 2 2 2 3 2 4 2 2 4 3" xfId="28411"/>
    <cellStyle name="Comma 2 2 2 3 2 4 2 2 5" xfId="23798"/>
    <cellStyle name="Comma 2 2 2 3 2 4 2 2 5 2" xfId="36706"/>
    <cellStyle name="Comma 2 2 2 3 2 4 2 3" xfId="2016"/>
    <cellStyle name="Comma 2 2 2 3 2 4 2 3 2" xfId="6346"/>
    <cellStyle name="Comma 2 2 2 3 2 4 2 3 2 2" xfId="7250"/>
    <cellStyle name="Comma 2 2 2 3 2 4 2 3 2 2 2" xfId="19903"/>
    <cellStyle name="Comma 2 2 2 3 2 4 2 3 2 2 2 2" xfId="20802"/>
    <cellStyle name="Comma 2 2 2 3 2 4 2 3 2 2 2 2 2" xfId="55229"/>
    <cellStyle name="Comma 2 2 2 3 2 4 2 3 2 2 2 2 2 2" xfId="56128"/>
    <cellStyle name="Comma 2 2 2 3 2 4 2 3 2 2 2 3" xfId="34305"/>
    <cellStyle name="Comma 2 2 2 3 2 4 2 3 2 2 3" xfId="33405"/>
    <cellStyle name="Comma 2 2 2 3 2 4 2 3 2 2 3 2" xfId="42677"/>
    <cellStyle name="Comma 2 2 2 3 2 4 2 3 2 3" xfId="12475"/>
    <cellStyle name="Comma 2 2 2 3 2 4 2 3 2 3 2" xfId="41775"/>
    <cellStyle name="Comma 2 2 2 3 2 4 2 3 2 3 2 2" xfId="47821"/>
    <cellStyle name="Comma 2 2 2 3 2 4 2 3 2 4" xfId="25959"/>
    <cellStyle name="Comma 2 2 2 3 2 4 2 3 3" xfId="11572"/>
    <cellStyle name="Comma 2 2 2 3 2 4 2 3 3 2" xfId="15680"/>
    <cellStyle name="Comma 2 2 2 3 2 4 2 3 3 2 2" xfId="46921"/>
    <cellStyle name="Comma 2 2 2 3 2 4 2 3 3 2 2 2" xfId="51012"/>
    <cellStyle name="Comma 2 2 2 3 2 4 2 3 3 3" xfId="29186"/>
    <cellStyle name="Comma 2 2 2 3 2 4 2 3 4" xfId="25058"/>
    <cellStyle name="Comma 2 2 2 3 2 4 2 3 4 2" xfId="37494"/>
    <cellStyle name="Comma 2 2 2 3 2 4 2 4" xfId="4031"/>
    <cellStyle name="Comma 2 2 2 3 2 4 2 4 2" xfId="14729"/>
    <cellStyle name="Comma 2 2 2 3 2 4 2 4 2 2" xfId="17625"/>
    <cellStyle name="Comma 2 2 2 3 2 4 2 4 2 2 2" xfId="50068"/>
    <cellStyle name="Comma 2 2 2 3 2 4 2 4 2 2 2 2" xfId="52952"/>
    <cellStyle name="Comma 2 2 2 3 2 4 2 4 2 3" xfId="31127"/>
    <cellStyle name="Comma 2 2 2 3 2 4 2 4 3" xfId="28241"/>
    <cellStyle name="Comma 2 2 2 3 2 4 2 4 3 2" xfId="39475"/>
    <cellStyle name="Comma 2 2 2 3 2 4 2 5" xfId="9223"/>
    <cellStyle name="Comma 2 2 2 3 2 4 2 5 2" xfId="36537"/>
    <cellStyle name="Comma 2 2 2 3 2 4 2 5 2 2" xfId="44605"/>
    <cellStyle name="Comma 2 2 2 3 2 4 2 6" xfId="22719"/>
    <cellStyle name="Comma 2 2 2 3 2 4 3" xfId="1841"/>
    <cellStyle name="Comma 2 2 2 3 2 4 3 2" xfId="2469"/>
    <cellStyle name="Comma 2 2 2 3 2 4 3 2 2" xfId="7091"/>
    <cellStyle name="Comma 2 2 2 3 2 4 3 2 2 2" xfId="7699"/>
    <cellStyle name="Comma 2 2 2 3 2 4 3 2 2 2 2" xfId="20644"/>
    <cellStyle name="Comma 2 2 2 3 2 4 3 2 2 2 2 2" xfId="21251"/>
    <cellStyle name="Comma 2 2 2 3 2 4 3 2 2 2 2 2 2" xfId="55970"/>
    <cellStyle name="Comma 2 2 2 3 2 4 3 2 2 2 2 2 2 2" xfId="56577"/>
    <cellStyle name="Comma 2 2 2 3 2 4 3 2 2 2 2 3" xfId="34754"/>
    <cellStyle name="Comma 2 2 2 3 2 4 3 2 2 2 3" xfId="34146"/>
    <cellStyle name="Comma 2 2 2 3 2 4 3 2 2 2 3 2" xfId="43126"/>
    <cellStyle name="Comma 2 2 2 3 2 4 3 2 2 3" xfId="12924"/>
    <cellStyle name="Comma 2 2 2 3 2 4 3 2 2 3 2" xfId="42519"/>
    <cellStyle name="Comma 2 2 2 3 2 4 3 2 2 3 2 2" xfId="48270"/>
    <cellStyle name="Comma 2 2 2 3 2 4 3 2 2 4" xfId="26408"/>
    <cellStyle name="Comma 2 2 2 3 2 4 3 2 3" xfId="12316"/>
    <cellStyle name="Comma 2 2 2 3 2 4 3 2 3 2" xfId="16132"/>
    <cellStyle name="Comma 2 2 2 3 2 4 3 2 3 2 2" xfId="47663"/>
    <cellStyle name="Comma 2 2 2 3 2 4 3 2 3 2 2 2" xfId="51463"/>
    <cellStyle name="Comma 2 2 2 3 2 4 3 2 3 3" xfId="29637"/>
    <cellStyle name="Comma 2 2 2 3 2 4 3 2 4" xfId="25801"/>
    <cellStyle name="Comma 2 2 2 3 2 4 3 2 4 2" xfId="37946"/>
    <cellStyle name="Comma 2 2 2 3 2 4 3 3" xfId="4504"/>
    <cellStyle name="Comma 2 2 2 3 2 4 3 3 2" xfId="15512"/>
    <cellStyle name="Comma 2 2 2 3 2 4 3 3 2 2" xfId="18092"/>
    <cellStyle name="Comma 2 2 2 3 2 4 3 3 2 2 2" xfId="50845"/>
    <cellStyle name="Comma 2 2 2 3 2 4 3 3 2 2 2 2" xfId="53418"/>
    <cellStyle name="Comma 2 2 2 3 2 4 3 3 2 3" xfId="31593"/>
    <cellStyle name="Comma 2 2 2 3 2 4 3 3 3" xfId="29019"/>
    <cellStyle name="Comma 2 2 2 3 2 4 3 3 3 2" xfId="39945"/>
    <cellStyle name="Comma 2 2 2 3 2 4 3 4" xfId="9708"/>
    <cellStyle name="Comma 2 2 2 3 2 4 3 4 2" xfId="37322"/>
    <cellStyle name="Comma 2 2 2 3 2 4 3 4 2 2" xfId="45085"/>
    <cellStyle name="Comma 2 2 2 3 2 4 3 5" xfId="23208"/>
    <cellStyle name="Comma 2 2 2 3 2 4 4" xfId="3854"/>
    <cellStyle name="Comma 2 2 2 3 2 4 4 2" xfId="5711"/>
    <cellStyle name="Comma 2 2 2 3 2 4 4 2 2" xfId="17467"/>
    <cellStyle name="Comma 2 2 2 3 2 4 4 2 2 2" xfId="19281"/>
    <cellStyle name="Comma 2 2 2 3 2 4 4 2 2 2 2" xfId="52794"/>
    <cellStyle name="Comma 2 2 2 3 2 4 4 2 2 2 2 2" xfId="54607"/>
    <cellStyle name="Comma 2 2 2 3 2 4 4 2 2 3" xfId="32782"/>
    <cellStyle name="Comma 2 2 2 3 2 4 4 2 3" xfId="30968"/>
    <cellStyle name="Comma 2 2 2 3 2 4 4 2 3 2" xfId="41146"/>
    <cellStyle name="Comma 2 2 2 3 2 4 4 3" xfId="10931"/>
    <cellStyle name="Comma 2 2 2 3 2 4 4 3 2" xfId="39303"/>
    <cellStyle name="Comma 2 2 2 3 2 4 4 3 2 2" xfId="46291"/>
    <cellStyle name="Comma 2 2 2 3 2 4 4 4" xfId="24423"/>
    <cellStyle name="Comma 2 2 2 3 2 4 5" xfId="9046"/>
    <cellStyle name="Comma 2 2 2 3 2 4 5 2" xfId="14095"/>
    <cellStyle name="Comma 2 2 2 3 2 4 5 2 2" xfId="44443"/>
    <cellStyle name="Comma 2 2 2 3 2 4 5 2 2 2" xfId="49440"/>
    <cellStyle name="Comma 2 2 2 3 2 4 5 3" xfId="27595"/>
    <cellStyle name="Comma 2 2 2 3 2 4 6" xfId="22554"/>
    <cellStyle name="Comma 2 2 2 3 2 4 6 2" xfId="35906"/>
    <cellStyle name="Comma 2 2 2 3 2 5" xfId="674"/>
    <cellStyle name="Comma 2 2 2 3 2 5 2" xfId="2299"/>
    <cellStyle name="Comma 2 2 2 3 2 5 2 2" xfId="2763"/>
    <cellStyle name="Comma 2 2 2 3 2 5 2 2 2" xfId="7533"/>
    <cellStyle name="Comma 2 2 2 3 2 5 2 2 2 2" xfId="7981"/>
    <cellStyle name="Comma 2 2 2 3 2 5 2 2 2 2 2" xfId="21085"/>
    <cellStyle name="Comma 2 2 2 3 2 5 2 2 2 2 2 2" xfId="21533"/>
    <cellStyle name="Comma 2 2 2 3 2 5 2 2 2 2 2 2 2" xfId="56411"/>
    <cellStyle name="Comma 2 2 2 3 2 5 2 2 2 2 2 2 2 2" xfId="56859"/>
    <cellStyle name="Comma 2 2 2 3 2 5 2 2 2 2 2 3" xfId="35036"/>
    <cellStyle name="Comma 2 2 2 3 2 5 2 2 2 2 3" xfId="34588"/>
    <cellStyle name="Comma 2 2 2 3 2 5 2 2 2 2 3 2" xfId="43408"/>
    <cellStyle name="Comma 2 2 2 3 2 5 2 2 2 3" xfId="13206"/>
    <cellStyle name="Comma 2 2 2 3 2 5 2 2 2 3 2" xfId="42960"/>
    <cellStyle name="Comma 2 2 2 3 2 5 2 2 2 3 2 2" xfId="48552"/>
    <cellStyle name="Comma 2 2 2 3 2 5 2 2 2 4" xfId="26690"/>
    <cellStyle name="Comma 2 2 2 3 2 5 2 2 3" xfId="12758"/>
    <cellStyle name="Comma 2 2 2 3 2 5 2 2 3 2" xfId="16422"/>
    <cellStyle name="Comma 2 2 2 3 2 5 2 2 3 2 2" xfId="48104"/>
    <cellStyle name="Comma 2 2 2 3 2 5 2 2 3 2 2 2" xfId="51751"/>
    <cellStyle name="Comma 2 2 2 3 2 5 2 2 3 3" xfId="29925"/>
    <cellStyle name="Comma 2 2 2 3 2 5 2 2 4" xfId="26242"/>
    <cellStyle name="Comma 2 2 2 3 2 5 2 2 4 2" xfId="38235"/>
    <cellStyle name="Comma 2 2 2 3 2 5 2 3" xfId="4799"/>
    <cellStyle name="Comma 2 2 2 3 2 5 2 3 2" xfId="15963"/>
    <cellStyle name="Comma 2 2 2 3 2 5 2 3 2 2" xfId="18375"/>
    <cellStyle name="Comma 2 2 2 3 2 5 2 3 2 2 2" xfId="51295"/>
    <cellStyle name="Comma 2 2 2 3 2 5 2 3 2 2 2 2" xfId="53701"/>
    <cellStyle name="Comma 2 2 2 3 2 5 2 3 2 3" xfId="31876"/>
    <cellStyle name="Comma 2 2 2 3 2 5 2 3 3" xfId="29469"/>
    <cellStyle name="Comma 2 2 2 3 2 5 2 3 3 2" xfId="40237"/>
    <cellStyle name="Comma 2 2 2 3 2 5 2 4" xfId="10002"/>
    <cellStyle name="Comma 2 2 2 3 2 5 2 4 2" xfId="37777"/>
    <cellStyle name="Comma 2 2 2 3 2 5 2 4 2 2" xfId="45368"/>
    <cellStyle name="Comma 2 2 2 3 2 5 2 5" xfId="23491"/>
    <cellStyle name="Comma 2 2 2 3 2 5 3" xfId="4327"/>
    <cellStyle name="Comma 2 2 2 3 2 5 3 2" xfId="6004"/>
    <cellStyle name="Comma 2 2 2 3 2 5 3 2 2" xfId="17920"/>
    <cellStyle name="Comma 2 2 2 3 2 5 3 2 2 2" xfId="19570"/>
    <cellStyle name="Comma 2 2 2 3 2 5 3 2 2 2 2" xfId="53247"/>
    <cellStyle name="Comma 2 2 2 3 2 5 3 2 2 2 2 2" xfId="54896"/>
    <cellStyle name="Comma 2 2 2 3 2 5 3 2 2 3" xfId="33071"/>
    <cellStyle name="Comma 2 2 2 3 2 5 3 2 3" xfId="31422"/>
    <cellStyle name="Comma 2 2 2 3 2 5 3 2 3 2" xfId="41438"/>
    <cellStyle name="Comma 2 2 2 3 2 5 3 3" xfId="11229"/>
    <cellStyle name="Comma 2 2 2 3 2 5 3 3 2" xfId="39770"/>
    <cellStyle name="Comma 2 2 2 3 2 5 3 3 2 2" xfId="46586"/>
    <cellStyle name="Comma 2 2 2 3 2 5 3 4" xfId="24722"/>
    <cellStyle name="Comma 2 2 2 3 2 5 4" xfId="9523"/>
    <cellStyle name="Comma 2 2 2 3 2 5 4 2" xfId="14387"/>
    <cellStyle name="Comma 2 2 2 3 2 5 4 2 2" xfId="44905"/>
    <cellStyle name="Comma 2 2 2 3 2 5 4 2 2 2" xfId="49732"/>
    <cellStyle name="Comma 2 2 2 3 2 5 4 3" xfId="27898"/>
    <cellStyle name="Comma 2 2 2 3 2 5 5" xfId="23021"/>
    <cellStyle name="Comma 2 2 2 3 2 5 5 2" xfId="36199"/>
    <cellStyle name="Comma 2 2 2 3 2 6" xfId="1111"/>
    <cellStyle name="Comma 2 2 2 3 2 6 2" xfId="5538"/>
    <cellStyle name="Comma 2 2 2 3 2 6 2 2" xfId="6419"/>
    <cellStyle name="Comma 2 2 2 3 2 6 2 2 2" xfId="19111"/>
    <cellStyle name="Comma 2 2 2 3 2 6 2 2 2 2" xfId="19974"/>
    <cellStyle name="Comma 2 2 2 3 2 6 2 2 2 2 2" xfId="54437"/>
    <cellStyle name="Comma 2 2 2 3 2 6 2 2 2 2 2 2" xfId="55300"/>
    <cellStyle name="Comma 2 2 2 3 2 6 2 2 2 3" xfId="33476"/>
    <cellStyle name="Comma 2 2 2 3 2 6 2 2 3" xfId="32612"/>
    <cellStyle name="Comma 2 2 2 3 2 6 2 2 3 2" xfId="41847"/>
    <cellStyle name="Comma 2 2 2 3 2 6 2 3" xfId="11643"/>
    <cellStyle name="Comma 2 2 2 3 2 6 2 3 2" xfId="40975"/>
    <cellStyle name="Comma 2 2 2 3 2 6 2 3 2 2" xfId="46992"/>
    <cellStyle name="Comma 2 2 2 3 2 6 2 4" xfId="25129"/>
    <cellStyle name="Comma 2 2 2 3 2 6 3" xfId="10745"/>
    <cellStyle name="Comma 2 2 2 3 2 6 3 2" xfId="14802"/>
    <cellStyle name="Comma 2 2 2 3 2 6 3 2 2" xfId="46107"/>
    <cellStyle name="Comma 2 2 2 3 2 6 3 2 2 2" xfId="50141"/>
    <cellStyle name="Comma 2 2 2 3 2 6 3 3" xfId="28314"/>
    <cellStyle name="Comma 2 2 2 3 2 6 4" xfId="24232"/>
    <cellStyle name="Comma 2 2 2 3 2 6 4 2" xfId="36610"/>
    <cellStyle name="Comma 2 2 2 3 2 7" xfId="1791"/>
    <cellStyle name="Comma 2 2 2 3 2 7 2" xfId="13923"/>
    <cellStyle name="Comma 2 2 2 3 2 7 2 2" xfId="15463"/>
    <cellStyle name="Comma 2 2 2 3 2 7 2 2 2" xfId="49269"/>
    <cellStyle name="Comma 2 2 2 3 2 7 2 2 2 2" xfId="50796"/>
    <cellStyle name="Comma 2 2 2 3 2 7 2 3" xfId="28970"/>
    <cellStyle name="Comma 2 2 2 3 2 7 3" xfId="27409"/>
    <cellStyle name="Comma 2 2 2 3 2 7 3 2" xfId="37273"/>
    <cellStyle name="Comma 2 2 2 3 2 8" xfId="1872"/>
    <cellStyle name="Comma 2 2 2 3 2 8 2" xfId="22503"/>
    <cellStyle name="Comma 2 2 2 3 2 8 2 2" xfId="37353"/>
    <cellStyle name="Comma 2 2 2 3 2 9" xfId="3539"/>
    <cellStyle name="Comma 2 2 2 3 3" xfId="218"/>
    <cellStyle name="Comma 2 2 2 3 3 2" xfId="188"/>
    <cellStyle name="Comma 2 2 2 3 3 2 2" xfId="582"/>
    <cellStyle name="Comma 2 2 2 3 3 2 2 2" xfId="568"/>
    <cellStyle name="Comma 2 2 2 3 3 2 2 2 2" xfId="1378"/>
    <cellStyle name="Comma 2 2 2 3 3 2 2 2 2 2" xfId="1366"/>
    <cellStyle name="Comma 2 2 2 3 3 2 2 2 2 2 2" xfId="3396"/>
    <cellStyle name="Comma 2 2 2 3 3 2 2 2 2 2 2 2" xfId="3384"/>
    <cellStyle name="Comma 2 2 2 3 3 2 2 2 2 2 2 2 2" xfId="8611"/>
    <cellStyle name="Comma 2 2 2 3 3 2 2 2 2 2 2 2 2 2" xfId="8599"/>
    <cellStyle name="Comma 2 2 2 3 3 2 2 2 2 2 2 2 2 2 2" xfId="22163"/>
    <cellStyle name="Comma 2 2 2 3 3 2 2 2 2 2 2 2 2 2 2 2" xfId="22151"/>
    <cellStyle name="Comma 2 2 2 3 3 2 2 2 2 2 2 2 2 2 2 2 2" xfId="57489"/>
    <cellStyle name="Comma 2 2 2 3 3 2 2 2 2 2 2 2 2 2 2 2 2 2" xfId="57477"/>
    <cellStyle name="Comma 2 2 2 3 3 2 2 2 2 2 2 2 2 2 2 3" xfId="35654"/>
    <cellStyle name="Comma 2 2 2 3 3 2 2 2 2 2 2 2 2 2 3" xfId="35666"/>
    <cellStyle name="Comma 2 2 2 3 3 2 2 2 2 2 2 2 2 2 3 2" xfId="44026"/>
    <cellStyle name="Comma 2 2 2 3 3 2 2 2 2 2 2 2 2 3" xfId="13824"/>
    <cellStyle name="Comma 2 2 2 3 3 2 2 2 2 2 2 2 2 3 2" xfId="44038"/>
    <cellStyle name="Comma 2 2 2 3 3 2 2 2 2 2 2 2 2 3 2 2" xfId="49170"/>
    <cellStyle name="Comma 2 2 2 3 3 2 2 2 2 2 2 2 2 4" xfId="27309"/>
    <cellStyle name="Comma 2 2 2 3 3 2 2 2 2 2 2 2 3" xfId="13836"/>
    <cellStyle name="Comma 2 2 2 3 3 2 2 2 2 2 2 2 3 2" xfId="17041"/>
    <cellStyle name="Comma 2 2 2 3 3 2 2 2 2 2 2 2 3 2 2" xfId="49182"/>
    <cellStyle name="Comma 2 2 2 3 3 2 2 2 2 2 2 2 3 2 2 2" xfId="52369"/>
    <cellStyle name="Comma 2 2 2 3 3 2 2 2 2 2 2 2 3 3" xfId="30543"/>
    <cellStyle name="Comma 2 2 2 3 3 2 2 2 2 2 2 2 4" xfId="27321"/>
    <cellStyle name="Comma 2 2 2 3 3 2 2 2 2 2 2 2 4 2" xfId="38853"/>
    <cellStyle name="Comma 2 2 2 3 3 2 2 2 2 2 2 3" xfId="5421"/>
    <cellStyle name="Comma 2 2 2 3 3 2 2 2 2 2 2 3 2" xfId="17053"/>
    <cellStyle name="Comma 2 2 2 3 3 2 2 2 2 2 2 3 2 2" xfId="18994"/>
    <cellStyle name="Comma 2 2 2 3 3 2 2 2 2 2 2 3 2 2 2" xfId="52381"/>
    <cellStyle name="Comma 2 2 2 3 3 2 2 2 2 2 2 3 2 2 2 2" xfId="54320"/>
    <cellStyle name="Comma 2 2 2 3 3 2 2 2 2 2 2 3 2 3" xfId="32495"/>
    <cellStyle name="Comma 2 2 2 3 3 2 2 2 2 2 2 3 3" xfId="30555"/>
    <cellStyle name="Comma 2 2 2 3 3 2 2 2 2 2 2 3 3 2" xfId="40858"/>
    <cellStyle name="Comma 2 2 2 3 3 2 2 2 2 2 2 4" xfId="10624"/>
    <cellStyle name="Comma 2 2 2 3 3 2 2 2 2 2 2 4 2" xfId="38865"/>
    <cellStyle name="Comma 2 2 2 3 3 2 2 2 2 2 2 4 2 2" xfId="45987"/>
    <cellStyle name="Comma 2 2 2 3 3 2 2 2 2 2 2 5" xfId="24110"/>
    <cellStyle name="Comma 2 2 2 3 3 2 2 2 2 2 3" xfId="5433"/>
    <cellStyle name="Comma 2 2 2 3 3 2 2 2 2 2 3 2" xfId="6674"/>
    <cellStyle name="Comma 2 2 2 3 3 2 2 2 2 2 3 2 2" xfId="19006"/>
    <cellStyle name="Comma 2 2 2 3 3 2 2 2 2 2 3 2 2 2" xfId="20227"/>
    <cellStyle name="Comma 2 2 2 3 3 2 2 2 2 2 3 2 2 2 2" xfId="54332"/>
    <cellStyle name="Comma 2 2 2 3 3 2 2 2 2 2 3 2 2 2 2 2" xfId="55553"/>
    <cellStyle name="Comma 2 2 2 3 3 2 2 2 2 2 3 2 2 3" xfId="33729"/>
    <cellStyle name="Comma 2 2 2 3 3 2 2 2 2 2 3 2 3" xfId="32507"/>
    <cellStyle name="Comma 2 2 2 3 3 2 2 2 2 2 3 2 3 2" xfId="42102"/>
    <cellStyle name="Comma 2 2 2 3 3 2 2 2 2 2 3 3" xfId="11897"/>
    <cellStyle name="Comma 2 2 2 3 3 2 2 2 2 2 3 3 2" xfId="40870"/>
    <cellStyle name="Comma 2 2 2 3 3 2 2 2 2 2 3 3 2 2" xfId="47245"/>
    <cellStyle name="Comma 2 2 2 3 3 2 2 2 2 2 3 4" xfId="25382"/>
    <cellStyle name="Comma 2 2 2 3 3 2 2 2 2 2 4" xfId="10636"/>
    <cellStyle name="Comma 2 2 2 3 3 2 2 2 2 2 4 2" xfId="15055"/>
    <cellStyle name="Comma 2 2 2 3 3 2 2 2 2 2 4 2 2" xfId="45999"/>
    <cellStyle name="Comma 2 2 2 3 3 2 2 2 2 2 4 2 2 2" xfId="50394"/>
    <cellStyle name="Comma 2 2 2 3 3 2 2 2 2 2 4 3" xfId="28568"/>
    <cellStyle name="Comma 2 2 2 3 3 2 2 2 2 2 5" xfId="24122"/>
    <cellStyle name="Comma 2 2 2 3 3 2 2 2 2 2 5 2" xfId="36863"/>
    <cellStyle name="Comma 2 2 2 3 3 2 2 2 2 3" xfId="2173"/>
    <cellStyle name="Comma 2 2 2 3 3 2 2 2 2 3 2" xfId="6686"/>
    <cellStyle name="Comma 2 2 2 3 3 2 2 2 2 3 2 2" xfId="7407"/>
    <cellStyle name="Comma 2 2 2 3 3 2 2 2 2 3 2 2 2" xfId="20239"/>
    <cellStyle name="Comma 2 2 2 3 3 2 2 2 2 3 2 2 2 2" xfId="20959"/>
    <cellStyle name="Comma 2 2 2 3 3 2 2 2 2 3 2 2 2 2 2" xfId="55565"/>
    <cellStyle name="Comma 2 2 2 3 3 2 2 2 2 3 2 2 2 2 2 2" xfId="56285"/>
    <cellStyle name="Comma 2 2 2 3 3 2 2 2 2 3 2 2 2 3" xfId="34462"/>
    <cellStyle name="Comma 2 2 2 3 3 2 2 2 2 3 2 2 3" xfId="33741"/>
    <cellStyle name="Comma 2 2 2 3 3 2 2 2 2 3 2 2 3 2" xfId="42834"/>
    <cellStyle name="Comma 2 2 2 3 3 2 2 2 2 3 2 3" xfId="12632"/>
    <cellStyle name="Comma 2 2 2 3 3 2 2 2 2 3 2 3 2" xfId="42114"/>
    <cellStyle name="Comma 2 2 2 3 3 2 2 2 2 3 2 3 2 2" xfId="47978"/>
    <cellStyle name="Comma 2 2 2 3 3 2 2 2 2 3 2 4" xfId="26116"/>
    <cellStyle name="Comma 2 2 2 3 3 2 2 2 2 3 3" xfId="11909"/>
    <cellStyle name="Comma 2 2 2 3 3 2 2 2 2 3 3 2" xfId="15837"/>
    <cellStyle name="Comma 2 2 2 3 3 2 2 2 2 3 3 2 2" xfId="47257"/>
    <cellStyle name="Comma 2 2 2 3 3 2 2 2 2 3 3 2 2 2" xfId="51169"/>
    <cellStyle name="Comma 2 2 2 3 3 2 2 2 2 3 3 3" xfId="29343"/>
    <cellStyle name="Comma 2 2 2 3 3 2 2 2 2 3 4" xfId="25394"/>
    <cellStyle name="Comma 2 2 2 3 3 2 2 2 2 3 4 2" xfId="37651"/>
    <cellStyle name="Comma 2 2 2 3 3 2 2 2 2 4" xfId="4189"/>
    <cellStyle name="Comma 2 2 2 3 3 2 2 2 2 4 2" xfId="15067"/>
    <cellStyle name="Comma 2 2 2 3 3 2 2 2 2 4 2 2" xfId="17782"/>
    <cellStyle name="Comma 2 2 2 3 3 2 2 2 2 4 2 2 2" xfId="50406"/>
    <cellStyle name="Comma 2 2 2 3 3 2 2 2 2 4 2 2 2 2" xfId="53109"/>
    <cellStyle name="Comma 2 2 2 3 3 2 2 2 2 4 2 3" xfId="31284"/>
    <cellStyle name="Comma 2 2 2 3 3 2 2 2 2 4 3" xfId="28580"/>
    <cellStyle name="Comma 2 2 2 3 3 2 2 2 2 4 3 2" xfId="39632"/>
    <cellStyle name="Comma 2 2 2 3 3 2 2 2 2 5" xfId="9380"/>
    <cellStyle name="Comma 2 2 2 3 3 2 2 2 2 5 2" xfId="36875"/>
    <cellStyle name="Comma 2 2 2 3 3 2 2 2 2 5 2 2" xfId="44762"/>
    <cellStyle name="Comma 2 2 2 3 3 2 2 2 2 6" xfId="22876"/>
    <cellStyle name="Comma 2 2 2 3 3 2 2 2 3" xfId="2185"/>
    <cellStyle name="Comma 2 2 2 3 3 2 2 2 3 2" xfId="2659"/>
    <cellStyle name="Comma 2 2 2 3 3 2 2 2 3 2 2" xfId="7419"/>
    <cellStyle name="Comma 2 2 2 3 3 2 2 2 3 2 2 2" xfId="7878"/>
    <cellStyle name="Comma 2 2 2 3 3 2 2 2 3 2 2 2 2" xfId="20971"/>
    <cellStyle name="Comma 2 2 2 3 3 2 2 2 3 2 2 2 2 2" xfId="21430"/>
    <cellStyle name="Comma 2 2 2 3 3 2 2 2 3 2 2 2 2 2 2" xfId="56297"/>
    <cellStyle name="Comma 2 2 2 3 3 2 2 2 3 2 2 2 2 2 2 2" xfId="56756"/>
    <cellStyle name="Comma 2 2 2 3 3 2 2 2 3 2 2 2 2 3" xfId="34933"/>
    <cellStyle name="Comma 2 2 2 3 3 2 2 2 3 2 2 2 3" xfId="34474"/>
    <cellStyle name="Comma 2 2 2 3 3 2 2 2 3 2 2 2 3 2" xfId="43305"/>
    <cellStyle name="Comma 2 2 2 3 3 2 2 2 3 2 2 3" xfId="13103"/>
    <cellStyle name="Comma 2 2 2 3 3 2 2 2 3 2 2 3 2" xfId="42846"/>
    <cellStyle name="Comma 2 2 2 3 3 2 2 2 3 2 2 3 2 2" xfId="48449"/>
    <cellStyle name="Comma 2 2 2 3 3 2 2 2 3 2 2 4" xfId="26587"/>
    <cellStyle name="Comma 2 2 2 3 3 2 2 2 3 2 3" xfId="12644"/>
    <cellStyle name="Comma 2 2 2 3 3 2 2 2 3 2 3 2" xfId="16318"/>
    <cellStyle name="Comma 2 2 2 3 3 2 2 2 3 2 3 2 2" xfId="47990"/>
    <cellStyle name="Comma 2 2 2 3 3 2 2 2 3 2 3 2 2 2" xfId="51648"/>
    <cellStyle name="Comma 2 2 2 3 3 2 2 2 3 2 3 3" xfId="29822"/>
    <cellStyle name="Comma 2 2 2 3 3 2 2 2 3 2 4" xfId="26128"/>
    <cellStyle name="Comma 2 2 2 3 3 2 2 2 3 2 4 2" xfId="38132"/>
    <cellStyle name="Comma 2 2 2 3 3 2 2 2 3 3" xfId="4694"/>
    <cellStyle name="Comma 2 2 2 3 3 2 2 2 3 3 2" xfId="15849"/>
    <cellStyle name="Comma 2 2 2 3 3 2 2 2 3 3 2 2" xfId="18272"/>
    <cellStyle name="Comma 2 2 2 3 3 2 2 2 3 3 2 2 2" xfId="51181"/>
    <cellStyle name="Comma 2 2 2 3 3 2 2 2 3 3 2 2 2 2" xfId="53598"/>
    <cellStyle name="Comma 2 2 2 3 3 2 2 2 3 3 2 3" xfId="31773"/>
    <cellStyle name="Comma 2 2 2 3 3 2 2 2 3 3 3" xfId="29355"/>
    <cellStyle name="Comma 2 2 2 3 3 2 2 2 3 3 3 2" xfId="40133"/>
    <cellStyle name="Comma 2 2 2 3 3 2 2 2 3 4" xfId="9897"/>
    <cellStyle name="Comma 2 2 2 3 3 2 2 2 3 4 2" xfId="37663"/>
    <cellStyle name="Comma 2 2 2 3 3 2 2 2 3 4 2 2" xfId="45265"/>
    <cellStyle name="Comma 2 2 2 3 3 2 2 2 3 5" xfId="23388"/>
    <cellStyle name="Comma 2 2 2 3 3 2 2 2 4" xfId="4201"/>
    <cellStyle name="Comma 2 2 2 3 3 2 2 2 4 2" xfId="5900"/>
    <cellStyle name="Comma 2 2 2 3 3 2 2 2 4 2 2" xfId="17794"/>
    <cellStyle name="Comma 2 2 2 3 3 2 2 2 4 2 2 2" xfId="19467"/>
    <cellStyle name="Comma 2 2 2 3 3 2 2 2 4 2 2 2 2" xfId="53121"/>
    <cellStyle name="Comma 2 2 2 3 3 2 2 2 4 2 2 2 2 2" xfId="54793"/>
    <cellStyle name="Comma 2 2 2 3 3 2 2 2 4 2 2 3" xfId="32968"/>
    <cellStyle name="Comma 2 2 2 3 3 2 2 2 4 2 3" xfId="31296"/>
    <cellStyle name="Comma 2 2 2 3 3 2 2 2 4 2 3 2" xfId="41334"/>
    <cellStyle name="Comma 2 2 2 3 3 2 2 2 4 3" xfId="11125"/>
    <cellStyle name="Comma 2 2 2 3 3 2 2 2 4 3 2" xfId="39644"/>
    <cellStyle name="Comma 2 2 2 3 3 2 2 2 4 3 2 2" xfId="46483"/>
    <cellStyle name="Comma 2 2 2 3 3 2 2 2 4 4" xfId="24617"/>
    <cellStyle name="Comma 2 2 2 3 3 2 2 2 5" xfId="9392"/>
    <cellStyle name="Comma 2 2 2 3 3 2 2 2 5 2" xfId="14284"/>
    <cellStyle name="Comma 2 2 2 3 3 2 2 2 5 2 2" xfId="44774"/>
    <cellStyle name="Comma 2 2 2 3 3 2 2 2 5 2 2 2" xfId="49629"/>
    <cellStyle name="Comma 2 2 2 3 3 2 2 2 5 3" xfId="27793"/>
    <cellStyle name="Comma 2 2 2 3 3 2 2 2 6" xfId="22888"/>
    <cellStyle name="Comma 2 2 2 3 3 2 2 2 6 2" xfId="36096"/>
    <cellStyle name="Comma 2 2 2 3 3 2 2 3" xfId="896"/>
    <cellStyle name="Comma 2 2 2 3 3 2 2 3 2" xfId="2672"/>
    <cellStyle name="Comma 2 2 2 3 3 2 2 3 2 2" xfId="2936"/>
    <cellStyle name="Comma 2 2 2 3 3 2 2 3 2 2 2" xfId="7891"/>
    <cellStyle name="Comma 2 2 2 3 3 2 2 3 2 2 2 2" xfId="8151"/>
    <cellStyle name="Comma 2 2 2 3 3 2 2 3 2 2 2 2 2" xfId="21443"/>
    <cellStyle name="Comma 2 2 2 3 3 2 2 3 2 2 2 2 2 2" xfId="21703"/>
    <cellStyle name="Comma 2 2 2 3 3 2 2 3 2 2 2 2 2 2 2" xfId="56769"/>
    <cellStyle name="Comma 2 2 2 3 3 2 2 3 2 2 2 2 2 2 2 2" xfId="57029"/>
    <cellStyle name="Comma 2 2 2 3 3 2 2 3 2 2 2 2 2 3" xfId="35206"/>
    <cellStyle name="Comma 2 2 2 3 3 2 2 3 2 2 2 2 3" xfId="34946"/>
    <cellStyle name="Comma 2 2 2 3 3 2 2 3 2 2 2 2 3 2" xfId="43578"/>
    <cellStyle name="Comma 2 2 2 3 3 2 2 3 2 2 2 3" xfId="13376"/>
    <cellStyle name="Comma 2 2 2 3 3 2 2 3 2 2 2 3 2" xfId="43318"/>
    <cellStyle name="Comma 2 2 2 3 3 2 2 3 2 2 2 3 2 2" xfId="48722"/>
    <cellStyle name="Comma 2 2 2 3 3 2 2 3 2 2 2 4" xfId="26861"/>
    <cellStyle name="Comma 2 2 2 3 3 2 2 3 2 2 3" xfId="13116"/>
    <cellStyle name="Comma 2 2 2 3 3 2 2 3 2 2 3 2" xfId="16593"/>
    <cellStyle name="Comma 2 2 2 3 3 2 2 3 2 2 3 2 2" xfId="48462"/>
    <cellStyle name="Comma 2 2 2 3 3 2 2 3 2 2 3 2 2 2" xfId="51921"/>
    <cellStyle name="Comma 2 2 2 3 3 2 2 3 2 2 3 3" xfId="30095"/>
    <cellStyle name="Comma 2 2 2 3 3 2 2 3 2 2 4" xfId="26600"/>
    <cellStyle name="Comma 2 2 2 3 3 2 2 3 2 2 4 2" xfId="38405"/>
    <cellStyle name="Comma 2 2 2 3 3 2 2 3 2 3" xfId="4972"/>
    <cellStyle name="Comma 2 2 2 3 3 2 2 3 2 3 2" xfId="16331"/>
    <cellStyle name="Comma 2 2 2 3 3 2 2 3 2 3 2 2" xfId="18545"/>
    <cellStyle name="Comma 2 2 2 3 3 2 2 3 2 3 2 2 2" xfId="51661"/>
    <cellStyle name="Comma 2 2 2 3 3 2 2 3 2 3 2 2 2 2" xfId="53871"/>
    <cellStyle name="Comma 2 2 2 3 3 2 2 3 2 3 2 3" xfId="32046"/>
    <cellStyle name="Comma 2 2 2 3 3 2 2 3 2 3 3" xfId="29835"/>
    <cellStyle name="Comma 2 2 2 3 3 2 2 3 2 3 3 2" xfId="40409"/>
    <cellStyle name="Comma 2 2 2 3 3 2 2 3 2 4" xfId="10175"/>
    <cellStyle name="Comma 2 2 2 3 3 2 2 3 2 4 2" xfId="38145"/>
    <cellStyle name="Comma 2 2 2 3 3 2 2 3 2 4 2 2" xfId="45538"/>
    <cellStyle name="Comma 2 2 2 3 3 2 2 3 2 5" xfId="23661"/>
    <cellStyle name="Comma 2 2 2 3 3 2 2 3 3" xfId="4708"/>
    <cellStyle name="Comma 2 2 2 3 3 2 2 3 3 2" xfId="6207"/>
    <cellStyle name="Comma 2 2 2 3 3 2 2 3 3 2 2" xfId="18285"/>
    <cellStyle name="Comma 2 2 2 3 3 2 2 3 3 2 2 2" xfId="19766"/>
    <cellStyle name="Comma 2 2 2 3 3 2 2 3 3 2 2 2 2" xfId="53611"/>
    <cellStyle name="Comma 2 2 2 3 3 2 2 3 3 2 2 2 2 2" xfId="55092"/>
    <cellStyle name="Comma 2 2 2 3 3 2 2 3 3 2 2 3" xfId="33268"/>
    <cellStyle name="Comma 2 2 2 3 3 2 2 3 3 2 3" xfId="31786"/>
    <cellStyle name="Comma 2 2 2 3 3 2 2 3 3 2 3 2" xfId="41637"/>
    <cellStyle name="Comma 2 2 2 3 3 2 2 3 3 3" xfId="11432"/>
    <cellStyle name="Comma 2 2 2 3 3 2 2 3 3 3 2" xfId="40146"/>
    <cellStyle name="Comma 2 2 2 3 3 2 2 3 3 3 2 2" xfId="46783"/>
    <cellStyle name="Comma 2 2 2 3 3 2 2 3 3 4" xfId="24920"/>
    <cellStyle name="Comma 2 2 2 3 3 2 2 3 4" xfId="9911"/>
    <cellStyle name="Comma 2 2 2 3 3 2 2 3 4 2" xfId="14592"/>
    <cellStyle name="Comma 2 2 2 3 3 2 2 3 4 2 2" xfId="45278"/>
    <cellStyle name="Comma 2 2 2 3 3 2 2 3 4 2 2 2" xfId="49931"/>
    <cellStyle name="Comma 2 2 2 3 3 2 2 3 4 3" xfId="28102"/>
    <cellStyle name="Comma 2 2 2 3 3 2 2 3 5" xfId="23401"/>
    <cellStyle name="Comma 2 2 2 3 3 2 2 3 5 2" xfId="36400"/>
    <cellStyle name="Comma 2 2 2 3 3 2 2 4" xfId="1692"/>
    <cellStyle name="Comma 2 2 2 3 3 2 2 4 2" xfId="5913"/>
    <cellStyle name="Comma 2 2 2 3 3 2 2 4 2 2" xfId="6947"/>
    <cellStyle name="Comma 2 2 2 3 3 2 2 4 2 2 2" xfId="19480"/>
    <cellStyle name="Comma 2 2 2 3 3 2 2 4 2 2 2 2" xfId="20500"/>
    <cellStyle name="Comma 2 2 2 3 3 2 2 4 2 2 2 2 2" xfId="54806"/>
    <cellStyle name="Comma 2 2 2 3 3 2 2 4 2 2 2 2 2 2" xfId="55826"/>
    <cellStyle name="Comma 2 2 2 3 3 2 2 4 2 2 2 3" xfId="34002"/>
    <cellStyle name="Comma 2 2 2 3 3 2 2 4 2 2 3" xfId="32981"/>
    <cellStyle name="Comma 2 2 2 3 3 2 2 4 2 2 3 2" xfId="42375"/>
    <cellStyle name="Comma 2 2 2 3 3 2 2 4 2 3" xfId="12171"/>
    <cellStyle name="Comma 2 2 2 3 3 2 2 4 2 3 2" xfId="41347"/>
    <cellStyle name="Comma 2 2 2 3 3 2 2 4 2 3 2 2" xfId="47518"/>
    <cellStyle name="Comma 2 2 2 3 3 2 2 4 2 4" xfId="25656"/>
    <cellStyle name="Comma 2 2 2 3 3 2 2 4 3" xfId="11138"/>
    <cellStyle name="Comma 2 2 2 3 3 2 2 4 3 2" xfId="15364"/>
    <cellStyle name="Comma 2 2 2 3 3 2 2 4 3 2 2" xfId="46496"/>
    <cellStyle name="Comma 2 2 2 3 3 2 2 4 3 2 2 2" xfId="50698"/>
    <cellStyle name="Comma 2 2 2 3 3 2 2 4 3 3" xfId="28872"/>
    <cellStyle name="Comma 2 2 2 3 3 2 2 4 4" xfId="24631"/>
    <cellStyle name="Comma 2 2 2 3 3 2 2 4 4 2" xfId="37175"/>
    <cellStyle name="Comma 2 2 2 3 3 2 2 5" xfId="3697"/>
    <cellStyle name="Comma 2 2 2 3 3 2 2 5 2" xfId="14297"/>
    <cellStyle name="Comma 2 2 2 3 3 2 2 5 2 2" xfId="17315"/>
    <cellStyle name="Comma 2 2 2 3 3 2 2 5 2 2 2" xfId="49642"/>
    <cellStyle name="Comma 2 2 2 3 3 2 2 5 2 2 2 2" xfId="52642"/>
    <cellStyle name="Comma 2 2 2 3 3 2 2 5 2 3" xfId="30816"/>
    <cellStyle name="Comma 2 2 2 3 3 2 2 5 3" xfId="27807"/>
    <cellStyle name="Comma 2 2 2 3 3 2 2 5 3 2" xfId="39148"/>
    <cellStyle name="Comma 2 2 2 3 3 2 2 6" xfId="8886"/>
    <cellStyle name="Comma 2 2 2 3 3 2 2 6 2" xfId="36109"/>
    <cellStyle name="Comma 2 2 2 3 3 2 2 6 2 2" xfId="44287"/>
    <cellStyle name="Comma 2 2 2 3 3 2 2 7" xfId="22395"/>
    <cellStyle name="Comma 2 2 2 3 3 2 3" xfId="910"/>
    <cellStyle name="Comma 2 2 2 3 3 2 3 2" xfId="1065"/>
    <cellStyle name="Comma 2 2 2 3 3 2 3 2 2" xfId="2948"/>
    <cellStyle name="Comma 2 2 2 3 3 2 3 2 2 2" xfId="3100"/>
    <cellStyle name="Comma 2 2 2 3 3 2 3 2 2 2 2" xfId="8163"/>
    <cellStyle name="Comma 2 2 2 3 3 2 3 2 2 2 2 2" xfId="8315"/>
    <cellStyle name="Comma 2 2 2 3 3 2 3 2 2 2 2 2 2" xfId="21715"/>
    <cellStyle name="Comma 2 2 2 3 3 2 3 2 2 2 2 2 2 2" xfId="21867"/>
    <cellStyle name="Comma 2 2 2 3 3 2 3 2 2 2 2 2 2 2 2" xfId="57041"/>
    <cellStyle name="Comma 2 2 2 3 3 2 3 2 2 2 2 2 2 2 2 2" xfId="57193"/>
    <cellStyle name="Comma 2 2 2 3 3 2 3 2 2 2 2 2 2 3" xfId="35370"/>
    <cellStyle name="Comma 2 2 2 3 3 2 3 2 2 2 2 2 3" xfId="35218"/>
    <cellStyle name="Comma 2 2 2 3 3 2 3 2 2 2 2 2 3 2" xfId="43742"/>
    <cellStyle name="Comma 2 2 2 3 3 2 3 2 2 2 2 3" xfId="13540"/>
    <cellStyle name="Comma 2 2 2 3 3 2 3 2 2 2 2 3 2" xfId="43590"/>
    <cellStyle name="Comma 2 2 2 3 3 2 3 2 2 2 2 3 2 2" xfId="48886"/>
    <cellStyle name="Comma 2 2 2 3 3 2 3 2 2 2 2 4" xfId="27025"/>
    <cellStyle name="Comma 2 2 2 3 3 2 3 2 2 2 3" xfId="13388"/>
    <cellStyle name="Comma 2 2 2 3 3 2 3 2 2 2 3 2" xfId="16757"/>
    <cellStyle name="Comma 2 2 2 3 3 2 3 2 2 2 3 2 2" xfId="48734"/>
    <cellStyle name="Comma 2 2 2 3 3 2 3 2 2 2 3 2 2 2" xfId="52085"/>
    <cellStyle name="Comma 2 2 2 3 3 2 3 2 2 2 3 3" xfId="30259"/>
    <cellStyle name="Comma 2 2 2 3 3 2 3 2 2 2 4" xfId="26873"/>
    <cellStyle name="Comma 2 2 2 3 3 2 3 2 2 2 4 2" xfId="38569"/>
    <cellStyle name="Comma 2 2 2 3 3 2 3 2 2 3" xfId="5137"/>
    <cellStyle name="Comma 2 2 2 3 3 2 3 2 2 3 2" xfId="16605"/>
    <cellStyle name="Comma 2 2 2 3 3 2 3 2 2 3 2 2" xfId="18710"/>
    <cellStyle name="Comma 2 2 2 3 3 2 3 2 2 3 2 2 2" xfId="51933"/>
    <cellStyle name="Comma 2 2 2 3 3 2 3 2 2 3 2 2 2 2" xfId="54036"/>
    <cellStyle name="Comma 2 2 2 3 3 2 3 2 2 3 2 3" xfId="32211"/>
    <cellStyle name="Comma 2 2 2 3 3 2 3 2 2 3 3" xfId="30107"/>
    <cellStyle name="Comma 2 2 2 3 3 2 3 2 2 3 3 2" xfId="40574"/>
    <cellStyle name="Comma 2 2 2 3 3 2 3 2 2 4" xfId="10340"/>
    <cellStyle name="Comma 2 2 2 3 3 2 3 2 2 4 2" xfId="38417"/>
    <cellStyle name="Comma 2 2 2 3 3 2 3 2 2 4 2 2" xfId="45703"/>
    <cellStyle name="Comma 2 2 2 3 3 2 3 2 2 5" xfId="23826"/>
    <cellStyle name="Comma 2 2 2 3 3 2 3 2 3" xfId="4984"/>
    <cellStyle name="Comma 2 2 2 3 3 2 3 2 3 2" xfId="6375"/>
    <cellStyle name="Comma 2 2 2 3 3 2 3 2 3 2 2" xfId="18557"/>
    <cellStyle name="Comma 2 2 2 3 3 2 3 2 3 2 2 2" xfId="19931"/>
    <cellStyle name="Comma 2 2 2 3 3 2 3 2 3 2 2 2 2" xfId="53883"/>
    <cellStyle name="Comma 2 2 2 3 3 2 3 2 3 2 2 2 2 2" xfId="55257"/>
    <cellStyle name="Comma 2 2 2 3 3 2 3 2 3 2 2 3" xfId="33433"/>
    <cellStyle name="Comma 2 2 2 3 3 2 3 2 3 2 3" xfId="32058"/>
    <cellStyle name="Comma 2 2 2 3 3 2 3 2 3 2 3 2" xfId="41804"/>
    <cellStyle name="Comma 2 2 2 3 3 2 3 2 3 3" xfId="11600"/>
    <cellStyle name="Comma 2 2 2 3 3 2 3 2 3 3 2" xfId="40421"/>
    <cellStyle name="Comma 2 2 2 3 3 2 3 2 3 3 2 2" xfId="46949"/>
    <cellStyle name="Comma 2 2 2 3 3 2 3 2 3 4" xfId="25086"/>
    <cellStyle name="Comma 2 2 2 3 3 2 3 2 4" xfId="10187"/>
    <cellStyle name="Comma 2 2 2 3 3 2 3 2 4 2" xfId="14757"/>
    <cellStyle name="Comma 2 2 2 3 3 2 3 2 4 2 2" xfId="45550"/>
    <cellStyle name="Comma 2 2 2 3 3 2 3 2 4 2 2 2" xfId="50096"/>
    <cellStyle name="Comma 2 2 2 3 3 2 3 2 4 3" xfId="28269"/>
    <cellStyle name="Comma 2 2 2 3 3 2 3 2 5" xfId="23673"/>
    <cellStyle name="Comma 2 2 2 3 3 2 3 2 5 2" xfId="36565"/>
    <cellStyle name="Comma 2 2 2 3 3 2 3 3" xfId="1873"/>
    <cellStyle name="Comma 2 2 2 3 3 2 3 3 2" xfId="6221"/>
    <cellStyle name="Comma 2 2 2 3 3 2 3 3 2 2" xfId="7122"/>
    <cellStyle name="Comma 2 2 2 3 3 2 3 3 2 2 2" xfId="19778"/>
    <cellStyle name="Comma 2 2 2 3 3 2 3 3 2 2 2 2" xfId="20674"/>
    <cellStyle name="Comma 2 2 2 3 3 2 3 3 2 2 2 2 2" xfId="55104"/>
    <cellStyle name="Comma 2 2 2 3 3 2 3 3 2 2 2 2 2 2" xfId="56000"/>
    <cellStyle name="Comma 2 2 2 3 3 2 3 3 2 2 2 3" xfId="34177"/>
    <cellStyle name="Comma 2 2 2 3 3 2 3 3 2 2 3" xfId="33280"/>
    <cellStyle name="Comma 2 2 2 3 3 2 3 3 2 2 3 2" xfId="42549"/>
    <cellStyle name="Comma 2 2 2 3 3 2 3 3 2 3" xfId="12347"/>
    <cellStyle name="Comma 2 2 2 3 3 2 3 3 2 3 2" xfId="41650"/>
    <cellStyle name="Comma 2 2 2 3 3 2 3 3 2 3 2 2" xfId="47693"/>
    <cellStyle name="Comma 2 2 2 3 3 2 3 3 2 4" xfId="25831"/>
    <cellStyle name="Comma 2 2 2 3 3 2 3 3 3" xfId="11446"/>
    <cellStyle name="Comma 2 2 2 3 3 2 3 3 3 2" xfId="15543"/>
    <cellStyle name="Comma 2 2 2 3 3 2 3 3 3 2 2" xfId="46795"/>
    <cellStyle name="Comma 2 2 2 3 3 2 3 3 3 2 2 2" xfId="50875"/>
    <cellStyle name="Comma 2 2 2 3 3 2 3 3 3 3" xfId="29049"/>
    <cellStyle name="Comma 2 2 2 3 3 2 3 3 4" xfId="24932"/>
    <cellStyle name="Comma 2 2 2 3 3 2 3 3 4 2" xfId="37354"/>
    <cellStyle name="Comma 2 2 2 3 3 2 3 4" xfId="3887"/>
    <cellStyle name="Comma 2 2 2 3 3 2 3 4 2" xfId="14604"/>
    <cellStyle name="Comma 2 2 2 3 3 2 3 4 2 2" xfId="17497"/>
    <cellStyle name="Comma 2 2 2 3 3 2 3 4 2 2 2" xfId="49943"/>
    <cellStyle name="Comma 2 2 2 3 3 2 3 4 2 2 2 2" xfId="52824"/>
    <cellStyle name="Comma 2 2 2 3 3 2 3 4 2 3" xfId="30999"/>
    <cellStyle name="Comma 2 2 2 3 3 2 3 4 3" xfId="28115"/>
    <cellStyle name="Comma 2 2 2 3 3 2 3 4 3 2" xfId="39335"/>
    <cellStyle name="Comma 2 2 2 3 3 2 3 5" xfId="9080"/>
    <cellStyle name="Comma 2 2 2 3 3 2 3 5 2" xfId="36412"/>
    <cellStyle name="Comma 2 2 2 3 3 2 3 5 2 2" xfId="44476"/>
    <cellStyle name="Comma 2 2 2 3 3 2 3 6" xfId="22588"/>
    <cellStyle name="Comma 2 2 2 3 3 2 4" xfId="1706"/>
    <cellStyle name="Comma 2 2 2 3 3 2 4 2" xfId="2327"/>
    <cellStyle name="Comma 2 2 2 3 3 2 4 2 2" xfId="6959"/>
    <cellStyle name="Comma 2 2 2 3 3 2 4 2 2 2" xfId="7561"/>
    <cellStyle name="Comma 2 2 2 3 3 2 4 2 2 2 2" xfId="20512"/>
    <cellStyle name="Comma 2 2 2 3 3 2 4 2 2 2 2 2" xfId="21113"/>
    <cellStyle name="Comma 2 2 2 3 3 2 4 2 2 2 2 2 2" xfId="55838"/>
    <cellStyle name="Comma 2 2 2 3 3 2 4 2 2 2 2 2 2 2" xfId="56439"/>
    <cellStyle name="Comma 2 2 2 3 3 2 4 2 2 2 2 3" xfId="34616"/>
    <cellStyle name="Comma 2 2 2 3 3 2 4 2 2 2 3" xfId="34014"/>
    <cellStyle name="Comma 2 2 2 3 3 2 4 2 2 2 3 2" xfId="42988"/>
    <cellStyle name="Comma 2 2 2 3 3 2 4 2 2 3" xfId="12786"/>
    <cellStyle name="Comma 2 2 2 3 3 2 4 2 2 3 2" xfId="42387"/>
    <cellStyle name="Comma 2 2 2 3 3 2 4 2 2 3 2 2" xfId="48132"/>
    <cellStyle name="Comma 2 2 2 3 3 2 4 2 2 4" xfId="26270"/>
    <cellStyle name="Comma 2 2 2 3 3 2 4 2 3" xfId="12183"/>
    <cellStyle name="Comma 2 2 2 3 3 2 4 2 3 2" xfId="15991"/>
    <cellStyle name="Comma 2 2 2 3 3 2 4 2 3 2 2" xfId="47530"/>
    <cellStyle name="Comma 2 2 2 3 3 2 4 2 3 2 2 2" xfId="51323"/>
    <cellStyle name="Comma 2 2 2 3 3 2 4 2 3 3" xfId="29497"/>
    <cellStyle name="Comma 2 2 2 3 3 2 4 2 4" xfId="25668"/>
    <cellStyle name="Comma 2 2 2 3 3 2 4 2 4 2" xfId="37805"/>
    <cellStyle name="Comma 2 2 2 3 3 2 4 3" xfId="4356"/>
    <cellStyle name="Comma 2 2 2 3 3 2 4 3 2" xfId="15378"/>
    <cellStyle name="Comma 2 2 2 3 3 2 4 3 2 2" xfId="17949"/>
    <cellStyle name="Comma 2 2 2 3 3 2 4 3 2 2 2" xfId="50711"/>
    <cellStyle name="Comma 2 2 2 3 3 2 4 3 2 2 2 2" xfId="53276"/>
    <cellStyle name="Comma 2 2 2 3 3 2 4 3 2 3" xfId="31451"/>
    <cellStyle name="Comma 2 2 2 3 3 2 4 3 3" xfId="28885"/>
    <cellStyle name="Comma 2 2 2 3 3 2 4 3 3 2" xfId="39799"/>
    <cellStyle name="Comma 2 2 2 3 3 2 4 4" xfId="9556"/>
    <cellStyle name="Comma 2 2 2 3 3 2 4 4 2" xfId="37188"/>
    <cellStyle name="Comma 2 2 2 3 3 2 4 4 2 2" xfId="44938"/>
    <cellStyle name="Comma 2 2 2 3 3 2 4 5" xfId="23057"/>
    <cellStyle name="Comma 2 2 2 3 3 2 5" xfId="3711"/>
    <cellStyle name="Comma 2 2 2 3 3 2 5 2" xfId="5567"/>
    <cellStyle name="Comma 2 2 2 3 3 2 5 2 2" xfId="17327"/>
    <cellStyle name="Comma 2 2 2 3 3 2 5 2 2 2" xfId="19140"/>
    <cellStyle name="Comma 2 2 2 3 3 2 5 2 2 2 2" xfId="52654"/>
    <cellStyle name="Comma 2 2 2 3 3 2 5 2 2 2 2 2" xfId="54466"/>
    <cellStyle name="Comma 2 2 2 3 3 2 5 2 2 3" xfId="32641"/>
    <cellStyle name="Comma 2 2 2 3 3 2 5 2 3" xfId="30828"/>
    <cellStyle name="Comma 2 2 2 3 3 2 5 2 3 2" xfId="41004"/>
    <cellStyle name="Comma 2 2 2 3 3 2 5 3" xfId="10777"/>
    <cellStyle name="Comma 2 2 2 3 3 2 5 3 2" xfId="39162"/>
    <cellStyle name="Comma 2 2 2 3 3 2 5 3 2 2" xfId="46139"/>
    <cellStyle name="Comma 2 2 2 3 3 2 5 4" xfId="24265"/>
    <cellStyle name="Comma 2 2 2 3 3 2 6" xfId="8900"/>
    <cellStyle name="Comma 2 2 2 3 3 2 6 2" xfId="13952"/>
    <cellStyle name="Comma 2 2 2 3 3 2 6 2 2" xfId="44299"/>
    <cellStyle name="Comma 2 2 2 3 3 2 6 2 2 2" xfId="49298"/>
    <cellStyle name="Comma 2 2 2 3 3 2 6 3" xfId="27442"/>
    <cellStyle name="Comma 2 2 2 3 3 2 7" xfId="22407"/>
    <cellStyle name="Comma 2 2 2 3 3 2 7 2" xfId="35764"/>
    <cellStyle name="Comma 2 2 2 3 3 3" xfId="199"/>
    <cellStyle name="Comma 2 2 2 3 3 3 2" xfId="1091"/>
    <cellStyle name="Comma 2 2 2 3 3 3 2 2" xfId="1073"/>
    <cellStyle name="Comma 2 2 2 3 3 3 2 2 2" xfId="3121"/>
    <cellStyle name="Comma 2 2 2 3 3 3 2 2 2 2" xfId="3108"/>
    <cellStyle name="Comma 2 2 2 3 3 3 2 2 2 2 2" xfId="8336"/>
    <cellStyle name="Comma 2 2 2 3 3 3 2 2 2 2 2 2" xfId="8323"/>
    <cellStyle name="Comma 2 2 2 3 3 3 2 2 2 2 2 2 2" xfId="21888"/>
    <cellStyle name="Comma 2 2 2 3 3 3 2 2 2 2 2 2 2 2" xfId="21875"/>
    <cellStyle name="Comma 2 2 2 3 3 3 2 2 2 2 2 2 2 2 2" xfId="57214"/>
    <cellStyle name="Comma 2 2 2 3 3 3 2 2 2 2 2 2 2 2 2 2" xfId="57201"/>
    <cellStyle name="Comma 2 2 2 3 3 3 2 2 2 2 2 2 2 3" xfId="35378"/>
    <cellStyle name="Comma 2 2 2 3 3 3 2 2 2 2 2 2 3" xfId="35391"/>
    <cellStyle name="Comma 2 2 2 3 3 3 2 2 2 2 2 2 3 2" xfId="43750"/>
    <cellStyle name="Comma 2 2 2 3 3 3 2 2 2 2 2 3" xfId="13548"/>
    <cellStyle name="Comma 2 2 2 3 3 3 2 2 2 2 2 3 2" xfId="43763"/>
    <cellStyle name="Comma 2 2 2 3 3 3 2 2 2 2 2 3 2 2" xfId="48894"/>
    <cellStyle name="Comma 2 2 2 3 3 3 2 2 2 2 2 4" xfId="27033"/>
    <cellStyle name="Comma 2 2 2 3 3 3 2 2 2 2 3" xfId="13561"/>
    <cellStyle name="Comma 2 2 2 3 3 3 2 2 2 2 3 2" xfId="16765"/>
    <cellStyle name="Comma 2 2 2 3 3 3 2 2 2 2 3 2 2" xfId="48907"/>
    <cellStyle name="Comma 2 2 2 3 3 3 2 2 2 2 3 2 2 2" xfId="52093"/>
    <cellStyle name="Comma 2 2 2 3 3 3 2 2 2 2 3 3" xfId="30267"/>
    <cellStyle name="Comma 2 2 2 3 3 3 2 2 2 2 4" xfId="27046"/>
    <cellStyle name="Comma 2 2 2 3 3 3 2 2 2 2 4 2" xfId="38577"/>
    <cellStyle name="Comma 2 2 2 3 3 3 2 2 2 3" xfId="5145"/>
    <cellStyle name="Comma 2 2 2 3 3 3 2 2 2 3 2" xfId="16778"/>
    <cellStyle name="Comma 2 2 2 3 3 3 2 2 2 3 2 2" xfId="18718"/>
    <cellStyle name="Comma 2 2 2 3 3 3 2 2 2 3 2 2 2" xfId="52106"/>
    <cellStyle name="Comma 2 2 2 3 3 3 2 2 2 3 2 2 2 2" xfId="54044"/>
    <cellStyle name="Comma 2 2 2 3 3 3 2 2 2 3 2 3" xfId="32219"/>
    <cellStyle name="Comma 2 2 2 3 3 3 2 2 2 3 3" xfId="30280"/>
    <cellStyle name="Comma 2 2 2 3 3 3 2 2 2 3 3 2" xfId="40582"/>
    <cellStyle name="Comma 2 2 2 3 3 3 2 2 2 4" xfId="10348"/>
    <cellStyle name="Comma 2 2 2 3 3 3 2 2 2 4 2" xfId="38590"/>
    <cellStyle name="Comma 2 2 2 3 3 3 2 2 2 4 2 2" xfId="45711"/>
    <cellStyle name="Comma 2 2 2 3 3 3 2 2 2 5" xfId="23834"/>
    <cellStyle name="Comma 2 2 2 3 3 3 2 2 3" xfId="5158"/>
    <cellStyle name="Comma 2 2 2 3 3 3 2 2 3 2" xfId="6383"/>
    <cellStyle name="Comma 2 2 2 3 3 3 2 2 3 2 2" xfId="18731"/>
    <cellStyle name="Comma 2 2 2 3 3 3 2 2 3 2 2 2" xfId="19939"/>
    <cellStyle name="Comma 2 2 2 3 3 3 2 2 3 2 2 2 2" xfId="54057"/>
    <cellStyle name="Comma 2 2 2 3 3 3 2 2 3 2 2 2 2 2" xfId="55265"/>
    <cellStyle name="Comma 2 2 2 3 3 3 2 2 3 2 2 3" xfId="33441"/>
    <cellStyle name="Comma 2 2 2 3 3 3 2 2 3 2 3" xfId="32232"/>
    <cellStyle name="Comma 2 2 2 3 3 3 2 2 3 2 3 2" xfId="41812"/>
    <cellStyle name="Comma 2 2 2 3 3 3 2 2 3 3" xfId="11608"/>
    <cellStyle name="Comma 2 2 2 3 3 3 2 2 3 3 2" xfId="40595"/>
    <cellStyle name="Comma 2 2 2 3 3 3 2 2 3 3 2 2" xfId="46957"/>
    <cellStyle name="Comma 2 2 2 3 3 3 2 2 3 4" xfId="25094"/>
    <cellStyle name="Comma 2 2 2 3 3 3 2 2 4" xfId="10361"/>
    <cellStyle name="Comma 2 2 2 3 3 3 2 2 4 2" xfId="14765"/>
    <cellStyle name="Comma 2 2 2 3 3 3 2 2 4 2 2" xfId="45724"/>
    <cellStyle name="Comma 2 2 2 3 3 3 2 2 4 2 2 2" xfId="50104"/>
    <cellStyle name="Comma 2 2 2 3 3 3 2 2 4 3" xfId="28277"/>
    <cellStyle name="Comma 2 2 2 3 3 3 2 2 5" xfId="23847"/>
    <cellStyle name="Comma 2 2 2 3 3 3 2 2 5 2" xfId="36573"/>
    <cellStyle name="Comma 2 2 2 3 3 3 2 3" xfId="1881"/>
    <cellStyle name="Comma 2 2 2 3 3 3 2 3 2" xfId="6400"/>
    <cellStyle name="Comma 2 2 2 3 3 3 2 3 2 2" xfId="7130"/>
    <cellStyle name="Comma 2 2 2 3 3 3 2 3 2 2 2" xfId="19956"/>
    <cellStyle name="Comma 2 2 2 3 3 3 2 3 2 2 2 2" xfId="20682"/>
    <cellStyle name="Comma 2 2 2 3 3 3 2 3 2 2 2 2 2" xfId="55282"/>
    <cellStyle name="Comma 2 2 2 3 3 3 2 3 2 2 2 2 2 2" xfId="56008"/>
    <cellStyle name="Comma 2 2 2 3 3 3 2 3 2 2 2 3" xfId="34185"/>
    <cellStyle name="Comma 2 2 2 3 3 3 2 3 2 2 3" xfId="33458"/>
    <cellStyle name="Comma 2 2 2 3 3 3 2 3 2 2 3 2" xfId="42557"/>
    <cellStyle name="Comma 2 2 2 3 3 3 2 3 2 3" xfId="12355"/>
    <cellStyle name="Comma 2 2 2 3 3 3 2 3 2 3 2" xfId="41829"/>
    <cellStyle name="Comma 2 2 2 3 3 3 2 3 2 3 2 2" xfId="47701"/>
    <cellStyle name="Comma 2 2 2 3 3 3 2 3 2 4" xfId="25839"/>
    <cellStyle name="Comma 2 2 2 3 3 3 2 3 3" xfId="11625"/>
    <cellStyle name="Comma 2 2 2 3 3 3 2 3 3 2" xfId="15551"/>
    <cellStyle name="Comma 2 2 2 3 3 3 2 3 3 2 2" xfId="46974"/>
    <cellStyle name="Comma 2 2 2 3 3 3 2 3 3 2 2 2" xfId="50883"/>
    <cellStyle name="Comma 2 2 2 3 3 3 2 3 3 3" xfId="29057"/>
    <cellStyle name="Comma 2 2 2 3 3 3 2 3 4" xfId="25111"/>
    <cellStyle name="Comma 2 2 2 3 3 3 2 3 4 2" xfId="37362"/>
    <cellStyle name="Comma 2 2 2 3 3 3 2 4" xfId="3895"/>
    <cellStyle name="Comma 2 2 2 3 3 3 2 4 2" xfId="14783"/>
    <cellStyle name="Comma 2 2 2 3 3 3 2 4 2 2" xfId="17505"/>
    <cellStyle name="Comma 2 2 2 3 3 3 2 4 2 2 2" xfId="50122"/>
    <cellStyle name="Comma 2 2 2 3 3 3 2 4 2 2 2 2" xfId="52832"/>
    <cellStyle name="Comma 2 2 2 3 3 3 2 4 2 3" xfId="31007"/>
    <cellStyle name="Comma 2 2 2 3 3 3 2 4 3" xfId="28295"/>
    <cellStyle name="Comma 2 2 2 3 3 3 2 4 3 2" xfId="39343"/>
    <cellStyle name="Comma 2 2 2 3 3 3 2 5" xfId="9088"/>
    <cellStyle name="Comma 2 2 2 3 3 3 2 5 2" xfId="36591"/>
    <cellStyle name="Comma 2 2 2 3 3 3 2 5 2 2" xfId="44484"/>
    <cellStyle name="Comma 2 2 2 3 3 3 2 6" xfId="22597"/>
    <cellStyle name="Comma 2 2 2 3 3 3 3" xfId="1899"/>
    <cellStyle name="Comma 2 2 2 3 3 3 3 2" xfId="2335"/>
    <cellStyle name="Comma 2 2 2 3 3 3 3 2 2" xfId="7143"/>
    <cellStyle name="Comma 2 2 2 3 3 3 3 2 2 2" xfId="7569"/>
    <cellStyle name="Comma 2 2 2 3 3 3 3 2 2 2 2" xfId="20695"/>
    <cellStyle name="Comma 2 2 2 3 3 3 3 2 2 2 2 2" xfId="21121"/>
    <cellStyle name="Comma 2 2 2 3 3 3 3 2 2 2 2 2 2" xfId="56021"/>
    <cellStyle name="Comma 2 2 2 3 3 3 3 2 2 2 2 2 2 2" xfId="56447"/>
    <cellStyle name="Comma 2 2 2 3 3 3 3 2 2 2 2 3" xfId="34624"/>
    <cellStyle name="Comma 2 2 2 3 3 3 3 2 2 2 3" xfId="34198"/>
    <cellStyle name="Comma 2 2 2 3 3 3 3 2 2 2 3 2" xfId="42996"/>
    <cellStyle name="Comma 2 2 2 3 3 3 3 2 2 3" xfId="12794"/>
    <cellStyle name="Comma 2 2 2 3 3 3 3 2 2 3 2" xfId="42570"/>
    <cellStyle name="Comma 2 2 2 3 3 3 3 2 2 3 2 2" xfId="48140"/>
    <cellStyle name="Comma 2 2 2 3 3 3 3 2 2 4" xfId="26278"/>
    <cellStyle name="Comma 2 2 2 3 3 3 3 2 3" xfId="12368"/>
    <cellStyle name="Comma 2 2 2 3 3 3 3 2 3 2" xfId="15999"/>
    <cellStyle name="Comma 2 2 2 3 3 3 3 2 3 2 2" xfId="47714"/>
    <cellStyle name="Comma 2 2 2 3 3 3 3 2 3 2 2 2" xfId="51331"/>
    <cellStyle name="Comma 2 2 2 3 3 3 3 2 3 3" xfId="29505"/>
    <cellStyle name="Comma 2 2 2 3 3 3 3 2 4" xfId="25852"/>
    <cellStyle name="Comma 2 2 2 3 3 3 3 2 4 2" xfId="37813"/>
    <cellStyle name="Comma 2 2 2 3 3 3 3 3" xfId="4365"/>
    <cellStyle name="Comma 2 2 2 3 3 3 3 3 2" xfId="15566"/>
    <cellStyle name="Comma 2 2 2 3 3 3 3 3 2 2" xfId="17957"/>
    <cellStyle name="Comma 2 2 2 3 3 3 3 3 2 2 2" xfId="50898"/>
    <cellStyle name="Comma 2 2 2 3 3 3 3 3 2 2 2 2" xfId="53284"/>
    <cellStyle name="Comma 2 2 2 3 3 3 3 3 2 3" xfId="31459"/>
    <cellStyle name="Comma 2 2 2 3 3 3 3 3 3" xfId="29072"/>
    <cellStyle name="Comma 2 2 2 3 3 3 3 3 3 2" xfId="39807"/>
    <cellStyle name="Comma 2 2 2 3 3 3 3 4" xfId="9565"/>
    <cellStyle name="Comma 2 2 2 3 3 3 3 4 2" xfId="37378"/>
    <cellStyle name="Comma 2 2 2 3 3 3 3 4 2 2" xfId="44947"/>
    <cellStyle name="Comma 2 2 2 3 3 3 3 5" xfId="23066"/>
    <cellStyle name="Comma 2 2 2 3 3 3 4" xfId="3913"/>
    <cellStyle name="Comma 2 2 2 3 3 3 4 2" xfId="5576"/>
    <cellStyle name="Comma 2 2 2 3 3 3 4 2 2" xfId="17518"/>
    <cellStyle name="Comma 2 2 2 3 3 3 4 2 2 2" xfId="19148"/>
    <cellStyle name="Comma 2 2 2 3 3 3 4 2 2 2 2" xfId="52845"/>
    <cellStyle name="Comma 2 2 2 3 3 3 4 2 2 2 2 2" xfId="54474"/>
    <cellStyle name="Comma 2 2 2 3 3 3 4 2 2 3" xfId="32649"/>
    <cellStyle name="Comma 2 2 2 3 3 3 4 2 3" xfId="31020"/>
    <cellStyle name="Comma 2 2 2 3 3 3 4 2 3 2" xfId="41012"/>
    <cellStyle name="Comma 2 2 2 3 3 3 4 3" xfId="10785"/>
    <cellStyle name="Comma 2 2 2 3 3 3 4 3 2" xfId="39358"/>
    <cellStyle name="Comma 2 2 2 3 3 3 4 3 2 2" xfId="46147"/>
    <cellStyle name="Comma 2 2 2 3 3 3 4 4" xfId="24274"/>
    <cellStyle name="Comma 2 2 2 3 3 3 5" xfId="9105"/>
    <cellStyle name="Comma 2 2 2 3 3 3 5 2" xfId="13960"/>
    <cellStyle name="Comma 2 2 2 3 3 3 5 2 2" xfId="44497"/>
    <cellStyle name="Comma 2 2 2 3 3 3 5 2 2 2" xfId="49306"/>
    <cellStyle name="Comma 2 2 2 3 3 3 5 3" xfId="27450"/>
    <cellStyle name="Comma 2 2 2 3 3 3 6" xfId="22611"/>
    <cellStyle name="Comma 2 2 2 3 3 3 6 2" xfId="35772"/>
    <cellStyle name="Comma 2 2 2 3 3 4" xfId="411"/>
    <cellStyle name="Comma 2 2 2 3 3 4 2" xfId="2348"/>
    <cellStyle name="Comma 2 2 2 3 3 4 2 2" xfId="2513"/>
    <cellStyle name="Comma 2 2 2 3 3 4 2 2 2" xfId="7582"/>
    <cellStyle name="Comma 2 2 2 3 3 4 2 2 2 2" xfId="7738"/>
    <cellStyle name="Comma 2 2 2 3 3 4 2 2 2 2 2" xfId="21134"/>
    <cellStyle name="Comma 2 2 2 3 3 4 2 2 2 2 2 2" xfId="21290"/>
    <cellStyle name="Comma 2 2 2 3 3 4 2 2 2 2 2 2 2" xfId="56460"/>
    <cellStyle name="Comma 2 2 2 3 3 4 2 2 2 2 2 2 2 2" xfId="56616"/>
    <cellStyle name="Comma 2 2 2 3 3 4 2 2 2 2 2 3" xfId="34793"/>
    <cellStyle name="Comma 2 2 2 3 3 4 2 2 2 2 3" xfId="34637"/>
    <cellStyle name="Comma 2 2 2 3 3 4 2 2 2 2 3 2" xfId="43165"/>
    <cellStyle name="Comma 2 2 2 3 3 4 2 2 2 3" xfId="12963"/>
    <cellStyle name="Comma 2 2 2 3 3 4 2 2 2 3 2" xfId="43009"/>
    <cellStyle name="Comma 2 2 2 3 3 4 2 2 2 3 2 2" xfId="48309"/>
    <cellStyle name="Comma 2 2 2 3 3 4 2 2 2 4" xfId="26447"/>
    <cellStyle name="Comma 2 2 2 3 3 4 2 2 3" xfId="12807"/>
    <cellStyle name="Comma 2 2 2 3 3 4 2 2 3 2" xfId="16174"/>
    <cellStyle name="Comma 2 2 2 3 3 4 2 2 3 2 2" xfId="48153"/>
    <cellStyle name="Comma 2 2 2 3 3 4 2 2 3 2 2 2" xfId="51505"/>
    <cellStyle name="Comma 2 2 2 3 3 4 2 2 3 3" xfId="29679"/>
    <cellStyle name="Comma 2 2 2 3 3 4 2 2 4" xfId="26291"/>
    <cellStyle name="Comma 2 2 2 3 3 4 2 2 4 2" xfId="37988"/>
    <cellStyle name="Comma 2 2 2 3 3 4 2 3" xfId="4548"/>
    <cellStyle name="Comma 2 2 2 3 3 4 2 3 2" xfId="16012"/>
    <cellStyle name="Comma 2 2 2 3 3 4 2 3 2 2" xfId="18131"/>
    <cellStyle name="Comma 2 2 2 3 3 4 2 3 2 2 2" xfId="51344"/>
    <cellStyle name="Comma 2 2 2 3 3 4 2 3 2 2 2 2" xfId="53457"/>
    <cellStyle name="Comma 2 2 2 3 3 4 2 3 2 3" xfId="31632"/>
    <cellStyle name="Comma 2 2 2 3 3 4 2 3 3" xfId="29518"/>
    <cellStyle name="Comma 2 2 2 3 3 4 2 3 3 2" xfId="39989"/>
    <cellStyle name="Comma 2 2 2 3 3 4 2 4" xfId="9751"/>
    <cellStyle name="Comma 2 2 2 3 3 4 2 4 2" xfId="37826"/>
    <cellStyle name="Comma 2 2 2 3 3 4 2 4 2 2" xfId="45124"/>
    <cellStyle name="Comma 2 2 2 3 3 4 2 5" xfId="23247"/>
    <cellStyle name="Comma 2 2 2 3 3 4 3" xfId="4379"/>
    <cellStyle name="Comma 2 2 2 3 3 4 3 2" xfId="5754"/>
    <cellStyle name="Comma 2 2 2 3 3 4 3 2 2" xfId="17971"/>
    <cellStyle name="Comma 2 2 2 3 3 4 3 2 2 2" xfId="19323"/>
    <cellStyle name="Comma 2 2 2 3 3 4 3 2 2 2 2" xfId="53297"/>
    <cellStyle name="Comma 2 2 2 3 3 4 3 2 2 2 2 2" xfId="54649"/>
    <cellStyle name="Comma 2 2 2 3 3 4 3 2 2 3" xfId="32824"/>
    <cellStyle name="Comma 2 2 2 3 3 4 3 2 3" xfId="31472"/>
    <cellStyle name="Comma 2 2 2 3 3 4 3 2 3 2" xfId="41189"/>
    <cellStyle name="Comma 2 2 2 3 3 4 3 3" xfId="10975"/>
    <cellStyle name="Comma 2 2 2 3 3 4 3 3 2" xfId="39821"/>
    <cellStyle name="Comma 2 2 2 3 3 4 3 3 2 2" xfId="46334"/>
    <cellStyle name="Comma 2 2 2 3 3 4 3 4" xfId="24468"/>
    <cellStyle name="Comma 2 2 2 3 3 4 4" xfId="9580"/>
    <cellStyle name="Comma 2 2 2 3 3 4 4 2" xfId="14138"/>
    <cellStyle name="Comma 2 2 2 3 3 4 4 2 2" xfId="44961"/>
    <cellStyle name="Comma 2 2 2 3 3 4 4 2 2 2" xfId="49483"/>
    <cellStyle name="Comma 2 2 2 3 3 4 4 3" xfId="27640"/>
    <cellStyle name="Comma 2 2 2 3 3 4 5" xfId="23081"/>
    <cellStyle name="Comma 2 2 2 3 3 4 5 2" xfId="35949"/>
    <cellStyle name="Comma 2 2 2 3 3 5" xfId="1083"/>
    <cellStyle name="Comma 2 2 2 3 3 5 2" xfId="5589"/>
    <cellStyle name="Comma 2 2 2 3 3 5 2 2" xfId="6393"/>
    <cellStyle name="Comma 2 2 2 3 3 5 2 2 2" xfId="19161"/>
    <cellStyle name="Comma 2 2 2 3 3 5 2 2 2 2" xfId="19949"/>
    <cellStyle name="Comma 2 2 2 3 3 5 2 2 2 2 2" xfId="54487"/>
    <cellStyle name="Comma 2 2 2 3 3 5 2 2 2 2 2 2" xfId="55275"/>
    <cellStyle name="Comma 2 2 2 3 3 5 2 2 2 3" xfId="33451"/>
    <cellStyle name="Comma 2 2 2 3 3 5 2 2 3" xfId="32662"/>
    <cellStyle name="Comma 2 2 2 3 3 5 2 2 3 2" xfId="41822"/>
    <cellStyle name="Comma 2 2 2 3 3 5 2 3" xfId="11618"/>
    <cellStyle name="Comma 2 2 2 3 3 5 2 3 2" xfId="41025"/>
    <cellStyle name="Comma 2 2 2 3 3 5 2 3 2 2" xfId="46967"/>
    <cellStyle name="Comma 2 2 2 3 3 5 2 4" xfId="25104"/>
    <cellStyle name="Comma 2 2 2 3 3 5 3" xfId="10801"/>
    <cellStyle name="Comma 2 2 2 3 3 5 3 2" xfId="14775"/>
    <cellStyle name="Comma 2 2 2 3 3 5 3 2 2" xfId="46163"/>
    <cellStyle name="Comma 2 2 2 3 3 5 3 2 2 2" xfId="50114"/>
    <cellStyle name="Comma 2 2 2 3 3 5 3 3" xfId="28287"/>
    <cellStyle name="Comma 2 2 2 3 3 5 4" xfId="24291"/>
    <cellStyle name="Comma 2 2 2 3 3 5 4 2" xfId="36583"/>
    <cellStyle name="Comma 2 2 2 3 3 6" xfId="1545"/>
    <cellStyle name="Comma 2 2 2 3 3 6 2" xfId="13973"/>
    <cellStyle name="Comma 2 2 2 3 3 6 2 2" xfId="15221"/>
    <cellStyle name="Comma 2 2 2 3 3 6 2 2 2" xfId="49319"/>
    <cellStyle name="Comma 2 2 2 3 3 6 2 2 2 2" xfId="50559"/>
    <cellStyle name="Comma 2 2 2 3 3 6 2 3" xfId="28733"/>
    <cellStyle name="Comma 2 2 2 3 3 6 3" xfId="27465"/>
    <cellStyle name="Comma 2 2 2 3 3 6 3 2" xfId="37034"/>
    <cellStyle name="Comma 2 2 2 3 3 7" xfId="3680"/>
    <cellStyle name="Comma 2 2 2 3 3 7 2" xfId="35785"/>
    <cellStyle name="Comma 2 2 2 3 3 7 2 2" xfId="39131"/>
    <cellStyle name="Comma 2 2 2 3 3 8" xfId="15271"/>
    <cellStyle name="Comma 2 2 2 3 4" xfId="356"/>
    <cellStyle name="Comma 2 2 2 3 4 2" xfId="236"/>
    <cellStyle name="Comma 2 2 2 3 4 2 2" xfId="1205"/>
    <cellStyle name="Comma 2 2 2 3 4 2 2 2" xfId="1105"/>
    <cellStyle name="Comma 2 2 2 3 4 2 2 2 2" xfId="3224"/>
    <cellStyle name="Comma 2 2 2 3 4 2 2 2 2 2" xfId="3134"/>
    <cellStyle name="Comma 2 2 2 3 4 2 2 2 2 2 2" xfId="8439"/>
    <cellStyle name="Comma 2 2 2 3 4 2 2 2 2 2 2 2" xfId="8349"/>
    <cellStyle name="Comma 2 2 2 3 4 2 2 2 2 2 2 2 2" xfId="21991"/>
    <cellStyle name="Comma 2 2 2 3 4 2 2 2 2 2 2 2 2 2" xfId="21901"/>
    <cellStyle name="Comma 2 2 2 3 4 2 2 2 2 2 2 2 2 2 2" xfId="57317"/>
    <cellStyle name="Comma 2 2 2 3 4 2 2 2 2 2 2 2 2 2 2 2" xfId="57227"/>
    <cellStyle name="Comma 2 2 2 3 4 2 2 2 2 2 2 2 2 3" xfId="35404"/>
    <cellStyle name="Comma 2 2 2 3 4 2 2 2 2 2 2 2 3" xfId="35494"/>
    <cellStyle name="Comma 2 2 2 3 4 2 2 2 2 2 2 2 3 2" xfId="43776"/>
    <cellStyle name="Comma 2 2 2 3 4 2 2 2 2 2 2 3" xfId="13574"/>
    <cellStyle name="Comma 2 2 2 3 4 2 2 2 2 2 2 3 2" xfId="43866"/>
    <cellStyle name="Comma 2 2 2 3 4 2 2 2 2 2 2 3 2 2" xfId="48920"/>
    <cellStyle name="Comma 2 2 2 3 4 2 2 2 2 2 2 4" xfId="27059"/>
    <cellStyle name="Comma 2 2 2 3 4 2 2 2 2 2 3" xfId="13664"/>
    <cellStyle name="Comma 2 2 2 3 4 2 2 2 2 2 3 2" xfId="16791"/>
    <cellStyle name="Comma 2 2 2 3 4 2 2 2 2 2 3 2 2" xfId="49010"/>
    <cellStyle name="Comma 2 2 2 3 4 2 2 2 2 2 3 2 2 2" xfId="52119"/>
    <cellStyle name="Comma 2 2 2 3 4 2 2 2 2 2 3 3" xfId="30293"/>
    <cellStyle name="Comma 2 2 2 3 4 2 2 2 2 2 4" xfId="27149"/>
    <cellStyle name="Comma 2 2 2 3 4 2 2 2 2 2 4 2" xfId="38603"/>
    <cellStyle name="Comma 2 2 2 3 4 2 2 2 2 3" xfId="5171"/>
    <cellStyle name="Comma 2 2 2 3 4 2 2 2 2 3 2" xfId="16881"/>
    <cellStyle name="Comma 2 2 2 3 4 2 2 2 2 3 2 2" xfId="18744"/>
    <cellStyle name="Comma 2 2 2 3 4 2 2 2 2 3 2 2 2" xfId="52209"/>
    <cellStyle name="Comma 2 2 2 3 4 2 2 2 2 3 2 2 2 2" xfId="54070"/>
    <cellStyle name="Comma 2 2 2 3 4 2 2 2 2 3 2 3" xfId="32245"/>
    <cellStyle name="Comma 2 2 2 3 4 2 2 2 2 3 3" xfId="30383"/>
    <cellStyle name="Comma 2 2 2 3 4 2 2 2 2 3 3 2" xfId="40608"/>
    <cellStyle name="Comma 2 2 2 3 4 2 2 2 2 4" xfId="10374"/>
    <cellStyle name="Comma 2 2 2 3 4 2 2 2 2 4 2" xfId="38693"/>
    <cellStyle name="Comma 2 2 2 3 4 2 2 2 2 4 2 2" xfId="45737"/>
    <cellStyle name="Comma 2 2 2 3 4 2 2 2 2 5" xfId="23860"/>
    <cellStyle name="Comma 2 2 2 3 4 2 2 2 3" xfId="5261"/>
    <cellStyle name="Comma 2 2 2 3 4 2 2 2 3 2" xfId="6414"/>
    <cellStyle name="Comma 2 2 2 3 4 2 2 2 3 2 2" xfId="18834"/>
    <cellStyle name="Comma 2 2 2 3 4 2 2 2 3 2 2 2" xfId="19969"/>
    <cellStyle name="Comma 2 2 2 3 4 2 2 2 3 2 2 2 2" xfId="54160"/>
    <cellStyle name="Comma 2 2 2 3 4 2 2 2 3 2 2 2 2 2" xfId="55295"/>
    <cellStyle name="Comma 2 2 2 3 4 2 2 2 3 2 2 3" xfId="33471"/>
    <cellStyle name="Comma 2 2 2 3 4 2 2 2 3 2 3" xfId="32335"/>
    <cellStyle name="Comma 2 2 2 3 4 2 2 2 3 2 3 2" xfId="41842"/>
    <cellStyle name="Comma 2 2 2 3 4 2 2 2 3 3" xfId="11638"/>
    <cellStyle name="Comma 2 2 2 3 4 2 2 2 3 3 2" xfId="40698"/>
    <cellStyle name="Comma 2 2 2 3 4 2 2 2 3 3 2 2" xfId="46987"/>
    <cellStyle name="Comma 2 2 2 3 4 2 2 2 3 4" xfId="25124"/>
    <cellStyle name="Comma 2 2 2 3 4 2 2 2 4" xfId="10464"/>
    <cellStyle name="Comma 2 2 2 3 4 2 2 2 4 2" xfId="14796"/>
    <cellStyle name="Comma 2 2 2 3 4 2 2 2 4 2 2" xfId="45827"/>
    <cellStyle name="Comma 2 2 2 3 4 2 2 2 4 2 2 2" xfId="50135"/>
    <cellStyle name="Comma 2 2 2 3 4 2 2 2 4 3" xfId="28308"/>
    <cellStyle name="Comma 2 2 2 3 4 2 2 2 5" xfId="23950"/>
    <cellStyle name="Comma 2 2 2 3 4 2 2 2 5 2" xfId="36604"/>
    <cellStyle name="Comma 2 2 2 3 4 2 2 3" xfId="1913"/>
    <cellStyle name="Comma 2 2 2 3 4 2 2 3 2" xfId="6513"/>
    <cellStyle name="Comma 2 2 2 3 4 2 2 3 2 2" xfId="7156"/>
    <cellStyle name="Comma 2 2 2 3 4 2 2 3 2 2 2" xfId="20066"/>
    <cellStyle name="Comma 2 2 2 3 4 2 2 3 2 2 2 2" xfId="20708"/>
    <cellStyle name="Comma 2 2 2 3 4 2 2 3 2 2 2 2 2" xfId="55392"/>
    <cellStyle name="Comma 2 2 2 3 4 2 2 3 2 2 2 2 2 2" xfId="56034"/>
    <cellStyle name="Comma 2 2 2 3 4 2 2 3 2 2 2 3" xfId="34211"/>
    <cellStyle name="Comma 2 2 2 3 4 2 2 3 2 2 3" xfId="33568"/>
    <cellStyle name="Comma 2 2 2 3 4 2 2 3 2 2 3 2" xfId="42583"/>
    <cellStyle name="Comma 2 2 2 3 4 2 2 3 2 3" xfId="12381"/>
    <cellStyle name="Comma 2 2 2 3 4 2 2 3 2 3 2" xfId="41941"/>
    <cellStyle name="Comma 2 2 2 3 4 2 2 3 2 3 2 2" xfId="47727"/>
    <cellStyle name="Comma 2 2 2 3 4 2 2 3 2 4" xfId="25865"/>
    <cellStyle name="Comma 2 2 2 3 4 2 2 3 3" xfId="11736"/>
    <cellStyle name="Comma 2 2 2 3 4 2 2 3 3 2" xfId="15580"/>
    <cellStyle name="Comma 2 2 2 3 4 2 2 3 3 2 2" xfId="47084"/>
    <cellStyle name="Comma 2 2 2 3 4 2 2 3 3 2 2 2" xfId="50912"/>
    <cellStyle name="Comma 2 2 2 3 4 2 2 3 3 3" xfId="29086"/>
    <cellStyle name="Comma 2 2 2 3 4 2 2 3 4" xfId="25221"/>
    <cellStyle name="Comma 2 2 2 3 4 2 2 3 4 2" xfId="37392"/>
    <cellStyle name="Comma 2 2 2 3 4 2 2 4" xfId="3927"/>
    <cellStyle name="Comma 2 2 2 3 4 2 2 4 2" xfId="14894"/>
    <cellStyle name="Comma 2 2 2 3 4 2 2 4 2 2" xfId="17531"/>
    <cellStyle name="Comma 2 2 2 3 4 2 2 4 2 2 2" xfId="50233"/>
    <cellStyle name="Comma 2 2 2 3 4 2 2 4 2 2 2 2" xfId="52858"/>
    <cellStyle name="Comma 2 2 2 3 4 2 2 4 2 3" xfId="31033"/>
    <cellStyle name="Comma 2 2 2 3 4 2 2 4 3" xfId="28407"/>
    <cellStyle name="Comma 2 2 2 3 4 2 2 4 3 2" xfId="39371"/>
    <cellStyle name="Comma 2 2 2 3 4 2 2 5" xfId="9120"/>
    <cellStyle name="Comma 2 2 2 3 4 2 2 5 2" xfId="36702"/>
    <cellStyle name="Comma 2 2 2 3 4 2 2 5 2 2" xfId="44511"/>
    <cellStyle name="Comma 2 2 2 3 4 2 2 6" xfId="22625"/>
    <cellStyle name="Comma 2 2 2 3 4 2 3" xfId="2012"/>
    <cellStyle name="Comma 2 2 2 3 4 2 3 2" xfId="2363"/>
    <cellStyle name="Comma 2 2 2 3 4 2 3 2 2" xfId="7246"/>
    <cellStyle name="Comma 2 2 2 3 4 2 3 2 2 2" xfId="7597"/>
    <cellStyle name="Comma 2 2 2 3 4 2 3 2 2 2 2" xfId="20798"/>
    <cellStyle name="Comma 2 2 2 3 4 2 3 2 2 2 2 2" xfId="21149"/>
    <cellStyle name="Comma 2 2 2 3 4 2 3 2 2 2 2 2 2" xfId="56124"/>
    <cellStyle name="Comma 2 2 2 3 4 2 3 2 2 2 2 2 2 2" xfId="56475"/>
    <cellStyle name="Comma 2 2 2 3 4 2 3 2 2 2 2 3" xfId="34652"/>
    <cellStyle name="Comma 2 2 2 3 4 2 3 2 2 2 3" xfId="34301"/>
    <cellStyle name="Comma 2 2 2 3 4 2 3 2 2 2 3 2" xfId="43024"/>
    <cellStyle name="Comma 2 2 2 3 4 2 3 2 2 3" xfId="12822"/>
    <cellStyle name="Comma 2 2 2 3 4 2 3 2 2 3 2" xfId="42673"/>
    <cellStyle name="Comma 2 2 2 3 4 2 3 2 2 3 2 2" xfId="48168"/>
    <cellStyle name="Comma 2 2 2 3 4 2 3 2 2 4" xfId="26306"/>
    <cellStyle name="Comma 2 2 2 3 4 2 3 2 3" xfId="12471"/>
    <cellStyle name="Comma 2 2 2 3 4 2 3 2 3 2" xfId="16027"/>
    <cellStyle name="Comma 2 2 2 3 4 2 3 2 3 2 2" xfId="47817"/>
    <cellStyle name="Comma 2 2 2 3 4 2 3 2 3 2 2 2" xfId="51359"/>
    <cellStyle name="Comma 2 2 2 3 4 2 3 2 3 3" xfId="29533"/>
    <cellStyle name="Comma 2 2 2 3 4 2 3 2 4" xfId="25955"/>
    <cellStyle name="Comma 2 2 2 3 4 2 3 2 4 2" xfId="37841"/>
    <cellStyle name="Comma 2 2 2 3 4 2 3 3" xfId="4394"/>
    <cellStyle name="Comma 2 2 2 3 4 2 3 3 2" xfId="15676"/>
    <cellStyle name="Comma 2 2 2 3 4 2 3 3 2 2" xfId="17986"/>
    <cellStyle name="Comma 2 2 2 3 4 2 3 3 2 2 2" xfId="51008"/>
    <cellStyle name="Comma 2 2 2 3 4 2 3 3 2 2 2 2" xfId="53312"/>
    <cellStyle name="Comma 2 2 2 3 4 2 3 3 2 3" xfId="31487"/>
    <cellStyle name="Comma 2 2 2 3 4 2 3 3 3" xfId="29182"/>
    <cellStyle name="Comma 2 2 2 3 4 2 3 3 3 2" xfId="39836"/>
    <cellStyle name="Comma 2 2 2 3 4 2 3 4" xfId="9597"/>
    <cellStyle name="Comma 2 2 2 3 4 2 3 4 2" xfId="37490"/>
    <cellStyle name="Comma 2 2 2 3 4 2 3 4 2 2" xfId="44978"/>
    <cellStyle name="Comma 2 2 2 3 4 2 3 5" xfId="23099"/>
    <cellStyle name="Comma 2 2 2 3 4 2 4" xfId="4027"/>
    <cellStyle name="Comma 2 2 2 3 4 2 4 2" xfId="5604"/>
    <cellStyle name="Comma 2 2 2 3 4 2 4 2 2" xfId="17621"/>
    <cellStyle name="Comma 2 2 2 3 4 2 4 2 2 2" xfId="19176"/>
    <cellStyle name="Comma 2 2 2 3 4 2 4 2 2 2 2" xfId="52948"/>
    <cellStyle name="Comma 2 2 2 3 4 2 4 2 2 2 2 2" xfId="54502"/>
    <cellStyle name="Comma 2 2 2 3 4 2 4 2 2 3" xfId="32677"/>
    <cellStyle name="Comma 2 2 2 3 4 2 4 2 3" xfId="31123"/>
    <cellStyle name="Comma 2 2 2 3 4 2 4 2 3 2" xfId="41040"/>
    <cellStyle name="Comma 2 2 2 3 4 2 4 3" xfId="10817"/>
    <cellStyle name="Comma 2 2 2 3 4 2 4 3 2" xfId="39471"/>
    <cellStyle name="Comma 2 2 2 3 4 2 4 3 2 2" xfId="46179"/>
    <cellStyle name="Comma 2 2 2 3 4 2 4 4" xfId="24308"/>
    <cellStyle name="Comma 2 2 2 3 4 2 5" xfId="9219"/>
    <cellStyle name="Comma 2 2 2 3 4 2 5 2" xfId="13988"/>
    <cellStyle name="Comma 2 2 2 3 4 2 5 2 2" xfId="44601"/>
    <cellStyle name="Comma 2 2 2 3 4 2 5 2 2 2" xfId="49334"/>
    <cellStyle name="Comma 2 2 2 3 4 2 5 3" xfId="27480"/>
    <cellStyle name="Comma 2 2 2 3 4 2 6" xfId="22715"/>
    <cellStyle name="Comma 2 2 2 3 4 2 6 2" xfId="35800"/>
    <cellStyle name="Comma 2 2 2 3 4 3" xfId="383"/>
    <cellStyle name="Comma 2 2 2 3 4 3 2" xfId="2465"/>
    <cellStyle name="Comma 2 2 2 3 4 3 2 2" xfId="2486"/>
    <cellStyle name="Comma 2 2 2 3 4 3 2 2 2" xfId="7695"/>
    <cellStyle name="Comma 2 2 2 3 4 3 2 2 2 2" xfId="7715"/>
    <cellStyle name="Comma 2 2 2 3 4 3 2 2 2 2 2" xfId="21247"/>
    <cellStyle name="Comma 2 2 2 3 4 3 2 2 2 2 2 2" xfId="21267"/>
    <cellStyle name="Comma 2 2 2 3 4 3 2 2 2 2 2 2 2" xfId="56573"/>
    <cellStyle name="Comma 2 2 2 3 4 3 2 2 2 2 2 2 2 2" xfId="56593"/>
    <cellStyle name="Comma 2 2 2 3 4 3 2 2 2 2 2 3" xfId="34770"/>
    <cellStyle name="Comma 2 2 2 3 4 3 2 2 2 2 3" xfId="34750"/>
    <cellStyle name="Comma 2 2 2 3 4 3 2 2 2 2 3 2" xfId="43142"/>
    <cellStyle name="Comma 2 2 2 3 4 3 2 2 2 3" xfId="12940"/>
    <cellStyle name="Comma 2 2 2 3 4 3 2 2 2 3 2" xfId="43122"/>
    <cellStyle name="Comma 2 2 2 3 4 3 2 2 2 3 2 2" xfId="48286"/>
    <cellStyle name="Comma 2 2 2 3 4 3 2 2 2 4" xfId="26424"/>
    <cellStyle name="Comma 2 2 2 3 4 3 2 2 3" xfId="12920"/>
    <cellStyle name="Comma 2 2 2 3 4 3 2 2 3 2" xfId="16149"/>
    <cellStyle name="Comma 2 2 2 3 4 3 2 2 3 2 2" xfId="48266"/>
    <cellStyle name="Comma 2 2 2 3 4 3 2 2 3 2 2 2" xfId="51480"/>
    <cellStyle name="Comma 2 2 2 3 4 3 2 2 3 3" xfId="29654"/>
    <cellStyle name="Comma 2 2 2 3 4 3 2 2 4" xfId="26404"/>
    <cellStyle name="Comma 2 2 2 3 4 3 2 2 4 2" xfId="37963"/>
    <cellStyle name="Comma 2 2 2 3 4 3 2 3" xfId="4521"/>
    <cellStyle name="Comma 2 2 2 3 4 3 2 3 2" xfId="16128"/>
    <cellStyle name="Comma 2 2 2 3 4 3 2 3 2 2" xfId="18108"/>
    <cellStyle name="Comma 2 2 2 3 4 3 2 3 2 2 2" xfId="51459"/>
    <cellStyle name="Comma 2 2 2 3 4 3 2 3 2 2 2 2" xfId="53434"/>
    <cellStyle name="Comma 2 2 2 3 4 3 2 3 2 3" xfId="31609"/>
    <cellStyle name="Comma 2 2 2 3 4 3 2 3 3" xfId="29633"/>
    <cellStyle name="Comma 2 2 2 3 4 3 2 3 3 2" xfId="39962"/>
    <cellStyle name="Comma 2 2 2 3 4 3 2 4" xfId="9725"/>
    <cellStyle name="Comma 2 2 2 3 4 3 2 4 2" xfId="37942"/>
    <cellStyle name="Comma 2 2 2 3 4 3 2 4 2 2" xfId="45101"/>
    <cellStyle name="Comma 2 2 2 3 4 3 2 5" xfId="23224"/>
    <cellStyle name="Comma 2 2 2 3 4 3 3" xfId="4500"/>
    <cellStyle name="Comma 2 2 2 3 4 3 3 2" xfId="5730"/>
    <cellStyle name="Comma 2 2 2 3 4 3 3 2 2" xfId="18088"/>
    <cellStyle name="Comma 2 2 2 3 4 3 3 2 2 2" xfId="19299"/>
    <cellStyle name="Comma 2 2 2 3 4 3 3 2 2 2 2" xfId="53414"/>
    <cellStyle name="Comma 2 2 2 3 4 3 3 2 2 2 2 2" xfId="54625"/>
    <cellStyle name="Comma 2 2 2 3 4 3 3 2 2 3" xfId="32800"/>
    <cellStyle name="Comma 2 2 2 3 4 3 3 2 3" xfId="31589"/>
    <cellStyle name="Comma 2 2 2 3 4 3 3 2 3 2" xfId="41165"/>
    <cellStyle name="Comma 2 2 2 3 4 3 3 3" xfId="10950"/>
    <cellStyle name="Comma 2 2 2 3 4 3 3 3 2" xfId="39941"/>
    <cellStyle name="Comma 2 2 2 3 4 3 3 3 2 2" xfId="46309"/>
    <cellStyle name="Comma 2 2 2 3 4 3 3 4" xfId="24442"/>
    <cellStyle name="Comma 2 2 2 3 4 3 4" xfId="9704"/>
    <cellStyle name="Comma 2 2 2 3 4 3 4 2" xfId="14114"/>
    <cellStyle name="Comma 2 2 2 3 4 3 4 2 2" xfId="45081"/>
    <cellStyle name="Comma 2 2 2 3 4 3 4 2 2 2" xfId="49459"/>
    <cellStyle name="Comma 2 2 2 3 4 3 4 3" xfId="27614"/>
    <cellStyle name="Comma 2 2 2 3 4 3 5" xfId="23204"/>
    <cellStyle name="Comma 2 2 2 3 4 3 5 2" xfId="35925"/>
    <cellStyle name="Comma 2 2 2 3 4 4" xfId="760"/>
    <cellStyle name="Comma 2 2 2 3 4 4 2" xfId="5707"/>
    <cellStyle name="Comma 2 2 2 3 4 4 2 2" xfId="6078"/>
    <cellStyle name="Comma 2 2 2 3 4 4 2 2 2" xfId="19277"/>
    <cellStyle name="Comma 2 2 2 3 4 4 2 2 2 2" xfId="19642"/>
    <cellStyle name="Comma 2 2 2 3 4 4 2 2 2 2 2" xfId="54603"/>
    <cellStyle name="Comma 2 2 2 3 4 4 2 2 2 2 2 2" xfId="54968"/>
    <cellStyle name="Comma 2 2 2 3 4 4 2 2 2 3" xfId="33143"/>
    <cellStyle name="Comma 2 2 2 3 4 4 2 2 3" xfId="32778"/>
    <cellStyle name="Comma 2 2 2 3 4 4 2 2 3 2" xfId="41512"/>
    <cellStyle name="Comma 2 2 2 3 4 4 2 3" xfId="11304"/>
    <cellStyle name="Comma 2 2 2 3 4 4 2 3 2" xfId="41142"/>
    <cellStyle name="Comma 2 2 2 3 4 4 2 3 2 2" xfId="46659"/>
    <cellStyle name="Comma 2 2 2 3 4 4 2 4" xfId="24796"/>
    <cellStyle name="Comma 2 2 2 3 4 4 3" xfId="10927"/>
    <cellStyle name="Comma 2 2 2 3 4 4 3 2" xfId="14464"/>
    <cellStyle name="Comma 2 2 2 3 4 4 3 2 2" xfId="46287"/>
    <cellStyle name="Comma 2 2 2 3 4 4 3 2 2 2" xfId="49806"/>
    <cellStyle name="Comma 2 2 2 3 4 4 3 3" xfId="27974"/>
    <cellStyle name="Comma 2 2 2 3 4 4 4" xfId="24419"/>
    <cellStyle name="Comma 2 2 2 3 4 4 4 2" xfId="36274"/>
    <cellStyle name="Comma 2 2 2 3 4 5" xfId="1558"/>
    <cellStyle name="Comma 2 2 2 3 4 5 2" xfId="14091"/>
    <cellStyle name="Comma 2 2 2 3 4 5 2 2" xfId="15234"/>
    <cellStyle name="Comma 2 2 2 3 4 5 2 2 2" xfId="49436"/>
    <cellStyle name="Comma 2 2 2 3 4 5 2 2 2 2" xfId="50571"/>
    <cellStyle name="Comma 2 2 2 3 4 5 2 3" xfId="28745"/>
    <cellStyle name="Comma 2 2 2 3 4 5 3" xfId="27591"/>
    <cellStyle name="Comma 2 2 2 3 4 5 3 2" xfId="37046"/>
    <cellStyle name="Comma 2 2 2 3 4 6" xfId="4792"/>
    <cellStyle name="Comma 2 2 2 3 4 6 2" xfId="35902"/>
    <cellStyle name="Comma 2 2 2 3 4 6 2 2" xfId="40230"/>
    <cellStyle name="Comma 2 2 2 3 4 7" xfId="8787"/>
    <cellStyle name="Comma 2 2 2 3 5" xfId="670"/>
    <cellStyle name="Comma 2 2 2 3 5 2" xfId="734"/>
    <cellStyle name="Comma 2 2 2 3 5 2 2" xfId="2759"/>
    <cellStyle name="Comma 2 2 2 3 5 2 2 2" xfId="2805"/>
    <cellStyle name="Comma 2 2 2 3 5 2 2 2 2" xfId="7977"/>
    <cellStyle name="Comma 2 2 2 3 5 2 2 2 2 2" xfId="8021"/>
    <cellStyle name="Comma 2 2 2 3 5 2 2 2 2 2 2" xfId="21529"/>
    <cellStyle name="Comma 2 2 2 3 5 2 2 2 2 2 2 2" xfId="21573"/>
    <cellStyle name="Comma 2 2 2 3 5 2 2 2 2 2 2 2 2" xfId="56855"/>
    <cellStyle name="Comma 2 2 2 3 5 2 2 2 2 2 2 2 2 2" xfId="56899"/>
    <cellStyle name="Comma 2 2 2 3 5 2 2 2 2 2 2 3" xfId="35076"/>
    <cellStyle name="Comma 2 2 2 3 5 2 2 2 2 2 3" xfId="35032"/>
    <cellStyle name="Comma 2 2 2 3 5 2 2 2 2 2 3 2" xfId="43448"/>
    <cellStyle name="Comma 2 2 2 3 5 2 2 2 2 3" xfId="13246"/>
    <cellStyle name="Comma 2 2 2 3 5 2 2 2 2 3 2" xfId="43404"/>
    <cellStyle name="Comma 2 2 2 3 5 2 2 2 2 3 2 2" xfId="48592"/>
    <cellStyle name="Comma 2 2 2 3 5 2 2 2 2 4" xfId="26730"/>
    <cellStyle name="Comma 2 2 2 3 5 2 2 2 3" xfId="13202"/>
    <cellStyle name="Comma 2 2 2 3 5 2 2 2 3 2" xfId="16463"/>
    <cellStyle name="Comma 2 2 2 3 5 2 2 2 3 2 2" xfId="48548"/>
    <cellStyle name="Comma 2 2 2 3 5 2 2 2 3 2 2 2" xfId="51791"/>
    <cellStyle name="Comma 2 2 2 3 5 2 2 2 3 3" xfId="29965"/>
    <cellStyle name="Comma 2 2 2 3 5 2 2 2 4" xfId="26686"/>
    <cellStyle name="Comma 2 2 2 3 5 2 2 2 4 2" xfId="38275"/>
    <cellStyle name="Comma 2 2 2 3 5 2 2 3" xfId="4841"/>
    <cellStyle name="Comma 2 2 2 3 5 2 2 3 2" xfId="16418"/>
    <cellStyle name="Comma 2 2 2 3 5 2 2 3 2 2" xfId="18415"/>
    <cellStyle name="Comma 2 2 2 3 5 2 2 3 2 2 2" xfId="51747"/>
    <cellStyle name="Comma 2 2 2 3 5 2 2 3 2 2 2 2" xfId="53741"/>
    <cellStyle name="Comma 2 2 2 3 5 2 2 3 2 3" xfId="31916"/>
    <cellStyle name="Comma 2 2 2 3 5 2 2 3 3" xfId="29921"/>
    <cellStyle name="Comma 2 2 2 3 5 2 2 3 3 2" xfId="40278"/>
    <cellStyle name="Comma 2 2 2 3 5 2 2 4" xfId="10044"/>
    <cellStyle name="Comma 2 2 2 3 5 2 2 4 2" xfId="38231"/>
    <cellStyle name="Comma 2 2 2 3 5 2 2 4 2 2" xfId="45408"/>
    <cellStyle name="Comma 2 2 2 3 5 2 2 5" xfId="23531"/>
    <cellStyle name="Comma 2 2 2 3 5 2 3" xfId="4795"/>
    <cellStyle name="Comma 2 2 2 3 5 2 3 2" xfId="6057"/>
    <cellStyle name="Comma 2 2 2 3 5 2 3 2 2" xfId="18371"/>
    <cellStyle name="Comma 2 2 2 3 5 2 3 2 2 2" xfId="19621"/>
    <cellStyle name="Comma 2 2 2 3 5 2 3 2 2 2 2" xfId="53697"/>
    <cellStyle name="Comma 2 2 2 3 5 2 3 2 2 2 2 2" xfId="54947"/>
    <cellStyle name="Comma 2 2 2 3 5 2 3 2 2 3" xfId="33122"/>
    <cellStyle name="Comma 2 2 2 3 5 2 3 2 3" xfId="31872"/>
    <cellStyle name="Comma 2 2 2 3 5 2 3 2 3 2" xfId="41491"/>
    <cellStyle name="Comma 2 2 2 3 5 2 3 3" xfId="11283"/>
    <cellStyle name="Comma 2 2 2 3 5 2 3 3 2" xfId="40233"/>
    <cellStyle name="Comma 2 2 2 3 5 2 3 3 2 2" xfId="46638"/>
    <cellStyle name="Comma 2 2 2 3 5 2 3 4" xfId="24775"/>
    <cellStyle name="Comma 2 2 2 3 5 2 4" xfId="9998"/>
    <cellStyle name="Comma 2 2 2 3 5 2 4 2" xfId="14440"/>
    <cellStyle name="Comma 2 2 2 3 5 2 4 2 2" xfId="45364"/>
    <cellStyle name="Comma 2 2 2 3 5 2 4 2 2 2" xfId="49785"/>
    <cellStyle name="Comma 2 2 2 3 5 2 4 3" xfId="27953"/>
    <cellStyle name="Comma 2 2 2 3 5 2 5" xfId="23487"/>
    <cellStyle name="Comma 2 2 2 3 5 2 5 2" xfId="36253"/>
    <cellStyle name="Comma 2 2 2 3 5 3" xfId="1518"/>
    <cellStyle name="Comma 2 2 2 3 5 3 2" xfId="6000"/>
    <cellStyle name="Comma 2 2 2 3 5 3 2 2" xfId="6807"/>
    <cellStyle name="Comma 2 2 2 3 5 3 2 2 2" xfId="19566"/>
    <cellStyle name="Comma 2 2 2 3 5 3 2 2 2 2" xfId="20360"/>
    <cellStyle name="Comma 2 2 2 3 5 3 2 2 2 2 2" xfId="54892"/>
    <cellStyle name="Comma 2 2 2 3 5 3 2 2 2 2 2 2" xfId="55686"/>
    <cellStyle name="Comma 2 2 2 3 5 3 2 2 2 3" xfId="33862"/>
    <cellStyle name="Comma 2 2 2 3 5 3 2 2 3" xfId="33067"/>
    <cellStyle name="Comma 2 2 2 3 5 3 2 2 3 2" xfId="42235"/>
    <cellStyle name="Comma 2 2 2 3 5 3 2 3" xfId="12031"/>
    <cellStyle name="Comma 2 2 2 3 5 3 2 3 2" xfId="41434"/>
    <cellStyle name="Comma 2 2 2 3 5 3 2 3 2 2" xfId="47378"/>
    <cellStyle name="Comma 2 2 2 3 5 3 2 4" xfId="25515"/>
    <cellStyle name="Comma 2 2 2 3 5 3 3" xfId="11225"/>
    <cellStyle name="Comma 2 2 2 3 5 3 3 2" xfId="15200"/>
    <cellStyle name="Comma 2 2 2 3 5 3 3 2 2" xfId="46582"/>
    <cellStyle name="Comma 2 2 2 3 5 3 3 2 2 2" xfId="50538"/>
    <cellStyle name="Comma 2 2 2 3 5 3 3 3" xfId="28712"/>
    <cellStyle name="Comma 2 2 2 3 5 3 4" xfId="24718"/>
    <cellStyle name="Comma 2 2 2 3 5 3 4 2" xfId="37010"/>
    <cellStyle name="Comma 2 2 2 3 5 4" xfId="3518"/>
    <cellStyle name="Comma 2 2 2 3 5 4 2" xfId="14383"/>
    <cellStyle name="Comma 2 2 2 3 5 4 2 2" xfId="17171"/>
    <cellStyle name="Comma 2 2 2 3 5 4 2 2 2" xfId="49728"/>
    <cellStyle name="Comma 2 2 2 3 5 4 2 2 2 2" xfId="52498"/>
    <cellStyle name="Comma 2 2 2 3 5 4 2 3" xfId="30672"/>
    <cellStyle name="Comma 2 2 2 3 5 4 3" xfId="27894"/>
    <cellStyle name="Comma 2 2 2 3 5 4 3 2" xfId="38984"/>
    <cellStyle name="Comma 2 2 2 3 5 5" xfId="8711"/>
    <cellStyle name="Comma 2 2 2 3 5 5 2" xfId="36195"/>
    <cellStyle name="Comma 2 2 2 3 5 5 2 2" xfId="44138"/>
    <cellStyle name="Comma 2 2 2 3 5 6" xfId="9058"/>
    <cellStyle name="Comma 2 2 2 3 6" xfId="859"/>
    <cellStyle name="Comma 2 2 2 3 6 2" xfId="1156"/>
    <cellStyle name="Comma 2 2 2 3 6 2 2" xfId="6173"/>
    <cellStyle name="Comma 2 2 2 3 6 2 2 2" xfId="6464"/>
    <cellStyle name="Comma 2 2 2 3 6 2 2 2 2" xfId="19732"/>
    <cellStyle name="Comma 2 2 2 3 6 2 2 2 2 2" xfId="20018"/>
    <cellStyle name="Comma 2 2 2 3 6 2 2 2 2 2 2" xfId="55058"/>
    <cellStyle name="Comma 2 2 2 3 6 2 2 2 2 2 2 2" xfId="55344"/>
    <cellStyle name="Comma 2 2 2 3 6 2 2 2 2 3" xfId="33520"/>
    <cellStyle name="Comma 2 2 2 3 6 2 2 2 3" xfId="33234"/>
    <cellStyle name="Comma 2 2 2 3 6 2 2 2 3 2" xfId="41892"/>
    <cellStyle name="Comma 2 2 2 3 6 2 2 3" xfId="11688"/>
    <cellStyle name="Comma 2 2 2 3 6 2 2 3 2" xfId="41603"/>
    <cellStyle name="Comma 2 2 2 3 6 2 2 3 2 2" xfId="47036"/>
    <cellStyle name="Comma 2 2 2 3 6 2 2 4" xfId="25173"/>
    <cellStyle name="Comma 2 2 2 3 6 2 3" xfId="11398"/>
    <cellStyle name="Comma 2 2 2 3 6 2 3 2" xfId="14846"/>
    <cellStyle name="Comma 2 2 2 3 6 2 3 2 2" xfId="46749"/>
    <cellStyle name="Comma 2 2 2 3 6 2 3 2 2 2" xfId="50185"/>
    <cellStyle name="Comma 2 2 2 3 6 2 3 3" xfId="28359"/>
    <cellStyle name="Comma 2 2 2 3 6 2 4" xfId="24886"/>
    <cellStyle name="Comma 2 2 2 3 6 2 4 2" xfId="36654"/>
    <cellStyle name="Comma 2 2 2 3 6 3" xfId="1617"/>
    <cellStyle name="Comma 2 2 2 3 6 3 2" xfId="14556"/>
    <cellStyle name="Comma 2 2 2 3 6 3 2 2" xfId="15292"/>
    <cellStyle name="Comma 2 2 2 3 6 3 2 2 2" xfId="49897"/>
    <cellStyle name="Comma 2 2 2 3 6 3 2 2 2 2" xfId="50627"/>
    <cellStyle name="Comma 2 2 2 3 6 3 2 3" xfId="28801"/>
    <cellStyle name="Comma 2 2 2 3 6 3 3" xfId="28067"/>
    <cellStyle name="Comma 2 2 2 3 6 3 3 2" xfId="37103"/>
    <cellStyle name="Comma 2 2 2 3 6 4" xfId="4519"/>
    <cellStyle name="Comma 2 2 2 3 6 4 2" xfId="36366"/>
    <cellStyle name="Comma 2 2 2 3 6 4 2 2" xfId="39960"/>
    <cellStyle name="Comma 2 2 2 3 6 5" xfId="16202"/>
    <cellStyle name="Comma 2 2 2 3 7" xfId="1652"/>
    <cellStyle name="Comma 2 2 2 3 7 2" xfId="3823"/>
    <cellStyle name="Comma 2 2 2 3 7 2 2" xfId="15325"/>
    <cellStyle name="Comma 2 2 2 3 7 2 2 2" xfId="17438"/>
    <cellStyle name="Comma 2 2 2 3 7 2 2 2 2" xfId="50660"/>
    <cellStyle name="Comma 2 2 2 3 7 2 2 2 2 2" xfId="52765"/>
    <cellStyle name="Comma 2 2 2 3 7 2 2 3" xfId="30939"/>
    <cellStyle name="Comma 2 2 2 3 7 2 3" xfId="28834"/>
    <cellStyle name="Comma 2 2 2 3 7 2 3 2" xfId="39273"/>
    <cellStyle name="Comma 2 2 2 3 7 3" xfId="9015"/>
    <cellStyle name="Comma 2 2 2 3 7 3 2" xfId="37136"/>
    <cellStyle name="Comma 2 2 2 3 7 3 2 2" xfId="44413"/>
    <cellStyle name="Comma 2 2 2 3 7 4" xfId="22524"/>
    <cellStyle name="Comma 2 2 2 3 8" xfId="3655"/>
    <cellStyle name="Comma 2 2 2 3 8 2" xfId="9119"/>
    <cellStyle name="Comma 2 2 2 3 8 2 2" xfId="39110"/>
    <cellStyle name="Comma 2 2 2 3 8 2 2 2" xfId="44510"/>
    <cellStyle name="Comma 2 2 2 3 8 3" xfId="22624"/>
    <cellStyle name="Comma 2 2 2 3 9" xfId="11349"/>
    <cellStyle name="Comma 2 2 2 3 9 2" xfId="27916"/>
    <cellStyle name="Comma 2 2 2 4" xfId="107"/>
    <cellStyle name="Comma 2 2 2 4 2" xfId="220"/>
    <cellStyle name="Comma 2 2 2 4 2 2" xfId="290"/>
    <cellStyle name="Comma 2 2 2 4 2 2 2" xfId="584"/>
    <cellStyle name="Comma 2 2 2 4 2 2 2 2" xfId="626"/>
    <cellStyle name="Comma 2 2 2 4 2 2 2 2 2" xfId="1380"/>
    <cellStyle name="Comma 2 2 2 4 2 2 2 2 2 2" xfId="1422"/>
    <cellStyle name="Comma 2 2 2 4 2 2 2 2 2 2 2" xfId="3398"/>
    <cellStyle name="Comma 2 2 2 4 2 2 2 2 2 2 2 2" xfId="3440"/>
    <cellStyle name="Comma 2 2 2 4 2 2 2 2 2 2 2 2 2" xfId="8613"/>
    <cellStyle name="Comma 2 2 2 4 2 2 2 2 2 2 2 2 2 2" xfId="8655"/>
    <cellStyle name="Comma 2 2 2 4 2 2 2 2 2 2 2 2 2 2 2" xfId="22165"/>
    <cellStyle name="Comma 2 2 2 4 2 2 2 2 2 2 2 2 2 2 2 2" xfId="22207"/>
    <cellStyle name="Comma 2 2 2 4 2 2 2 2 2 2 2 2 2 2 2 2 2" xfId="57491"/>
    <cellStyle name="Comma 2 2 2 4 2 2 2 2 2 2 2 2 2 2 2 2 2 2" xfId="57533"/>
    <cellStyle name="Comma 2 2 2 4 2 2 2 2 2 2 2 2 2 2 2 3" xfId="35710"/>
    <cellStyle name="Comma 2 2 2 4 2 2 2 2 2 2 2 2 2 2 3" xfId="35668"/>
    <cellStyle name="Comma 2 2 2 4 2 2 2 2 2 2 2 2 2 2 3 2" xfId="44082"/>
    <cellStyle name="Comma 2 2 2 4 2 2 2 2 2 2 2 2 2 3" xfId="13880"/>
    <cellStyle name="Comma 2 2 2 4 2 2 2 2 2 2 2 2 2 3 2" xfId="44040"/>
    <cellStyle name="Comma 2 2 2 4 2 2 2 2 2 2 2 2 2 3 2 2" xfId="49226"/>
    <cellStyle name="Comma 2 2 2 4 2 2 2 2 2 2 2 2 2 4" xfId="27365"/>
    <cellStyle name="Comma 2 2 2 4 2 2 2 2 2 2 2 2 3" xfId="13838"/>
    <cellStyle name="Comma 2 2 2 4 2 2 2 2 2 2 2 2 3 2" xfId="17097"/>
    <cellStyle name="Comma 2 2 2 4 2 2 2 2 2 2 2 2 3 2 2" xfId="49184"/>
    <cellStyle name="Comma 2 2 2 4 2 2 2 2 2 2 2 2 3 2 2 2" xfId="52425"/>
    <cellStyle name="Comma 2 2 2 4 2 2 2 2 2 2 2 2 3 3" xfId="30599"/>
    <cellStyle name="Comma 2 2 2 4 2 2 2 2 2 2 2 2 4" xfId="27323"/>
    <cellStyle name="Comma 2 2 2 4 2 2 2 2 2 2 2 2 4 2" xfId="38909"/>
    <cellStyle name="Comma 2 2 2 4 2 2 2 2 2 2 2 3" xfId="5477"/>
    <cellStyle name="Comma 2 2 2 4 2 2 2 2 2 2 2 3 2" xfId="17055"/>
    <cellStyle name="Comma 2 2 2 4 2 2 2 2 2 2 2 3 2 2" xfId="19050"/>
    <cellStyle name="Comma 2 2 2 4 2 2 2 2 2 2 2 3 2 2 2" xfId="52383"/>
    <cellStyle name="Comma 2 2 2 4 2 2 2 2 2 2 2 3 2 2 2 2" xfId="54376"/>
    <cellStyle name="Comma 2 2 2 4 2 2 2 2 2 2 2 3 2 3" xfId="32551"/>
    <cellStyle name="Comma 2 2 2 4 2 2 2 2 2 2 2 3 3" xfId="30557"/>
    <cellStyle name="Comma 2 2 2 4 2 2 2 2 2 2 2 3 3 2" xfId="40914"/>
    <cellStyle name="Comma 2 2 2 4 2 2 2 2 2 2 2 4" xfId="10680"/>
    <cellStyle name="Comma 2 2 2 4 2 2 2 2 2 2 2 4 2" xfId="38867"/>
    <cellStyle name="Comma 2 2 2 4 2 2 2 2 2 2 2 4 2 2" xfId="46043"/>
    <cellStyle name="Comma 2 2 2 4 2 2 2 2 2 2 2 5" xfId="24166"/>
    <cellStyle name="Comma 2 2 2 4 2 2 2 2 2 2 3" xfId="5435"/>
    <cellStyle name="Comma 2 2 2 4 2 2 2 2 2 2 3 2" xfId="6730"/>
    <cellStyle name="Comma 2 2 2 4 2 2 2 2 2 2 3 2 2" xfId="19008"/>
    <cellStyle name="Comma 2 2 2 4 2 2 2 2 2 2 3 2 2 2" xfId="20283"/>
    <cellStyle name="Comma 2 2 2 4 2 2 2 2 2 2 3 2 2 2 2" xfId="54334"/>
    <cellStyle name="Comma 2 2 2 4 2 2 2 2 2 2 3 2 2 2 2 2" xfId="55609"/>
    <cellStyle name="Comma 2 2 2 4 2 2 2 2 2 2 3 2 2 3" xfId="33785"/>
    <cellStyle name="Comma 2 2 2 4 2 2 2 2 2 2 3 2 3" xfId="32509"/>
    <cellStyle name="Comma 2 2 2 4 2 2 2 2 2 2 3 2 3 2" xfId="42158"/>
    <cellStyle name="Comma 2 2 2 4 2 2 2 2 2 2 3 3" xfId="11953"/>
    <cellStyle name="Comma 2 2 2 4 2 2 2 2 2 2 3 3 2" xfId="40872"/>
    <cellStyle name="Comma 2 2 2 4 2 2 2 2 2 2 3 3 2 2" xfId="47301"/>
    <cellStyle name="Comma 2 2 2 4 2 2 2 2 2 2 3 4" xfId="25438"/>
    <cellStyle name="Comma 2 2 2 4 2 2 2 2 2 2 4" xfId="10638"/>
    <cellStyle name="Comma 2 2 2 4 2 2 2 2 2 2 4 2" xfId="15111"/>
    <cellStyle name="Comma 2 2 2 4 2 2 2 2 2 2 4 2 2" xfId="46001"/>
    <cellStyle name="Comma 2 2 2 4 2 2 2 2 2 2 4 2 2 2" xfId="50450"/>
    <cellStyle name="Comma 2 2 2 4 2 2 2 2 2 2 4 3" xfId="28624"/>
    <cellStyle name="Comma 2 2 2 4 2 2 2 2 2 2 5" xfId="24124"/>
    <cellStyle name="Comma 2 2 2 4 2 2 2 2 2 2 5 2" xfId="36919"/>
    <cellStyle name="Comma 2 2 2 4 2 2 2 2 2 3" xfId="2229"/>
    <cellStyle name="Comma 2 2 2 4 2 2 2 2 2 3 2" xfId="6688"/>
    <cellStyle name="Comma 2 2 2 4 2 2 2 2 2 3 2 2" xfId="7463"/>
    <cellStyle name="Comma 2 2 2 4 2 2 2 2 2 3 2 2 2" xfId="20241"/>
    <cellStyle name="Comma 2 2 2 4 2 2 2 2 2 3 2 2 2 2" xfId="21015"/>
    <cellStyle name="Comma 2 2 2 4 2 2 2 2 2 3 2 2 2 2 2" xfId="55567"/>
    <cellStyle name="Comma 2 2 2 4 2 2 2 2 2 3 2 2 2 2 2 2" xfId="56341"/>
    <cellStyle name="Comma 2 2 2 4 2 2 2 2 2 3 2 2 2 3" xfId="34518"/>
    <cellStyle name="Comma 2 2 2 4 2 2 2 2 2 3 2 2 3" xfId="33743"/>
    <cellStyle name="Comma 2 2 2 4 2 2 2 2 2 3 2 2 3 2" xfId="42890"/>
    <cellStyle name="Comma 2 2 2 4 2 2 2 2 2 3 2 3" xfId="12688"/>
    <cellStyle name="Comma 2 2 2 4 2 2 2 2 2 3 2 3 2" xfId="42116"/>
    <cellStyle name="Comma 2 2 2 4 2 2 2 2 2 3 2 3 2 2" xfId="48034"/>
    <cellStyle name="Comma 2 2 2 4 2 2 2 2 2 3 2 4" xfId="26172"/>
    <cellStyle name="Comma 2 2 2 4 2 2 2 2 2 3 3" xfId="11911"/>
    <cellStyle name="Comma 2 2 2 4 2 2 2 2 2 3 3 2" xfId="15893"/>
    <cellStyle name="Comma 2 2 2 4 2 2 2 2 2 3 3 2 2" xfId="47259"/>
    <cellStyle name="Comma 2 2 2 4 2 2 2 2 2 3 3 2 2 2" xfId="51225"/>
    <cellStyle name="Comma 2 2 2 4 2 2 2 2 2 3 3 3" xfId="29399"/>
    <cellStyle name="Comma 2 2 2 4 2 2 2 2 2 3 4" xfId="25396"/>
    <cellStyle name="Comma 2 2 2 4 2 2 2 2 2 3 4 2" xfId="37707"/>
    <cellStyle name="Comma 2 2 2 4 2 2 2 2 2 4" xfId="4245"/>
    <cellStyle name="Comma 2 2 2 4 2 2 2 2 2 4 2" xfId="15069"/>
    <cellStyle name="Comma 2 2 2 4 2 2 2 2 2 4 2 2" xfId="17838"/>
    <cellStyle name="Comma 2 2 2 4 2 2 2 2 2 4 2 2 2" xfId="50408"/>
    <cellStyle name="Comma 2 2 2 4 2 2 2 2 2 4 2 2 2 2" xfId="53165"/>
    <cellStyle name="Comma 2 2 2 4 2 2 2 2 2 4 2 3" xfId="31340"/>
    <cellStyle name="Comma 2 2 2 4 2 2 2 2 2 4 3" xfId="28582"/>
    <cellStyle name="Comma 2 2 2 4 2 2 2 2 2 4 3 2" xfId="39688"/>
    <cellStyle name="Comma 2 2 2 4 2 2 2 2 2 5" xfId="9436"/>
    <cellStyle name="Comma 2 2 2 4 2 2 2 2 2 5 2" xfId="36877"/>
    <cellStyle name="Comma 2 2 2 4 2 2 2 2 2 5 2 2" xfId="44818"/>
    <cellStyle name="Comma 2 2 2 4 2 2 2 2 2 6" xfId="22932"/>
    <cellStyle name="Comma 2 2 2 4 2 2 2 2 3" xfId="2187"/>
    <cellStyle name="Comma 2 2 2 4 2 2 2 2 3 2" xfId="2716"/>
    <cellStyle name="Comma 2 2 2 4 2 2 2 2 3 2 2" xfId="7421"/>
    <cellStyle name="Comma 2 2 2 4 2 2 2 2 3 2 2 2" xfId="7935"/>
    <cellStyle name="Comma 2 2 2 4 2 2 2 2 3 2 2 2 2" xfId="20973"/>
    <cellStyle name="Comma 2 2 2 4 2 2 2 2 3 2 2 2 2 2" xfId="21487"/>
    <cellStyle name="Comma 2 2 2 4 2 2 2 2 3 2 2 2 2 2 2" xfId="56299"/>
    <cellStyle name="Comma 2 2 2 4 2 2 2 2 3 2 2 2 2 2 2 2" xfId="56813"/>
    <cellStyle name="Comma 2 2 2 4 2 2 2 2 3 2 2 2 2 3" xfId="34990"/>
    <cellStyle name="Comma 2 2 2 4 2 2 2 2 3 2 2 2 3" xfId="34476"/>
    <cellStyle name="Comma 2 2 2 4 2 2 2 2 3 2 2 2 3 2" xfId="43362"/>
    <cellStyle name="Comma 2 2 2 4 2 2 2 2 3 2 2 3" xfId="13160"/>
    <cellStyle name="Comma 2 2 2 4 2 2 2 2 3 2 2 3 2" xfId="42848"/>
    <cellStyle name="Comma 2 2 2 4 2 2 2 2 3 2 2 3 2 2" xfId="48506"/>
    <cellStyle name="Comma 2 2 2 4 2 2 2 2 3 2 2 4" xfId="26644"/>
    <cellStyle name="Comma 2 2 2 4 2 2 2 2 3 2 3" xfId="12646"/>
    <cellStyle name="Comma 2 2 2 4 2 2 2 2 3 2 3 2" xfId="16375"/>
    <cellStyle name="Comma 2 2 2 4 2 2 2 2 3 2 3 2 2" xfId="47992"/>
    <cellStyle name="Comma 2 2 2 4 2 2 2 2 3 2 3 2 2 2" xfId="51705"/>
    <cellStyle name="Comma 2 2 2 4 2 2 2 2 3 2 3 3" xfId="29879"/>
    <cellStyle name="Comma 2 2 2 4 2 2 2 2 3 2 4" xfId="26130"/>
    <cellStyle name="Comma 2 2 2 4 2 2 2 2 3 2 4 2" xfId="38189"/>
    <cellStyle name="Comma 2 2 2 4 2 2 2 2 3 3" xfId="4752"/>
    <cellStyle name="Comma 2 2 2 4 2 2 2 2 3 3 2" xfId="15851"/>
    <cellStyle name="Comma 2 2 2 4 2 2 2 2 3 3 2 2" xfId="18329"/>
    <cellStyle name="Comma 2 2 2 4 2 2 2 2 3 3 2 2 2" xfId="51183"/>
    <cellStyle name="Comma 2 2 2 4 2 2 2 2 3 3 2 2 2 2" xfId="53655"/>
    <cellStyle name="Comma 2 2 2 4 2 2 2 2 3 3 2 3" xfId="31830"/>
    <cellStyle name="Comma 2 2 2 4 2 2 2 2 3 3 3" xfId="29357"/>
    <cellStyle name="Comma 2 2 2 4 2 2 2 2 3 3 3 2" xfId="40190"/>
    <cellStyle name="Comma 2 2 2 4 2 2 2 2 3 4" xfId="9955"/>
    <cellStyle name="Comma 2 2 2 4 2 2 2 2 3 4 2" xfId="37665"/>
    <cellStyle name="Comma 2 2 2 4 2 2 2 2 3 4 2 2" xfId="45322"/>
    <cellStyle name="Comma 2 2 2 4 2 2 2 2 3 5" xfId="23445"/>
    <cellStyle name="Comma 2 2 2 4 2 2 2 2 4" xfId="4203"/>
    <cellStyle name="Comma 2 2 2 4 2 2 2 2 4 2" xfId="5957"/>
    <cellStyle name="Comma 2 2 2 4 2 2 2 2 4 2 2" xfId="17796"/>
    <cellStyle name="Comma 2 2 2 4 2 2 2 2 4 2 2 2" xfId="19524"/>
    <cellStyle name="Comma 2 2 2 4 2 2 2 2 4 2 2 2 2" xfId="53123"/>
    <cellStyle name="Comma 2 2 2 4 2 2 2 2 4 2 2 2 2 2" xfId="54850"/>
    <cellStyle name="Comma 2 2 2 4 2 2 2 2 4 2 2 3" xfId="33025"/>
    <cellStyle name="Comma 2 2 2 4 2 2 2 2 4 2 3" xfId="31298"/>
    <cellStyle name="Comma 2 2 2 4 2 2 2 2 4 2 3 2" xfId="41391"/>
    <cellStyle name="Comma 2 2 2 4 2 2 2 2 4 3" xfId="11182"/>
    <cellStyle name="Comma 2 2 2 4 2 2 2 2 4 3 2" xfId="39646"/>
    <cellStyle name="Comma 2 2 2 4 2 2 2 2 4 3 2 2" xfId="46540"/>
    <cellStyle name="Comma 2 2 2 4 2 2 2 2 4 4" xfId="24675"/>
    <cellStyle name="Comma 2 2 2 4 2 2 2 2 5" xfId="9394"/>
    <cellStyle name="Comma 2 2 2 4 2 2 2 2 5 2" xfId="14341"/>
    <cellStyle name="Comma 2 2 2 4 2 2 2 2 5 2 2" xfId="44776"/>
    <cellStyle name="Comma 2 2 2 4 2 2 2 2 5 2 2 2" xfId="49686"/>
    <cellStyle name="Comma 2 2 2 4 2 2 2 2 5 3" xfId="27851"/>
    <cellStyle name="Comma 2 2 2 4 2 2 2 2 6" xfId="22890"/>
    <cellStyle name="Comma 2 2 2 4 2 2 2 2 6 2" xfId="36153"/>
    <cellStyle name="Comma 2 2 2 4 2 2 2 3" xfId="954"/>
    <cellStyle name="Comma 2 2 2 4 2 2 2 3 2" xfId="2674"/>
    <cellStyle name="Comma 2 2 2 4 2 2 2 3 2 2" xfId="2992"/>
    <cellStyle name="Comma 2 2 2 4 2 2 2 3 2 2 2" xfId="7893"/>
    <cellStyle name="Comma 2 2 2 4 2 2 2 3 2 2 2 2" xfId="8207"/>
    <cellStyle name="Comma 2 2 2 4 2 2 2 3 2 2 2 2 2" xfId="21445"/>
    <cellStyle name="Comma 2 2 2 4 2 2 2 3 2 2 2 2 2 2" xfId="21759"/>
    <cellStyle name="Comma 2 2 2 4 2 2 2 3 2 2 2 2 2 2 2" xfId="56771"/>
    <cellStyle name="Comma 2 2 2 4 2 2 2 3 2 2 2 2 2 2 2 2" xfId="57085"/>
    <cellStyle name="Comma 2 2 2 4 2 2 2 3 2 2 2 2 2 3" xfId="35262"/>
    <cellStyle name="Comma 2 2 2 4 2 2 2 3 2 2 2 2 3" xfId="34948"/>
    <cellStyle name="Comma 2 2 2 4 2 2 2 3 2 2 2 2 3 2" xfId="43634"/>
    <cellStyle name="Comma 2 2 2 4 2 2 2 3 2 2 2 3" xfId="13432"/>
    <cellStyle name="Comma 2 2 2 4 2 2 2 3 2 2 2 3 2" xfId="43320"/>
    <cellStyle name="Comma 2 2 2 4 2 2 2 3 2 2 2 3 2 2" xfId="48778"/>
    <cellStyle name="Comma 2 2 2 4 2 2 2 3 2 2 2 4" xfId="26917"/>
    <cellStyle name="Comma 2 2 2 4 2 2 2 3 2 2 3" xfId="13118"/>
    <cellStyle name="Comma 2 2 2 4 2 2 2 3 2 2 3 2" xfId="16649"/>
    <cellStyle name="Comma 2 2 2 4 2 2 2 3 2 2 3 2 2" xfId="48464"/>
    <cellStyle name="Comma 2 2 2 4 2 2 2 3 2 2 3 2 2 2" xfId="51977"/>
    <cellStyle name="Comma 2 2 2 4 2 2 2 3 2 2 3 3" xfId="30151"/>
    <cellStyle name="Comma 2 2 2 4 2 2 2 3 2 2 4" xfId="26602"/>
    <cellStyle name="Comma 2 2 2 4 2 2 2 3 2 2 4 2" xfId="38461"/>
    <cellStyle name="Comma 2 2 2 4 2 2 2 3 2 3" xfId="5028"/>
    <cellStyle name="Comma 2 2 2 4 2 2 2 3 2 3 2" xfId="16333"/>
    <cellStyle name="Comma 2 2 2 4 2 2 2 3 2 3 2 2" xfId="18601"/>
    <cellStyle name="Comma 2 2 2 4 2 2 2 3 2 3 2 2 2" xfId="51663"/>
    <cellStyle name="Comma 2 2 2 4 2 2 2 3 2 3 2 2 2 2" xfId="53927"/>
    <cellStyle name="Comma 2 2 2 4 2 2 2 3 2 3 2 3" xfId="32102"/>
    <cellStyle name="Comma 2 2 2 4 2 2 2 3 2 3 3" xfId="29837"/>
    <cellStyle name="Comma 2 2 2 4 2 2 2 3 2 3 3 2" xfId="40465"/>
    <cellStyle name="Comma 2 2 2 4 2 2 2 3 2 4" xfId="10231"/>
    <cellStyle name="Comma 2 2 2 4 2 2 2 3 2 4 2" xfId="38147"/>
    <cellStyle name="Comma 2 2 2 4 2 2 2 3 2 4 2 2" xfId="45594"/>
    <cellStyle name="Comma 2 2 2 4 2 2 2 3 2 5" xfId="23717"/>
    <cellStyle name="Comma 2 2 2 4 2 2 2 3 3" xfId="4710"/>
    <cellStyle name="Comma 2 2 2 4 2 2 2 3 3 2" xfId="6265"/>
    <cellStyle name="Comma 2 2 2 4 2 2 2 3 3 2 2" xfId="18287"/>
    <cellStyle name="Comma 2 2 2 4 2 2 2 3 3 2 2 2" xfId="19822"/>
    <cellStyle name="Comma 2 2 2 4 2 2 2 3 3 2 2 2 2" xfId="53613"/>
    <cellStyle name="Comma 2 2 2 4 2 2 2 3 3 2 2 2 2 2" xfId="55148"/>
    <cellStyle name="Comma 2 2 2 4 2 2 2 3 3 2 2 3" xfId="33324"/>
    <cellStyle name="Comma 2 2 2 4 2 2 2 3 3 2 3" xfId="31788"/>
    <cellStyle name="Comma 2 2 2 4 2 2 2 3 3 2 3 2" xfId="41694"/>
    <cellStyle name="Comma 2 2 2 4 2 2 2 3 3 3" xfId="11490"/>
    <cellStyle name="Comma 2 2 2 4 2 2 2 3 3 3 2" xfId="40148"/>
    <cellStyle name="Comma 2 2 2 4 2 2 2 3 3 3 2 2" xfId="46839"/>
    <cellStyle name="Comma 2 2 2 4 2 2 2 3 3 4" xfId="24976"/>
    <cellStyle name="Comma 2 2 2 4 2 2 2 3 4" xfId="9913"/>
    <cellStyle name="Comma 2 2 2 4 2 2 2 3 4 2" xfId="14648"/>
    <cellStyle name="Comma 2 2 2 4 2 2 2 3 4 2 2" xfId="45280"/>
    <cellStyle name="Comma 2 2 2 4 2 2 2 3 4 2 2 2" xfId="49987"/>
    <cellStyle name="Comma 2 2 2 4 2 2 2 3 4 3" xfId="28159"/>
    <cellStyle name="Comma 2 2 2 4 2 2 2 3 5" xfId="23403"/>
    <cellStyle name="Comma 2 2 2 4 2 2 2 3 5 2" xfId="36456"/>
    <cellStyle name="Comma 2 2 2 4 2 2 2 4" xfId="1750"/>
    <cellStyle name="Comma 2 2 2 4 2 2 2 4 2" xfId="5915"/>
    <cellStyle name="Comma 2 2 2 4 2 2 2 4 2 2" xfId="7003"/>
    <cellStyle name="Comma 2 2 2 4 2 2 2 4 2 2 2" xfId="19482"/>
    <cellStyle name="Comma 2 2 2 4 2 2 2 4 2 2 2 2" xfId="20556"/>
    <cellStyle name="Comma 2 2 2 4 2 2 2 4 2 2 2 2 2" xfId="54808"/>
    <cellStyle name="Comma 2 2 2 4 2 2 2 4 2 2 2 2 2 2" xfId="55882"/>
    <cellStyle name="Comma 2 2 2 4 2 2 2 4 2 2 2 3" xfId="34058"/>
    <cellStyle name="Comma 2 2 2 4 2 2 2 4 2 2 3" xfId="32983"/>
    <cellStyle name="Comma 2 2 2 4 2 2 2 4 2 2 3 2" xfId="42431"/>
    <cellStyle name="Comma 2 2 2 4 2 2 2 4 2 3" xfId="12227"/>
    <cellStyle name="Comma 2 2 2 4 2 2 2 4 2 3 2" xfId="41349"/>
    <cellStyle name="Comma 2 2 2 4 2 2 2 4 2 3 2 2" xfId="47574"/>
    <cellStyle name="Comma 2 2 2 4 2 2 2 4 2 4" xfId="25712"/>
    <cellStyle name="Comma 2 2 2 4 2 2 2 4 3" xfId="11140"/>
    <cellStyle name="Comma 2 2 2 4 2 2 2 4 3 2" xfId="15422"/>
    <cellStyle name="Comma 2 2 2 4 2 2 2 4 3 2 2" xfId="46498"/>
    <cellStyle name="Comma 2 2 2 4 2 2 2 4 3 2 2 2" xfId="50755"/>
    <cellStyle name="Comma 2 2 2 4 2 2 2 4 3 3" xfId="28929"/>
    <cellStyle name="Comma 2 2 2 4 2 2 2 4 4" xfId="24633"/>
    <cellStyle name="Comma 2 2 2 4 2 2 2 4 4 2" xfId="37232"/>
    <cellStyle name="Comma 2 2 2 4 2 2 2 5" xfId="3756"/>
    <cellStyle name="Comma 2 2 2 4 2 2 2 5 2" xfId="14299"/>
    <cellStyle name="Comma 2 2 2 4 2 2 2 5 2 2" xfId="17372"/>
    <cellStyle name="Comma 2 2 2 4 2 2 2 5 2 2 2" xfId="49644"/>
    <cellStyle name="Comma 2 2 2 4 2 2 2 5 2 2 2 2" xfId="52699"/>
    <cellStyle name="Comma 2 2 2 4 2 2 2 5 2 3" xfId="30873"/>
    <cellStyle name="Comma 2 2 2 4 2 2 2 5 3" xfId="27809"/>
    <cellStyle name="Comma 2 2 2 4 2 2 2 5 3 2" xfId="39207"/>
    <cellStyle name="Comma 2 2 2 4 2 2 2 6" xfId="8946"/>
    <cellStyle name="Comma 2 2 2 4 2 2 2 6 2" xfId="36111"/>
    <cellStyle name="Comma 2 2 2 4 2 2 2 6 2 2" xfId="44345"/>
    <cellStyle name="Comma 2 2 2 4 2 2 2 7" xfId="22453"/>
    <cellStyle name="Comma 2 2 2 4 2 2 3" xfId="912"/>
    <cellStyle name="Comma 2 2 2 4 2 2 3 2" xfId="1153"/>
    <cellStyle name="Comma 2 2 2 4 2 2 3 2 2" xfId="2950"/>
    <cellStyle name="Comma 2 2 2 4 2 2 3 2 2 2" xfId="3176"/>
    <cellStyle name="Comma 2 2 2 4 2 2 3 2 2 2 2" xfId="8165"/>
    <cellStyle name="Comma 2 2 2 4 2 2 3 2 2 2 2 2" xfId="8391"/>
    <cellStyle name="Comma 2 2 2 4 2 2 3 2 2 2 2 2 2" xfId="21717"/>
    <cellStyle name="Comma 2 2 2 4 2 2 3 2 2 2 2 2 2 2" xfId="21943"/>
    <cellStyle name="Comma 2 2 2 4 2 2 3 2 2 2 2 2 2 2 2" xfId="57043"/>
    <cellStyle name="Comma 2 2 2 4 2 2 3 2 2 2 2 2 2 2 2 2" xfId="57269"/>
    <cellStyle name="Comma 2 2 2 4 2 2 3 2 2 2 2 2 2 3" xfId="35446"/>
    <cellStyle name="Comma 2 2 2 4 2 2 3 2 2 2 2 2 3" xfId="35220"/>
    <cellStyle name="Comma 2 2 2 4 2 2 3 2 2 2 2 2 3 2" xfId="43818"/>
    <cellStyle name="Comma 2 2 2 4 2 2 3 2 2 2 2 3" xfId="13616"/>
    <cellStyle name="Comma 2 2 2 4 2 2 3 2 2 2 2 3 2" xfId="43592"/>
    <cellStyle name="Comma 2 2 2 4 2 2 3 2 2 2 2 3 2 2" xfId="48962"/>
    <cellStyle name="Comma 2 2 2 4 2 2 3 2 2 2 2 4" xfId="27101"/>
    <cellStyle name="Comma 2 2 2 4 2 2 3 2 2 2 3" xfId="13390"/>
    <cellStyle name="Comma 2 2 2 4 2 2 3 2 2 2 3 2" xfId="16833"/>
    <cellStyle name="Comma 2 2 2 4 2 2 3 2 2 2 3 2 2" xfId="48736"/>
    <cellStyle name="Comma 2 2 2 4 2 2 3 2 2 2 3 2 2 2" xfId="52161"/>
    <cellStyle name="Comma 2 2 2 4 2 2 3 2 2 2 3 3" xfId="30335"/>
    <cellStyle name="Comma 2 2 2 4 2 2 3 2 2 2 4" xfId="26875"/>
    <cellStyle name="Comma 2 2 2 4 2 2 3 2 2 2 4 2" xfId="38645"/>
    <cellStyle name="Comma 2 2 2 4 2 2 3 2 2 3" xfId="5213"/>
    <cellStyle name="Comma 2 2 2 4 2 2 3 2 2 3 2" xfId="16607"/>
    <cellStyle name="Comma 2 2 2 4 2 2 3 2 2 3 2 2" xfId="18786"/>
    <cellStyle name="Comma 2 2 2 4 2 2 3 2 2 3 2 2 2" xfId="51935"/>
    <cellStyle name="Comma 2 2 2 4 2 2 3 2 2 3 2 2 2 2" xfId="54112"/>
    <cellStyle name="Comma 2 2 2 4 2 2 3 2 2 3 2 3" xfId="32287"/>
    <cellStyle name="Comma 2 2 2 4 2 2 3 2 2 3 3" xfId="30109"/>
    <cellStyle name="Comma 2 2 2 4 2 2 3 2 2 3 3 2" xfId="40650"/>
    <cellStyle name="Comma 2 2 2 4 2 2 3 2 2 4" xfId="10416"/>
    <cellStyle name="Comma 2 2 2 4 2 2 3 2 2 4 2" xfId="38419"/>
    <cellStyle name="Comma 2 2 2 4 2 2 3 2 2 4 2 2" xfId="45779"/>
    <cellStyle name="Comma 2 2 2 4 2 2 3 2 2 5" xfId="23902"/>
    <cellStyle name="Comma 2 2 2 4 2 2 3 2 3" xfId="4986"/>
    <cellStyle name="Comma 2 2 2 4 2 2 3 2 3 2" xfId="6461"/>
    <cellStyle name="Comma 2 2 2 4 2 2 3 2 3 2 2" xfId="18559"/>
    <cellStyle name="Comma 2 2 2 4 2 2 3 2 3 2 2 2" xfId="20015"/>
    <cellStyle name="Comma 2 2 2 4 2 2 3 2 3 2 2 2 2" xfId="53885"/>
    <cellStyle name="Comma 2 2 2 4 2 2 3 2 3 2 2 2 2 2" xfId="55341"/>
    <cellStyle name="Comma 2 2 2 4 2 2 3 2 3 2 2 3" xfId="33517"/>
    <cellStyle name="Comma 2 2 2 4 2 2 3 2 3 2 3" xfId="32060"/>
    <cellStyle name="Comma 2 2 2 4 2 2 3 2 3 2 3 2" xfId="41889"/>
    <cellStyle name="Comma 2 2 2 4 2 2 3 2 3 3" xfId="11685"/>
    <cellStyle name="Comma 2 2 2 4 2 2 3 2 3 3 2" xfId="40423"/>
    <cellStyle name="Comma 2 2 2 4 2 2 3 2 3 3 2 2" xfId="47033"/>
    <cellStyle name="Comma 2 2 2 4 2 2 3 2 3 4" xfId="25170"/>
    <cellStyle name="Comma 2 2 2 4 2 2 3 2 4" xfId="10189"/>
    <cellStyle name="Comma 2 2 2 4 2 2 3 2 4 2" xfId="14843"/>
    <cellStyle name="Comma 2 2 2 4 2 2 3 2 4 2 2" xfId="45552"/>
    <cellStyle name="Comma 2 2 2 4 2 2 3 2 4 2 2 2" xfId="50182"/>
    <cellStyle name="Comma 2 2 2 4 2 2 3 2 4 3" xfId="28356"/>
    <cellStyle name="Comma 2 2 2 4 2 2 3 2 5" xfId="23675"/>
    <cellStyle name="Comma 2 2 2 4 2 2 3 2 5 2" xfId="36651"/>
    <cellStyle name="Comma 2 2 2 4 2 2 3 3" xfId="1961"/>
    <cellStyle name="Comma 2 2 2 4 2 2 3 3 2" xfId="6223"/>
    <cellStyle name="Comma 2 2 2 4 2 2 3 3 2 2" xfId="7198"/>
    <cellStyle name="Comma 2 2 2 4 2 2 3 3 2 2 2" xfId="19780"/>
    <cellStyle name="Comma 2 2 2 4 2 2 3 3 2 2 2 2" xfId="20750"/>
    <cellStyle name="Comma 2 2 2 4 2 2 3 3 2 2 2 2 2" xfId="55106"/>
    <cellStyle name="Comma 2 2 2 4 2 2 3 3 2 2 2 2 2 2" xfId="56076"/>
    <cellStyle name="Comma 2 2 2 4 2 2 3 3 2 2 2 3" xfId="34253"/>
    <cellStyle name="Comma 2 2 2 4 2 2 3 3 2 2 3" xfId="33282"/>
    <cellStyle name="Comma 2 2 2 4 2 2 3 3 2 2 3 2" xfId="42625"/>
    <cellStyle name="Comma 2 2 2 4 2 2 3 3 2 3" xfId="12423"/>
    <cellStyle name="Comma 2 2 2 4 2 2 3 3 2 3 2" xfId="41652"/>
    <cellStyle name="Comma 2 2 2 4 2 2 3 3 2 3 2 2" xfId="47769"/>
    <cellStyle name="Comma 2 2 2 4 2 2 3 3 2 4" xfId="25907"/>
    <cellStyle name="Comma 2 2 2 4 2 2 3 3 3" xfId="11448"/>
    <cellStyle name="Comma 2 2 2 4 2 2 3 3 3 2" xfId="15626"/>
    <cellStyle name="Comma 2 2 2 4 2 2 3 3 3 2 2" xfId="46797"/>
    <cellStyle name="Comma 2 2 2 4 2 2 3 3 3 2 2 2" xfId="50958"/>
    <cellStyle name="Comma 2 2 2 4 2 2 3 3 3 3" xfId="29132"/>
    <cellStyle name="Comma 2 2 2 4 2 2 3 3 4" xfId="24934"/>
    <cellStyle name="Comma 2 2 2 4 2 2 3 3 4 2" xfId="37439"/>
    <cellStyle name="Comma 2 2 2 4 2 2 3 4" xfId="3975"/>
    <cellStyle name="Comma 2 2 2 4 2 2 3 4 2" xfId="14606"/>
    <cellStyle name="Comma 2 2 2 4 2 2 3 4 2 2" xfId="17573"/>
    <cellStyle name="Comma 2 2 2 4 2 2 3 4 2 2 2" xfId="49945"/>
    <cellStyle name="Comma 2 2 2 4 2 2 3 4 2 2 2 2" xfId="52900"/>
    <cellStyle name="Comma 2 2 2 4 2 2 3 4 2 3" xfId="31075"/>
    <cellStyle name="Comma 2 2 2 4 2 2 3 4 3" xfId="28117"/>
    <cellStyle name="Comma 2 2 2 4 2 2 3 4 3 2" xfId="39419"/>
    <cellStyle name="Comma 2 2 2 4 2 2 3 5" xfId="9167"/>
    <cellStyle name="Comma 2 2 2 4 2 2 3 5 2" xfId="36414"/>
    <cellStyle name="Comma 2 2 2 4 2 2 3 5 2 2" xfId="44553"/>
    <cellStyle name="Comma 2 2 2 4 2 2 3 6" xfId="22667"/>
    <cellStyle name="Comma 2 2 2 4 2 2 4" xfId="1708"/>
    <cellStyle name="Comma 2 2 2 4 2 2 4 2" xfId="2408"/>
    <cellStyle name="Comma 2 2 2 4 2 2 4 2 2" xfId="6961"/>
    <cellStyle name="Comma 2 2 2 4 2 2 4 2 2 2" xfId="7640"/>
    <cellStyle name="Comma 2 2 2 4 2 2 4 2 2 2 2" xfId="20514"/>
    <cellStyle name="Comma 2 2 2 4 2 2 4 2 2 2 2 2" xfId="21192"/>
    <cellStyle name="Comma 2 2 2 4 2 2 4 2 2 2 2 2 2" xfId="55840"/>
    <cellStyle name="Comma 2 2 2 4 2 2 4 2 2 2 2 2 2 2" xfId="56518"/>
    <cellStyle name="Comma 2 2 2 4 2 2 4 2 2 2 2 3" xfId="34695"/>
    <cellStyle name="Comma 2 2 2 4 2 2 4 2 2 2 3" xfId="34016"/>
    <cellStyle name="Comma 2 2 2 4 2 2 4 2 2 2 3 2" xfId="43067"/>
    <cellStyle name="Comma 2 2 2 4 2 2 4 2 2 3" xfId="12865"/>
    <cellStyle name="Comma 2 2 2 4 2 2 4 2 2 3 2" xfId="42389"/>
    <cellStyle name="Comma 2 2 2 4 2 2 4 2 2 3 2 2" xfId="48211"/>
    <cellStyle name="Comma 2 2 2 4 2 2 4 2 2 4" xfId="26349"/>
    <cellStyle name="Comma 2 2 2 4 2 2 4 2 3" xfId="12185"/>
    <cellStyle name="Comma 2 2 2 4 2 2 4 2 3 2" xfId="16071"/>
    <cellStyle name="Comma 2 2 2 4 2 2 4 2 3 2 2" xfId="47532"/>
    <cellStyle name="Comma 2 2 2 4 2 2 4 2 3 2 2 2" xfId="51403"/>
    <cellStyle name="Comma 2 2 2 4 2 2 4 2 3 3" xfId="29577"/>
    <cellStyle name="Comma 2 2 2 4 2 2 4 2 4" xfId="25670"/>
    <cellStyle name="Comma 2 2 2 4 2 2 4 2 4 2" xfId="37886"/>
    <cellStyle name="Comma 2 2 2 4 2 2 4 3" xfId="4443"/>
    <cellStyle name="Comma 2 2 2 4 2 2 4 3 2" xfId="15380"/>
    <cellStyle name="Comma 2 2 2 4 2 2 4 3 2 2" xfId="18033"/>
    <cellStyle name="Comma 2 2 2 4 2 2 4 3 2 2 2" xfId="50713"/>
    <cellStyle name="Comma 2 2 2 4 2 2 4 3 2 2 2 2" xfId="53359"/>
    <cellStyle name="Comma 2 2 2 4 2 2 4 3 2 3" xfId="31534"/>
    <cellStyle name="Comma 2 2 2 4 2 2 4 3 3" xfId="28887"/>
    <cellStyle name="Comma 2 2 2 4 2 2 4 3 3 2" xfId="39885"/>
    <cellStyle name="Comma 2 2 2 4 2 2 4 4" xfId="9647"/>
    <cellStyle name="Comma 2 2 2 4 2 2 4 4 2" xfId="37190"/>
    <cellStyle name="Comma 2 2 2 4 2 2 4 4 2 2" xfId="45025"/>
    <cellStyle name="Comma 2 2 2 4 2 2 4 5" xfId="23148"/>
    <cellStyle name="Comma 2 2 2 4 2 2 5" xfId="3713"/>
    <cellStyle name="Comma 2 2 2 4 2 2 5 2" xfId="5649"/>
    <cellStyle name="Comma 2 2 2 4 2 2 5 2 2" xfId="17329"/>
    <cellStyle name="Comma 2 2 2 4 2 2 5 2 2 2" xfId="19221"/>
    <cellStyle name="Comma 2 2 2 4 2 2 5 2 2 2 2" xfId="52656"/>
    <cellStyle name="Comma 2 2 2 4 2 2 5 2 2 2 2 2" xfId="54547"/>
    <cellStyle name="Comma 2 2 2 4 2 2 5 2 2 3" xfId="32722"/>
    <cellStyle name="Comma 2 2 2 4 2 2 5 2 3" xfId="30830"/>
    <cellStyle name="Comma 2 2 2 4 2 2 5 2 3 2" xfId="41085"/>
    <cellStyle name="Comma 2 2 2 4 2 2 5 3" xfId="10866"/>
    <cellStyle name="Comma 2 2 2 4 2 2 5 3 2" xfId="39164"/>
    <cellStyle name="Comma 2 2 2 4 2 2 5 3 2 2" xfId="46228"/>
    <cellStyle name="Comma 2 2 2 4 2 2 5 4" xfId="24359"/>
    <cellStyle name="Comma 2 2 2 4 2 2 6" xfId="8902"/>
    <cellStyle name="Comma 2 2 2 4 2 2 6 2" xfId="14033"/>
    <cellStyle name="Comma 2 2 2 4 2 2 6 2 2" xfId="44301"/>
    <cellStyle name="Comma 2 2 2 4 2 2 6 2 2 2" xfId="49379"/>
    <cellStyle name="Comma 2 2 2 4 2 2 6 3" xfId="27530"/>
    <cellStyle name="Comma 2 2 2 4 2 2 7" xfId="22409"/>
    <cellStyle name="Comma 2 2 2 4 2 2 7 2" xfId="35845"/>
    <cellStyle name="Comma 2 2 2 4 2 3" xfId="435"/>
    <cellStyle name="Comma 2 2 2 4 2 3 2" xfId="1093"/>
    <cellStyle name="Comma 2 2 2 4 2 3 2 2" xfId="1257"/>
    <cellStyle name="Comma 2 2 2 4 2 3 2 2 2" xfId="3123"/>
    <cellStyle name="Comma 2 2 2 4 2 3 2 2 2 2" xfId="3275"/>
    <cellStyle name="Comma 2 2 2 4 2 3 2 2 2 2 2" xfId="8338"/>
    <cellStyle name="Comma 2 2 2 4 2 3 2 2 2 2 2 2" xfId="8490"/>
    <cellStyle name="Comma 2 2 2 4 2 3 2 2 2 2 2 2 2" xfId="21890"/>
    <cellStyle name="Comma 2 2 2 4 2 3 2 2 2 2 2 2 2 2" xfId="22042"/>
    <cellStyle name="Comma 2 2 2 4 2 3 2 2 2 2 2 2 2 2 2" xfId="57216"/>
    <cellStyle name="Comma 2 2 2 4 2 3 2 2 2 2 2 2 2 2 2 2" xfId="57368"/>
    <cellStyle name="Comma 2 2 2 4 2 3 2 2 2 2 2 2 2 3" xfId="35545"/>
    <cellStyle name="Comma 2 2 2 4 2 3 2 2 2 2 2 2 3" xfId="35393"/>
    <cellStyle name="Comma 2 2 2 4 2 3 2 2 2 2 2 2 3 2" xfId="43917"/>
    <cellStyle name="Comma 2 2 2 4 2 3 2 2 2 2 2 3" xfId="13715"/>
    <cellStyle name="Comma 2 2 2 4 2 3 2 2 2 2 2 3 2" xfId="43765"/>
    <cellStyle name="Comma 2 2 2 4 2 3 2 2 2 2 2 3 2 2" xfId="49061"/>
    <cellStyle name="Comma 2 2 2 4 2 3 2 2 2 2 2 4" xfId="27200"/>
    <cellStyle name="Comma 2 2 2 4 2 3 2 2 2 2 3" xfId="13563"/>
    <cellStyle name="Comma 2 2 2 4 2 3 2 2 2 2 3 2" xfId="16932"/>
    <cellStyle name="Comma 2 2 2 4 2 3 2 2 2 2 3 2 2" xfId="48909"/>
    <cellStyle name="Comma 2 2 2 4 2 3 2 2 2 2 3 2 2 2" xfId="52260"/>
    <cellStyle name="Comma 2 2 2 4 2 3 2 2 2 2 3 3" xfId="30434"/>
    <cellStyle name="Comma 2 2 2 4 2 3 2 2 2 2 4" xfId="27048"/>
    <cellStyle name="Comma 2 2 2 4 2 3 2 2 2 2 4 2" xfId="38744"/>
    <cellStyle name="Comma 2 2 2 4 2 3 2 2 2 3" xfId="5312"/>
    <cellStyle name="Comma 2 2 2 4 2 3 2 2 2 3 2" xfId="16780"/>
    <cellStyle name="Comma 2 2 2 4 2 3 2 2 2 3 2 2" xfId="18885"/>
    <cellStyle name="Comma 2 2 2 4 2 3 2 2 2 3 2 2 2" xfId="52108"/>
    <cellStyle name="Comma 2 2 2 4 2 3 2 2 2 3 2 2 2 2" xfId="54211"/>
    <cellStyle name="Comma 2 2 2 4 2 3 2 2 2 3 2 3" xfId="32386"/>
    <cellStyle name="Comma 2 2 2 4 2 3 2 2 2 3 3" xfId="30282"/>
    <cellStyle name="Comma 2 2 2 4 2 3 2 2 2 3 3 2" xfId="40749"/>
    <cellStyle name="Comma 2 2 2 4 2 3 2 2 2 4" xfId="10515"/>
    <cellStyle name="Comma 2 2 2 4 2 3 2 2 2 4 2" xfId="38592"/>
    <cellStyle name="Comma 2 2 2 4 2 3 2 2 2 4 2 2" xfId="45878"/>
    <cellStyle name="Comma 2 2 2 4 2 3 2 2 2 5" xfId="24001"/>
    <cellStyle name="Comma 2 2 2 4 2 3 2 2 3" xfId="5160"/>
    <cellStyle name="Comma 2 2 2 4 2 3 2 2 3 2" xfId="6565"/>
    <cellStyle name="Comma 2 2 2 4 2 3 2 2 3 2 2" xfId="18733"/>
    <cellStyle name="Comma 2 2 2 4 2 3 2 2 3 2 2 2" xfId="20118"/>
    <cellStyle name="Comma 2 2 2 4 2 3 2 2 3 2 2 2 2" xfId="54059"/>
    <cellStyle name="Comma 2 2 2 4 2 3 2 2 3 2 2 2 2 2" xfId="55444"/>
    <cellStyle name="Comma 2 2 2 4 2 3 2 2 3 2 2 3" xfId="33620"/>
    <cellStyle name="Comma 2 2 2 4 2 3 2 2 3 2 3" xfId="32234"/>
    <cellStyle name="Comma 2 2 2 4 2 3 2 2 3 2 3 2" xfId="41993"/>
    <cellStyle name="Comma 2 2 2 4 2 3 2 2 3 3" xfId="11788"/>
    <cellStyle name="Comma 2 2 2 4 2 3 2 2 3 3 2" xfId="40597"/>
    <cellStyle name="Comma 2 2 2 4 2 3 2 2 3 3 2 2" xfId="47136"/>
    <cellStyle name="Comma 2 2 2 4 2 3 2 2 3 4" xfId="25273"/>
    <cellStyle name="Comma 2 2 2 4 2 3 2 2 4" xfId="10363"/>
    <cellStyle name="Comma 2 2 2 4 2 3 2 2 4 2" xfId="14946"/>
    <cellStyle name="Comma 2 2 2 4 2 3 2 2 4 2 2" xfId="45726"/>
    <cellStyle name="Comma 2 2 2 4 2 3 2 2 4 2 2 2" xfId="50285"/>
    <cellStyle name="Comma 2 2 2 4 2 3 2 2 4 3" xfId="28459"/>
    <cellStyle name="Comma 2 2 2 4 2 3 2 2 5" xfId="23849"/>
    <cellStyle name="Comma 2 2 2 4 2 3 2 2 5 2" xfId="36754"/>
    <cellStyle name="Comma 2 2 2 4 2 3 2 3" xfId="2063"/>
    <cellStyle name="Comma 2 2 2 4 2 3 2 3 2" xfId="6402"/>
    <cellStyle name="Comma 2 2 2 4 2 3 2 3 2 2" xfId="7297"/>
    <cellStyle name="Comma 2 2 2 4 2 3 2 3 2 2 2" xfId="19958"/>
    <cellStyle name="Comma 2 2 2 4 2 3 2 3 2 2 2 2" xfId="20849"/>
    <cellStyle name="Comma 2 2 2 4 2 3 2 3 2 2 2 2 2" xfId="55284"/>
    <cellStyle name="Comma 2 2 2 4 2 3 2 3 2 2 2 2 2 2" xfId="56175"/>
    <cellStyle name="Comma 2 2 2 4 2 3 2 3 2 2 2 3" xfId="34352"/>
    <cellStyle name="Comma 2 2 2 4 2 3 2 3 2 2 3" xfId="33460"/>
    <cellStyle name="Comma 2 2 2 4 2 3 2 3 2 2 3 2" xfId="42724"/>
    <cellStyle name="Comma 2 2 2 4 2 3 2 3 2 3" xfId="12522"/>
    <cellStyle name="Comma 2 2 2 4 2 3 2 3 2 3 2" xfId="41831"/>
    <cellStyle name="Comma 2 2 2 4 2 3 2 3 2 3 2 2" xfId="47868"/>
    <cellStyle name="Comma 2 2 2 4 2 3 2 3 2 4" xfId="26006"/>
    <cellStyle name="Comma 2 2 2 4 2 3 2 3 3" xfId="11627"/>
    <cellStyle name="Comma 2 2 2 4 2 3 2 3 3 2" xfId="15727"/>
    <cellStyle name="Comma 2 2 2 4 2 3 2 3 3 2 2" xfId="46976"/>
    <cellStyle name="Comma 2 2 2 4 2 3 2 3 3 2 2 2" xfId="51059"/>
    <cellStyle name="Comma 2 2 2 4 2 3 2 3 3 3" xfId="29233"/>
    <cellStyle name="Comma 2 2 2 4 2 3 2 3 4" xfId="25113"/>
    <cellStyle name="Comma 2 2 2 4 2 3 2 3 4 2" xfId="37541"/>
    <cellStyle name="Comma 2 2 2 4 2 3 2 4" xfId="4079"/>
    <cellStyle name="Comma 2 2 2 4 2 3 2 4 2" xfId="14785"/>
    <cellStyle name="Comma 2 2 2 4 2 3 2 4 2 2" xfId="17672"/>
    <cellStyle name="Comma 2 2 2 4 2 3 2 4 2 2 2" xfId="50124"/>
    <cellStyle name="Comma 2 2 2 4 2 3 2 4 2 2 2 2" xfId="52999"/>
    <cellStyle name="Comma 2 2 2 4 2 3 2 4 2 3" xfId="31174"/>
    <cellStyle name="Comma 2 2 2 4 2 3 2 4 3" xfId="28297"/>
    <cellStyle name="Comma 2 2 2 4 2 3 2 4 3 2" xfId="39522"/>
    <cellStyle name="Comma 2 2 2 4 2 3 2 5" xfId="9270"/>
    <cellStyle name="Comma 2 2 2 4 2 3 2 5 2" xfId="36593"/>
    <cellStyle name="Comma 2 2 2 4 2 3 2 5 2 2" xfId="44652"/>
    <cellStyle name="Comma 2 2 2 4 2 3 2 6" xfId="22766"/>
    <cellStyle name="Comma 2 2 2 4 2 3 3" xfId="1901"/>
    <cellStyle name="Comma 2 2 2 4 2 3 3 2" xfId="2535"/>
    <cellStyle name="Comma 2 2 2 4 2 3 3 2 2" xfId="7145"/>
    <cellStyle name="Comma 2 2 2 4 2 3 3 2 2 2" xfId="7760"/>
    <cellStyle name="Comma 2 2 2 4 2 3 3 2 2 2 2" xfId="20697"/>
    <cellStyle name="Comma 2 2 2 4 2 3 3 2 2 2 2 2" xfId="21312"/>
    <cellStyle name="Comma 2 2 2 4 2 3 3 2 2 2 2 2 2" xfId="56023"/>
    <cellStyle name="Comma 2 2 2 4 2 3 3 2 2 2 2 2 2 2" xfId="56638"/>
    <cellStyle name="Comma 2 2 2 4 2 3 3 2 2 2 2 3" xfId="34815"/>
    <cellStyle name="Comma 2 2 2 4 2 3 3 2 2 2 3" xfId="34200"/>
    <cellStyle name="Comma 2 2 2 4 2 3 3 2 2 2 3 2" xfId="43187"/>
    <cellStyle name="Comma 2 2 2 4 2 3 3 2 2 3" xfId="12985"/>
    <cellStyle name="Comma 2 2 2 4 2 3 3 2 2 3 2" xfId="42572"/>
    <cellStyle name="Comma 2 2 2 4 2 3 3 2 2 3 2 2" xfId="48331"/>
    <cellStyle name="Comma 2 2 2 4 2 3 3 2 2 4" xfId="26469"/>
    <cellStyle name="Comma 2 2 2 4 2 3 3 2 3" xfId="12370"/>
    <cellStyle name="Comma 2 2 2 4 2 3 3 2 3 2" xfId="16196"/>
    <cellStyle name="Comma 2 2 2 4 2 3 3 2 3 2 2" xfId="47716"/>
    <cellStyle name="Comma 2 2 2 4 2 3 3 2 3 2 2 2" xfId="51527"/>
    <cellStyle name="Comma 2 2 2 4 2 3 3 2 3 3" xfId="29701"/>
    <cellStyle name="Comma 2 2 2 4 2 3 3 2 4" xfId="25854"/>
    <cellStyle name="Comma 2 2 2 4 2 3 3 2 4 2" xfId="38010"/>
    <cellStyle name="Comma 2 2 2 4 2 3 3 3" xfId="4570"/>
    <cellStyle name="Comma 2 2 2 4 2 3 3 3 2" xfId="15568"/>
    <cellStyle name="Comma 2 2 2 4 2 3 3 3 2 2" xfId="18153"/>
    <cellStyle name="Comma 2 2 2 4 2 3 3 3 2 2 2" xfId="50900"/>
    <cellStyle name="Comma 2 2 2 4 2 3 3 3 2 2 2 2" xfId="53479"/>
    <cellStyle name="Comma 2 2 2 4 2 3 3 3 2 3" xfId="31654"/>
    <cellStyle name="Comma 2 2 2 4 2 3 3 3 3" xfId="29074"/>
    <cellStyle name="Comma 2 2 2 4 2 3 3 3 3 2" xfId="40011"/>
    <cellStyle name="Comma 2 2 2 4 2 3 3 4" xfId="9773"/>
    <cellStyle name="Comma 2 2 2 4 2 3 3 4 2" xfId="37380"/>
    <cellStyle name="Comma 2 2 2 4 2 3 3 4 2 2" xfId="45146"/>
    <cellStyle name="Comma 2 2 2 4 2 3 3 5" xfId="23269"/>
    <cellStyle name="Comma 2 2 2 4 2 3 4" xfId="3915"/>
    <cellStyle name="Comma 2 2 2 4 2 3 4 2" xfId="5778"/>
    <cellStyle name="Comma 2 2 2 4 2 3 4 2 2" xfId="17520"/>
    <cellStyle name="Comma 2 2 2 4 2 3 4 2 2 2" xfId="19346"/>
    <cellStyle name="Comma 2 2 2 4 2 3 4 2 2 2 2" xfId="52847"/>
    <cellStyle name="Comma 2 2 2 4 2 3 4 2 2 2 2 2" xfId="54672"/>
    <cellStyle name="Comma 2 2 2 4 2 3 4 2 2 3" xfId="32847"/>
    <cellStyle name="Comma 2 2 2 4 2 3 4 2 3" xfId="31022"/>
    <cellStyle name="Comma 2 2 2 4 2 3 4 2 3 2" xfId="41213"/>
    <cellStyle name="Comma 2 2 2 4 2 3 4 3" xfId="10998"/>
    <cellStyle name="Comma 2 2 2 4 2 3 4 3 2" xfId="39360"/>
    <cellStyle name="Comma 2 2 2 4 2 3 4 3 2 2" xfId="46357"/>
    <cellStyle name="Comma 2 2 2 4 2 3 4 4" xfId="24491"/>
    <cellStyle name="Comma 2 2 2 4 2 3 5" xfId="9107"/>
    <cellStyle name="Comma 2 2 2 4 2 3 5 2" xfId="14161"/>
    <cellStyle name="Comma 2 2 2 4 2 3 5 2 2" xfId="44499"/>
    <cellStyle name="Comma 2 2 2 4 2 3 5 2 2 2" xfId="49506"/>
    <cellStyle name="Comma 2 2 2 4 2 3 5 3" xfId="27663"/>
    <cellStyle name="Comma 2 2 2 4 2 3 6" xfId="22613"/>
    <cellStyle name="Comma 2 2 2 4 2 3 6 2" xfId="35972"/>
    <cellStyle name="Comma 2 2 2 4 2 4" xfId="756"/>
    <cellStyle name="Comma 2 2 2 4 2 4 2" xfId="2350"/>
    <cellStyle name="Comma 2 2 2 4 2 4 2 2" xfId="2819"/>
    <cellStyle name="Comma 2 2 2 4 2 4 2 2 2" xfId="7584"/>
    <cellStyle name="Comma 2 2 2 4 2 4 2 2 2 2" xfId="8035"/>
    <cellStyle name="Comma 2 2 2 4 2 4 2 2 2 2 2" xfId="21136"/>
    <cellStyle name="Comma 2 2 2 4 2 4 2 2 2 2 2 2" xfId="21587"/>
    <cellStyle name="Comma 2 2 2 4 2 4 2 2 2 2 2 2 2" xfId="56462"/>
    <cellStyle name="Comma 2 2 2 4 2 4 2 2 2 2 2 2 2 2" xfId="56913"/>
    <cellStyle name="Comma 2 2 2 4 2 4 2 2 2 2 2 3" xfId="35090"/>
    <cellStyle name="Comma 2 2 2 4 2 4 2 2 2 2 3" xfId="34639"/>
    <cellStyle name="Comma 2 2 2 4 2 4 2 2 2 2 3 2" xfId="43462"/>
    <cellStyle name="Comma 2 2 2 4 2 4 2 2 2 3" xfId="13260"/>
    <cellStyle name="Comma 2 2 2 4 2 4 2 2 2 3 2" xfId="43011"/>
    <cellStyle name="Comma 2 2 2 4 2 4 2 2 2 3 2 2" xfId="48606"/>
    <cellStyle name="Comma 2 2 2 4 2 4 2 2 2 4" xfId="26744"/>
    <cellStyle name="Comma 2 2 2 4 2 4 2 2 3" xfId="12809"/>
    <cellStyle name="Comma 2 2 2 4 2 4 2 2 3 2" xfId="16477"/>
    <cellStyle name="Comma 2 2 2 4 2 4 2 2 3 2 2" xfId="48155"/>
    <cellStyle name="Comma 2 2 2 4 2 4 2 2 3 2 2 2" xfId="51805"/>
    <cellStyle name="Comma 2 2 2 4 2 4 2 2 3 3" xfId="29979"/>
    <cellStyle name="Comma 2 2 2 4 2 4 2 2 4" xfId="26293"/>
    <cellStyle name="Comma 2 2 2 4 2 4 2 2 4 2" xfId="38289"/>
    <cellStyle name="Comma 2 2 2 4 2 4 2 3" xfId="4855"/>
    <cellStyle name="Comma 2 2 2 4 2 4 2 3 2" xfId="16014"/>
    <cellStyle name="Comma 2 2 2 4 2 4 2 3 2 2" xfId="18429"/>
    <cellStyle name="Comma 2 2 2 4 2 4 2 3 2 2 2" xfId="51346"/>
    <cellStyle name="Comma 2 2 2 4 2 4 2 3 2 2 2 2" xfId="53755"/>
    <cellStyle name="Comma 2 2 2 4 2 4 2 3 2 3" xfId="31930"/>
    <cellStyle name="Comma 2 2 2 4 2 4 2 3 3" xfId="29520"/>
    <cellStyle name="Comma 2 2 2 4 2 4 2 3 3 2" xfId="40292"/>
    <cellStyle name="Comma 2 2 2 4 2 4 2 4" xfId="10058"/>
    <cellStyle name="Comma 2 2 2 4 2 4 2 4 2" xfId="37828"/>
    <cellStyle name="Comma 2 2 2 4 2 4 2 4 2 2" xfId="45422"/>
    <cellStyle name="Comma 2 2 2 4 2 4 2 5" xfId="23545"/>
    <cellStyle name="Comma 2 2 2 4 2 4 3" xfId="4381"/>
    <cellStyle name="Comma 2 2 2 4 2 4 3 2" xfId="6074"/>
    <cellStyle name="Comma 2 2 2 4 2 4 3 2 2" xfId="17973"/>
    <cellStyle name="Comma 2 2 2 4 2 4 3 2 2 2" xfId="19638"/>
    <cellStyle name="Comma 2 2 2 4 2 4 3 2 2 2 2" xfId="53299"/>
    <cellStyle name="Comma 2 2 2 4 2 4 3 2 2 2 2 2" xfId="54964"/>
    <cellStyle name="Comma 2 2 2 4 2 4 3 2 2 3" xfId="33139"/>
    <cellStyle name="Comma 2 2 2 4 2 4 3 2 3" xfId="31474"/>
    <cellStyle name="Comma 2 2 2 4 2 4 3 2 3 2" xfId="41508"/>
    <cellStyle name="Comma 2 2 2 4 2 4 3 3" xfId="11300"/>
    <cellStyle name="Comma 2 2 2 4 2 4 3 3 2" xfId="39823"/>
    <cellStyle name="Comma 2 2 2 4 2 4 3 3 2 2" xfId="46655"/>
    <cellStyle name="Comma 2 2 2 4 2 4 3 4" xfId="24792"/>
    <cellStyle name="Comma 2 2 2 4 2 4 4" xfId="9582"/>
    <cellStyle name="Comma 2 2 2 4 2 4 4 2" xfId="14460"/>
    <cellStyle name="Comma 2 2 2 4 2 4 4 2 2" xfId="44963"/>
    <cellStyle name="Comma 2 2 2 4 2 4 4 2 2 2" xfId="49802"/>
    <cellStyle name="Comma 2 2 2 4 2 4 4 3" xfId="27970"/>
    <cellStyle name="Comma 2 2 2 4 2 4 5" xfId="23083"/>
    <cellStyle name="Comma 2 2 2 4 2 4 5 2" xfId="36270"/>
    <cellStyle name="Comma 2 2 2 4 2 5" xfId="1542"/>
    <cellStyle name="Comma 2 2 2 4 2 5 2" xfId="5591"/>
    <cellStyle name="Comma 2 2 2 4 2 5 2 2" xfId="6821"/>
    <cellStyle name="Comma 2 2 2 4 2 5 2 2 2" xfId="19163"/>
    <cellStyle name="Comma 2 2 2 4 2 5 2 2 2 2" xfId="20374"/>
    <cellStyle name="Comma 2 2 2 4 2 5 2 2 2 2 2" xfId="54489"/>
    <cellStyle name="Comma 2 2 2 4 2 5 2 2 2 2 2 2" xfId="55700"/>
    <cellStyle name="Comma 2 2 2 4 2 5 2 2 2 3" xfId="33876"/>
    <cellStyle name="Comma 2 2 2 4 2 5 2 2 3" xfId="32664"/>
    <cellStyle name="Comma 2 2 2 4 2 5 2 2 3 2" xfId="42249"/>
    <cellStyle name="Comma 2 2 2 4 2 5 2 3" xfId="12045"/>
    <cellStyle name="Comma 2 2 2 4 2 5 2 3 2" xfId="41027"/>
    <cellStyle name="Comma 2 2 2 4 2 5 2 3 2 2" xfId="47392"/>
    <cellStyle name="Comma 2 2 2 4 2 5 2 4" xfId="25530"/>
    <cellStyle name="Comma 2 2 2 4 2 5 3" xfId="10803"/>
    <cellStyle name="Comma 2 2 2 4 2 5 3 2" xfId="15218"/>
    <cellStyle name="Comma 2 2 2 4 2 5 3 2 2" xfId="46165"/>
    <cellStyle name="Comma 2 2 2 4 2 5 3 2 2 2" xfId="50556"/>
    <cellStyle name="Comma 2 2 2 4 2 5 3 3" xfId="28730"/>
    <cellStyle name="Comma 2 2 2 4 2 5 4" xfId="24293"/>
    <cellStyle name="Comma 2 2 2 4 2 5 4 2" xfId="37031"/>
    <cellStyle name="Comma 2 2 2 4 2 6" xfId="3543"/>
    <cellStyle name="Comma 2 2 2 4 2 6 2" xfId="13975"/>
    <cellStyle name="Comma 2 2 2 4 2 6 2 2" xfId="17186"/>
    <cellStyle name="Comma 2 2 2 4 2 6 2 2 2" xfId="49321"/>
    <cellStyle name="Comma 2 2 2 4 2 6 2 2 2 2" xfId="52513"/>
    <cellStyle name="Comma 2 2 2 4 2 6 2 3" xfId="30687"/>
    <cellStyle name="Comma 2 2 2 4 2 6 3" xfId="27467"/>
    <cellStyle name="Comma 2 2 2 4 2 6 3 2" xfId="39004"/>
    <cellStyle name="Comma 2 2 2 4 2 7" xfId="8735"/>
    <cellStyle name="Comma 2 2 2 4 2 7 2" xfId="35787"/>
    <cellStyle name="Comma 2 2 2 4 2 7 2 2" xfId="44154"/>
    <cellStyle name="Comma 2 2 2 4 2 8" xfId="22258"/>
    <cellStyle name="Comma 2 2 2 4 3" xfId="358"/>
    <cellStyle name="Comma 2 2 2 4 3 2" xfId="503"/>
    <cellStyle name="Comma 2 2 2 4 3 2 2" xfId="1207"/>
    <cellStyle name="Comma 2 2 2 4 3 2 2 2" xfId="1314"/>
    <cellStyle name="Comma 2 2 2 4 3 2 2 2 2" xfId="3226"/>
    <cellStyle name="Comma 2 2 2 4 3 2 2 2 2 2" xfId="3332"/>
    <cellStyle name="Comma 2 2 2 4 3 2 2 2 2 2 2" xfId="8441"/>
    <cellStyle name="Comma 2 2 2 4 3 2 2 2 2 2 2 2" xfId="8547"/>
    <cellStyle name="Comma 2 2 2 4 3 2 2 2 2 2 2 2 2" xfId="21993"/>
    <cellStyle name="Comma 2 2 2 4 3 2 2 2 2 2 2 2 2 2" xfId="22099"/>
    <cellStyle name="Comma 2 2 2 4 3 2 2 2 2 2 2 2 2 2 2" xfId="57319"/>
    <cellStyle name="Comma 2 2 2 4 3 2 2 2 2 2 2 2 2 2 2 2" xfId="57425"/>
    <cellStyle name="Comma 2 2 2 4 3 2 2 2 2 2 2 2 2 3" xfId="35602"/>
    <cellStyle name="Comma 2 2 2 4 3 2 2 2 2 2 2 2 3" xfId="35496"/>
    <cellStyle name="Comma 2 2 2 4 3 2 2 2 2 2 2 2 3 2" xfId="43974"/>
    <cellStyle name="Comma 2 2 2 4 3 2 2 2 2 2 2 3" xfId="13772"/>
    <cellStyle name="Comma 2 2 2 4 3 2 2 2 2 2 2 3 2" xfId="43868"/>
    <cellStyle name="Comma 2 2 2 4 3 2 2 2 2 2 2 3 2 2" xfId="49118"/>
    <cellStyle name="Comma 2 2 2 4 3 2 2 2 2 2 2 4" xfId="27257"/>
    <cellStyle name="Comma 2 2 2 4 3 2 2 2 2 2 3" xfId="13666"/>
    <cellStyle name="Comma 2 2 2 4 3 2 2 2 2 2 3 2" xfId="16989"/>
    <cellStyle name="Comma 2 2 2 4 3 2 2 2 2 2 3 2 2" xfId="49012"/>
    <cellStyle name="Comma 2 2 2 4 3 2 2 2 2 2 3 2 2 2" xfId="52317"/>
    <cellStyle name="Comma 2 2 2 4 3 2 2 2 2 2 3 3" xfId="30491"/>
    <cellStyle name="Comma 2 2 2 4 3 2 2 2 2 2 4" xfId="27151"/>
    <cellStyle name="Comma 2 2 2 4 3 2 2 2 2 2 4 2" xfId="38801"/>
    <cellStyle name="Comma 2 2 2 4 3 2 2 2 2 3" xfId="5369"/>
    <cellStyle name="Comma 2 2 2 4 3 2 2 2 2 3 2" xfId="16883"/>
    <cellStyle name="Comma 2 2 2 4 3 2 2 2 2 3 2 2" xfId="18942"/>
    <cellStyle name="Comma 2 2 2 4 3 2 2 2 2 3 2 2 2" xfId="52211"/>
    <cellStyle name="Comma 2 2 2 4 3 2 2 2 2 3 2 2 2 2" xfId="54268"/>
    <cellStyle name="Comma 2 2 2 4 3 2 2 2 2 3 2 3" xfId="32443"/>
    <cellStyle name="Comma 2 2 2 4 3 2 2 2 2 3 3" xfId="30385"/>
    <cellStyle name="Comma 2 2 2 4 3 2 2 2 2 3 3 2" xfId="40806"/>
    <cellStyle name="Comma 2 2 2 4 3 2 2 2 2 4" xfId="10572"/>
    <cellStyle name="Comma 2 2 2 4 3 2 2 2 2 4 2" xfId="38695"/>
    <cellStyle name="Comma 2 2 2 4 3 2 2 2 2 4 2 2" xfId="45935"/>
    <cellStyle name="Comma 2 2 2 4 3 2 2 2 2 5" xfId="24058"/>
    <cellStyle name="Comma 2 2 2 4 3 2 2 2 3" xfId="5263"/>
    <cellStyle name="Comma 2 2 2 4 3 2 2 2 3 2" xfId="6622"/>
    <cellStyle name="Comma 2 2 2 4 3 2 2 2 3 2 2" xfId="18836"/>
    <cellStyle name="Comma 2 2 2 4 3 2 2 2 3 2 2 2" xfId="20175"/>
    <cellStyle name="Comma 2 2 2 4 3 2 2 2 3 2 2 2 2" xfId="54162"/>
    <cellStyle name="Comma 2 2 2 4 3 2 2 2 3 2 2 2 2 2" xfId="55501"/>
    <cellStyle name="Comma 2 2 2 4 3 2 2 2 3 2 2 3" xfId="33677"/>
    <cellStyle name="Comma 2 2 2 4 3 2 2 2 3 2 3" xfId="32337"/>
    <cellStyle name="Comma 2 2 2 4 3 2 2 2 3 2 3 2" xfId="42050"/>
    <cellStyle name="Comma 2 2 2 4 3 2 2 2 3 3" xfId="11845"/>
    <cellStyle name="Comma 2 2 2 4 3 2 2 2 3 3 2" xfId="40700"/>
    <cellStyle name="Comma 2 2 2 4 3 2 2 2 3 3 2 2" xfId="47193"/>
    <cellStyle name="Comma 2 2 2 4 3 2 2 2 3 4" xfId="25330"/>
    <cellStyle name="Comma 2 2 2 4 3 2 2 2 4" xfId="10466"/>
    <cellStyle name="Comma 2 2 2 4 3 2 2 2 4 2" xfId="15003"/>
    <cellStyle name="Comma 2 2 2 4 3 2 2 2 4 2 2" xfId="45829"/>
    <cellStyle name="Comma 2 2 2 4 3 2 2 2 4 2 2 2" xfId="50342"/>
    <cellStyle name="Comma 2 2 2 4 3 2 2 2 4 3" xfId="28516"/>
    <cellStyle name="Comma 2 2 2 4 3 2 2 2 5" xfId="23952"/>
    <cellStyle name="Comma 2 2 2 4 3 2 2 2 5 2" xfId="36811"/>
    <cellStyle name="Comma 2 2 2 4 3 2 2 3" xfId="2121"/>
    <cellStyle name="Comma 2 2 2 4 3 2 2 3 2" xfId="6515"/>
    <cellStyle name="Comma 2 2 2 4 3 2 2 3 2 2" xfId="7355"/>
    <cellStyle name="Comma 2 2 2 4 3 2 2 3 2 2 2" xfId="20068"/>
    <cellStyle name="Comma 2 2 2 4 3 2 2 3 2 2 2 2" xfId="20907"/>
    <cellStyle name="Comma 2 2 2 4 3 2 2 3 2 2 2 2 2" xfId="55394"/>
    <cellStyle name="Comma 2 2 2 4 3 2 2 3 2 2 2 2 2 2" xfId="56233"/>
    <cellStyle name="Comma 2 2 2 4 3 2 2 3 2 2 2 3" xfId="34410"/>
    <cellStyle name="Comma 2 2 2 4 3 2 2 3 2 2 3" xfId="33570"/>
    <cellStyle name="Comma 2 2 2 4 3 2 2 3 2 2 3 2" xfId="42782"/>
    <cellStyle name="Comma 2 2 2 4 3 2 2 3 2 3" xfId="12580"/>
    <cellStyle name="Comma 2 2 2 4 3 2 2 3 2 3 2" xfId="41943"/>
    <cellStyle name="Comma 2 2 2 4 3 2 2 3 2 3 2 2" xfId="47926"/>
    <cellStyle name="Comma 2 2 2 4 3 2 2 3 2 4" xfId="26064"/>
    <cellStyle name="Comma 2 2 2 4 3 2 2 3 3" xfId="11738"/>
    <cellStyle name="Comma 2 2 2 4 3 2 2 3 3 2" xfId="15785"/>
    <cellStyle name="Comma 2 2 2 4 3 2 2 3 3 2 2" xfId="47086"/>
    <cellStyle name="Comma 2 2 2 4 3 2 2 3 3 2 2 2" xfId="51117"/>
    <cellStyle name="Comma 2 2 2 4 3 2 2 3 3 3" xfId="29291"/>
    <cellStyle name="Comma 2 2 2 4 3 2 2 3 4" xfId="25223"/>
    <cellStyle name="Comma 2 2 2 4 3 2 2 3 4 2" xfId="37599"/>
    <cellStyle name="Comma 2 2 2 4 3 2 2 4" xfId="4137"/>
    <cellStyle name="Comma 2 2 2 4 3 2 2 4 2" xfId="14896"/>
    <cellStyle name="Comma 2 2 2 4 3 2 2 4 2 2" xfId="17730"/>
    <cellStyle name="Comma 2 2 2 4 3 2 2 4 2 2 2" xfId="50235"/>
    <cellStyle name="Comma 2 2 2 4 3 2 2 4 2 2 2 2" xfId="53057"/>
    <cellStyle name="Comma 2 2 2 4 3 2 2 4 2 3" xfId="31232"/>
    <cellStyle name="Comma 2 2 2 4 3 2 2 4 3" xfId="28409"/>
    <cellStyle name="Comma 2 2 2 4 3 2 2 4 3 2" xfId="39580"/>
    <cellStyle name="Comma 2 2 2 4 3 2 2 5" xfId="9328"/>
    <cellStyle name="Comma 2 2 2 4 3 2 2 5 2" xfId="36704"/>
    <cellStyle name="Comma 2 2 2 4 3 2 2 5 2 2" xfId="44710"/>
    <cellStyle name="Comma 2 2 2 4 3 2 2 6" xfId="22824"/>
    <cellStyle name="Comma 2 2 2 4 3 2 3" xfId="2014"/>
    <cellStyle name="Comma 2 2 2 4 3 2 3 2" xfId="2600"/>
    <cellStyle name="Comma 2 2 2 4 3 2 3 2 2" xfId="7248"/>
    <cellStyle name="Comma 2 2 2 4 3 2 3 2 2 2" xfId="7820"/>
    <cellStyle name="Comma 2 2 2 4 3 2 3 2 2 2 2" xfId="20800"/>
    <cellStyle name="Comma 2 2 2 4 3 2 3 2 2 2 2 2" xfId="21372"/>
    <cellStyle name="Comma 2 2 2 4 3 2 3 2 2 2 2 2 2" xfId="56126"/>
    <cellStyle name="Comma 2 2 2 4 3 2 3 2 2 2 2 2 2 2" xfId="56698"/>
    <cellStyle name="Comma 2 2 2 4 3 2 3 2 2 2 2 3" xfId="34875"/>
    <cellStyle name="Comma 2 2 2 4 3 2 3 2 2 2 3" xfId="34303"/>
    <cellStyle name="Comma 2 2 2 4 3 2 3 2 2 2 3 2" xfId="43247"/>
    <cellStyle name="Comma 2 2 2 4 3 2 3 2 2 3" xfId="13045"/>
    <cellStyle name="Comma 2 2 2 4 3 2 3 2 2 3 2" xfId="42675"/>
    <cellStyle name="Comma 2 2 2 4 3 2 3 2 2 3 2 2" xfId="48391"/>
    <cellStyle name="Comma 2 2 2 4 3 2 3 2 2 4" xfId="26529"/>
    <cellStyle name="Comma 2 2 2 4 3 2 3 2 3" xfId="12473"/>
    <cellStyle name="Comma 2 2 2 4 3 2 3 2 3 2" xfId="16259"/>
    <cellStyle name="Comma 2 2 2 4 3 2 3 2 3 2 2" xfId="47819"/>
    <cellStyle name="Comma 2 2 2 4 3 2 3 2 3 2 2 2" xfId="51589"/>
    <cellStyle name="Comma 2 2 2 4 3 2 3 2 3 3" xfId="29763"/>
    <cellStyle name="Comma 2 2 2 4 3 2 3 2 4" xfId="25957"/>
    <cellStyle name="Comma 2 2 2 4 3 2 3 2 4 2" xfId="38073"/>
    <cellStyle name="Comma 2 2 2 4 3 2 3 3" xfId="4634"/>
    <cellStyle name="Comma 2 2 2 4 3 2 3 3 2" xfId="15678"/>
    <cellStyle name="Comma 2 2 2 4 3 2 3 3 2 2" xfId="18214"/>
    <cellStyle name="Comma 2 2 2 4 3 2 3 3 2 2 2" xfId="51010"/>
    <cellStyle name="Comma 2 2 2 4 3 2 3 3 2 2 2 2" xfId="53540"/>
    <cellStyle name="Comma 2 2 2 4 3 2 3 3 2 3" xfId="31715"/>
    <cellStyle name="Comma 2 2 2 4 3 2 3 3 3" xfId="29184"/>
    <cellStyle name="Comma 2 2 2 4 3 2 3 3 3 2" xfId="40073"/>
    <cellStyle name="Comma 2 2 2 4 3 2 3 4" xfId="9837"/>
    <cellStyle name="Comma 2 2 2 4 3 2 3 4 2" xfId="37492"/>
    <cellStyle name="Comma 2 2 2 4 3 2 3 4 2 2" xfId="45207"/>
    <cellStyle name="Comma 2 2 2 4 3 2 3 5" xfId="23330"/>
    <cellStyle name="Comma 2 2 2 4 3 2 4" xfId="4029"/>
    <cellStyle name="Comma 2 2 2 4 3 2 4 2" xfId="5838"/>
    <cellStyle name="Comma 2 2 2 4 3 2 4 2 2" xfId="17623"/>
    <cellStyle name="Comma 2 2 2 4 3 2 4 2 2 2" xfId="19406"/>
    <cellStyle name="Comma 2 2 2 4 3 2 4 2 2 2 2" xfId="52950"/>
    <cellStyle name="Comma 2 2 2 4 3 2 4 2 2 2 2 2" xfId="54732"/>
    <cellStyle name="Comma 2 2 2 4 3 2 4 2 2 3" xfId="32907"/>
    <cellStyle name="Comma 2 2 2 4 3 2 4 2 3" xfId="31125"/>
    <cellStyle name="Comma 2 2 2 4 3 2 4 2 3 2" xfId="41273"/>
    <cellStyle name="Comma 2 2 2 4 3 2 4 3" xfId="11061"/>
    <cellStyle name="Comma 2 2 2 4 3 2 4 3 2" xfId="39473"/>
    <cellStyle name="Comma 2 2 2 4 3 2 4 3 2 2" xfId="46420"/>
    <cellStyle name="Comma 2 2 2 4 3 2 4 4" xfId="24555"/>
    <cellStyle name="Comma 2 2 2 4 3 2 5" xfId="9221"/>
    <cellStyle name="Comma 2 2 2 4 3 2 5 2" xfId="14222"/>
    <cellStyle name="Comma 2 2 2 4 3 2 5 2 2" xfId="44603"/>
    <cellStyle name="Comma 2 2 2 4 3 2 5 2 2 2" xfId="49567"/>
    <cellStyle name="Comma 2 2 2 4 3 2 5 3" xfId="27729"/>
    <cellStyle name="Comma 2 2 2 4 3 2 6" xfId="22717"/>
    <cellStyle name="Comma 2 2 2 4 3 2 6 2" xfId="36034"/>
    <cellStyle name="Comma 2 2 2 4 3 3" xfId="829"/>
    <cellStyle name="Comma 2 2 2 4 3 3 2" xfId="2467"/>
    <cellStyle name="Comma 2 2 2 4 3 3 2 2" xfId="2881"/>
    <cellStyle name="Comma 2 2 2 4 3 3 2 2 2" xfId="7697"/>
    <cellStyle name="Comma 2 2 2 4 3 3 2 2 2 2" xfId="8097"/>
    <cellStyle name="Comma 2 2 2 4 3 3 2 2 2 2 2" xfId="21249"/>
    <cellStyle name="Comma 2 2 2 4 3 3 2 2 2 2 2 2" xfId="21649"/>
    <cellStyle name="Comma 2 2 2 4 3 3 2 2 2 2 2 2 2" xfId="56575"/>
    <cellStyle name="Comma 2 2 2 4 3 3 2 2 2 2 2 2 2 2" xfId="56975"/>
    <cellStyle name="Comma 2 2 2 4 3 3 2 2 2 2 2 3" xfId="35152"/>
    <cellStyle name="Comma 2 2 2 4 3 3 2 2 2 2 3" xfId="34752"/>
    <cellStyle name="Comma 2 2 2 4 3 3 2 2 2 2 3 2" xfId="43524"/>
    <cellStyle name="Comma 2 2 2 4 3 3 2 2 2 3" xfId="13322"/>
    <cellStyle name="Comma 2 2 2 4 3 3 2 2 2 3 2" xfId="43124"/>
    <cellStyle name="Comma 2 2 2 4 3 3 2 2 2 3 2 2" xfId="48668"/>
    <cellStyle name="Comma 2 2 2 4 3 3 2 2 2 4" xfId="26806"/>
    <cellStyle name="Comma 2 2 2 4 3 3 2 2 3" xfId="12922"/>
    <cellStyle name="Comma 2 2 2 4 3 3 2 2 3 2" xfId="16539"/>
    <cellStyle name="Comma 2 2 2 4 3 3 2 2 3 2 2" xfId="48268"/>
    <cellStyle name="Comma 2 2 2 4 3 3 2 2 3 2 2 2" xfId="51867"/>
    <cellStyle name="Comma 2 2 2 4 3 3 2 2 3 3" xfId="30041"/>
    <cellStyle name="Comma 2 2 2 4 3 3 2 2 4" xfId="26406"/>
    <cellStyle name="Comma 2 2 2 4 3 3 2 2 4 2" xfId="38351"/>
    <cellStyle name="Comma 2 2 2 4 3 3 2 3" xfId="4917"/>
    <cellStyle name="Comma 2 2 2 4 3 3 2 3 2" xfId="16130"/>
    <cellStyle name="Comma 2 2 2 4 3 3 2 3 2 2" xfId="18491"/>
    <cellStyle name="Comma 2 2 2 4 3 3 2 3 2 2 2" xfId="51461"/>
    <cellStyle name="Comma 2 2 2 4 3 3 2 3 2 2 2 2" xfId="53817"/>
    <cellStyle name="Comma 2 2 2 4 3 3 2 3 2 3" xfId="31992"/>
    <cellStyle name="Comma 2 2 2 4 3 3 2 3 3" xfId="29635"/>
    <cellStyle name="Comma 2 2 2 4 3 3 2 3 3 2" xfId="40354"/>
    <cellStyle name="Comma 2 2 2 4 3 3 2 4" xfId="10120"/>
    <cellStyle name="Comma 2 2 2 4 3 3 2 4 2" xfId="37944"/>
    <cellStyle name="Comma 2 2 2 4 3 3 2 4 2 2" xfId="45484"/>
    <cellStyle name="Comma 2 2 2 4 3 3 2 5" xfId="23607"/>
    <cellStyle name="Comma 2 2 2 4 3 3 3" xfId="4502"/>
    <cellStyle name="Comma 2 2 2 4 3 3 3 2" xfId="6144"/>
    <cellStyle name="Comma 2 2 2 4 3 3 3 2 2" xfId="18090"/>
    <cellStyle name="Comma 2 2 2 4 3 3 3 2 2 2" xfId="19705"/>
    <cellStyle name="Comma 2 2 2 4 3 3 3 2 2 2 2" xfId="53416"/>
    <cellStyle name="Comma 2 2 2 4 3 3 3 2 2 2 2 2" xfId="55031"/>
    <cellStyle name="Comma 2 2 2 4 3 3 3 2 2 3" xfId="33206"/>
    <cellStyle name="Comma 2 2 2 4 3 3 3 2 3" xfId="31591"/>
    <cellStyle name="Comma 2 2 2 4 3 3 3 2 3 2" xfId="41576"/>
    <cellStyle name="Comma 2 2 2 4 3 3 3 3" xfId="11370"/>
    <cellStyle name="Comma 2 2 2 4 3 3 3 3 2" xfId="39943"/>
    <cellStyle name="Comma 2 2 2 4 3 3 3 3 2 2" xfId="46722"/>
    <cellStyle name="Comma 2 2 2 4 3 3 3 4" xfId="24859"/>
    <cellStyle name="Comma 2 2 2 4 3 3 4" xfId="9706"/>
    <cellStyle name="Comma 2 2 2 4 3 3 4 2" xfId="14527"/>
    <cellStyle name="Comma 2 2 2 4 3 3 4 2 2" xfId="45083"/>
    <cellStyle name="Comma 2 2 2 4 3 3 4 2 2 2" xfId="49869"/>
    <cellStyle name="Comma 2 2 2 4 3 3 4 3" xfId="28039"/>
    <cellStyle name="Comma 2 2 2 4 3 3 5" xfId="23206"/>
    <cellStyle name="Comma 2 2 2 4 3 3 5 2" xfId="36337"/>
    <cellStyle name="Comma 2 2 2 4 3 4" xfId="1622"/>
    <cellStyle name="Comma 2 2 2 4 3 4 2" xfId="5709"/>
    <cellStyle name="Comma 2 2 2 4 3 4 2 2" xfId="6890"/>
    <cellStyle name="Comma 2 2 2 4 3 4 2 2 2" xfId="19279"/>
    <cellStyle name="Comma 2 2 2 4 3 4 2 2 2 2" xfId="20443"/>
    <cellStyle name="Comma 2 2 2 4 3 4 2 2 2 2 2" xfId="54605"/>
    <cellStyle name="Comma 2 2 2 4 3 4 2 2 2 2 2 2" xfId="55769"/>
    <cellStyle name="Comma 2 2 2 4 3 4 2 2 2 3" xfId="33945"/>
    <cellStyle name="Comma 2 2 2 4 3 4 2 2 3" xfId="32780"/>
    <cellStyle name="Comma 2 2 2 4 3 4 2 2 3 2" xfId="42318"/>
    <cellStyle name="Comma 2 2 2 4 3 4 2 3" xfId="12114"/>
    <cellStyle name="Comma 2 2 2 4 3 4 2 3 2" xfId="41144"/>
    <cellStyle name="Comma 2 2 2 4 3 4 2 3 2 2" xfId="47461"/>
    <cellStyle name="Comma 2 2 2 4 3 4 2 4" xfId="25599"/>
    <cellStyle name="Comma 2 2 2 4 3 4 3" xfId="10929"/>
    <cellStyle name="Comma 2 2 2 4 3 4 3 2" xfId="15297"/>
    <cellStyle name="Comma 2 2 2 4 3 4 3 2 2" xfId="46289"/>
    <cellStyle name="Comma 2 2 2 4 3 4 3 2 2 2" xfId="50632"/>
    <cellStyle name="Comma 2 2 2 4 3 4 3 3" xfId="28806"/>
    <cellStyle name="Comma 2 2 2 4 3 4 4" xfId="24421"/>
    <cellStyle name="Comma 2 2 2 4 3 4 4 2" xfId="37108"/>
    <cellStyle name="Comma 2 2 2 4 3 5" xfId="3626"/>
    <cellStyle name="Comma 2 2 2 4 3 5 2" xfId="14093"/>
    <cellStyle name="Comma 2 2 2 4 3 5 2 2" xfId="17258"/>
    <cellStyle name="Comma 2 2 2 4 3 5 2 2 2" xfId="49438"/>
    <cellStyle name="Comma 2 2 2 4 3 5 2 2 2 2" xfId="52585"/>
    <cellStyle name="Comma 2 2 2 4 3 5 2 3" xfId="30759"/>
    <cellStyle name="Comma 2 2 2 4 3 5 3" xfId="27593"/>
    <cellStyle name="Comma 2 2 2 4 3 5 3 2" xfId="39081"/>
    <cellStyle name="Comma 2 2 2 4 3 6" xfId="8822"/>
    <cellStyle name="Comma 2 2 2 4 3 6 2" xfId="35904"/>
    <cellStyle name="Comma 2 2 2 4 3 6 2 2" xfId="44230"/>
    <cellStyle name="Comma 2 2 2 4 3 7" xfId="22338"/>
    <cellStyle name="Comma 2 2 2 4 4" xfId="672"/>
    <cellStyle name="Comma 2 2 2 4 4 2" xfId="1007"/>
    <cellStyle name="Comma 2 2 2 4 4 2 2" xfId="2761"/>
    <cellStyle name="Comma 2 2 2 4 4 2 2 2" xfId="3044"/>
    <cellStyle name="Comma 2 2 2 4 4 2 2 2 2" xfId="7979"/>
    <cellStyle name="Comma 2 2 2 4 4 2 2 2 2 2" xfId="8259"/>
    <cellStyle name="Comma 2 2 2 4 4 2 2 2 2 2 2" xfId="21531"/>
    <cellStyle name="Comma 2 2 2 4 4 2 2 2 2 2 2 2" xfId="21811"/>
    <cellStyle name="Comma 2 2 2 4 4 2 2 2 2 2 2 2 2" xfId="56857"/>
    <cellStyle name="Comma 2 2 2 4 4 2 2 2 2 2 2 2 2 2" xfId="57137"/>
    <cellStyle name="Comma 2 2 2 4 4 2 2 2 2 2 2 3" xfId="35314"/>
    <cellStyle name="Comma 2 2 2 4 4 2 2 2 2 2 3" xfId="35034"/>
    <cellStyle name="Comma 2 2 2 4 4 2 2 2 2 2 3 2" xfId="43686"/>
    <cellStyle name="Comma 2 2 2 4 4 2 2 2 2 3" xfId="13484"/>
    <cellStyle name="Comma 2 2 2 4 4 2 2 2 2 3 2" xfId="43406"/>
    <cellStyle name="Comma 2 2 2 4 4 2 2 2 2 3 2 2" xfId="48830"/>
    <cellStyle name="Comma 2 2 2 4 4 2 2 2 2 4" xfId="26969"/>
    <cellStyle name="Comma 2 2 2 4 4 2 2 2 3" xfId="13204"/>
    <cellStyle name="Comma 2 2 2 4 4 2 2 2 3 2" xfId="16701"/>
    <cellStyle name="Comma 2 2 2 4 4 2 2 2 3 2 2" xfId="48550"/>
    <cellStyle name="Comma 2 2 2 4 4 2 2 2 3 2 2 2" xfId="52029"/>
    <cellStyle name="Comma 2 2 2 4 4 2 2 2 3 3" xfId="30203"/>
    <cellStyle name="Comma 2 2 2 4 4 2 2 2 4" xfId="26688"/>
    <cellStyle name="Comma 2 2 2 4 4 2 2 2 4 2" xfId="38513"/>
    <cellStyle name="Comma 2 2 2 4 4 2 2 3" xfId="5081"/>
    <cellStyle name="Comma 2 2 2 4 4 2 2 3 2" xfId="16420"/>
    <cellStyle name="Comma 2 2 2 4 4 2 2 3 2 2" xfId="18654"/>
    <cellStyle name="Comma 2 2 2 4 4 2 2 3 2 2 2" xfId="51749"/>
    <cellStyle name="Comma 2 2 2 4 4 2 2 3 2 2 2 2" xfId="53980"/>
    <cellStyle name="Comma 2 2 2 4 4 2 2 3 2 3" xfId="32155"/>
    <cellStyle name="Comma 2 2 2 4 4 2 2 3 3" xfId="29923"/>
    <cellStyle name="Comma 2 2 2 4 4 2 2 3 3 2" xfId="40518"/>
    <cellStyle name="Comma 2 2 2 4 4 2 2 4" xfId="10284"/>
    <cellStyle name="Comma 2 2 2 4 4 2 2 4 2" xfId="38233"/>
    <cellStyle name="Comma 2 2 2 4 4 2 2 4 2 2" xfId="45647"/>
    <cellStyle name="Comma 2 2 2 4 4 2 2 5" xfId="23770"/>
    <cellStyle name="Comma 2 2 2 4 4 2 3" xfId="4797"/>
    <cellStyle name="Comma 2 2 2 4 4 2 3 2" xfId="6317"/>
    <cellStyle name="Comma 2 2 2 4 4 2 3 2 2" xfId="18373"/>
    <cellStyle name="Comma 2 2 2 4 4 2 3 2 2 2" xfId="19874"/>
    <cellStyle name="Comma 2 2 2 4 4 2 3 2 2 2 2" xfId="53699"/>
    <cellStyle name="Comma 2 2 2 4 4 2 3 2 2 2 2 2" xfId="55200"/>
    <cellStyle name="Comma 2 2 2 4 4 2 3 2 2 3" xfId="33376"/>
    <cellStyle name="Comma 2 2 2 4 4 2 3 2 3" xfId="31874"/>
    <cellStyle name="Comma 2 2 2 4 4 2 3 2 3 2" xfId="41746"/>
    <cellStyle name="Comma 2 2 2 4 4 2 3 3" xfId="11543"/>
    <cellStyle name="Comma 2 2 2 4 4 2 3 3 2" xfId="40235"/>
    <cellStyle name="Comma 2 2 2 4 4 2 3 3 2 2" xfId="46892"/>
    <cellStyle name="Comma 2 2 2 4 4 2 3 4" xfId="25029"/>
    <cellStyle name="Comma 2 2 2 4 4 2 4" xfId="10000"/>
    <cellStyle name="Comma 2 2 2 4 4 2 4 2" xfId="14700"/>
    <cellStyle name="Comma 2 2 2 4 4 2 4 2 2" xfId="45366"/>
    <cellStyle name="Comma 2 2 2 4 4 2 4 2 2 2" xfId="50039"/>
    <cellStyle name="Comma 2 2 2 4 4 2 4 3" xfId="28212"/>
    <cellStyle name="Comma 2 2 2 4 4 2 5" xfId="23489"/>
    <cellStyle name="Comma 2 2 2 4 4 2 5 2" xfId="36508"/>
    <cellStyle name="Comma 2 2 2 4 4 3" xfId="1808"/>
    <cellStyle name="Comma 2 2 2 4 4 3 2" xfId="6002"/>
    <cellStyle name="Comma 2 2 2 4 4 3 2 2" xfId="7060"/>
    <cellStyle name="Comma 2 2 2 4 4 3 2 2 2" xfId="19568"/>
    <cellStyle name="Comma 2 2 2 4 4 3 2 2 2 2" xfId="20613"/>
    <cellStyle name="Comma 2 2 2 4 4 3 2 2 2 2 2" xfId="54894"/>
    <cellStyle name="Comma 2 2 2 4 4 3 2 2 2 2 2 2" xfId="55939"/>
    <cellStyle name="Comma 2 2 2 4 4 3 2 2 2 3" xfId="34115"/>
    <cellStyle name="Comma 2 2 2 4 4 3 2 2 3" xfId="33069"/>
    <cellStyle name="Comma 2 2 2 4 4 3 2 2 3 2" xfId="42488"/>
    <cellStyle name="Comma 2 2 2 4 4 3 2 3" xfId="12284"/>
    <cellStyle name="Comma 2 2 2 4 4 3 2 3 2" xfId="41436"/>
    <cellStyle name="Comma 2 2 2 4 4 3 2 3 2 2" xfId="47631"/>
    <cellStyle name="Comma 2 2 2 4 4 3 2 4" xfId="25769"/>
    <cellStyle name="Comma 2 2 2 4 4 3 3" xfId="11227"/>
    <cellStyle name="Comma 2 2 2 4 4 3 3 2" xfId="15480"/>
    <cellStyle name="Comma 2 2 2 4 4 3 3 2 2" xfId="46584"/>
    <cellStyle name="Comma 2 2 2 4 4 3 3 2 2 2" xfId="50813"/>
    <cellStyle name="Comma 2 2 2 4 4 3 3 3" xfId="28987"/>
    <cellStyle name="Comma 2 2 2 4 4 3 4" xfId="24720"/>
    <cellStyle name="Comma 2 2 2 4 4 3 4 2" xfId="37290"/>
    <cellStyle name="Comma 2 2 2 4 4 4" xfId="3816"/>
    <cellStyle name="Comma 2 2 2 4 4 4 2" xfId="14385"/>
    <cellStyle name="Comma 2 2 2 4 4 4 2 2" xfId="17431"/>
    <cellStyle name="Comma 2 2 2 4 4 4 2 2 2" xfId="49730"/>
    <cellStyle name="Comma 2 2 2 4 4 4 2 2 2 2" xfId="52758"/>
    <cellStyle name="Comma 2 2 2 4 4 4 2 3" xfId="30932"/>
    <cellStyle name="Comma 2 2 2 4 4 4 3" xfId="27896"/>
    <cellStyle name="Comma 2 2 2 4 4 4 3 2" xfId="39266"/>
    <cellStyle name="Comma 2 2 2 4 4 5" xfId="9007"/>
    <cellStyle name="Comma 2 2 2 4 4 5 2" xfId="36197"/>
    <cellStyle name="Comma 2 2 2 4 4 5 2 2" xfId="44405"/>
    <cellStyle name="Comma 2 2 2 4 4 6" xfId="22516"/>
    <cellStyle name="Comma 2 2 2 4 5" xfId="686"/>
    <cellStyle name="Comma 2 2 2 4 5 2" xfId="2271"/>
    <cellStyle name="Comma 2 2 2 4 5 2 2" xfId="6015"/>
    <cellStyle name="Comma 2 2 2 4 5 2 2 2" xfId="7505"/>
    <cellStyle name="Comma 2 2 2 4 5 2 2 2 2" xfId="19580"/>
    <cellStyle name="Comma 2 2 2 4 5 2 2 2 2 2" xfId="21057"/>
    <cellStyle name="Comma 2 2 2 4 5 2 2 2 2 2 2" xfId="54906"/>
    <cellStyle name="Comma 2 2 2 4 5 2 2 2 2 2 2 2" xfId="56383"/>
    <cellStyle name="Comma 2 2 2 4 5 2 2 2 2 3" xfId="34560"/>
    <cellStyle name="Comma 2 2 2 4 5 2 2 2 3" xfId="33081"/>
    <cellStyle name="Comma 2 2 2 4 5 2 2 2 3 2" xfId="42932"/>
    <cellStyle name="Comma 2 2 2 4 5 2 2 3" xfId="12730"/>
    <cellStyle name="Comma 2 2 2 4 5 2 2 3 2" xfId="41449"/>
    <cellStyle name="Comma 2 2 2 4 5 2 2 3 2 2" xfId="48076"/>
    <cellStyle name="Comma 2 2 2 4 5 2 2 4" xfId="26214"/>
    <cellStyle name="Comma 2 2 2 4 5 2 3" xfId="11240"/>
    <cellStyle name="Comma 2 2 2 4 5 2 3 2" xfId="15935"/>
    <cellStyle name="Comma 2 2 2 4 5 2 3 2 2" xfId="46596"/>
    <cellStyle name="Comma 2 2 2 4 5 2 3 2 2 2" xfId="51267"/>
    <cellStyle name="Comma 2 2 2 4 5 2 3 3" xfId="29441"/>
    <cellStyle name="Comma 2 2 2 4 5 2 4" xfId="24733"/>
    <cellStyle name="Comma 2 2 2 4 5 2 4 2" xfId="37749"/>
    <cellStyle name="Comma 2 2 2 4 5 3" xfId="4291"/>
    <cellStyle name="Comma 2 2 2 4 5 3 2" xfId="14397"/>
    <cellStyle name="Comma 2 2 2 4 5 3 2 2" xfId="17884"/>
    <cellStyle name="Comma 2 2 2 4 5 3 2 2 2" xfId="49742"/>
    <cellStyle name="Comma 2 2 2 4 5 3 2 2 2 2" xfId="53211"/>
    <cellStyle name="Comma 2 2 2 4 5 3 2 3" xfId="31386"/>
    <cellStyle name="Comma 2 2 2 4 5 3 3" xfId="27909"/>
    <cellStyle name="Comma 2 2 2 4 5 3 3 2" xfId="39734"/>
    <cellStyle name="Comma 2 2 2 4 5 4" xfId="9483"/>
    <cellStyle name="Comma 2 2 2 4 5 4 2" xfId="36209"/>
    <cellStyle name="Comma 2 2 2 4 5 4 2 2" xfId="44865"/>
    <cellStyle name="Comma 2 2 2 4 5 5" xfId="22979"/>
    <cellStyle name="Comma 2 2 2 4 6" xfId="1468"/>
    <cellStyle name="Comma 2 2 2 4 6 2" xfId="4322"/>
    <cellStyle name="Comma 2 2 2 4 6 2 2" xfId="15155"/>
    <cellStyle name="Comma 2 2 2 4 6 2 2 2" xfId="17915"/>
    <cellStyle name="Comma 2 2 2 4 6 2 2 2 2" xfId="50494"/>
    <cellStyle name="Comma 2 2 2 4 6 2 2 2 2 2" xfId="53242"/>
    <cellStyle name="Comma 2 2 2 4 6 2 2 3" xfId="31417"/>
    <cellStyle name="Comma 2 2 2 4 6 2 3" xfId="28668"/>
    <cellStyle name="Comma 2 2 2 4 6 2 3 2" xfId="39765"/>
    <cellStyle name="Comma 2 2 2 4 6 3" xfId="9517"/>
    <cellStyle name="Comma 2 2 2 4 6 3 2" xfId="36965"/>
    <cellStyle name="Comma 2 2 2 4 6 3 2 2" xfId="44899"/>
    <cellStyle name="Comma 2 2 2 4 6 4" xfId="23015"/>
    <cellStyle name="Comma 2 2 2 4 7" xfId="440"/>
    <cellStyle name="Comma 2 2 2 4 7 2" xfId="12311"/>
    <cellStyle name="Comma 2 2 2 4 7 2 2" xfId="35976"/>
    <cellStyle name="Comma 2 2 2 4 7 2 2 2" xfId="47658"/>
    <cellStyle name="Comma 2 2 2 4 7 3" xfId="25796"/>
    <cellStyle name="Comma 2 2 2 4 8" xfId="9098"/>
    <cellStyle name="Comma 2 2 2 4 8 2" xfId="9601"/>
    <cellStyle name="Comma 2 2 2 5" xfId="114"/>
    <cellStyle name="Comma 2 2 2 5 2" xfId="369"/>
    <cellStyle name="Comma 2 2 2 5 2 2" xfId="506"/>
    <cellStyle name="Comma 2 2 2 5 2 2 2" xfId="1217"/>
    <cellStyle name="Comma 2 2 2 5 2 2 2 2" xfId="1317"/>
    <cellStyle name="Comma 2 2 2 5 2 2 2 2 2" xfId="3235"/>
    <cellStyle name="Comma 2 2 2 5 2 2 2 2 2 2" xfId="3335"/>
    <cellStyle name="Comma 2 2 2 5 2 2 2 2 2 2 2" xfId="8450"/>
    <cellStyle name="Comma 2 2 2 5 2 2 2 2 2 2 2 2" xfId="8550"/>
    <cellStyle name="Comma 2 2 2 5 2 2 2 2 2 2 2 2 2" xfId="22002"/>
    <cellStyle name="Comma 2 2 2 5 2 2 2 2 2 2 2 2 2 2" xfId="22102"/>
    <cellStyle name="Comma 2 2 2 5 2 2 2 2 2 2 2 2 2 2 2" xfId="57328"/>
    <cellStyle name="Comma 2 2 2 5 2 2 2 2 2 2 2 2 2 2 2 2" xfId="57428"/>
    <cellStyle name="Comma 2 2 2 5 2 2 2 2 2 2 2 2 2 3" xfId="35605"/>
    <cellStyle name="Comma 2 2 2 5 2 2 2 2 2 2 2 2 3" xfId="35505"/>
    <cellStyle name="Comma 2 2 2 5 2 2 2 2 2 2 2 2 3 2" xfId="43977"/>
    <cellStyle name="Comma 2 2 2 5 2 2 2 2 2 2 2 3" xfId="13775"/>
    <cellStyle name="Comma 2 2 2 5 2 2 2 2 2 2 2 3 2" xfId="43877"/>
    <cellStyle name="Comma 2 2 2 5 2 2 2 2 2 2 2 3 2 2" xfId="49121"/>
    <cellStyle name="Comma 2 2 2 5 2 2 2 2 2 2 2 4" xfId="27260"/>
    <cellStyle name="Comma 2 2 2 5 2 2 2 2 2 2 3" xfId="13675"/>
    <cellStyle name="Comma 2 2 2 5 2 2 2 2 2 2 3 2" xfId="16992"/>
    <cellStyle name="Comma 2 2 2 5 2 2 2 2 2 2 3 2 2" xfId="49021"/>
    <cellStyle name="Comma 2 2 2 5 2 2 2 2 2 2 3 2 2 2" xfId="52320"/>
    <cellStyle name="Comma 2 2 2 5 2 2 2 2 2 2 3 3" xfId="30494"/>
    <cellStyle name="Comma 2 2 2 5 2 2 2 2 2 2 4" xfId="27160"/>
    <cellStyle name="Comma 2 2 2 5 2 2 2 2 2 2 4 2" xfId="38804"/>
    <cellStyle name="Comma 2 2 2 5 2 2 2 2 2 3" xfId="5372"/>
    <cellStyle name="Comma 2 2 2 5 2 2 2 2 2 3 2" xfId="16892"/>
    <cellStyle name="Comma 2 2 2 5 2 2 2 2 2 3 2 2" xfId="18945"/>
    <cellStyle name="Comma 2 2 2 5 2 2 2 2 2 3 2 2 2" xfId="52220"/>
    <cellStyle name="Comma 2 2 2 5 2 2 2 2 2 3 2 2 2 2" xfId="54271"/>
    <cellStyle name="Comma 2 2 2 5 2 2 2 2 2 3 2 3" xfId="32446"/>
    <cellStyle name="Comma 2 2 2 5 2 2 2 2 2 3 3" xfId="30394"/>
    <cellStyle name="Comma 2 2 2 5 2 2 2 2 2 3 3 2" xfId="40809"/>
    <cellStyle name="Comma 2 2 2 5 2 2 2 2 2 4" xfId="10575"/>
    <cellStyle name="Comma 2 2 2 5 2 2 2 2 2 4 2" xfId="38704"/>
    <cellStyle name="Comma 2 2 2 5 2 2 2 2 2 4 2 2" xfId="45938"/>
    <cellStyle name="Comma 2 2 2 5 2 2 2 2 2 5" xfId="24061"/>
    <cellStyle name="Comma 2 2 2 5 2 2 2 2 3" xfId="5272"/>
    <cellStyle name="Comma 2 2 2 5 2 2 2 2 3 2" xfId="6625"/>
    <cellStyle name="Comma 2 2 2 5 2 2 2 2 3 2 2" xfId="18845"/>
    <cellStyle name="Comma 2 2 2 5 2 2 2 2 3 2 2 2" xfId="20178"/>
    <cellStyle name="Comma 2 2 2 5 2 2 2 2 3 2 2 2 2" xfId="54171"/>
    <cellStyle name="Comma 2 2 2 5 2 2 2 2 3 2 2 2 2 2" xfId="55504"/>
    <cellStyle name="Comma 2 2 2 5 2 2 2 2 3 2 2 3" xfId="33680"/>
    <cellStyle name="Comma 2 2 2 5 2 2 2 2 3 2 3" xfId="32346"/>
    <cellStyle name="Comma 2 2 2 5 2 2 2 2 3 2 3 2" xfId="42053"/>
    <cellStyle name="Comma 2 2 2 5 2 2 2 2 3 3" xfId="11848"/>
    <cellStyle name="Comma 2 2 2 5 2 2 2 2 3 3 2" xfId="40709"/>
    <cellStyle name="Comma 2 2 2 5 2 2 2 2 3 3 2 2" xfId="47196"/>
    <cellStyle name="Comma 2 2 2 5 2 2 2 2 3 4" xfId="25333"/>
    <cellStyle name="Comma 2 2 2 5 2 2 2 2 4" xfId="10475"/>
    <cellStyle name="Comma 2 2 2 5 2 2 2 2 4 2" xfId="15006"/>
    <cellStyle name="Comma 2 2 2 5 2 2 2 2 4 2 2" xfId="45838"/>
    <cellStyle name="Comma 2 2 2 5 2 2 2 2 4 2 2 2" xfId="50345"/>
    <cellStyle name="Comma 2 2 2 5 2 2 2 2 4 3" xfId="28519"/>
    <cellStyle name="Comma 2 2 2 5 2 2 2 2 5" xfId="23961"/>
    <cellStyle name="Comma 2 2 2 5 2 2 2 2 5 2" xfId="36814"/>
    <cellStyle name="Comma 2 2 2 5 2 2 2 3" xfId="2124"/>
    <cellStyle name="Comma 2 2 2 5 2 2 2 3 2" xfId="6525"/>
    <cellStyle name="Comma 2 2 2 5 2 2 2 3 2 2" xfId="7358"/>
    <cellStyle name="Comma 2 2 2 5 2 2 2 3 2 2 2" xfId="20078"/>
    <cellStyle name="Comma 2 2 2 5 2 2 2 3 2 2 2 2" xfId="20910"/>
    <cellStyle name="Comma 2 2 2 5 2 2 2 3 2 2 2 2 2" xfId="55404"/>
    <cellStyle name="Comma 2 2 2 5 2 2 2 3 2 2 2 2 2 2" xfId="56236"/>
    <cellStyle name="Comma 2 2 2 5 2 2 2 3 2 2 2 3" xfId="34413"/>
    <cellStyle name="Comma 2 2 2 5 2 2 2 3 2 2 3" xfId="33580"/>
    <cellStyle name="Comma 2 2 2 5 2 2 2 3 2 2 3 2" xfId="42785"/>
    <cellStyle name="Comma 2 2 2 5 2 2 2 3 2 3" xfId="12583"/>
    <cellStyle name="Comma 2 2 2 5 2 2 2 3 2 3 2" xfId="41953"/>
    <cellStyle name="Comma 2 2 2 5 2 2 2 3 2 3 2 2" xfId="47929"/>
    <cellStyle name="Comma 2 2 2 5 2 2 2 3 2 4" xfId="26067"/>
    <cellStyle name="Comma 2 2 2 5 2 2 2 3 3" xfId="11748"/>
    <cellStyle name="Comma 2 2 2 5 2 2 2 3 3 2" xfId="15788"/>
    <cellStyle name="Comma 2 2 2 5 2 2 2 3 3 2 2" xfId="47096"/>
    <cellStyle name="Comma 2 2 2 5 2 2 2 3 3 2 2 2" xfId="51120"/>
    <cellStyle name="Comma 2 2 2 5 2 2 2 3 3 3" xfId="29294"/>
    <cellStyle name="Comma 2 2 2 5 2 2 2 3 4" xfId="25233"/>
    <cellStyle name="Comma 2 2 2 5 2 2 2 3 4 2" xfId="37602"/>
    <cellStyle name="Comma 2 2 2 5 2 2 2 4" xfId="4140"/>
    <cellStyle name="Comma 2 2 2 5 2 2 2 4 2" xfId="14906"/>
    <cellStyle name="Comma 2 2 2 5 2 2 2 4 2 2" xfId="17733"/>
    <cellStyle name="Comma 2 2 2 5 2 2 2 4 2 2 2" xfId="50245"/>
    <cellStyle name="Comma 2 2 2 5 2 2 2 4 2 2 2 2" xfId="53060"/>
    <cellStyle name="Comma 2 2 2 5 2 2 2 4 2 3" xfId="31235"/>
    <cellStyle name="Comma 2 2 2 5 2 2 2 4 3" xfId="28419"/>
    <cellStyle name="Comma 2 2 2 5 2 2 2 4 3 2" xfId="39583"/>
    <cellStyle name="Comma 2 2 2 5 2 2 2 5" xfId="9331"/>
    <cellStyle name="Comma 2 2 2 5 2 2 2 5 2" xfId="36714"/>
    <cellStyle name="Comma 2 2 2 5 2 2 2 5 2 2" xfId="44713"/>
    <cellStyle name="Comma 2 2 2 5 2 2 2 6" xfId="22827"/>
    <cellStyle name="Comma 2 2 2 5 2 2 3" xfId="2023"/>
    <cellStyle name="Comma 2 2 2 5 2 2 3 2" xfId="2603"/>
    <cellStyle name="Comma 2 2 2 5 2 2 3 2 2" xfId="7257"/>
    <cellStyle name="Comma 2 2 2 5 2 2 3 2 2 2" xfId="7823"/>
    <cellStyle name="Comma 2 2 2 5 2 2 3 2 2 2 2" xfId="20809"/>
    <cellStyle name="Comma 2 2 2 5 2 2 3 2 2 2 2 2" xfId="21375"/>
    <cellStyle name="Comma 2 2 2 5 2 2 3 2 2 2 2 2 2" xfId="56135"/>
    <cellStyle name="Comma 2 2 2 5 2 2 3 2 2 2 2 2 2 2" xfId="56701"/>
    <cellStyle name="Comma 2 2 2 5 2 2 3 2 2 2 2 3" xfId="34878"/>
    <cellStyle name="Comma 2 2 2 5 2 2 3 2 2 2 3" xfId="34312"/>
    <cellStyle name="Comma 2 2 2 5 2 2 3 2 2 2 3 2" xfId="43250"/>
    <cellStyle name="Comma 2 2 2 5 2 2 3 2 2 3" xfId="13048"/>
    <cellStyle name="Comma 2 2 2 5 2 2 3 2 2 3 2" xfId="42684"/>
    <cellStyle name="Comma 2 2 2 5 2 2 3 2 2 3 2 2" xfId="48394"/>
    <cellStyle name="Comma 2 2 2 5 2 2 3 2 2 4" xfId="26532"/>
    <cellStyle name="Comma 2 2 2 5 2 2 3 2 3" xfId="12482"/>
    <cellStyle name="Comma 2 2 2 5 2 2 3 2 3 2" xfId="16262"/>
    <cellStyle name="Comma 2 2 2 5 2 2 3 2 3 2 2" xfId="47828"/>
    <cellStyle name="Comma 2 2 2 5 2 2 3 2 3 2 2 2" xfId="51592"/>
    <cellStyle name="Comma 2 2 2 5 2 2 3 2 3 3" xfId="29766"/>
    <cellStyle name="Comma 2 2 2 5 2 2 3 2 4" xfId="25966"/>
    <cellStyle name="Comma 2 2 2 5 2 2 3 2 4 2" xfId="38076"/>
    <cellStyle name="Comma 2 2 2 5 2 2 3 3" xfId="4637"/>
    <cellStyle name="Comma 2 2 2 5 2 2 3 3 2" xfId="15687"/>
    <cellStyle name="Comma 2 2 2 5 2 2 3 3 2 2" xfId="18217"/>
    <cellStyle name="Comma 2 2 2 5 2 2 3 3 2 2 2" xfId="51019"/>
    <cellStyle name="Comma 2 2 2 5 2 2 3 3 2 2 2 2" xfId="53543"/>
    <cellStyle name="Comma 2 2 2 5 2 2 3 3 2 3" xfId="31718"/>
    <cellStyle name="Comma 2 2 2 5 2 2 3 3 3" xfId="29193"/>
    <cellStyle name="Comma 2 2 2 5 2 2 3 3 3 2" xfId="40076"/>
    <cellStyle name="Comma 2 2 2 5 2 2 3 4" xfId="9840"/>
    <cellStyle name="Comma 2 2 2 5 2 2 3 4 2" xfId="37501"/>
    <cellStyle name="Comma 2 2 2 5 2 2 3 4 2 2" xfId="45210"/>
    <cellStyle name="Comma 2 2 2 5 2 2 3 5" xfId="23333"/>
    <cellStyle name="Comma 2 2 2 5 2 2 4" xfId="4039"/>
    <cellStyle name="Comma 2 2 2 5 2 2 4 2" xfId="5841"/>
    <cellStyle name="Comma 2 2 2 5 2 2 4 2 2" xfId="17632"/>
    <cellStyle name="Comma 2 2 2 5 2 2 4 2 2 2" xfId="19409"/>
    <cellStyle name="Comma 2 2 2 5 2 2 4 2 2 2 2" xfId="52959"/>
    <cellStyle name="Comma 2 2 2 5 2 2 4 2 2 2 2 2" xfId="54735"/>
    <cellStyle name="Comma 2 2 2 5 2 2 4 2 2 3" xfId="32910"/>
    <cellStyle name="Comma 2 2 2 5 2 2 4 2 3" xfId="31134"/>
    <cellStyle name="Comma 2 2 2 5 2 2 4 2 3 2" xfId="41276"/>
    <cellStyle name="Comma 2 2 2 5 2 2 4 3" xfId="11064"/>
    <cellStyle name="Comma 2 2 2 5 2 2 4 3 2" xfId="39482"/>
    <cellStyle name="Comma 2 2 2 5 2 2 4 3 2 2" xfId="46423"/>
    <cellStyle name="Comma 2 2 2 5 2 2 4 4" xfId="24558"/>
    <cellStyle name="Comma 2 2 2 5 2 2 5" xfId="9230"/>
    <cellStyle name="Comma 2 2 2 5 2 2 5 2" xfId="14225"/>
    <cellStyle name="Comma 2 2 2 5 2 2 5 2 2" xfId="44612"/>
    <cellStyle name="Comma 2 2 2 5 2 2 5 2 2 2" xfId="49570"/>
    <cellStyle name="Comma 2 2 2 5 2 2 5 3" xfId="27732"/>
    <cellStyle name="Comma 2 2 2 5 2 2 6" xfId="22726"/>
    <cellStyle name="Comma 2 2 2 5 2 2 6 2" xfId="36037"/>
    <cellStyle name="Comma 2 2 2 5 2 3" xfId="832"/>
    <cellStyle name="Comma 2 2 2 5 2 3 2" xfId="2476"/>
    <cellStyle name="Comma 2 2 2 5 2 3 2 2" xfId="2884"/>
    <cellStyle name="Comma 2 2 2 5 2 3 2 2 2" xfId="7706"/>
    <cellStyle name="Comma 2 2 2 5 2 3 2 2 2 2" xfId="8100"/>
    <cellStyle name="Comma 2 2 2 5 2 3 2 2 2 2 2" xfId="21258"/>
    <cellStyle name="Comma 2 2 2 5 2 3 2 2 2 2 2 2" xfId="21652"/>
    <cellStyle name="Comma 2 2 2 5 2 3 2 2 2 2 2 2 2" xfId="56584"/>
    <cellStyle name="Comma 2 2 2 5 2 3 2 2 2 2 2 2 2 2" xfId="56978"/>
    <cellStyle name="Comma 2 2 2 5 2 3 2 2 2 2 2 3" xfId="35155"/>
    <cellStyle name="Comma 2 2 2 5 2 3 2 2 2 2 3" xfId="34761"/>
    <cellStyle name="Comma 2 2 2 5 2 3 2 2 2 2 3 2" xfId="43527"/>
    <cellStyle name="Comma 2 2 2 5 2 3 2 2 2 3" xfId="13325"/>
    <cellStyle name="Comma 2 2 2 5 2 3 2 2 2 3 2" xfId="43133"/>
    <cellStyle name="Comma 2 2 2 5 2 3 2 2 2 3 2 2" xfId="48671"/>
    <cellStyle name="Comma 2 2 2 5 2 3 2 2 2 4" xfId="26809"/>
    <cellStyle name="Comma 2 2 2 5 2 3 2 2 3" xfId="12931"/>
    <cellStyle name="Comma 2 2 2 5 2 3 2 2 3 2" xfId="16542"/>
    <cellStyle name="Comma 2 2 2 5 2 3 2 2 3 2 2" xfId="48277"/>
    <cellStyle name="Comma 2 2 2 5 2 3 2 2 3 2 2 2" xfId="51870"/>
    <cellStyle name="Comma 2 2 2 5 2 3 2 2 3 3" xfId="30044"/>
    <cellStyle name="Comma 2 2 2 5 2 3 2 2 4" xfId="26415"/>
    <cellStyle name="Comma 2 2 2 5 2 3 2 2 4 2" xfId="38354"/>
    <cellStyle name="Comma 2 2 2 5 2 3 2 3" xfId="4920"/>
    <cellStyle name="Comma 2 2 2 5 2 3 2 3 2" xfId="16139"/>
    <cellStyle name="Comma 2 2 2 5 2 3 2 3 2 2" xfId="18494"/>
    <cellStyle name="Comma 2 2 2 5 2 3 2 3 2 2 2" xfId="51470"/>
    <cellStyle name="Comma 2 2 2 5 2 3 2 3 2 2 2 2" xfId="53820"/>
    <cellStyle name="Comma 2 2 2 5 2 3 2 3 2 3" xfId="31995"/>
    <cellStyle name="Comma 2 2 2 5 2 3 2 3 3" xfId="29644"/>
    <cellStyle name="Comma 2 2 2 5 2 3 2 3 3 2" xfId="40357"/>
    <cellStyle name="Comma 2 2 2 5 2 3 2 4" xfId="10123"/>
    <cellStyle name="Comma 2 2 2 5 2 3 2 4 2" xfId="37953"/>
    <cellStyle name="Comma 2 2 2 5 2 3 2 4 2 2" xfId="45487"/>
    <cellStyle name="Comma 2 2 2 5 2 3 2 5" xfId="23610"/>
    <cellStyle name="Comma 2 2 2 5 2 3 3" xfId="4511"/>
    <cellStyle name="Comma 2 2 2 5 2 3 3 2" xfId="6147"/>
    <cellStyle name="Comma 2 2 2 5 2 3 3 2 2" xfId="18099"/>
    <cellStyle name="Comma 2 2 2 5 2 3 3 2 2 2" xfId="19708"/>
    <cellStyle name="Comma 2 2 2 5 2 3 3 2 2 2 2" xfId="53425"/>
    <cellStyle name="Comma 2 2 2 5 2 3 3 2 2 2 2 2" xfId="55034"/>
    <cellStyle name="Comma 2 2 2 5 2 3 3 2 2 3" xfId="33209"/>
    <cellStyle name="Comma 2 2 2 5 2 3 3 2 3" xfId="31600"/>
    <cellStyle name="Comma 2 2 2 5 2 3 3 2 3 2" xfId="41579"/>
    <cellStyle name="Comma 2 2 2 5 2 3 3 3" xfId="11373"/>
    <cellStyle name="Comma 2 2 2 5 2 3 3 3 2" xfId="39952"/>
    <cellStyle name="Comma 2 2 2 5 2 3 3 3 2 2" xfId="46725"/>
    <cellStyle name="Comma 2 2 2 5 2 3 3 4" xfId="24862"/>
    <cellStyle name="Comma 2 2 2 5 2 3 4" xfId="9715"/>
    <cellStyle name="Comma 2 2 2 5 2 3 4 2" xfId="14530"/>
    <cellStyle name="Comma 2 2 2 5 2 3 4 2 2" xfId="45092"/>
    <cellStyle name="Comma 2 2 2 5 2 3 4 2 2 2" xfId="49872"/>
    <cellStyle name="Comma 2 2 2 5 2 3 4 3" xfId="28042"/>
    <cellStyle name="Comma 2 2 2 5 2 3 5" xfId="23215"/>
    <cellStyle name="Comma 2 2 2 5 2 3 5 2" xfId="36340"/>
    <cellStyle name="Comma 2 2 2 5 2 4" xfId="1626"/>
    <cellStyle name="Comma 2 2 2 5 2 4 2" xfId="5719"/>
    <cellStyle name="Comma 2 2 2 5 2 4 2 2" xfId="6894"/>
    <cellStyle name="Comma 2 2 2 5 2 4 2 2 2" xfId="19288"/>
    <cellStyle name="Comma 2 2 2 5 2 4 2 2 2 2" xfId="20447"/>
    <cellStyle name="Comma 2 2 2 5 2 4 2 2 2 2 2" xfId="54614"/>
    <cellStyle name="Comma 2 2 2 5 2 4 2 2 2 2 2 2" xfId="55773"/>
    <cellStyle name="Comma 2 2 2 5 2 4 2 2 2 3" xfId="33949"/>
    <cellStyle name="Comma 2 2 2 5 2 4 2 2 3" xfId="32789"/>
    <cellStyle name="Comma 2 2 2 5 2 4 2 2 3 2" xfId="42322"/>
    <cellStyle name="Comma 2 2 2 5 2 4 2 3" xfId="12118"/>
    <cellStyle name="Comma 2 2 2 5 2 4 2 3 2" xfId="41154"/>
    <cellStyle name="Comma 2 2 2 5 2 4 2 3 2 2" xfId="47465"/>
    <cellStyle name="Comma 2 2 2 5 2 4 2 4" xfId="25603"/>
    <cellStyle name="Comma 2 2 2 5 2 4 3" xfId="10939"/>
    <cellStyle name="Comma 2 2 2 5 2 4 3 2" xfId="15301"/>
    <cellStyle name="Comma 2 2 2 5 2 4 3 2 2" xfId="46298"/>
    <cellStyle name="Comma 2 2 2 5 2 4 3 2 2 2" xfId="50636"/>
    <cellStyle name="Comma 2 2 2 5 2 4 3 3" xfId="28810"/>
    <cellStyle name="Comma 2 2 2 5 2 4 4" xfId="24430"/>
    <cellStyle name="Comma 2 2 2 5 2 4 4 2" xfId="37112"/>
    <cellStyle name="Comma 2 2 2 5 2 5" xfId="3630"/>
    <cellStyle name="Comma 2 2 2 5 2 5 2" xfId="14102"/>
    <cellStyle name="Comma 2 2 2 5 2 5 2 2" xfId="17262"/>
    <cellStyle name="Comma 2 2 2 5 2 5 2 2 2" xfId="49447"/>
    <cellStyle name="Comma 2 2 2 5 2 5 2 2 2 2" xfId="52589"/>
    <cellStyle name="Comma 2 2 2 5 2 5 2 3" xfId="30763"/>
    <cellStyle name="Comma 2 2 2 5 2 5 3" xfId="27602"/>
    <cellStyle name="Comma 2 2 2 5 2 5 3 2" xfId="39085"/>
    <cellStyle name="Comma 2 2 2 5 2 6" xfId="8826"/>
    <cellStyle name="Comma 2 2 2 5 2 6 2" xfId="35913"/>
    <cellStyle name="Comma 2 2 2 5 2 6 2 2" xfId="44234"/>
    <cellStyle name="Comma 2 2 2 5 2 7" xfId="22342"/>
    <cellStyle name="Comma 2 2 2 5 3" xfId="683"/>
    <cellStyle name="Comma 2 2 2 5 3 2" xfId="1010"/>
    <cellStyle name="Comma 2 2 2 5 3 2 2" xfId="2771"/>
    <cellStyle name="Comma 2 2 2 5 3 2 2 2" xfId="3047"/>
    <cellStyle name="Comma 2 2 2 5 3 2 2 2 2" xfId="7988"/>
    <cellStyle name="Comma 2 2 2 5 3 2 2 2 2 2" xfId="8262"/>
    <cellStyle name="Comma 2 2 2 5 3 2 2 2 2 2 2" xfId="21540"/>
    <cellStyle name="Comma 2 2 2 5 3 2 2 2 2 2 2 2" xfId="21814"/>
    <cellStyle name="Comma 2 2 2 5 3 2 2 2 2 2 2 2 2" xfId="56866"/>
    <cellStyle name="Comma 2 2 2 5 3 2 2 2 2 2 2 2 2 2" xfId="57140"/>
    <cellStyle name="Comma 2 2 2 5 3 2 2 2 2 2 2 3" xfId="35317"/>
    <cellStyle name="Comma 2 2 2 5 3 2 2 2 2 2 3" xfId="35043"/>
    <cellStyle name="Comma 2 2 2 5 3 2 2 2 2 2 3 2" xfId="43689"/>
    <cellStyle name="Comma 2 2 2 5 3 2 2 2 2 3" xfId="13487"/>
    <cellStyle name="Comma 2 2 2 5 3 2 2 2 2 3 2" xfId="43415"/>
    <cellStyle name="Comma 2 2 2 5 3 2 2 2 2 3 2 2" xfId="48833"/>
    <cellStyle name="Comma 2 2 2 5 3 2 2 2 2 4" xfId="26972"/>
    <cellStyle name="Comma 2 2 2 5 3 2 2 2 3" xfId="13213"/>
    <cellStyle name="Comma 2 2 2 5 3 2 2 2 3 2" xfId="16704"/>
    <cellStyle name="Comma 2 2 2 5 3 2 2 2 3 2 2" xfId="48559"/>
    <cellStyle name="Comma 2 2 2 5 3 2 2 2 3 2 2 2" xfId="52032"/>
    <cellStyle name="Comma 2 2 2 5 3 2 2 2 3 3" xfId="30206"/>
    <cellStyle name="Comma 2 2 2 5 3 2 2 2 4" xfId="26697"/>
    <cellStyle name="Comma 2 2 2 5 3 2 2 2 4 2" xfId="38516"/>
    <cellStyle name="Comma 2 2 2 5 3 2 2 3" xfId="5084"/>
    <cellStyle name="Comma 2 2 2 5 3 2 2 3 2" xfId="16430"/>
    <cellStyle name="Comma 2 2 2 5 3 2 2 3 2 2" xfId="18657"/>
    <cellStyle name="Comma 2 2 2 5 3 2 2 3 2 2 2" xfId="51758"/>
    <cellStyle name="Comma 2 2 2 5 3 2 2 3 2 2 2 2" xfId="53983"/>
    <cellStyle name="Comma 2 2 2 5 3 2 2 3 2 3" xfId="32158"/>
    <cellStyle name="Comma 2 2 2 5 3 2 2 3 3" xfId="29932"/>
    <cellStyle name="Comma 2 2 2 5 3 2 2 3 3 2" xfId="40521"/>
    <cellStyle name="Comma 2 2 2 5 3 2 2 4" xfId="10287"/>
    <cellStyle name="Comma 2 2 2 5 3 2 2 4 2" xfId="38242"/>
    <cellStyle name="Comma 2 2 2 5 3 2 2 4 2 2" xfId="45650"/>
    <cellStyle name="Comma 2 2 2 5 3 2 2 5" xfId="23773"/>
    <cellStyle name="Comma 2 2 2 5 3 2 3" xfId="4807"/>
    <cellStyle name="Comma 2 2 2 5 3 2 3 2" xfId="6320"/>
    <cellStyle name="Comma 2 2 2 5 3 2 3 2 2" xfId="18382"/>
    <cellStyle name="Comma 2 2 2 5 3 2 3 2 2 2" xfId="19877"/>
    <cellStyle name="Comma 2 2 2 5 3 2 3 2 2 2 2" xfId="53708"/>
    <cellStyle name="Comma 2 2 2 5 3 2 3 2 2 2 2 2" xfId="55203"/>
    <cellStyle name="Comma 2 2 2 5 3 2 3 2 2 3" xfId="33379"/>
    <cellStyle name="Comma 2 2 2 5 3 2 3 2 3" xfId="31883"/>
    <cellStyle name="Comma 2 2 2 5 3 2 3 2 3 2" xfId="41749"/>
    <cellStyle name="Comma 2 2 2 5 3 2 3 3" xfId="11546"/>
    <cellStyle name="Comma 2 2 2 5 3 2 3 3 2" xfId="40244"/>
    <cellStyle name="Comma 2 2 2 5 3 2 3 3 2 2" xfId="46895"/>
    <cellStyle name="Comma 2 2 2 5 3 2 3 4" xfId="25032"/>
    <cellStyle name="Comma 2 2 2 5 3 2 4" xfId="10010"/>
    <cellStyle name="Comma 2 2 2 5 3 2 4 2" xfId="14703"/>
    <cellStyle name="Comma 2 2 2 5 3 2 4 2 2" xfId="45375"/>
    <cellStyle name="Comma 2 2 2 5 3 2 4 2 2 2" xfId="50042"/>
    <cellStyle name="Comma 2 2 2 5 3 2 4 3" xfId="28215"/>
    <cellStyle name="Comma 2 2 2 5 3 2 5" xfId="23498"/>
    <cellStyle name="Comma 2 2 2 5 3 2 5 2" xfId="36511"/>
    <cellStyle name="Comma 2 2 2 5 3 3" xfId="1812"/>
    <cellStyle name="Comma 2 2 2 5 3 3 2" xfId="6012"/>
    <cellStyle name="Comma 2 2 2 5 3 3 2 2" xfId="7064"/>
    <cellStyle name="Comma 2 2 2 5 3 3 2 2 2" xfId="19577"/>
    <cellStyle name="Comma 2 2 2 5 3 3 2 2 2 2" xfId="20617"/>
    <cellStyle name="Comma 2 2 2 5 3 3 2 2 2 2 2" xfId="54903"/>
    <cellStyle name="Comma 2 2 2 5 3 3 2 2 2 2 2 2" xfId="55943"/>
    <cellStyle name="Comma 2 2 2 5 3 3 2 2 2 3" xfId="34119"/>
    <cellStyle name="Comma 2 2 2 5 3 3 2 2 3" xfId="33078"/>
    <cellStyle name="Comma 2 2 2 5 3 3 2 2 3 2" xfId="42492"/>
    <cellStyle name="Comma 2 2 2 5 3 3 2 3" xfId="12288"/>
    <cellStyle name="Comma 2 2 2 5 3 3 2 3 2" xfId="41446"/>
    <cellStyle name="Comma 2 2 2 5 3 3 2 3 2 2" xfId="47635"/>
    <cellStyle name="Comma 2 2 2 5 3 3 2 4" xfId="25773"/>
    <cellStyle name="Comma 2 2 2 5 3 3 3" xfId="11237"/>
    <cellStyle name="Comma 2 2 2 5 3 3 3 2" xfId="15484"/>
    <cellStyle name="Comma 2 2 2 5 3 3 3 2 2" xfId="46593"/>
    <cellStyle name="Comma 2 2 2 5 3 3 3 2 2 2" xfId="50817"/>
    <cellStyle name="Comma 2 2 2 5 3 3 3 3" xfId="28991"/>
    <cellStyle name="Comma 2 2 2 5 3 3 4" xfId="24730"/>
    <cellStyle name="Comma 2 2 2 5 3 3 4 2" xfId="37294"/>
    <cellStyle name="Comma 2 2 2 5 3 4" xfId="3821"/>
    <cellStyle name="Comma 2 2 2 5 3 4 2" xfId="14394"/>
    <cellStyle name="Comma 2 2 2 5 3 4 2 2" xfId="17436"/>
    <cellStyle name="Comma 2 2 2 5 3 4 2 2 2" xfId="49739"/>
    <cellStyle name="Comma 2 2 2 5 3 4 2 2 2 2" xfId="52763"/>
    <cellStyle name="Comma 2 2 2 5 3 4 2 3" xfId="30937"/>
    <cellStyle name="Comma 2 2 2 5 3 4 3" xfId="27906"/>
    <cellStyle name="Comma 2 2 2 5 3 4 3 2" xfId="39271"/>
    <cellStyle name="Comma 2 2 2 5 3 5" xfId="9013"/>
    <cellStyle name="Comma 2 2 2 5 3 5 2" xfId="36206"/>
    <cellStyle name="Comma 2 2 2 5 3 5 2 2" xfId="44411"/>
    <cellStyle name="Comma 2 2 2 5 3 6" xfId="22522"/>
    <cellStyle name="Comma 2 2 2 5 4" xfId="239"/>
    <cellStyle name="Comma 2 2 2 5 4 2" xfId="2274"/>
    <cellStyle name="Comma 2 2 2 5 4 2 2" xfId="5607"/>
    <cellStyle name="Comma 2 2 2 5 4 2 2 2" xfId="7508"/>
    <cellStyle name="Comma 2 2 2 5 4 2 2 2 2" xfId="19179"/>
    <cellStyle name="Comma 2 2 2 5 4 2 2 2 2 2" xfId="21060"/>
    <cellStyle name="Comma 2 2 2 5 4 2 2 2 2 2 2" xfId="54505"/>
    <cellStyle name="Comma 2 2 2 5 4 2 2 2 2 2 2 2" xfId="56386"/>
    <cellStyle name="Comma 2 2 2 5 4 2 2 2 2 3" xfId="34563"/>
    <cellStyle name="Comma 2 2 2 5 4 2 2 2 3" xfId="32680"/>
    <cellStyle name="Comma 2 2 2 5 4 2 2 2 3 2" xfId="42935"/>
    <cellStyle name="Comma 2 2 2 5 4 2 2 3" xfId="12733"/>
    <cellStyle name="Comma 2 2 2 5 4 2 2 3 2" xfId="41043"/>
    <cellStyle name="Comma 2 2 2 5 4 2 2 3 2 2" xfId="48079"/>
    <cellStyle name="Comma 2 2 2 5 4 2 2 4" xfId="26217"/>
    <cellStyle name="Comma 2 2 2 5 4 2 3" xfId="10820"/>
    <cellStyle name="Comma 2 2 2 5 4 2 3 2" xfId="15938"/>
    <cellStyle name="Comma 2 2 2 5 4 2 3 2 2" xfId="46182"/>
    <cellStyle name="Comma 2 2 2 5 4 2 3 2 2 2" xfId="51270"/>
    <cellStyle name="Comma 2 2 2 5 4 2 3 3" xfId="29444"/>
    <cellStyle name="Comma 2 2 2 5 4 2 4" xfId="24311"/>
    <cellStyle name="Comma 2 2 2 5 4 2 4 2" xfId="37752"/>
    <cellStyle name="Comma 2 2 2 5 4 3" xfId="4295"/>
    <cellStyle name="Comma 2 2 2 5 4 3 2" xfId="13991"/>
    <cellStyle name="Comma 2 2 2 5 4 3 2 2" xfId="17888"/>
    <cellStyle name="Comma 2 2 2 5 4 3 2 2 2" xfId="49337"/>
    <cellStyle name="Comma 2 2 2 5 4 3 2 2 2 2" xfId="53215"/>
    <cellStyle name="Comma 2 2 2 5 4 3 2 3" xfId="31390"/>
    <cellStyle name="Comma 2 2 2 5 4 3 3" xfId="27483"/>
    <cellStyle name="Comma 2 2 2 5 4 3 3 2" xfId="39738"/>
    <cellStyle name="Comma 2 2 2 5 4 4" xfId="9489"/>
    <cellStyle name="Comma 2 2 2 5 4 4 2" xfId="35803"/>
    <cellStyle name="Comma 2 2 2 5 4 4 2 2" xfId="44871"/>
    <cellStyle name="Comma 2 2 2 5 4 5" xfId="22986"/>
    <cellStyle name="Comma 2 2 2 5 5" xfId="337"/>
    <cellStyle name="Comma 2 2 2 5 5 2" xfId="4289"/>
    <cellStyle name="Comma 2 2 2 5 5 2 2" xfId="14077"/>
    <cellStyle name="Comma 2 2 2 5 5 2 2 2" xfId="17882"/>
    <cellStyle name="Comma 2 2 2 5 5 2 2 2 2" xfId="49423"/>
    <cellStyle name="Comma 2 2 2 5 5 2 2 2 2 2" xfId="53209"/>
    <cellStyle name="Comma 2 2 2 5 5 2 2 3" xfId="31384"/>
    <cellStyle name="Comma 2 2 2 5 5 2 3" xfId="27576"/>
    <cellStyle name="Comma 2 2 2 5 5 2 3 2" xfId="39732"/>
    <cellStyle name="Comma 2 2 2 5 5 3" xfId="9481"/>
    <cellStyle name="Comma 2 2 2 5 5 3 2" xfId="35889"/>
    <cellStyle name="Comma 2 2 2 5 5 3 2 2" xfId="44863"/>
    <cellStyle name="Comma 2 2 2 5 5 4" xfId="22977"/>
    <cellStyle name="Comma 2 2 2 5 6" xfId="3932"/>
    <cellStyle name="Comma 2 2 2 5 6 2" xfId="10763"/>
    <cellStyle name="Comma 2 2 2 5 6 2 2" xfId="39376"/>
    <cellStyle name="Comma 2 2 2 5 6 2 2 2" xfId="46125"/>
    <cellStyle name="Comma 2 2 2 5 6 3" xfId="24251"/>
    <cellStyle name="Comma 2 2 2 5 7" xfId="9127"/>
    <cellStyle name="Comma 2 2 2 5 7 2" xfId="14082"/>
    <cellStyle name="Comma 2 2 2 6" xfId="213"/>
    <cellStyle name="Comma 2 2 2 6 2" xfId="733"/>
    <cellStyle name="Comma 2 2 2 6 2 2" xfId="1087"/>
    <cellStyle name="Comma 2 2 2 6 2 2 2" xfId="2804"/>
    <cellStyle name="Comma 2 2 2 6 2 2 2 2" xfId="3117"/>
    <cellStyle name="Comma 2 2 2 6 2 2 2 2 2" xfId="8020"/>
    <cellStyle name="Comma 2 2 2 6 2 2 2 2 2 2" xfId="8332"/>
    <cellStyle name="Comma 2 2 2 6 2 2 2 2 2 2 2" xfId="21572"/>
    <cellStyle name="Comma 2 2 2 6 2 2 2 2 2 2 2 2" xfId="21884"/>
    <cellStyle name="Comma 2 2 2 6 2 2 2 2 2 2 2 2 2" xfId="56898"/>
    <cellStyle name="Comma 2 2 2 6 2 2 2 2 2 2 2 2 2 2" xfId="57210"/>
    <cellStyle name="Comma 2 2 2 6 2 2 2 2 2 2 2 3" xfId="35387"/>
    <cellStyle name="Comma 2 2 2 6 2 2 2 2 2 2 3" xfId="35075"/>
    <cellStyle name="Comma 2 2 2 6 2 2 2 2 2 2 3 2" xfId="43759"/>
    <cellStyle name="Comma 2 2 2 6 2 2 2 2 2 3" xfId="13557"/>
    <cellStyle name="Comma 2 2 2 6 2 2 2 2 2 3 2" xfId="43447"/>
    <cellStyle name="Comma 2 2 2 6 2 2 2 2 2 3 2 2" xfId="48903"/>
    <cellStyle name="Comma 2 2 2 6 2 2 2 2 2 4" xfId="27042"/>
    <cellStyle name="Comma 2 2 2 6 2 2 2 2 3" xfId="13245"/>
    <cellStyle name="Comma 2 2 2 6 2 2 2 2 3 2" xfId="16774"/>
    <cellStyle name="Comma 2 2 2 6 2 2 2 2 3 2 2" xfId="48591"/>
    <cellStyle name="Comma 2 2 2 6 2 2 2 2 3 2 2 2" xfId="52102"/>
    <cellStyle name="Comma 2 2 2 6 2 2 2 2 3 3" xfId="30276"/>
    <cellStyle name="Comma 2 2 2 6 2 2 2 2 4" xfId="26729"/>
    <cellStyle name="Comma 2 2 2 6 2 2 2 2 4 2" xfId="38586"/>
    <cellStyle name="Comma 2 2 2 6 2 2 2 3" xfId="5154"/>
    <cellStyle name="Comma 2 2 2 6 2 2 2 3 2" xfId="16462"/>
    <cellStyle name="Comma 2 2 2 6 2 2 2 3 2 2" xfId="18727"/>
    <cellStyle name="Comma 2 2 2 6 2 2 2 3 2 2 2" xfId="51790"/>
    <cellStyle name="Comma 2 2 2 6 2 2 2 3 2 2 2 2" xfId="54053"/>
    <cellStyle name="Comma 2 2 2 6 2 2 2 3 2 3" xfId="32228"/>
    <cellStyle name="Comma 2 2 2 6 2 2 2 3 3" xfId="29964"/>
    <cellStyle name="Comma 2 2 2 6 2 2 2 3 3 2" xfId="40591"/>
    <cellStyle name="Comma 2 2 2 6 2 2 2 4" xfId="10357"/>
    <cellStyle name="Comma 2 2 2 6 2 2 2 4 2" xfId="38274"/>
    <cellStyle name="Comma 2 2 2 6 2 2 2 4 2 2" xfId="45720"/>
    <cellStyle name="Comma 2 2 2 6 2 2 2 5" xfId="23843"/>
    <cellStyle name="Comma 2 2 2 6 2 2 3" xfId="4840"/>
    <cellStyle name="Comma 2 2 2 6 2 2 3 2" xfId="6396"/>
    <cellStyle name="Comma 2 2 2 6 2 2 3 2 2" xfId="18414"/>
    <cellStyle name="Comma 2 2 2 6 2 2 3 2 2 2" xfId="19952"/>
    <cellStyle name="Comma 2 2 2 6 2 2 3 2 2 2 2" xfId="53740"/>
    <cellStyle name="Comma 2 2 2 6 2 2 3 2 2 2 2 2" xfId="55278"/>
    <cellStyle name="Comma 2 2 2 6 2 2 3 2 2 3" xfId="33454"/>
    <cellStyle name="Comma 2 2 2 6 2 2 3 2 3" xfId="31915"/>
    <cellStyle name="Comma 2 2 2 6 2 2 3 2 3 2" xfId="41825"/>
    <cellStyle name="Comma 2 2 2 6 2 2 3 3" xfId="11621"/>
    <cellStyle name="Comma 2 2 2 6 2 2 3 3 2" xfId="40277"/>
    <cellStyle name="Comma 2 2 2 6 2 2 3 3 2 2" xfId="46970"/>
    <cellStyle name="Comma 2 2 2 6 2 2 3 4" xfId="25107"/>
    <cellStyle name="Comma 2 2 2 6 2 2 4" xfId="10043"/>
    <cellStyle name="Comma 2 2 2 6 2 2 4 2" xfId="14779"/>
    <cellStyle name="Comma 2 2 2 6 2 2 4 2 2" xfId="45407"/>
    <cellStyle name="Comma 2 2 2 6 2 2 4 2 2 2" xfId="50118"/>
    <cellStyle name="Comma 2 2 2 6 2 2 4 3" xfId="28291"/>
    <cellStyle name="Comma 2 2 2 6 2 2 5" xfId="23530"/>
    <cellStyle name="Comma 2 2 2 6 2 2 5 2" xfId="36587"/>
    <cellStyle name="Comma 2 2 2 6 2 3" xfId="1895"/>
    <cellStyle name="Comma 2 2 2 6 2 3 2" xfId="6056"/>
    <cellStyle name="Comma 2 2 2 6 2 3 2 2" xfId="7139"/>
    <cellStyle name="Comma 2 2 2 6 2 3 2 2 2" xfId="19620"/>
    <cellStyle name="Comma 2 2 2 6 2 3 2 2 2 2" xfId="20691"/>
    <cellStyle name="Comma 2 2 2 6 2 3 2 2 2 2 2" xfId="54946"/>
    <cellStyle name="Comma 2 2 2 6 2 3 2 2 2 2 2 2" xfId="56017"/>
    <cellStyle name="Comma 2 2 2 6 2 3 2 2 2 3" xfId="34194"/>
    <cellStyle name="Comma 2 2 2 6 2 3 2 2 3" xfId="33121"/>
    <cellStyle name="Comma 2 2 2 6 2 3 2 2 3 2" xfId="42566"/>
    <cellStyle name="Comma 2 2 2 6 2 3 2 3" xfId="12364"/>
    <cellStyle name="Comma 2 2 2 6 2 3 2 3 2" xfId="41490"/>
    <cellStyle name="Comma 2 2 2 6 2 3 2 3 2 2" xfId="47710"/>
    <cellStyle name="Comma 2 2 2 6 2 3 2 4" xfId="25848"/>
    <cellStyle name="Comma 2 2 2 6 2 3 3" xfId="11282"/>
    <cellStyle name="Comma 2 2 2 6 2 3 3 2" xfId="15562"/>
    <cellStyle name="Comma 2 2 2 6 2 3 3 2 2" xfId="46637"/>
    <cellStyle name="Comma 2 2 2 6 2 3 3 2 2 2" xfId="50894"/>
    <cellStyle name="Comma 2 2 2 6 2 3 3 3" xfId="29068"/>
    <cellStyle name="Comma 2 2 2 6 2 3 4" xfId="24774"/>
    <cellStyle name="Comma 2 2 2 6 2 3 4 2" xfId="37374"/>
    <cellStyle name="Comma 2 2 2 6 2 4" xfId="3909"/>
    <cellStyle name="Comma 2 2 2 6 2 4 2" xfId="14439"/>
    <cellStyle name="Comma 2 2 2 6 2 4 2 2" xfId="17514"/>
    <cellStyle name="Comma 2 2 2 6 2 4 2 2 2" xfId="49784"/>
    <cellStyle name="Comma 2 2 2 6 2 4 2 2 2 2" xfId="52841"/>
    <cellStyle name="Comma 2 2 2 6 2 4 2 3" xfId="31016"/>
    <cellStyle name="Comma 2 2 2 6 2 4 3" xfId="27952"/>
    <cellStyle name="Comma 2 2 2 6 2 4 3 2" xfId="39354"/>
    <cellStyle name="Comma 2 2 2 6 2 5" xfId="9101"/>
    <cellStyle name="Comma 2 2 2 6 2 5 2" xfId="36252"/>
    <cellStyle name="Comma 2 2 2 6 2 5 2 2" xfId="44493"/>
    <cellStyle name="Comma 2 2 2 6 2 6" xfId="22606"/>
    <cellStyle name="Comma 2 2 2 6 3" xfId="1517"/>
    <cellStyle name="Comma 2 2 2 6 3 2" xfId="2344"/>
    <cellStyle name="Comma 2 2 2 6 3 2 2" xfId="6806"/>
    <cellStyle name="Comma 2 2 2 6 3 2 2 2" xfId="7578"/>
    <cellStyle name="Comma 2 2 2 6 3 2 2 2 2" xfId="20359"/>
    <cellStyle name="Comma 2 2 2 6 3 2 2 2 2 2" xfId="21130"/>
    <cellStyle name="Comma 2 2 2 6 3 2 2 2 2 2 2" xfId="55685"/>
    <cellStyle name="Comma 2 2 2 6 3 2 2 2 2 2 2 2" xfId="56456"/>
    <cellStyle name="Comma 2 2 2 6 3 2 2 2 2 3" xfId="34633"/>
    <cellStyle name="Comma 2 2 2 6 3 2 2 2 3" xfId="33861"/>
    <cellStyle name="Comma 2 2 2 6 3 2 2 2 3 2" xfId="43005"/>
    <cellStyle name="Comma 2 2 2 6 3 2 2 3" xfId="12803"/>
    <cellStyle name="Comma 2 2 2 6 3 2 2 3 2" xfId="42234"/>
    <cellStyle name="Comma 2 2 2 6 3 2 2 3 2 2" xfId="48149"/>
    <cellStyle name="Comma 2 2 2 6 3 2 2 4" xfId="26287"/>
    <cellStyle name="Comma 2 2 2 6 3 2 3" xfId="12030"/>
    <cellStyle name="Comma 2 2 2 6 3 2 3 2" xfId="16008"/>
    <cellStyle name="Comma 2 2 2 6 3 2 3 2 2" xfId="47377"/>
    <cellStyle name="Comma 2 2 2 6 3 2 3 2 2 2" xfId="51340"/>
    <cellStyle name="Comma 2 2 2 6 3 2 3 3" xfId="29514"/>
    <cellStyle name="Comma 2 2 2 6 3 2 4" xfId="25514"/>
    <cellStyle name="Comma 2 2 2 6 3 2 4 2" xfId="37822"/>
    <cellStyle name="Comma 2 2 2 6 3 3" xfId="4375"/>
    <cellStyle name="Comma 2 2 2 6 3 3 2" xfId="15199"/>
    <cellStyle name="Comma 2 2 2 6 3 3 2 2" xfId="17967"/>
    <cellStyle name="Comma 2 2 2 6 3 3 2 2 2" xfId="50537"/>
    <cellStyle name="Comma 2 2 2 6 3 3 2 2 2 2" xfId="53293"/>
    <cellStyle name="Comma 2 2 2 6 3 3 2 3" xfId="31468"/>
    <cellStyle name="Comma 2 2 2 6 3 3 3" xfId="28711"/>
    <cellStyle name="Comma 2 2 2 6 3 3 3 2" xfId="39817"/>
    <cellStyle name="Comma 2 2 2 6 3 4" xfId="9576"/>
    <cellStyle name="Comma 2 2 2 6 3 4 2" xfId="37009"/>
    <cellStyle name="Comma 2 2 2 6 3 4 2 2" xfId="44957"/>
    <cellStyle name="Comma 2 2 2 6 3 5" xfId="23077"/>
    <cellStyle name="Comma 2 2 2 6 4" xfId="3517"/>
    <cellStyle name="Comma 2 2 2 6 4 2" xfId="5585"/>
    <cellStyle name="Comma 2 2 2 6 4 2 2" xfId="17170"/>
    <cellStyle name="Comma 2 2 2 6 4 2 2 2" xfId="19157"/>
    <cellStyle name="Comma 2 2 2 6 4 2 2 2 2" xfId="52497"/>
    <cellStyle name="Comma 2 2 2 6 4 2 2 2 2 2" xfId="54483"/>
    <cellStyle name="Comma 2 2 2 6 4 2 2 3" xfId="32658"/>
    <cellStyle name="Comma 2 2 2 6 4 2 3" xfId="30671"/>
    <cellStyle name="Comma 2 2 2 6 4 2 3 2" xfId="41021"/>
    <cellStyle name="Comma 2 2 2 6 4 3" xfId="10796"/>
    <cellStyle name="Comma 2 2 2 6 4 3 2" xfId="38983"/>
    <cellStyle name="Comma 2 2 2 6 4 3 2 2" xfId="46158"/>
    <cellStyle name="Comma 2 2 2 6 4 4" xfId="24286"/>
    <cellStyle name="Comma 2 2 2 6 5" xfId="8710"/>
    <cellStyle name="Comma 2 2 2 6 5 2" xfId="13969"/>
    <cellStyle name="Comma 2 2 2 6 5 2 2" xfId="44137"/>
    <cellStyle name="Comma 2 2 2 6 5 2 2 2" xfId="49315"/>
    <cellStyle name="Comma 2 2 2 6 5 3" xfId="27461"/>
    <cellStyle name="Comma 2 2 2 6 6" xfId="12328"/>
    <cellStyle name="Comma 2 2 2 6 6 2" xfId="35781"/>
    <cellStyle name="Comma 2 2 2 7" xfId="349"/>
    <cellStyle name="Comma 2 2 2 7 2" xfId="1620"/>
    <cellStyle name="Comma 2 2 2 7 2 2" xfId="2459"/>
    <cellStyle name="Comma 2 2 2 7 2 2 2" xfId="6888"/>
    <cellStyle name="Comma 2 2 2 7 2 2 2 2" xfId="7690"/>
    <cellStyle name="Comma 2 2 2 7 2 2 2 2 2" xfId="20441"/>
    <cellStyle name="Comma 2 2 2 7 2 2 2 2 2 2" xfId="21242"/>
    <cellStyle name="Comma 2 2 2 7 2 2 2 2 2 2 2" xfId="55767"/>
    <cellStyle name="Comma 2 2 2 7 2 2 2 2 2 2 2 2" xfId="56568"/>
    <cellStyle name="Comma 2 2 2 7 2 2 2 2 2 3" xfId="34745"/>
    <cellStyle name="Comma 2 2 2 7 2 2 2 2 3" xfId="33943"/>
    <cellStyle name="Comma 2 2 2 7 2 2 2 2 3 2" xfId="43117"/>
    <cellStyle name="Comma 2 2 2 7 2 2 2 3" xfId="12915"/>
    <cellStyle name="Comma 2 2 2 7 2 2 2 3 2" xfId="42316"/>
    <cellStyle name="Comma 2 2 2 7 2 2 2 3 2 2" xfId="48261"/>
    <cellStyle name="Comma 2 2 2 7 2 2 2 4" xfId="26399"/>
    <cellStyle name="Comma 2 2 2 7 2 2 3" xfId="12112"/>
    <cellStyle name="Comma 2 2 2 7 2 2 3 2" xfId="16122"/>
    <cellStyle name="Comma 2 2 2 7 2 2 3 2 2" xfId="47459"/>
    <cellStyle name="Comma 2 2 2 7 2 2 3 2 2 2" xfId="51454"/>
    <cellStyle name="Comma 2 2 2 7 2 2 3 3" xfId="29628"/>
    <cellStyle name="Comma 2 2 2 7 2 2 4" xfId="25597"/>
    <cellStyle name="Comma 2 2 2 7 2 2 4 2" xfId="37937"/>
    <cellStyle name="Comma 2 2 2 7 2 3" xfId="4494"/>
    <cellStyle name="Comma 2 2 2 7 2 3 2" xfId="15295"/>
    <cellStyle name="Comma 2 2 2 7 2 3 2 2" xfId="18083"/>
    <cellStyle name="Comma 2 2 2 7 2 3 2 2 2" xfId="50630"/>
    <cellStyle name="Comma 2 2 2 7 2 3 2 2 2 2" xfId="53409"/>
    <cellStyle name="Comma 2 2 2 7 2 3 2 3" xfId="31584"/>
    <cellStyle name="Comma 2 2 2 7 2 3 3" xfId="28804"/>
    <cellStyle name="Comma 2 2 2 7 2 3 3 2" xfId="39936"/>
    <cellStyle name="Comma 2 2 2 7 2 4" xfId="9698"/>
    <cellStyle name="Comma 2 2 2 7 2 4 2" xfId="37106"/>
    <cellStyle name="Comma 2 2 2 7 2 4 2 2" xfId="45076"/>
    <cellStyle name="Comma 2 2 2 7 2 5" xfId="23199"/>
    <cellStyle name="Comma 2 2 2 7 3" xfId="3624"/>
    <cellStyle name="Comma 2 2 2 7 3 2" xfId="5702"/>
    <cellStyle name="Comma 2 2 2 7 3 2 2" xfId="17256"/>
    <cellStyle name="Comma 2 2 2 7 3 2 2 2" xfId="19272"/>
    <cellStyle name="Comma 2 2 2 7 3 2 2 2 2" xfId="52583"/>
    <cellStyle name="Comma 2 2 2 7 3 2 2 2 2 2" xfId="54598"/>
    <cellStyle name="Comma 2 2 2 7 3 2 2 3" xfId="32773"/>
    <cellStyle name="Comma 2 2 2 7 3 2 3" xfId="30757"/>
    <cellStyle name="Comma 2 2 2 7 3 2 3 2" xfId="41137"/>
    <cellStyle name="Comma 2 2 2 7 3 3" xfId="10920"/>
    <cellStyle name="Comma 2 2 2 7 3 3 2" xfId="39079"/>
    <cellStyle name="Comma 2 2 2 7 3 3 2 2" xfId="46280"/>
    <cellStyle name="Comma 2 2 2 7 3 4" xfId="24412"/>
    <cellStyle name="Comma 2 2 2 7 4" xfId="8820"/>
    <cellStyle name="Comma 2 2 2 7 4 2" xfId="14086"/>
    <cellStyle name="Comma 2 2 2 7 4 2 2" xfId="44228"/>
    <cellStyle name="Comma 2 2 2 7 4 2 2 2" xfId="49431"/>
    <cellStyle name="Comma 2 2 2 7 4 3" xfId="27585"/>
    <cellStyle name="Comma 2 2 2 7 5" xfId="22336"/>
    <cellStyle name="Comma 2 2 2 7 5 2" xfId="35897"/>
    <cellStyle name="Comma 2 2 2 8" xfId="701"/>
    <cellStyle name="Comma 2 2 2 8 2" xfId="1539"/>
    <cellStyle name="Comma 2 2 2 8 2 2" xfId="6027"/>
    <cellStyle name="Comma 2 2 2 8 2 2 2" xfId="15217"/>
    <cellStyle name="Comma 2 2 2 8 2 2 2 2" xfId="19591"/>
    <cellStyle name="Comma 2 2 2 8 2 2 2 2 2" xfId="50555"/>
    <cellStyle name="Comma 2 2 2 8 2 2 2 2 2 2" xfId="54917"/>
    <cellStyle name="Comma 2 2 2 8 2 2 2 3" xfId="33092"/>
    <cellStyle name="Comma 2 2 2 8 2 2 3" xfId="28729"/>
    <cellStyle name="Comma 2 2 2 8 2 2 3 2" xfId="41461"/>
    <cellStyle name="Comma 2 2 2 8 2 3" xfId="11252"/>
    <cellStyle name="Comma 2 2 2 8 2 3 2" xfId="37029"/>
    <cellStyle name="Comma 2 2 2 8 2 3 2 2" xfId="46607"/>
    <cellStyle name="Comma 2 2 2 8 2 4" xfId="24744"/>
    <cellStyle name="Comma 2 2 2 8 3" xfId="1891"/>
    <cellStyle name="Comma 2 2 2 8 3 2" xfId="14409"/>
    <cellStyle name="Comma 2 2 2 8 3 2 2" xfId="37371"/>
    <cellStyle name="Comma 2 2 2 8 3 2 2 2" xfId="49754"/>
    <cellStyle name="Comma 2 2 2 8 3 3" xfId="27922"/>
    <cellStyle name="Comma 2 2 2 8 4" xfId="3677"/>
    <cellStyle name="Comma 2 2 2 8 4 2" xfId="36222"/>
    <cellStyle name="Comma 2 2 2 9" xfId="1549"/>
    <cellStyle name="Comma 2 2 2 9 2" xfId="11087"/>
    <cellStyle name="Comma 2 2 2 9 2 2" xfId="15225"/>
    <cellStyle name="Comma 2 2 2 9 2 2 2" xfId="46446"/>
    <cellStyle name="Comma 2 2 2 9 2 2 2 2" xfId="50562"/>
    <cellStyle name="Comma 2 2 2 9 2 3" xfId="28736"/>
    <cellStyle name="Comma 2 2 2 9 3" xfId="24581"/>
    <cellStyle name="Comma 2 2 2 9 3 2" xfId="37037"/>
    <cellStyle name="Comma 2 2 3" xfId="45"/>
    <cellStyle name="Comma 2 2 3 10" xfId="9097"/>
    <cellStyle name="Comma 2 2 3 2" xfId="85"/>
    <cellStyle name="Comma 2 2 3 2 2" xfId="153"/>
    <cellStyle name="Comma 2 2 3 2 2 2" xfId="178"/>
    <cellStyle name="Comma 2 2 3 2 2 2 2" xfId="319"/>
    <cellStyle name="Comma 2 2 3 2 2 2 2 2" xfId="327"/>
    <cellStyle name="Comma 2 2 3 2 2 2 2 2 2" xfId="648"/>
    <cellStyle name="Comma 2 2 3 2 2 2 2 2 2 2" xfId="656"/>
    <cellStyle name="Comma 2 2 3 2 2 2 2 2 2 2 2" xfId="1444"/>
    <cellStyle name="Comma 2 2 3 2 2 2 2 2 2 2 2 2" xfId="1452"/>
    <cellStyle name="Comma 2 2 3 2 2 2 2 2 2 2 2 2 2" xfId="3462"/>
    <cellStyle name="Comma 2 2 3 2 2 2 2 2 2 2 2 2 2 2" xfId="3470"/>
    <cellStyle name="Comma 2 2 3 2 2 2 2 2 2 2 2 2 2 2 2" xfId="8677"/>
    <cellStyle name="Comma 2 2 3 2 2 2 2 2 2 2 2 2 2 2 2 2" xfId="8685"/>
    <cellStyle name="Comma 2 2 3 2 2 2 2 2 2 2 2 2 2 2 2 2 2" xfId="22229"/>
    <cellStyle name="Comma 2 2 3 2 2 2 2 2 2 2 2 2 2 2 2 2 2 2" xfId="22237"/>
    <cellStyle name="Comma 2 2 3 2 2 2 2 2 2 2 2 2 2 2 2 2 2 2 2" xfId="57555"/>
    <cellStyle name="Comma 2 2 3 2 2 2 2 2 2 2 2 2 2 2 2 2 2 2 2 2" xfId="57563"/>
    <cellStyle name="Comma 2 2 3 2 2 2 2 2 2 2 2 2 2 2 2 2 2 3" xfId="35740"/>
    <cellStyle name="Comma 2 2 3 2 2 2 2 2 2 2 2 2 2 2 2 2 3" xfId="35732"/>
    <cellStyle name="Comma 2 2 3 2 2 2 2 2 2 2 2 2 2 2 2 2 3 2" xfId="44112"/>
    <cellStyle name="Comma 2 2 3 2 2 2 2 2 2 2 2 2 2 2 2 3" xfId="13910"/>
    <cellStyle name="Comma 2 2 3 2 2 2 2 2 2 2 2 2 2 2 2 3 2" xfId="44104"/>
    <cellStyle name="Comma 2 2 3 2 2 2 2 2 2 2 2 2 2 2 2 3 2 2" xfId="49256"/>
    <cellStyle name="Comma 2 2 3 2 2 2 2 2 2 2 2 2 2 2 2 4" xfId="27395"/>
    <cellStyle name="Comma 2 2 3 2 2 2 2 2 2 2 2 2 2 2 3" xfId="13902"/>
    <cellStyle name="Comma 2 2 3 2 2 2 2 2 2 2 2 2 2 2 3 2" xfId="17127"/>
    <cellStyle name="Comma 2 2 3 2 2 2 2 2 2 2 2 2 2 2 3 2 2" xfId="49248"/>
    <cellStyle name="Comma 2 2 3 2 2 2 2 2 2 2 2 2 2 2 3 2 2 2" xfId="52455"/>
    <cellStyle name="Comma 2 2 3 2 2 2 2 2 2 2 2 2 2 2 3 3" xfId="30629"/>
    <cellStyle name="Comma 2 2 3 2 2 2 2 2 2 2 2 2 2 2 4" xfId="27387"/>
    <cellStyle name="Comma 2 2 3 2 2 2 2 2 2 2 2 2 2 2 4 2" xfId="38939"/>
    <cellStyle name="Comma 2 2 3 2 2 2 2 2 2 2 2 2 2 3" xfId="5507"/>
    <cellStyle name="Comma 2 2 3 2 2 2 2 2 2 2 2 2 2 3 2" xfId="17119"/>
    <cellStyle name="Comma 2 2 3 2 2 2 2 2 2 2 2 2 2 3 2 2" xfId="19080"/>
    <cellStyle name="Comma 2 2 3 2 2 2 2 2 2 2 2 2 2 3 2 2 2" xfId="52447"/>
    <cellStyle name="Comma 2 2 3 2 2 2 2 2 2 2 2 2 2 3 2 2 2 2" xfId="54406"/>
    <cellStyle name="Comma 2 2 3 2 2 2 2 2 2 2 2 2 2 3 2 3" xfId="32581"/>
    <cellStyle name="Comma 2 2 3 2 2 2 2 2 2 2 2 2 2 3 3" xfId="30621"/>
    <cellStyle name="Comma 2 2 3 2 2 2 2 2 2 2 2 2 2 3 3 2" xfId="40944"/>
    <cellStyle name="Comma 2 2 3 2 2 2 2 2 2 2 2 2 2 4" xfId="10710"/>
    <cellStyle name="Comma 2 2 3 2 2 2 2 2 2 2 2 2 2 4 2" xfId="38931"/>
    <cellStyle name="Comma 2 2 3 2 2 2 2 2 2 2 2 2 2 4 2 2" xfId="46073"/>
    <cellStyle name="Comma 2 2 3 2 2 2 2 2 2 2 2 2 2 5" xfId="24196"/>
    <cellStyle name="Comma 2 2 3 2 2 2 2 2 2 2 2 2 3" xfId="5499"/>
    <cellStyle name="Comma 2 2 3 2 2 2 2 2 2 2 2 2 3 2" xfId="6760"/>
    <cellStyle name="Comma 2 2 3 2 2 2 2 2 2 2 2 2 3 2 2" xfId="19072"/>
    <cellStyle name="Comma 2 2 3 2 2 2 2 2 2 2 2 2 3 2 2 2" xfId="20313"/>
    <cellStyle name="Comma 2 2 3 2 2 2 2 2 2 2 2 2 3 2 2 2 2" xfId="54398"/>
    <cellStyle name="Comma 2 2 3 2 2 2 2 2 2 2 2 2 3 2 2 2 2 2" xfId="55639"/>
    <cellStyle name="Comma 2 2 3 2 2 2 2 2 2 2 2 2 3 2 2 3" xfId="33815"/>
    <cellStyle name="Comma 2 2 3 2 2 2 2 2 2 2 2 2 3 2 3" xfId="32573"/>
    <cellStyle name="Comma 2 2 3 2 2 2 2 2 2 2 2 2 3 2 3 2" xfId="42188"/>
    <cellStyle name="Comma 2 2 3 2 2 2 2 2 2 2 2 2 3 3" xfId="11983"/>
    <cellStyle name="Comma 2 2 3 2 2 2 2 2 2 2 2 2 3 3 2" xfId="40936"/>
    <cellStyle name="Comma 2 2 3 2 2 2 2 2 2 2 2 2 3 3 2 2" xfId="47331"/>
    <cellStyle name="Comma 2 2 3 2 2 2 2 2 2 2 2 2 3 4" xfId="25468"/>
    <cellStyle name="Comma 2 2 3 2 2 2 2 2 2 2 2 2 4" xfId="10702"/>
    <cellStyle name="Comma 2 2 3 2 2 2 2 2 2 2 2 2 4 2" xfId="15141"/>
    <cellStyle name="Comma 2 2 3 2 2 2 2 2 2 2 2 2 4 2 2" xfId="46065"/>
    <cellStyle name="Comma 2 2 3 2 2 2 2 2 2 2 2 2 4 2 2 2" xfId="50480"/>
    <cellStyle name="Comma 2 2 3 2 2 2 2 2 2 2 2 2 4 3" xfId="28654"/>
    <cellStyle name="Comma 2 2 3 2 2 2 2 2 2 2 2 2 5" xfId="24188"/>
    <cellStyle name="Comma 2 2 3 2 2 2 2 2 2 2 2 2 5 2" xfId="36949"/>
    <cellStyle name="Comma 2 2 3 2 2 2 2 2 2 2 2 3" xfId="2259"/>
    <cellStyle name="Comma 2 2 3 2 2 2 2 2 2 2 2 3 2" xfId="6752"/>
    <cellStyle name="Comma 2 2 3 2 2 2 2 2 2 2 2 3 2 2" xfId="7493"/>
    <cellStyle name="Comma 2 2 3 2 2 2 2 2 2 2 2 3 2 2 2" xfId="20305"/>
    <cellStyle name="Comma 2 2 3 2 2 2 2 2 2 2 2 3 2 2 2 2" xfId="21045"/>
    <cellStyle name="Comma 2 2 3 2 2 2 2 2 2 2 2 3 2 2 2 2 2" xfId="55631"/>
    <cellStyle name="Comma 2 2 3 2 2 2 2 2 2 2 2 3 2 2 2 2 2 2" xfId="56371"/>
    <cellStyle name="Comma 2 2 3 2 2 2 2 2 2 2 2 3 2 2 2 3" xfId="34548"/>
    <cellStyle name="Comma 2 2 3 2 2 2 2 2 2 2 2 3 2 2 3" xfId="33807"/>
    <cellStyle name="Comma 2 2 3 2 2 2 2 2 2 2 2 3 2 2 3 2" xfId="42920"/>
    <cellStyle name="Comma 2 2 3 2 2 2 2 2 2 2 2 3 2 3" xfId="12718"/>
    <cellStyle name="Comma 2 2 3 2 2 2 2 2 2 2 2 3 2 3 2" xfId="42180"/>
    <cellStyle name="Comma 2 2 3 2 2 2 2 2 2 2 2 3 2 3 2 2" xfId="48064"/>
    <cellStyle name="Comma 2 2 3 2 2 2 2 2 2 2 2 3 2 4" xfId="26202"/>
    <cellStyle name="Comma 2 2 3 2 2 2 2 2 2 2 2 3 3" xfId="11975"/>
    <cellStyle name="Comma 2 2 3 2 2 2 2 2 2 2 2 3 3 2" xfId="15923"/>
    <cellStyle name="Comma 2 2 3 2 2 2 2 2 2 2 2 3 3 2 2" xfId="47323"/>
    <cellStyle name="Comma 2 2 3 2 2 2 2 2 2 2 2 3 3 2 2 2" xfId="51255"/>
    <cellStyle name="Comma 2 2 3 2 2 2 2 2 2 2 2 3 3 3" xfId="29429"/>
    <cellStyle name="Comma 2 2 3 2 2 2 2 2 2 2 2 3 4" xfId="25460"/>
    <cellStyle name="Comma 2 2 3 2 2 2 2 2 2 2 2 3 4 2" xfId="37737"/>
    <cellStyle name="Comma 2 2 3 2 2 2 2 2 2 2 2 4" xfId="4275"/>
    <cellStyle name="Comma 2 2 3 2 2 2 2 2 2 2 2 4 2" xfId="15133"/>
    <cellStyle name="Comma 2 2 3 2 2 2 2 2 2 2 2 4 2 2" xfId="17868"/>
    <cellStyle name="Comma 2 2 3 2 2 2 2 2 2 2 2 4 2 2 2" xfId="50472"/>
    <cellStyle name="Comma 2 2 3 2 2 2 2 2 2 2 2 4 2 2 2 2" xfId="53195"/>
    <cellStyle name="Comma 2 2 3 2 2 2 2 2 2 2 2 4 2 3" xfId="31370"/>
    <cellStyle name="Comma 2 2 3 2 2 2 2 2 2 2 2 4 3" xfId="28646"/>
    <cellStyle name="Comma 2 2 3 2 2 2 2 2 2 2 2 4 3 2" xfId="39718"/>
    <cellStyle name="Comma 2 2 3 2 2 2 2 2 2 2 2 5" xfId="9466"/>
    <cellStyle name="Comma 2 2 3 2 2 2 2 2 2 2 2 5 2" xfId="36941"/>
    <cellStyle name="Comma 2 2 3 2 2 2 2 2 2 2 2 5 2 2" xfId="44848"/>
    <cellStyle name="Comma 2 2 3 2 2 2 2 2 2 2 2 6" xfId="22962"/>
    <cellStyle name="Comma 2 2 3 2 2 2 2 2 2 2 3" xfId="2251"/>
    <cellStyle name="Comma 2 2 3 2 2 2 2 2 2 2 3 2" xfId="2746"/>
    <cellStyle name="Comma 2 2 3 2 2 2 2 2 2 2 3 2 2" xfId="7485"/>
    <cellStyle name="Comma 2 2 3 2 2 2 2 2 2 2 3 2 2 2" xfId="7965"/>
    <cellStyle name="Comma 2 2 3 2 2 2 2 2 2 2 3 2 2 2 2" xfId="21037"/>
    <cellStyle name="Comma 2 2 3 2 2 2 2 2 2 2 3 2 2 2 2 2" xfId="21517"/>
    <cellStyle name="Comma 2 2 3 2 2 2 2 2 2 2 3 2 2 2 2 2 2" xfId="56363"/>
    <cellStyle name="Comma 2 2 3 2 2 2 2 2 2 2 3 2 2 2 2 2 2 2" xfId="56843"/>
    <cellStyle name="Comma 2 2 3 2 2 2 2 2 2 2 3 2 2 2 2 3" xfId="35020"/>
    <cellStyle name="Comma 2 2 3 2 2 2 2 2 2 2 3 2 2 2 3" xfId="34540"/>
    <cellStyle name="Comma 2 2 3 2 2 2 2 2 2 2 3 2 2 2 3 2" xfId="43392"/>
    <cellStyle name="Comma 2 2 3 2 2 2 2 2 2 2 3 2 2 3" xfId="13190"/>
    <cellStyle name="Comma 2 2 3 2 2 2 2 2 2 2 3 2 2 3 2" xfId="42912"/>
    <cellStyle name="Comma 2 2 3 2 2 2 2 2 2 2 3 2 2 3 2 2" xfId="48536"/>
    <cellStyle name="Comma 2 2 3 2 2 2 2 2 2 2 3 2 2 4" xfId="26674"/>
    <cellStyle name="Comma 2 2 3 2 2 2 2 2 2 2 3 2 3" xfId="12710"/>
    <cellStyle name="Comma 2 2 3 2 2 2 2 2 2 2 3 2 3 2" xfId="16405"/>
    <cellStyle name="Comma 2 2 3 2 2 2 2 2 2 2 3 2 3 2 2" xfId="48056"/>
    <cellStyle name="Comma 2 2 3 2 2 2 2 2 2 2 3 2 3 2 2 2" xfId="51735"/>
    <cellStyle name="Comma 2 2 3 2 2 2 2 2 2 2 3 2 3 3" xfId="29909"/>
    <cellStyle name="Comma 2 2 3 2 2 2 2 2 2 2 3 2 4" xfId="26194"/>
    <cellStyle name="Comma 2 2 3 2 2 2 2 2 2 2 3 2 4 2" xfId="38219"/>
    <cellStyle name="Comma 2 2 3 2 2 2 2 2 2 2 3 3" xfId="4782"/>
    <cellStyle name="Comma 2 2 3 2 2 2 2 2 2 2 3 3 2" xfId="15915"/>
    <cellStyle name="Comma 2 2 3 2 2 2 2 2 2 2 3 3 2 2" xfId="18359"/>
    <cellStyle name="Comma 2 2 3 2 2 2 2 2 2 2 3 3 2 2 2" xfId="51247"/>
    <cellStyle name="Comma 2 2 3 2 2 2 2 2 2 2 3 3 2 2 2 2" xfId="53685"/>
    <cellStyle name="Comma 2 2 3 2 2 2 2 2 2 2 3 3 2 3" xfId="31860"/>
    <cellStyle name="Comma 2 2 3 2 2 2 2 2 2 2 3 3 3" xfId="29421"/>
    <cellStyle name="Comma 2 2 3 2 2 2 2 2 2 2 3 3 3 2" xfId="40220"/>
    <cellStyle name="Comma 2 2 3 2 2 2 2 2 2 2 3 4" xfId="9985"/>
    <cellStyle name="Comma 2 2 3 2 2 2 2 2 2 2 3 4 2" xfId="37729"/>
    <cellStyle name="Comma 2 2 3 2 2 2 2 2 2 2 3 4 2 2" xfId="45352"/>
    <cellStyle name="Comma 2 2 3 2 2 2 2 2 2 2 3 5" xfId="23475"/>
    <cellStyle name="Comma 2 2 3 2 2 2 2 2 2 2 4" xfId="4267"/>
    <cellStyle name="Comma 2 2 3 2 2 2 2 2 2 2 4 2" xfId="5987"/>
    <cellStyle name="Comma 2 2 3 2 2 2 2 2 2 2 4 2 2" xfId="17860"/>
    <cellStyle name="Comma 2 2 3 2 2 2 2 2 2 2 4 2 2 2" xfId="19554"/>
    <cellStyle name="Comma 2 2 3 2 2 2 2 2 2 2 4 2 2 2 2" xfId="53187"/>
    <cellStyle name="Comma 2 2 3 2 2 2 2 2 2 2 4 2 2 2 2 2" xfId="54880"/>
    <cellStyle name="Comma 2 2 3 2 2 2 2 2 2 2 4 2 2 3" xfId="33055"/>
    <cellStyle name="Comma 2 2 3 2 2 2 2 2 2 2 4 2 3" xfId="31362"/>
    <cellStyle name="Comma 2 2 3 2 2 2 2 2 2 2 4 2 3 2" xfId="41421"/>
    <cellStyle name="Comma 2 2 3 2 2 2 2 2 2 2 4 3" xfId="11212"/>
    <cellStyle name="Comma 2 2 3 2 2 2 2 2 2 2 4 3 2" xfId="39710"/>
    <cellStyle name="Comma 2 2 3 2 2 2 2 2 2 2 4 3 2 2" xfId="46570"/>
    <cellStyle name="Comma 2 2 3 2 2 2 2 2 2 2 4 4" xfId="24705"/>
    <cellStyle name="Comma 2 2 3 2 2 2 2 2 2 2 5" xfId="9458"/>
    <cellStyle name="Comma 2 2 3 2 2 2 2 2 2 2 5 2" xfId="14371"/>
    <cellStyle name="Comma 2 2 3 2 2 2 2 2 2 2 5 2 2" xfId="44840"/>
    <cellStyle name="Comma 2 2 3 2 2 2 2 2 2 2 5 2 2 2" xfId="49716"/>
    <cellStyle name="Comma 2 2 3 2 2 2 2 2 2 2 5 3" xfId="27881"/>
    <cellStyle name="Comma 2 2 3 2 2 2 2 2 2 2 6" xfId="22954"/>
    <cellStyle name="Comma 2 2 3 2 2 2 2 2 2 2 6 2" xfId="36183"/>
    <cellStyle name="Comma 2 2 3 2 2 2 2 2 2 3" xfId="984"/>
    <cellStyle name="Comma 2 2 3 2 2 2 2 2 2 3 2" xfId="2738"/>
    <cellStyle name="Comma 2 2 3 2 2 2 2 2 2 3 2 2" xfId="3022"/>
    <cellStyle name="Comma 2 2 3 2 2 2 2 2 2 3 2 2 2" xfId="7957"/>
    <cellStyle name="Comma 2 2 3 2 2 2 2 2 2 3 2 2 2 2" xfId="8237"/>
    <cellStyle name="Comma 2 2 3 2 2 2 2 2 2 3 2 2 2 2 2" xfId="21509"/>
    <cellStyle name="Comma 2 2 3 2 2 2 2 2 2 3 2 2 2 2 2 2" xfId="21789"/>
    <cellStyle name="Comma 2 2 3 2 2 2 2 2 2 3 2 2 2 2 2 2 2" xfId="56835"/>
    <cellStyle name="Comma 2 2 3 2 2 2 2 2 2 3 2 2 2 2 2 2 2 2" xfId="57115"/>
    <cellStyle name="Comma 2 2 3 2 2 2 2 2 2 3 2 2 2 2 2 3" xfId="35292"/>
    <cellStyle name="Comma 2 2 3 2 2 2 2 2 2 3 2 2 2 2 3" xfId="35012"/>
    <cellStyle name="Comma 2 2 3 2 2 2 2 2 2 3 2 2 2 2 3 2" xfId="43664"/>
    <cellStyle name="Comma 2 2 3 2 2 2 2 2 2 3 2 2 2 3" xfId="13462"/>
    <cellStyle name="Comma 2 2 3 2 2 2 2 2 2 3 2 2 2 3 2" xfId="43384"/>
    <cellStyle name="Comma 2 2 3 2 2 2 2 2 2 3 2 2 2 3 2 2" xfId="48808"/>
    <cellStyle name="Comma 2 2 3 2 2 2 2 2 2 3 2 2 2 4" xfId="26947"/>
    <cellStyle name="Comma 2 2 3 2 2 2 2 2 2 3 2 2 3" xfId="13182"/>
    <cellStyle name="Comma 2 2 3 2 2 2 2 2 2 3 2 2 3 2" xfId="16679"/>
    <cellStyle name="Comma 2 2 3 2 2 2 2 2 2 3 2 2 3 2 2" xfId="48528"/>
    <cellStyle name="Comma 2 2 3 2 2 2 2 2 2 3 2 2 3 2 2 2" xfId="52007"/>
    <cellStyle name="Comma 2 2 3 2 2 2 2 2 2 3 2 2 3 3" xfId="30181"/>
    <cellStyle name="Comma 2 2 3 2 2 2 2 2 2 3 2 2 4" xfId="26666"/>
    <cellStyle name="Comma 2 2 3 2 2 2 2 2 2 3 2 2 4 2" xfId="38491"/>
    <cellStyle name="Comma 2 2 3 2 2 2 2 2 2 3 2 3" xfId="5058"/>
    <cellStyle name="Comma 2 2 3 2 2 2 2 2 2 3 2 3 2" xfId="16397"/>
    <cellStyle name="Comma 2 2 3 2 2 2 2 2 2 3 2 3 2 2" xfId="18631"/>
    <cellStyle name="Comma 2 2 3 2 2 2 2 2 2 3 2 3 2 2 2" xfId="51727"/>
    <cellStyle name="Comma 2 2 3 2 2 2 2 2 2 3 2 3 2 2 2 2" xfId="53957"/>
    <cellStyle name="Comma 2 2 3 2 2 2 2 2 2 3 2 3 2 3" xfId="32132"/>
    <cellStyle name="Comma 2 2 3 2 2 2 2 2 2 3 2 3 3" xfId="29901"/>
    <cellStyle name="Comma 2 2 3 2 2 2 2 2 2 3 2 3 3 2" xfId="40495"/>
    <cellStyle name="Comma 2 2 3 2 2 2 2 2 2 3 2 4" xfId="10261"/>
    <cellStyle name="Comma 2 2 3 2 2 2 2 2 2 3 2 4 2" xfId="38211"/>
    <cellStyle name="Comma 2 2 3 2 2 2 2 2 2 3 2 4 2 2" xfId="45624"/>
    <cellStyle name="Comma 2 2 3 2 2 2 2 2 2 3 2 5" xfId="23747"/>
    <cellStyle name="Comma 2 2 3 2 2 2 2 2 2 3 3" xfId="4774"/>
    <cellStyle name="Comma 2 2 3 2 2 2 2 2 2 3 3 2" xfId="6295"/>
    <cellStyle name="Comma 2 2 3 2 2 2 2 2 2 3 3 2 2" xfId="18351"/>
    <cellStyle name="Comma 2 2 3 2 2 2 2 2 2 3 3 2 2 2" xfId="19852"/>
    <cellStyle name="Comma 2 2 3 2 2 2 2 2 2 3 3 2 2 2 2" xfId="53677"/>
    <cellStyle name="Comma 2 2 3 2 2 2 2 2 2 3 3 2 2 2 2 2" xfId="55178"/>
    <cellStyle name="Comma 2 2 3 2 2 2 2 2 2 3 3 2 2 3" xfId="33354"/>
    <cellStyle name="Comma 2 2 3 2 2 2 2 2 2 3 3 2 3" xfId="31852"/>
    <cellStyle name="Comma 2 2 3 2 2 2 2 2 2 3 3 2 3 2" xfId="41724"/>
    <cellStyle name="Comma 2 2 3 2 2 2 2 2 2 3 3 3" xfId="11520"/>
    <cellStyle name="Comma 2 2 3 2 2 2 2 2 2 3 3 3 2" xfId="40212"/>
    <cellStyle name="Comma 2 2 3 2 2 2 2 2 2 3 3 3 2 2" xfId="46869"/>
    <cellStyle name="Comma 2 2 3 2 2 2 2 2 2 3 3 4" xfId="25006"/>
    <cellStyle name="Comma 2 2 3 2 2 2 2 2 2 3 4" xfId="9977"/>
    <cellStyle name="Comma 2 2 3 2 2 2 2 2 2 3 4 2" xfId="14678"/>
    <cellStyle name="Comma 2 2 3 2 2 2 2 2 2 3 4 2 2" xfId="45344"/>
    <cellStyle name="Comma 2 2 3 2 2 2 2 2 2 3 4 2 2 2" xfId="50017"/>
    <cellStyle name="Comma 2 2 3 2 2 2 2 2 2 3 4 3" xfId="28189"/>
    <cellStyle name="Comma 2 2 3 2 2 2 2 2 2 3 5" xfId="23467"/>
    <cellStyle name="Comma 2 2 3 2 2 2 2 2 2 3 5 2" xfId="36486"/>
    <cellStyle name="Comma 2 2 3 2 2 2 2 2 2 4" xfId="1780"/>
    <cellStyle name="Comma 2 2 3 2 2 2 2 2 2 4 2" xfId="5979"/>
    <cellStyle name="Comma 2 2 3 2 2 2 2 2 2 4 2 2" xfId="7033"/>
    <cellStyle name="Comma 2 2 3 2 2 2 2 2 2 4 2 2 2" xfId="19546"/>
    <cellStyle name="Comma 2 2 3 2 2 2 2 2 2 4 2 2 2 2" xfId="20586"/>
    <cellStyle name="Comma 2 2 3 2 2 2 2 2 2 4 2 2 2 2 2" xfId="54872"/>
    <cellStyle name="Comma 2 2 3 2 2 2 2 2 2 4 2 2 2 2 2 2" xfId="55912"/>
    <cellStyle name="Comma 2 2 3 2 2 2 2 2 2 4 2 2 2 3" xfId="34088"/>
    <cellStyle name="Comma 2 2 3 2 2 2 2 2 2 4 2 2 3" xfId="33047"/>
    <cellStyle name="Comma 2 2 3 2 2 2 2 2 2 4 2 2 3 2" xfId="42461"/>
    <cellStyle name="Comma 2 2 3 2 2 2 2 2 2 4 2 3" xfId="12257"/>
    <cellStyle name="Comma 2 2 3 2 2 2 2 2 2 4 2 3 2" xfId="41413"/>
    <cellStyle name="Comma 2 2 3 2 2 2 2 2 2 4 2 3 2 2" xfId="47604"/>
    <cellStyle name="Comma 2 2 3 2 2 2 2 2 2 4 2 4" xfId="25742"/>
    <cellStyle name="Comma 2 2 3 2 2 2 2 2 2 4 3" xfId="11204"/>
    <cellStyle name="Comma 2 2 3 2 2 2 2 2 2 4 3 2" xfId="15452"/>
    <cellStyle name="Comma 2 2 3 2 2 2 2 2 2 4 3 2 2" xfId="46562"/>
    <cellStyle name="Comma 2 2 3 2 2 2 2 2 2 4 3 2 2 2" xfId="50785"/>
    <cellStyle name="Comma 2 2 3 2 2 2 2 2 2 4 3 3" xfId="28959"/>
    <cellStyle name="Comma 2 2 3 2 2 2 2 2 2 4 4" xfId="24697"/>
    <cellStyle name="Comma 2 2 3 2 2 2 2 2 2 4 4 2" xfId="37262"/>
    <cellStyle name="Comma 2 2 3 2 2 2 2 2 2 5" xfId="3786"/>
    <cellStyle name="Comma 2 2 3 2 2 2 2 2 2 5 2" xfId="14363"/>
    <cellStyle name="Comma 2 2 3 2 2 2 2 2 2 5 2 2" xfId="17402"/>
    <cellStyle name="Comma 2 2 3 2 2 2 2 2 2 5 2 2 2" xfId="49708"/>
    <cellStyle name="Comma 2 2 3 2 2 2 2 2 2 5 2 2 2 2" xfId="52729"/>
    <cellStyle name="Comma 2 2 3 2 2 2 2 2 2 5 2 3" xfId="30903"/>
    <cellStyle name="Comma 2 2 3 2 2 2 2 2 2 5 3" xfId="27873"/>
    <cellStyle name="Comma 2 2 3 2 2 2 2 2 2 5 3 2" xfId="39237"/>
    <cellStyle name="Comma 2 2 3 2 2 2 2 2 2 6" xfId="8976"/>
    <cellStyle name="Comma 2 2 3 2 2 2 2 2 2 6 2" xfId="36175"/>
    <cellStyle name="Comma 2 2 3 2 2 2 2 2 2 6 2 2" xfId="44375"/>
    <cellStyle name="Comma 2 2 3 2 2 2 2 2 2 7" xfId="22483"/>
    <cellStyle name="Comma 2 2 3 2 2 2 2 2 3" xfId="976"/>
    <cellStyle name="Comma 2 2 3 2 2 2 2 2 3 2" xfId="1188"/>
    <cellStyle name="Comma 2 2 3 2 2 2 2 2 3 2 2" xfId="3014"/>
    <cellStyle name="Comma 2 2 3 2 2 2 2 2 3 2 2 2" xfId="3208"/>
    <cellStyle name="Comma 2 2 3 2 2 2 2 2 3 2 2 2 2" xfId="8229"/>
    <cellStyle name="Comma 2 2 3 2 2 2 2 2 3 2 2 2 2 2" xfId="8423"/>
    <cellStyle name="Comma 2 2 3 2 2 2 2 2 3 2 2 2 2 2 2" xfId="21781"/>
    <cellStyle name="Comma 2 2 3 2 2 2 2 2 3 2 2 2 2 2 2 2" xfId="21975"/>
    <cellStyle name="Comma 2 2 3 2 2 2 2 2 3 2 2 2 2 2 2 2 2" xfId="57107"/>
    <cellStyle name="Comma 2 2 3 2 2 2 2 2 3 2 2 2 2 2 2 2 2 2" xfId="57301"/>
    <cellStyle name="Comma 2 2 3 2 2 2 2 2 3 2 2 2 2 2 2 3" xfId="35478"/>
    <cellStyle name="Comma 2 2 3 2 2 2 2 2 3 2 2 2 2 2 3" xfId="35284"/>
    <cellStyle name="Comma 2 2 3 2 2 2 2 2 3 2 2 2 2 2 3 2" xfId="43850"/>
    <cellStyle name="Comma 2 2 3 2 2 2 2 2 3 2 2 2 2 3" xfId="13648"/>
    <cellStyle name="Comma 2 2 3 2 2 2 2 2 3 2 2 2 2 3 2" xfId="43656"/>
    <cellStyle name="Comma 2 2 3 2 2 2 2 2 3 2 2 2 2 3 2 2" xfId="48994"/>
    <cellStyle name="Comma 2 2 3 2 2 2 2 2 3 2 2 2 2 4" xfId="27133"/>
    <cellStyle name="Comma 2 2 3 2 2 2 2 2 3 2 2 2 3" xfId="13454"/>
    <cellStyle name="Comma 2 2 3 2 2 2 2 2 3 2 2 2 3 2" xfId="16865"/>
    <cellStyle name="Comma 2 2 3 2 2 2 2 2 3 2 2 2 3 2 2" xfId="48800"/>
    <cellStyle name="Comma 2 2 3 2 2 2 2 2 3 2 2 2 3 2 2 2" xfId="52193"/>
    <cellStyle name="Comma 2 2 3 2 2 2 2 2 3 2 2 2 3 3" xfId="30367"/>
    <cellStyle name="Comma 2 2 3 2 2 2 2 2 3 2 2 2 4" xfId="26939"/>
    <cellStyle name="Comma 2 2 3 2 2 2 2 2 3 2 2 2 4 2" xfId="38677"/>
    <cellStyle name="Comma 2 2 3 2 2 2 2 2 3 2 2 3" xfId="5245"/>
    <cellStyle name="Comma 2 2 3 2 2 2 2 2 3 2 2 3 2" xfId="16671"/>
    <cellStyle name="Comma 2 2 3 2 2 2 2 2 3 2 2 3 2 2" xfId="18818"/>
    <cellStyle name="Comma 2 2 3 2 2 2 2 2 3 2 2 3 2 2 2" xfId="51999"/>
    <cellStyle name="Comma 2 2 3 2 2 2 2 2 3 2 2 3 2 2 2 2" xfId="54144"/>
    <cellStyle name="Comma 2 2 3 2 2 2 2 2 3 2 2 3 2 3" xfId="32319"/>
    <cellStyle name="Comma 2 2 3 2 2 2 2 2 3 2 2 3 3" xfId="30173"/>
    <cellStyle name="Comma 2 2 3 2 2 2 2 2 3 2 2 3 3 2" xfId="40682"/>
    <cellStyle name="Comma 2 2 3 2 2 2 2 2 3 2 2 4" xfId="10448"/>
    <cellStyle name="Comma 2 2 3 2 2 2 2 2 3 2 2 4 2" xfId="38483"/>
    <cellStyle name="Comma 2 2 3 2 2 2 2 2 3 2 2 4 2 2" xfId="45811"/>
    <cellStyle name="Comma 2 2 3 2 2 2 2 2 3 2 2 5" xfId="23934"/>
    <cellStyle name="Comma 2 2 3 2 2 2 2 2 3 2 3" xfId="5050"/>
    <cellStyle name="Comma 2 2 3 2 2 2 2 2 3 2 3 2" xfId="6496"/>
    <cellStyle name="Comma 2 2 3 2 2 2 2 2 3 2 3 2 2" xfId="18623"/>
    <cellStyle name="Comma 2 2 3 2 2 2 2 2 3 2 3 2 2 2" xfId="20050"/>
    <cellStyle name="Comma 2 2 3 2 2 2 2 2 3 2 3 2 2 2 2" xfId="53949"/>
    <cellStyle name="Comma 2 2 3 2 2 2 2 2 3 2 3 2 2 2 2 2" xfId="55376"/>
    <cellStyle name="Comma 2 2 3 2 2 2 2 2 3 2 3 2 2 3" xfId="33552"/>
    <cellStyle name="Comma 2 2 3 2 2 2 2 2 3 2 3 2 3" xfId="32124"/>
    <cellStyle name="Comma 2 2 3 2 2 2 2 2 3 2 3 2 3 2" xfId="41924"/>
    <cellStyle name="Comma 2 2 3 2 2 2 2 2 3 2 3 3" xfId="11720"/>
    <cellStyle name="Comma 2 2 3 2 2 2 2 2 3 2 3 3 2" xfId="40487"/>
    <cellStyle name="Comma 2 2 3 2 2 2 2 2 3 2 3 3 2 2" xfId="47068"/>
    <cellStyle name="Comma 2 2 3 2 2 2 2 2 3 2 3 4" xfId="25205"/>
    <cellStyle name="Comma 2 2 3 2 2 2 2 2 3 2 4" xfId="10253"/>
    <cellStyle name="Comma 2 2 3 2 2 2 2 2 3 2 4 2" xfId="14878"/>
    <cellStyle name="Comma 2 2 3 2 2 2 2 2 3 2 4 2 2" xfId="45616"/>
    <cellStyle name="Comma 2 2 3 2 2 2 2 2 3 2 4 2 2 2" xfId="50217"/>
    <cellStyle name="Comma 2 2 3 2 2 2 2 2 3 2 4 3" xfId="28391"/>
    <cellStyle name="Comma 2 2 3 2 2 2 2 2 3 2 5" xfId="23739"/>
    <cellStyle name="Comma 2 2 3 2 2 2 2 2 3 2 5 2" xfId="36686"/>
    <cellStyle name="Comma 2 2 3 2 2 2 2 2 3 3" xfId="1996"/>
    <cellStyle name="Comma 2 2 3 2 2 2 2 2 3 3 2" xfId="6287"/>
    <cellStyle name="Comma 2 2 3 2 2 2 2 2 3 3 2 2" xfId="7230"/>
    <cellStyle name="Comma 2 2 3 2 2 2 2 2 3 3 2 2 2" xfId="19844"/>
    <cellStyle name="Comma 2 2 3 2 2 2 2 2 3 3 2 2 2 2" xfId="20782"/>
    <cellStyle name="Comma 2 2 3 2 2 2 2 2 3 3 2 2 2 2 2" xfId="55170"/>
    <cellStyle name="Comma 2 2 3 2 2 2 2 2 3 3 2 2 2 2 2 2" xfId="56108"/>
    <cellStyle name="Comma 2 2 3 2 2 2 2 2 3 3 2 2 2 3" xfId="34285"/>
    <cellStyle name="Comma 2 2 3 2 2 2 2 2 3 3 2 2 3" xfId="33346"/>
    <cellStyle name="Comma 2 2 3 2 2 2 2 2 3 3 2 2 3 2" xfId="42657"/>
    <cellStyle name="Comma 2 2 3 2 2 2 2 2 3 3 2 3" xfId="12455"/>
    <cellStyle name="Comma 2 2 3 2 2 2 2 2 3 3 2 3 2" xfId="41716"/>
    <cellStyle name="Comma 2 2 3 2 2 2 2 2 3 3 2 3 2 2" xfId="47801"/>
    <cellStyle name="Comma 2 2 3 2 2 2 2 2 3 3 2 4" xfId="25939"/>
    <cellStyle name="Comma 2 2 3 2 2 2 2 2 3 3 3" xfId="11512"/>
    <cellStyle name="Comma 2 2 3 2 2 2 2 2 3 3 3 2" xfId="15660"/>
    <cellStyle name="Comma 2 2 3 2 2 2 2 2 3 3 3 2 2" xfId="46861"/>
    <cellStyle name="Comma 2 2 3 2 2 2 2 2 3 3 3 2 2 2" xfId="50992"/>
    <cellStyle name="Comma 2 2 3 2 2 2 2 2 3 3 3 3" xfId="29166"/>
    <cellStyle name="Comma 2 2 3 2 2 2 2 2 3 3 4" xfId="24998"/>
    <cellStyle name="Comma 2 2 3 2 2 2 2 2 3 3 4 2" xfId="37474"/>
    <cellStyle name="Comma 2 2 3 2 2 2 2 2 3 4" xfId="4010"/>
    <cellStyle name="Comma 2 2 3 2 2 2 2 2 3 4 2" xfId="14670"/>
    <cellStyle name="Comma 2 2 3 2 2 2 2 2 3 4 2 2" xfId="17605"/>
    <cellStyle name="Comma 2 2 3 2 2 2 2 2 3 4 2 2 2" xfId="50009"/>
    <cellStyle name="Comma 2 2 3 2 2 2 2 2 3 4 2 2 2 2" xfId="52932"/>
    <cellStyle name="Comma 2 2 3 2 2 2 2 2 3 4 2 3" xfId="31107"/>
    <cellStyle name="Comma 2 2 3 2 2 2 2 2 3 4 3" xfId="28181"/>
    <cellStyle name="Comma 2 2 3 2 2 2 2 2 3 4 3 2" xfId="39454"/>
    <cellStyle name="Comma 2 2 3 2 2 2 2 2 3 5" xfId="9202"/>
    <cellStyle name="Comma 2 2 3 2 2 2 2 2 3 5 2" xfId="36478"/>
    <cellStyle name="Comma 2 2 3 2 2 2 2 2 3 5 2 2" xfId="44585"/>
    <cellStyle name="Comma 2 2 3 2 2 2 2 2 3 6" xfId="22699"/>
    <cellStyle name="Comma 2 2 3 2 2 2 2 2 4" xfId="1772"/>
    <cellStyle name="Comma 2 2 3 2 2 2 2 2 4 2" xfId="2441"/>
    <cellStyle name="Comma 2 2 3 2 2 2 2 2 4 2 2" xfId="7025"/>
    <cellStyle name="Comma 2 2 3 2 2 2 2 2 4 2 2 2" xfId="7673"/>
    <cellStyle name="Comma 2 2 3 2 2 2 2 2 4 2 2 2 2" xfId="20578"/>
    <cellStyle name="Comma 2 2 3 2 2 2 2 2 4 2 2 2 2 2" xfId="21225"/>
    <cellStyle name="Comma 2 2 3 2 2 2 2 2 4 2 2 2 2 2 2" xfId="55904"/>
    <cellStyle name="Comma 2 2 3 2 2 2 2 2 4 2 2 2 2 2 2 2" xfId="56551"/>
    <cellStyle name="Comma 2 2 3 2 2 2 2 2 4 2 2 2 2 3" xfId="34728"/>
    <cellStyle name="Comma 2 2 3 2 2 2 2 2 4 2 2 2 3" xfId="34080"/>
    <cellStyle name="Comma 2 2 3 2 2 2 2 2 4 2 2 2 3 2" xfId="43100"/>
    <cellStyle name="Comma 2 2 3 2 2 2 2 2 4 2 2 3" xfId="12898"/>
    <cellStyle name="Comma 2 2 3 2 2 2 2 2 4 2 2 3 2" xfId="42453"/>
    <cellStyle name="Comma 2 2 3 2 2 2 2 2 4 2 2 3 2 2" xfId="48244"/>
    <cellStyle name="Comma 2 2 3 2 2 2 2 2 4 2 2 4" xfId="26382"/>
    <cellStyle name="Comma 2 2 3 2 2 2 2 2 4 2 3" xfId="12249"/>
    <cellStyle name="Comma 2 2 3 2 2 2 2 2 4 2 3 2" xfId="16104"/>
    <cellStyle name="Comma 2 2 3 2 2 2 2 2 4 2 3 2 2" xfId="47596"/>
    <cellStyle name="Comma 2 2 3 2 2 2 2 2 4 2 3 2 2 2" xfId="51436"/>
    <cellStyle name="Comma 2 2 3 2 2 2 2 2 4 2 3 3" xfId="29610"/>
    <cellStyle name="Comma 2 2 3 2 2 2 2 2 4 2 4" xfId="25734"/>
    <cellStyle name="Comma 2 2 3 2 2 2 2 2 4 2 4 2" xfId="37919"/>
    <cellStyle name="Comma 2 2 3 2 2 2 2 2 4 3" xfId="4476"/>
    <cellStyle name="Comma 2 2 3 2 2 2 2 2 4 3 2" xfId="15444"/>
    <cellStyle name="Comma 2 2 3 2 2 2 2 2 4 3 2 2" xfId="18066"/>
    <cellStyle name="Comma 2 2 3 2 2 2 2 2 4 3 2 2 2" xfId="50777"/>
    <cellStyle name="Comma 2 2 3 2 2 2 2 2 4 3 2 2 2 2" xfId="53392"/>
    <cellStyle name="Comma 2 2 3 2 2 2 2 2 4 3 2 3" xfId="31567"/>
    <cellStyle name="Comma 2 2 3 2 2 2 2 2 4 3 3" xfId="28951"/>
    <cellStyle name="Comma 2 2 3 2 2 2 2 2 4 3 3 2" xfId="39918"/>
    <cellStyle name="Comma 2 2 3 2 2 2 2 2 4 4" xfId="9681"/>
    <cellStyle name="Comma 2 2 3 2 2 2 2 2 4 4 2" xfId="37254"/>
    <cellStyle name="Comma 2 2 3 2 2 2 2 2 4 4 2 2" xfId="45059"/>
    <cellStyle name="Comma 2 2 3 2 2 2 2 2 4 5" xfId="23182"/>
    <cellStyle name="Comma 2 2 3 2 2 2 2 2 5" xfId="3778"/>
    <cellStyle name="Comma 2 2 3 2 2 2 2 2 5 2" xfId="5683"/>
    <cellStyle name="Comma 2 2 3 2 2 2 2 2 5 2 2" xfId="17394"/>
    <cellStyle name="Comma 2 2 3 2 2 2 2 2 5 2 2 2" xfId="19255"/>
    <cellStyle name="Comma 2 2 3 2 2 2 2 2 5 2 2 2 2" xfId="52721"/>
    <cellStyle name="Comma 2 2 3 2 2 2 2 2 5 2 2 2 2 2" xfId="54581"/>
    <cellStyle name="Comma 2 2 3 2 2 2 2 2 5 2 2 3" xfId="32756"/>
    <cellStyle name="Comma 2 2 3 2 2 2 2 2 5 2 3" xfId="30895"/>
    <cellStyle name="Comma 2 2 3 2 2 2 2 2 5 2 3 2" xfId="41119"/>
    <cellStyle name="Comma 2 2 3 2 2 2 2 2 5 3" xfId="10901"/>
    <cellStyle name="Comma 2 2 3 2 2 2 2 2 5 3 2" xfId="39229"/>
    <cellStyle name="Comma 2 2 3 2 2 2 2 2 5 3 2 2" xfId="46263"/>
    <cellStyle name="Comma 2 2 3 2 2 2 2 2 5 4" xfId="24394"/>
    <cellStyle name="Comma 2 2 3 2 2 2 2 2 6" xfId="8968"/>
    <cellStyle name="Comma 2 2 3 2 2 2 2 2 6 2" xfId="14067"/>
    <cellStyle name="Comma 2 2 3 2 2 2 2 2 6 2 2" xfId="44367"/>
    <cellStyle name="Comma 2 2 3 2 2 2 2 2 6 2 2 2" xfId="49413"/>
    <cellStyle name="Comma 2 2 3 2 2 2 2 2 6 3" xfId="27566"/>
    <cellStyle name="Comma 2 2 3 2 2 2 2 2 7" xfId="22475"/>
    <cellStyle name="Comma 2 2 3 2 2 2 2 2 7 2" xfId="35879"/>
    <cellStyle name="Comma 2 2 3 2 2 2 2 3" xfId="473"/>
    <cellStyle name="Comma 2 2 3 2 2 2 2 3 2" xfId="1180"/>
    <cellStyle name="Comma 2 2 3 2 2 2 2 3 2 2" xfId="1288"/>
    <cellStyle name="Comma 2 2 3 2 2 2 2 3 2 2 2" xfId="3200"/>
    <cellStyle name="Comma 2 2 3 2 2 2 2 3 2 2 2 2" xfId="3306"/>
    <cellStyle name="Comma 2 2 3 2 2 2 2 3 2 2 2 2 2" xfId="8415"/>
    <cellStyle name="Comma 2 2 3 2 2 2 2 3 2 2 2 2 2 2" xfId="8521"/>
    <cellStyle name="Comma 2 2 3 2 2 2 2 3 2 2 2 2 2 2 2" xfId="21967"/>
    <cellStyle name="Comma 2 2 3 2 2 2 2 3 2 2 2 2 2 2 2 2" xfId="22073"/>
    <cellStyle name="Comma 2 2 3 2 2 2 2 3 2 2 2 2 2 2 2 2 2" xfId="57293"/>
    <cellStyle name="Comma 2 2 3 2 2 2 2 3 2 2 2 2 2 2 2 2 2 2" xfId="57399"/>
    <cellStyle name="Comma 2 2 3 2 2 2 2 3 2 2 2 2 2 2 2 3" xfId="35576"/>
    <cellStyle name="Comma 2 2 3 2 2 2 2 3 2 2 2 2 2 2 3" xfId="35470"/>
    <cellStyle name="Comma 2 2 3 2 2 2 2 3 2 2 2 2 2 2 3 2" xfId="43948"/>
    <cellStyle name="Comma 2 2 3 2 2 2 2 3 2 2 2 2 2 3" xfId="13746"/>
    <cellStyle name="Comma 2 2 3 2 2 2 2 3 2 2 2 2 2 3 2" xfId="43842"/>
    <cellStyle name="Comma 2 2 3 2 2 2 2 3 2 2 2 2 2 3 2 2" xfId="49092"/>
    <cellStyle name="Comma 2 2 3 2 2 2 2 3 2 2 2 2 2 4" xfId="27231"/>
    <cellStyle name="Comma 2 2 3 2 2 2 2 3 2 2 2 2 3" xfId="13640"/>
    <cellStyle name="Comma 2 2 3 2 2 2 2 3 2 2 2 2 3 2" xfId="16963"/>
    <cellStyle name="Comma 2 2 3 2 2 2 2 3 2 2 2 2 3 2 2" xfId="48986"/>
    <cellStyle name="Comma 2 2 3 2 2 2 2 3 2 2 2 2 3 2 2 2" xfId="52291"/>
    <cellStyle name="Comma 2 2 3 2 2 2 2 3 2 2 2 2 3 3" xfId="30465"/>
    <cellStyle name="Comma 2 2 3 2 2 2 2 3 2 2 2 2 4" xfId="27125"/>
    <cellStyle name="Comma 2 2 3 2 2 2 2 3 2 2 2 2 4 2" xfId="38775"/>
    <cellStyle name="Comma 2 2 3 2 2 2 2 3 2 2 2 3" xfId="5343"/>
    <cellStyle name="Comma 2 2 3 2 2 2 2 3 2 2 2 3 2" xfId="16857"/>
    <cellStyle name="Comma 2 2 3 2 2 2 2 3 2 2 2 3 2 2" xfId="18916"/>
    <cellStyle name="Comma 2 2 3 2 2 2 2 3 2 2 2 3 2 2 2" xfId="52185"/>
    <cellStyle name="Comma 2 2 3 2 2 2 2 3 2 2 2 3 2 2 2 2" xfId="54242"/>
    <cellStyle name="Comma 2 2 3 2 2 2 2 3 2 2 2 3 2 3" xfId="32417"/>
    <cellStyle name="Comma 2 2 3 2 2 2 2 3 2 2 2 3 3" xfId="30359"/>
    <cellStyle name="Comma 2 2 3 2 2 2 2 3 2 2 2 3 3 2" xfId="40780"/>
    <cellStyle name="Comma 2 2 3 2 2 2 2 3 2 2 2 4" xfId="10546"/>
    <cellStyle name="Comma 2 2 3 2 2 2 2 3 2 2 2 4 2" xfId="38669"/>
    <cellStyle name="Comma 2 2 3 2 2 2 2 3 2 2 2 4 2 2" xfId="45909"/>
    <cellStyle name="Comma 2 2 3 2 2 2 2 3 2 2 2 5" xfId="24032"/>
    <cellStyle name="Comma 2 2 3 2 2 2 2 3 2 2 3" xfId="5237"/>
    <cellStyle name="Comma 2 2 3 2 2 2 2 3 2 2 3 2" xfId="6596"/>
    <cellStyle name="Comma 2 2 3 2 2 2 2 3 2 2 3 2 2" xfId="18810"/>
    <cellStyle name="Comma 2 2 3 2 2 2 2 3 2 2 3 2 2 2" xfId="20149"/>
    <cellStyle name="Comma 2 2 3 2 2 2 2 3 2 2 3 2 2 2 2" xfId="54136"/>
    <cellStyle name="Comma 2 2 3 2 2 2 2 3 2 2 3 2 2 2 2 2" xfId="55475"/>
    <cellStyle name="Comma 2 2 3 2 2 2 2 3 2 2 3 2 2 3" xfId="33651"/>
    <cellStyle name="Comma 2 2 3 2 2 2 2 3 2 2 3 2 3" xfId="32311"/>
    <cellStyle name="Comma 2 2 3 2 2 2 2 3 2 2 3 2 3 2" xfId="42024"/>
    <cellStyle name="Comma 2 2 3 2 2 2 2 3 2 2 3 3" xfId="11819"/>
    <cellStyle name="Comma 2 2 3 2 2 2 2 3 2 2 3 3 2" xfId="40674"/>
    <cellStyle name="Comma 2 2 3 2 2 2 2 3 2 2 3 3 2 2" xfId="47167"/>
    <cellStyle name="Comma 2 2 3 2 2 2 2 3 2 2 3 4" xfId="25304"/>
    <cellStyle name="Comma 2 2 3 2 2 2 2 3 2 2 4" xfId="10440"/>
    <cellStyle name="Comma 2 2 3 2 2 2 2 3 2 2 4 2" xfId="14977"/>
    <cellStyle name="Comma 2 2 3 2 2 2 2 3 2 2 4 2 2" xfId="45803"/>
    <cellStyle name="Comma 2 2 3 2 2 2 2 3 2 2 4 2 2 2" xfId="50316"/>
    <cellStyle name="Comma 2 2 3 2 2 2 2 3 2 2 4 3" xfId="28490"/>
    <cellStyle name="Comma 2 2 3 2 2 2 2 3 2 2 5" xfId="23926"/>
    <cellStyle name="Comma 2 2 3 2 2 2 2 3 2 2 5 2" xfId="36785"/>
    <cellStyle name="Comma 2 2 3 2 2 2 2 3 2 3" xfId="2094"/>
    <cellStyle name="Comma 2 2 3 2 2 2 2 3 2 3 2" xfId="6488"/>
    <cellStyle name="Comma 2 2 3 2 2 2 2 3 2 3 2 2" xfId="7328"/>
    <cellStyle name="Comma 2 2 3 2 2 2 2 3 2 3 2 2 2" xfId="20042"/>
    <cellStyle name="Comma 2 2 3 2 2 2 2 3 2 3 2 2 2 2" xfId="20880"/>
    <cellStyle name="Comma 2 2 3 2 2 2 2 3 2 3 2 2 2 2 2" xfId="55368"/>
    <cellStyle name="Comma 2 2 3 2 2 2 2 3 2 3 2 2 2 2 2 2" xfId="56206"/>
    <cellStyle name="Comma 2 2 3 2 2 2 2 3 2 3 2 2 2 3" xfId="34383"/>
    <cellStyle name="Comma 2 2 3 2 2 2 2 3 2 3 2 2 3" xfId="33544"/>
    <cellStyle name="Comma 2 2 3 2 2 2 2 3 2 3 2 2 3 2" xfId="42755"/>
    <cellStyle name="Comma 2 2 3 2 2 2 2 3 2 3 2 3" xfId="12553"/>
    <cellStyle name="Comma 2 2 3 2 2 2 2 3 2 3 2 3 2" xfId="41916"/>
    <cellStyle name="Comma 2 2 3 2 2 2 2 3 2 3 2 3 2 2" xfId="47899"/>
    <cellStyle name="Comma 2 2 3 2 2 2 2 3 2 3 2 4" xfId="26037"/>
    <cellStyle name="Comma 2 2 3 2 2 2 2 3 2 3 3" xfId="11712"/>
    <cellStyle name="Comma 2 2 3 2 2 2 2 3 2 3 3 2" xfId="15758"/>
    <cellStyle name="Comma 2 2 3 2 2 2 2 3 2 3 3 2 2" xfId="47060"/>
    <cellStyle name="Comma 2 2 3 2 2 2 2 3 2 3 3 2 2 2" xfId="51090"/>
    <cellStyle name="Comma 2 2 3 2 2 2 2 3 2 3 3 3" xfId="29264"/>
    <cellStyle name="Comma 2 2 3 2 2 2 2 3 2 3 4" xfId="25197"/>
    <cellStyle name="Comma 2 2 3 2 2 2 2 3 2 3 4 2" xfId="37572"/>
    <cellStyle name="Comma 2 2 3 2 2 2 2 3 2 4" xfId="4110"/>
    <cellStyle name="Comma 2 2 3 2 2 2 2 3 2 4 2" xfId="14870"/>
    <cellStyle name="Comma 2 2 3 2 2 2 2 3 2 4 2 2" xfId="17703"/>
    <cellStyle name="Comma 2 2 3 2 2 2 2 3 2 4 2 2 2" xfId="50209"/>
    <cellStyle name="Comma 2 2 3 2 2 2 2 3 2 4 2 2 2 2" xfId="53030"/>
    <cellStyle name="Comma 2 2 3 2 2 2 2 3 2 4 2 3" xfId="31205"/>
    <cellStyle name="Comma 2 2 3 2 2 2 2 3 2 4 3" xfId="28383"/>
    <cellStyle name="Comma 2 2 3 2 2 2 2 3 2 4 3 2" xfId="39553"/>
    <cellStyle name="Comma 2 2 3 2 2 2 2 3 2 5" xfId="9301"/>
    <cellStyle name="Comma 2 2 3 2 2 2 2 3 2 5 2" xfId="36678"/>
    <cellStyle name="Comma 2 2 3 2 2 2 2 3 2 5 2 2" xfId="44683"/>
    <cellStyle name="Comma 2 2 3 2 2 2 2 3 2 6" xfId="22797"/>
    <cellStyle name="Comma 2 2 3 2 2 2 2 3 3" xfId="1988"/>
    <cellStyle name="Comma 2 2 3 2 2 2 2 3 3 2" xfId="2572"/>
    <cellStyle name="Comma 2 2 3 2 2 2 2 3 3 2 2" xfId="7222"/>
    <cellStyle name="Comma 2 2 3 2 2 2 2 3 3 2 2 2" xfId="7793"/>
    <cellStyle name="Comma 2 2 3 2 2 2 2 3 3 2 2 2 2" xfId="20774"/>
    <cellStyle name="Comma 2 2 3 2 2 2 2 3 3 2 2 2 2 2" xfId="21345"/>
    <cellStyle name="Comma 2 2 3 2 2 2 2 3 3 2 2 2 2 2 2" xfId="56100"/>
    <cellStyle name="Comma 2 2 3 2 2 2 2 3 3 2 2 2 2 2 2 2" xfId="56671"/>
    <cellStyle name="Comma 2 2 3 2 2 2 2 3 3 2 2 2 2 3" xfId="34848"/>
    <cellStyle name="Comma 2 2 3 2 2 2 2 3 3 2 2 2 3" xfId="34277"/>
    <cellStyle name="Comma 2 2 3 2 2 2 2 3 3 2 2 2 3 2" xfId="43220"/>
    <cellStyle name="Comma 2 2 3 2 2 2 2 3 3 2 2 3" xfId="13018"/>
    <cellStyle name="Comma 2 2 3 2 2 2 2 3 3 2 2 3 2" xfId="42649"/>
    <cellStyle name="Comma 2 2 3 2 2 2 2 3 3 2 2 3 2 2" xfId="48364"/>
    <cellStyle name="Comma 2 2 3 2 2 2 2 3 3 2 2 4" xfId="26502"/>
    <cellStyle name="Comma 2 2 3 2 2 2 2 3 3 2 3" xfId="12447"/>
    <cellStyle name="Comma 2 2 3 2 2 2 2 3 3 2 3 2" xfId="16231"/>
    <cellStyle name="Comma 2 2 3 2 2 2 2 3 3 2 3 2 2" xfId="47793"/>
    <cellStyle name="Comma 2 2 3 2 2 2 2 3 3 2 3 2 2 2" xfId="51561"/>
    <cellStyle name="Comma 2 2 3 2 2 2 2 3 3 2 3 3" xfId="29735"/>
    <cellStyle name="Comma 2 2 3 2 2 2 2 3 3 2 4" xfId="25931"/>
    <cellStyle name="Comma 2 2 3 2 2 2 2 3 3 2 4 2" xfId="38045"/>
    <cellStyle name="Comma 2 2 3 2 2 2 2 3 3 3" xfId="4605"/>
    <cellStyle name="Comma 2 2 3 2 2 2 2 3 3 3 2" xfId="15652"/>
    <cellStyle name="Comma 2 2 3 2 2 2 2 3 3 3 2 2" xfId="18186"/>
    <cellStyle name="Comma 2 2 3 2 2 2 2 3 3 3 2 2 2" xfId="50984"/>
    <cellStyle name="Comma 2 2 3 2 2 2 2 3 3 3 2 2 2 2" xfId="53512"/>
    <cellStyle name="Comma 2 2 3 2 2 2 2 3 3 3 2 3" xfId="31687"/>
    <cellStyle name="Comma 2 2 3 2 2 2 2 3 3 3 3" xfId="29158"/>
    <cellStyle name="Comma 2 2 3 2 2 2 2 3 3 3 3 2" xfId="40044"/>
    <cellStyle name="Comma 2 2 3 2 2 2 2 3 3 4" xfId="9809"/>
    <cellStyle name="Comma 2 2 3 2 2 2 2 3 3 4 2" xfId="37466"/>
    <cellStyle name="Comma 2 2 3 2 2 2 2 3 3 4 2 2" xfId="45179"/>
    <cellStyle name="Comma 2 2 3 2 2 2 2 3 3 5" xfId="23302"/>
    <cellStyle name="Comma 2 2 3 2 2 2 2 3 4" xfId="4002"/>
    <cellStyle name="Comma 2 2 3 2 2 2 2 3 4 2" xfId="5811"/>
    <cellStyle name="Comma 2 2 3 2 2 2 2 3 4 2 2" xfId="17597"/>
    <cellStyle name="Comma 2 2 3 2 2 2 2 3 4 2 2 2" xfId="19379"/>
    <cellStyle name="Comma 2 2 3 2 2 2 2 3 4 2 2 2 2" xfId="52924"/>
    <cellStyle name="Comma 2 2 3 2 2 2 2 3 4 2 2 2 2 2" xfId="54705"/>
    <cellStyle name="Comma 2 2 3 2 2 2 2 3 4 2 2 3" xfId="32880"/>
    <cellStyle name="Comma 2 2 3 2 2 2 2 3 4 2 3" xfId="31099"/>
    <cellStyle name="Comma 2 2 3 2 2 2 2 3 4 2 3 2" xfId="41246"/>
    <cellStyle name="Comma 2 2 3 2 2 2 2 3 4 3" xfId="11033"/>
    <cellStyle name="Comma 2 2 3 2 2 2 2 3 4 3 2" xfId="39446"/>
    <cellStyle name="Comma 2 2 3 2 2 2 2 3 4 3 2 2" xfId="46392"/>
    <cellStyle name="Comma 2 2 3 2 2 2 2 3 4 4" xfId="24527"/>
    <cellStyle name="Comma 2 2 3 2 2 2 2 3 5" xfId="9194"/>
    <cellStyle name="Comma 2 2 3 2 2 2 2 3 5 2" xfId="14194"/>
    <cellStyle name="Comma 2 2 3 2 2 2 2 3 5 2 2" xfId="44577"/>
    <cellStyle name="Comma 2 2 3 2 2 2 2 3 5 2 2 2" xfId="49539"/>
    <cellStyle name="Comma 2 2 3 2 2 2 2 3 5 3" xfId="27700"/>
    <cellStyle name="Comma 2 2 3 2 2 2 2 3 6" xfId="22691"/>
    <cellStyle name="Comma 2 2 3 2 2 2 2 3 6 2" xfId="36006"/>
    <cellStyle name="Comma 2 2 3 2 2 2 2 4" xfId="794"/>
    <cellStyle name="Comma 2 2 3 2 2 2 2 4 2" xfId="2433"/>
    <cellStyle name="Comma 2 2 3 2 2 2 2 4 2 2" xfId="2850"/>
    <cellStyle name="Comma 2 2 3 2 2 2 2 4 2 2 2" xfId="7665"/>
    <cellStyle name="Comma 2 2 3 2 2 2 2 4 2 2 2 2" xfId="8066"/>
    <cellStyle name="Comma 2 2 3 2 2 2 2 4 2 2 2 2 2" xfId="21217"/>
    <cellStyle name="Comma 2 2 3 2 2 2 2 4 2 2 2 2 2 2" xfId="21618"/>
    <cellStyle name="Comma 2 2 3 2 2 2 2 4 2 2 2 2 2 2 2" xfId="56543"/>
    <cellStyle name="Comma 2 2 3 2 2 2 2 4 2 2 2 2 2 2 2 2" xfId="56944"/>
    <cellStyle name="Comma 2 2 3 2 2 2 2 4 2 2 2 2 2 3" xfId="35121"/>
    <cellStyle name="Comma 2 2 3 2 2 2 2 4 2 2 2 2 3" xfId="34720"/>
    <cellStyle name="Comma 2 2 3 2 2 2 2 4 2 2 2 2 3 2" xfId="43493"/>
    <cellStyle name="Comma 2 2 3 2 2 2 2 4 2 2 2 3" xfId="13291"/>
    <cellStyle name="Comma 2 2 3 2 2 2 2 4 2 2 2 3 2" xfId="43092"/>
    <cellStyle name="Comma 2 2 3 2 2 2 2 4 2 2 2 3 2 2" xfId="48637"/>
    <cellStyle name="Comma 2 2 3 2 2 2 2 4 2 2 2 4" xfId="26775"/>
    <cellStyle name="Comma 2 2 3 2 2 2 2 4 2 2 3" xfId="12890"/>
    <cellStyle name="Comma 2 2 3 2 2 2 2 4 2 2 3 2" xfId="16508"/>
    <cellStyle name="Comma 2 2 3 2 2 2 2 4 2 2 3 2 2" xfId="48236"/>
    <cellStyle name="Comma 2 2 3 2 2 2 2 4 2 2 3 2 2 2" xfId="51836"/>
    <cellStyle name="Comma 2 2 3 2 2 2 2 4 2 2 3 3" xfId="30010"/>
    <cellStyle name="Comma 2 2 3 2 2 2 2 4 2 2 4" xfId="26374"/>
    <cellStyle name="Comma 2 2 3 2 2 2 2 4 2 2 4 2" xfId="38320"/>
    <cellStyle name="Comma 2 2 3 2 2 2 2 4 2 3" xfId="4886"/>
    <cellStyle name="Comma 2 2 3 2 2 2 2 4 2 3 2" xfId="16096"/>
    <cellStyle name="Comma 2 2 3 2 2 2 2 4 2 3 2 2" xfId="18460"/>
    <cellStyle name="Comma 2 2 3 2 2 2 2 4 2 3 2 2 2" xfId="51428"/>
    <cellStyle name="Comma 2 2 3 2 2 2 2 4 2 3 2 2 2 2" xfId="53786"/>
    <cellStyle name="Comma 2 2 3 2 2 2 2 4 2 3 2 3" xfId="31961"/>
    <cellStyle name="Comma 2 2 3 2 2 2 2 4 2 3 3" xfId="29602"/>
    <cellStyle name="Comma 2 2 3 2 2 2 2 4 2 3 3 2" xfId="40323"/>
    <cellStyle name="Comma 2 2 3 2 2 2 2 4 2 4" xfId="10089"/>
    <cellStyle name="Comma 2 2 3 2 2 2 2 4 2 4 2" xfId="37911"/>
    <cellStyle name="Comma 2 2 3 2 2 2 2 4 2 4 2 2" xfId="45453"/>
    <cellStyle name="Comma 2 2 3 2 2 2 2 4 2 5" xfId="23576"/>
    <cellStyle name="Comma 2 2 3 2 2 2 2 4 3" xfId="4468"/>
    <cellStyle name="Comma 2 2 3 2 2 2 2 4 3 2" xfId="6110"/>
    <cellStyle name="Comma 2 2 3 2 2 2 2 4 3 2 2" xfId="18058"/>
    <cellStyle name="Comma 2 2 3 2 2 2 2 4 3 2 2 2" xfId="19672"/>
    <cellStyle name="Comma 2 2 3 2 2 2 2 4 3 2 2 2 2" xfId="53384"/>
    <cellStyle name="Comma 2 2 3 2 2 2 2 4 3 2 2 2 2 2" xfId="54998"/>
    <cellStyle name="Comma 2 2 3 2 2 2 2 4 3 2 2 3" xfId="33173"/>
    <cellStyle name="Comma 2 2 3 2 2 2 2 4 3 2 3" xfId="31559"/>
    <cellStyle name="Comma 2 2 3 2 2 2 2 4 3 2 3 2" xfId="41543"/>
    <cellStyle name="Comma 2 2 3 2 2 2 2 4 3 3" xfId="11336"/>
    <cellStyle name="Comma 2 2 3 2 2 2 2 4 3 3 2" xfId="39910"/>
    <cellStyle name="Comma 2 2 3 2 2 2 2 4 3 3 2 2" xfId="46689"/>
    <cellStyle name="Comma 2 2 3 2 2 2 2 4 3 4" xfId="24826"/>
    <cellStyle name="Comma 2 2 3 2 2 2 2 4 4" xfId="9673"/>
    <cellStyle name="Comma 2 2 3 2 2 2 2 4 4 2" xfId="14494"/>
    <cellStyle name="Comma 2 2 3 2 2 2 2 4 4 2 2" xfId="45051"/>
    <cellStyle name="Comma 2 2 3 2 2 2 2 4 4 2 2 2" xfId="49836"/>
    <cellStyle name="Comma 2 2 3 2 2 2 2 4 4 3" xfId="28005"/>
    <cellStyle name="Comma 2 2 3 2 2 2 2 4 5" xfId="23174"/>
    <cellStyle name="Comma 2 2 3 2 2 2 2 4 5 2" xfId="36304"/>
    <cellStyle name="Comma 2 2 3 2 2 2 2 5" xfId="1581"/>
    <cellStyle name="Comma 2 2 3 2 2 2 2 5 2" xfId="5675"/>
    <cellStyle name="Comma 2 2 3 2 2 2 2 5 2 2" xfId="6853"/>
    <cellStyle name="Comma 2 2 3 2 2 2 2 5 2 2 2" xfId="19247"/>
    <cellStyle name="Comma 2 2 3 2 2 2 2 5 2 2 2 2" xfId="20406"/>
    <cellStyle name="Comma 2 2 3 2 2 2 2 5 2 2 2 2 2" xfId="54573"/>
    <cellStyle name="Comma 2 2 3 2 2 2 2 5 2 2 2 2 2 2" xfId="55732"/>
    <cellStyle name="Comma 2 2 3 2 2 2 2 5 2 2 2 3" xfId="33908"/>
    <cellStyle name="Comma 2 2 3 2 2 2 2 5 2 2 3" xfId="32748"/>
    <cellStyle name="Comma 2 2 3 2 2 2 2 5 2 2 3 2" xfId="42281"/>
    <cellStyle name="Comma 2 2 3 2 2 2 2 5 2 3" xfId="12077"/>
    <cellStyle name="Comma 2 2 3 2 2 2 2 5 2 3 2" xfId="41111"/>
    <cellStyle name="Comma 2 2 3 2 2 2 2 5 2 3 2 2" xfId="47424"/>
    <cellStyle name="Comma 2 2 3 2 2 2 2 5 2 4" xfId="25562"/>
    <cellStyle name="Comma 2 2 3 2 2 2 2 5 3" xfId="10893"/>
    <cellStyle name="Comma 2 2 3 2 2 2 2 5 3 2" xfId="15257"/>
    <cellStyle name="Comma 2 2 3 2 2 2 2 5 3 2 2" xfId="46255"/>
    <cellStyle name="Comma 2 2 3 2 2 2 2 5 3 2 2 2" xfId="50594"/>
    <cellStyle name="Comma 2 2 3 2 2 2 2 5 3 3" xfId="28768"/>
    <cellStyle name="Comma 2 2 3 2 2 2 2 5 4" xfId="24386"/>
    <cellStyle name="Comma 2 2 3 2 2 2 2 5 4 2" xfId="37069"/>
    <cellStyle name="Comma 2 2 3 2 2 2 2 6" xfId="3582"/>
    <cellStyle name="Comma 2 2 3 2 2 2 2 6 2" xfId="14059"/>
    <cellStyle name="Comma 2 2 3 2 2 2 2 6 2 2" xfId="17218"/>
    <cellStyle name="Comma 2 2 3 2 2 2 2 6 2 2 2" xfId="49405"/>
    <cellStyle name="Comma 2 2 3 2 2 2 2 6 2 2 2 2" xfId="52545"/>
    <cellStyle name="Comma 2 2 3 2 2 2 2 6 2 3" xfId="30719"/>
    <cellStyle name="Comma 2 2 3 2 2 2 2 6 3" xfId="27558"/>
    <cellStyle name="Comma 2 2 3 2 2 2 2 6 3 2" xfId="39039"/>
    <cellStyle name="Comma 2 2 3 2 2 2 2 7" xfId="8773"/>
    <cellStyle name="Comma 2 2 3 2 2 2 2 7 2" xfId="35871"/>
    <cellStyle name="Comma 2 2 3 2 2 2 2 7 2 2" xfId="44186"/>
    <cellStyle name="Comma 2 2 3 2 2 2 2 8" xfId="22290"/>
    <cellStyle name="Comma 2 2 3 2 2 2 3" xfId="464"/>
    <cellStyle name="Comma 2 2 3 2 2 2 3 2" xfId="559"/>
    <cellStyle name="Comma 2 2 3 2 2 2 3 2 2" xfId="1279"/>
    <cellStyle name="Comma 2 2 3 2 2 2 3 2 2 2" xfId="1357"/>
    <cellStyle name="Comma 2 2 3 2 2 2 3 2 2 2 2" xfId="3297"/>
    <cellStyle name="Comma 2 2 3 2 2 2 3 2 2 2 2 2" xfId="3375"/>
    <cellStyle name="Comma 2 2 3 2 2 2 3 2 2 2 2 2 2" xfId="8512"/>
    <cellStyle name="Comma 2 2 3 2 2 2 3 2 2 2 2 2 2 2" xfId="8590"/>
    <cellStyle name="Comma 2 2 3 2 2 2 3 2 2 2 2 2 2 2 2" xfId="22064"/>
    <cellStyle name="Comma 2 2 3 2 2 2 3 2 2 2 2 2 2 2 2 2" xfId="22142"/>
    <cellStyle name="Comma 2 2 3 2 2 2 3 2 2 2 2 2 2 2 2 2 2" xfId="57390"/>
    <cellStyle name="Comma 2 2 3 2 2 2 3 2 2 2 2 2 2 2 2 2 2 2" xfId="57468"/>
    <cellStyle name="Comma 2 2 3 2 2 2 3 2 2 2 2 2 2 2 2 3" xfId="35645"/>
    <cellStyle name="Comma 2 2 3 2 2 2 3 2 2 2 2 2 2 2 3" xfId="35567"/>
    <cellStyle name="Comma 2 2 3 2 2 2 3 2 2 2 2 2 2 2 3 2" xfId="44017"/>
    <cellStyle name="Comma 2 2 3 2 2 2 3 2 2 2 2 2 2 3" xfId="13815"/>
    <cellStyle name="Comma 2 2 3 2 2 2 3 2 2 2 2 2 2 3 2" xfId="43939"/>
    <cellStyle name="Comma 2 2 3 2 2 2 3 2 2 2 2 2 2 3 2 2" xfId="49161"/>
    <cellStyle name="Comma 2 2 3 2 2 2 3 2 2 2 2 2 2 4" xfId="27300"/>
    <cellStyle name="Comma 2 2 3 2 2 2 3 2 2 2 2 2 3" xfId="13737"/>
    <cellStyle name="Comma 2 2 3 2 2 2 3 2 2 2 2 2 3 2" xfId="17032"/>
    <cellStyle name="Comma 2 2 3 2 2 2 3 2 2 2 2 2 3 2 2" xfId="49083"/>
    <cellStyle name="Comma 2 2 3 2 2 2 3 2 2 2 2 2 3 2 2 2" xfId="52360"/>
    <cellStyle name="Comma 2 2 3 2 2 2 3 2 2 2 2 2 3 3" xfId="30534"/>
    <cellStyle name="Comma 2 2 3 2 2 2 3 2 2 2 2 2 4" xfId="27222"/>
    <cellStyle name="Comma 2 2 3 2 2 2 3 2 2 2 2 2 4 2" xfId="38844"/>
    <cellStyle name="Comma 2 2 3 2 2 2 3 2 2 2 2 3" xfId="5412"/>
    <cellStyle name="Comma 2 2 3 2 2 2 3 2 2 2 2 3 2" xfId="16954"/>
    <cellStyle name="Comma 2 2 3 2 2 2 3 2 2 2 2 3 2 2" xfId="18985"/>
    <cellStyle name="Comma 2 2 3 2 2 2 3 2 2 2 2 3 2 2 2" xfId="52282"/>
    <cellStyle name="Comma 2 2 3 2 2 2 3 2 2 2 2 3 2 2 2 2" xfId="54311"/>
    <cellStyle name="Comma 2 2 3 2 2 2 3 2 2 2 2 3 2 3" xfId="32486"/>
    <cellStyle name="Comma 2 2 3 2 2 2 3 2 2 2 2 3 3" xfId="30456"/>
    <cellStyle name="Comma 2 2 3 2 2 2 3 2 2 2 2 3 3 2" xfId="40849"/>
    <cellStyle name="Comma 2 2 3 2 2 2 3 2 2 2 2 4" xfId="10615"/>
    <cellStyle name="Comma 2 2 3 2 2 2 3 2 2 2 2 4 2" xfId="38766"/>
    <cellStyle name="Comma 2 2 3 2 2 2 3 2 2 2 2 4 2 2" xfId="45978"/>
    <cellStyle name="Comma 2 2 3 2 2 2 3 2 2 2 2 5" xfId="24101"/>
    <cellStyle name="Comma 2 2 3 2 2 2 3 2 2 2 3" xfId="5334"/>
    <cellStyle name="Comma 2 2 3 2 2 2 3 2 2 2 3 2" xfId="6665"/>
    <cellStyle name="Comma 2 2 3 2 2 2 3 2 2 2 3 2 2" xfId="18907"/>
    <cellStyle name="Comma 2 2 3 2 2 2 3 2 2 2 3 2 2 2" xfId="20218"/>
    <cellStyle name="Comma 2 2 3 2 2 2 3 2 2 2 3 2 2 2 2" xfId="54233"/>
    <cellStyle name="Comma 2 2 3 2 2 2 3 2 2 2 3 2 2 2 2 2" xfId="55544"/>
    <cellStyle name="Comma 2 2 3 2 2 2 3 2 2 2 3 2 2 3" xfId="33720"/>
    <cellStyle name="Comma 2 2 3 2 2 2 3 2 2 2 3 2 3" xfId="32408"/>
    <cellStyle name="Comma 2 2 3 2 2 2 3 2 2 2 3 2 3 2" xfId="42093"/>
    <cellStyle name="Comma 2 2 3 2 2 2 3 2 2 2 3 3" xfId="11888"/>
    <cellStyle name="Comma 2 2 3 2 2 2 3 2 2 2 3 3 2" xfId="40771"/>
    <cellStyle name="Comma 2 2 3 2 2 2 3 2 2 2 3 3 2 2" xfId="47236"/>
    <cellStyle name="Comma 2 2 3 2 2 2 3 2 2 2 3 4" xfId="25373"/>
    <cellStyle name="Comma 2 2 3 2 2 2 3 2 2 2 4" xfId="10537"/>
    <cellStyle name="Comma 2 2 3 2 2 2 3 2 2 2 4 2" xfId="15046"/>
    <cellStyle name="Comma 2 2 3 2 2 2 3 2 2 2 4 2 2" xfId="45900"/>
    <cellStyle name="Comma 2 2 3 2 2 2 3 2 2 2 4 2 2 2" xfId="50385"/>
    <cellStyle name="Comma 2 2 3 2 2 2 3 2 2 2 4 3" xfId="28559"/>
    <cellStyle name="Comma 2 2 3 2 2 2 3 2 2 2 5" xfId="24023"/>
    <cellStyle name="Comma 2 2 3 2 2 2 3 2 2 2 5 2" xfId="36854"/>
    <cellStyle name="Comma 2 2 3 2 2 2 3 2 2 3" xfId="2164"/>
    <cellStyle name="Comma 2 2 3 2 2 2 3 2 2 3 2" xfId="6587"/>
    <cellStyle name="Comma 2 2 3 2 2 2 3 2 2 3 2 2" xfId="7398"/>
    <cellStyle name="Comma 2 2 3 2 2 2 3 2 2 3 2 2 2" xfId="20140"/>
    <cellStyle name="Comma 2 2 3 2 2 2 3 2 2 3 2 2 2 2" xfId="20950"/>
    <cellStyle name="Comma 2 2 3 2 2 2 3 2 2 3 2 2 2 2 2" xfId="55466"/>
    <cellStyle name="Comma 2 2 3 2 2 2 3 2 2 3 2 2 2 2 2 2" xfId="56276"/>
    <cellStyle name="Comma 2 2 3 2 2 2 3 2 2 3 2 2 2 3" xfId="34453"/>
    <cellStyle name="Comma 2 2 3 2 2 2 3 2 2 3 2 2 3" xfId="33642"/>
    <cellStyle name="Comma 2 2 3 2 2 2 3 2 2 3 2 2 3 2" xfId="42825"/>
    <cellStyle name="Comma 2 2 3 2 2 2 3 2 2 3 2 3" xfId="12623"/>
    <cellStyle name="Comma 2 2 3 2 2 2 3 2 2 3 2 3 2" xfId="42015"/>
    <cellStyle name="Comma 2 2 3 2 2 2 3 2 2 3 2 3 2 2" xfId="47969"/>
    <cellStyle name="Comma 2 2 3 2 2 2 3 2 2 3 2 4" xfId="26107"/>
    <cellStyle name="Comma 2 2 3 2 2 2 3 2 2 3 3" xfId="11810"/>
    <cellStyle name="Comma 2 2 3 2 2 2 3 2 2 3 3 2" xfId="15828"/>
    <cellStyle name="Comma 2 2 3 2 2 2 3 2 2 3 3 2 2" xfId="47158"/>
    <cellStyle name="Comma 2 2 3 2 2 2 3 2 2 3 3 2 2 2" xfId="51160"/>
    <cellStyle name="Comma 2 2 3 2 2 2 3 2 2 3 3 3" xfId="29334"/>
    <cellStyle name="Comma 2 2 3 2 2 2 3 2 2 3 4" xfId="25295"/>
    <cellStyle name="Comma 2 2 3 2 2 2 3 2 2 3 4 2" xfId="37642"/>
    <cellStyle name="Comma 2 2 3 2 2 2 3 2 2 4" xfId="4180"/>
    <cellStyle name="Comma 2 2 3 2 2 2 3 2 2 4 2" xfId="14968"/>
    <cellStyle name="Comma 2 2 3 2 2 2 3 2 2 4 2 2" xfId="17773"/>
    <cellStyle name="Comma 2 2 3 2 2 2 3 2 2 4 2 2 2" xfId="50307"/>
    <cellStyle name="Comma 2 2 3 2 2 2 3 2 2 4 2 2 2 2" xfId="53100"/>
    <cellStyle name="Comma 2 2 3 2 2 2 3 2 2 4 2 3" xfId="31275"/>
    <cellStyle name="Comma 2 2 3 2 2 2 3 2 2 4 3" xfId="28481"/>
    <cellStyle name="Comma 2 2 3 2 2 2 3 2 2 4 3 2" xfId="39623"/>
    <cellStyle name="Comma 2 2 3 2 2 2 3 2 2 5" xfId="9371"/>
    <cellStyle name="Comma 2 2 3 2 2 2 3 2 2 5 2" xfId="36776"/>
    <cellStyle name="Comma 2 2 3 2 2 2 3 2 2 5 2 2" xfId="44753"/>
    <cellStyle name="Comma 2 2 3 2 2 2 3 2 2 6" xfId="22867"/>
    <cellStyle name="Comma 2 2 3 2 2 2 3 2 3" xfId="2085"/>
    <cellStyle name="Comma 2 2 3 2 2 2 3 2 3 2" xfId="2650"/>
    <cellStyle name="Comma 2 2 3 2 2 2 3 2 3 2 2" xfId="7319"/>
    <cellStyle name="Comma 2 2 3 2 2 2 3 2 3 2 2 2" xfId="7869"/>
    <cellStyle name="Comma 2 2 3 2 2 2 3 2 3 2 2 2 2" xfId="20871"/>
    <cellStyle name="Comma 2 2 3 2 2 2 3 2 3 2 2 2 2 2" xfId="21421"/>
    <cellStyle name="Comma 2 2 3 2 2 2 3 2 3 2 2 2 2 2 2" xfId="56197"/>
    <cellStyle name="Comma 2 2 3 2 2 2 3 2 3 2 2 2 2 2 2 2" xfId="56747"/>
    <cellStyle name="Comma 2 2 3 2 2 2 3 2 3 2 2 2 2 3" xfId="34924"/>
    <cellStyle name="Comma 2 2 3 2 2 2 3 2 3 2 2 2 3" xfId="34374"/>
    <cellStyle name="Comma 2 2 3 2 2 2 3 2 3 2 2 2 3 2" xfId="43296"/>
    <cellStyle name="Comma 2 2 3 2 2 2 3 2 3 2 2 3" xfId="13094"/>
    <cellStyle name="Comma 2 2 3 2 2 2 3 2 3 2 2 3 2" xfId="42746"/>
    <cellStyle name="Comma 2 2 3 2 2 2 3 2 3 2 2 3 2 2" xfId="48440"/>
    <cellStyle name="Comma 2 2 3 2 2 2 3 2 3 2 2 4" xfId="26578"/>
    <cellStyle name="Comma 2 2 3 2 2 2 3 2 3 2 3" xfId="12544"/>
    <cellStyle name="Comma 2 2 3 2 2 2 3 2 3 2 3 2" xfId="16309"/>
    <cellStyle name="Comma 2 2 3 2 2 2 3 2 3 2 3 2 2" xfId="47890"/>
    <cellStyle name="Comma 2 2 3 2 2 2 3 2 3 2 3 2 2 2" xfId="51639"/>
    <cellStyle name="Comma 2 2 3 2 2 2 3 2 3 2 3 3" xfId="29813"/>
    <cellStyle name="Comma 2 2 3 2 2 2 3 2 3 2 4" xfId="26028"/>
    <cellStyle name="Comma 2 2 3 2 2 2 3 2 3 2 4 2" xfId="38123"/>
    <cellStyle name="Comma 2 2 3 2 2 2 3 2 3 3" xfId="4685"/>
    <cellStyle name="Comma 2 2 3 2 2 2 3 2 3 3 2" xfId="15749"/>
    <cellStyle name="Comma 2 2 3 2 2 2 3 2 3 3 2 2" xfId="18263"/>
    <cellStyle name="Comma 2 2 3 2 2 2 3 2 3 3 2 2 2" xfId="51081"/>
    <cellStyle name="Comma 2 2 3 2 2 2 3 2 3 3 2 2 2 2" xfId="53589"/>
    <cellStyle name="Comma 2 2 3 2 2 2 3 2 3 3 2 3" xfId="31764"/>
    <cellStyle name="Comma 2 2 3 2 2 2 3 2 3 3 3" xfId="29255"/>
    <cellStyle name="Comma 2 2 3 2 2 2 3 2 3 3 3 2" xfId="40124"/>
    <cellStyle name="Comma 2 2 3 2 2 2 3 2 3 4" xfId="9888"/>
    <cellStyle name="Comma 2 2 3 2 2 2 3 2 3 4 2" xfId="37563"/>
    <cellStyle name="Comma 2 2 3 2 2 2 3 2 3 4 2 2" xfId="45256"/>
    <cellStyle name="Comma 2 2 3 2 2 2 3 2 3 5" xfId="23379"/>
    <cellStyle name="Comma 2 2 3 2 2 2 3 2 4" xfId="4101"/>
    <cellStyle name="Comma 2 2 3 2 2 2 3 2 4 2" xfId="5891"/>
    <cellStyle name="Comma 2 2 3 2 2 2 3 2 4 2 2" xfId="17694"/>
    <cellStyle name="Comma 2 2 3 2 2 2 3 2 4 2 2 2" xfId="19458"/>
    <cellStyle name="Comma 2 2 3 2 2 2 3 2 4 2 2 2 2" xfId="53021"/>
    <cellStyle name="Comma 2 2 3 2 2 2 3 2 4 2 2 2 2 2" xfId="54784"/>
    <cellStyle name="Comma 2 2 3 2 2 2 3 2 4 2 2 3" xfId="32959"/>
    <cellStyle name="Comma 2 2 3 2 2 2 3 2 4 2 3" xfId="31196"/>
    <cellStyle name="Comma 2 2 3 2 2 2 3 2 4 2 3 2" xfId="41325"/>
    <cellStyle name="Comma 2 2 3 2 2 2 3 2 4 3" xfId="11116"/>
    <cellStyle name="Comma 2 2 3 2 2 2 3 2 4 3 2" xfId="39544"/>
    <cellStyle name="Comma 2 2 3 2 2 2 3 2 4 3 2 2" xfId="46474"/>
    <cellStyle name="Comma 2 2 3 2 2 2 3 2 4 4" xfId="24608"/>
    <cellStyle name="Comma 2 2 3 2 2 2 3 2 5" xfId="9292"/>
    <cellStyle name="Comma 2 2 3 2 2 2 3 2 5 2" xfId="14275"/>
    <cellStyle name="Comma 2 2 3 2 2 2 3 2 5 2 2" xfId="44674"/>
    <cellStyle name="Comma 2 2 3 2 2 2 3 2 5 2 2 2" xfId="49620"/>
    <cellStyle name="Comma 2 2 3 2 2 2 3 2 5 3" xfId="27784"/>
    <cellStyle name="Comma 2 2 3 2 2 2 3 2 6" xfId="22788"/>
    <cellStyle name="Comma 2 2 3 2 2 2 3 2 6 2" xfId="36087"/>
    <cellStyle name="Comma 2 2 3 2 2 2 3 3" xfId="887"/>
    <cellStyle name="Comma 2 2 3 2 2 2 3 3 2" xfId="2563"/>
    <cellStyle name="Comma 2 2 3 2 2 2 3 3 2 2" xfId="2927"/>
    <cellStyle name="Comma 2 2 3 2 2 2 3 3 2 2 2" xfId="7784"/>
    <cellStyle name="Comma 2 2 3 2 2 2 3 3 2 2 2 2" xfId="8142"/>
    <cellStyle name="Comma 2 2 3 2 2 2 3 3 2 2 2 2 2" xfId="21336"/>
    <cellStyle name="Comma 2 2 3 2 2 2 3 3 2 2 2 2 2 2" xfId="21694"/>
    <cellStyle name="Comma 2 2 3 2 2 2 3 3 2 2 2 2 2 2 2" xfId="56662"/>
    <cellStyle name="Comma 2 2 3 2 2 2 3 3 2 2 2 2 2 2 2 2" xfId="57020"/>
    <cellStyle name="Comma 2 2 3 2 2 2 3 3 2 2 2 2 2 3" xfId="35197"/>
    <cellStyle name="Comma 2 2 3 2 2 2 3 3 2 2 2 2 3" xfId="34839"/>
    <cellStyle name="Comma 2 2 3 2 2 2 3 3 2 2 2 2 3 2" xfId="43569"/>
    <cellStyle name="Comma 2 2 3 2 2 2 3 3 2 2 2 3" xfId="13367"/>
    <cellStyle name="Comma 2 2 3 2 2 2 3 3 2 2 2 3 2" xfId="43211"/>
    <cellStyle name="Comma 2 2 3 2 2 2 3 3 2 2 2 3 2 2" xfId="48713"/>
    <cellStyle name="Comma 2 2 3 2 2 2 3 3 2 2 2 4" xfId="26852"/>
    <cellStyle name="Comma 2 2 3 2 2 2 3 3 2 2 3" xfId="13009"/>
    <cellStyle name="Comma 2 2 3 2 2 2 3 3 2 2 3 2" xfId="16584"/>
    <cellStyle name="Comma 2 2 3 2 2 2 3 3 2 2 3 2 2" xfId="48355"/>
    <cellStyle name="Comma 2 2 3 2 2 2 3 3 2 2 3 2 2 2" xfId="51912"/>
    <cellStyle name="Comma 2 2 3 2 2 2 3 3 2 2 3 3" xfId="30086"/>
    <cellStyle name="Comma 2 2 3 2 2 2 3 3 2 2 4" xfId="26493"/>
    <cellStyle name="Comma 2 2 3 2 2 2 3 3 2 2 4 2" xfId="38396"/>
    <cellStyle name="Comma 2 2 3 2 2 2 3 3 2 3" xfId="4963"/>
    <cellStyle name="Comma 2 2 3 2 2 2 3 3 2 3 2" xfId="16222"/>
    <cellStyle name="Comma 2 2 3 2 2 2 3 3 2 3 2 2" xfId="18536"/>
    <cellStyle name="Comma 2 2 3 2 2 2 3 3 2 3 2 2 2" xfId="51552"/>
    <cellStyle name="Comma 2 2 3 2 2 2 3 3 2 3 2 2 2 2" xfId="53862"/>
    <cellStyle name="Comma 2 2 3 2 2 2 3 3 2 3 2 3" xfId="32037"/>
    <cellStyle name="Comma 2 2 3 2 2 2 3 3 2 3 3" xfId="29726"/>
    <cellStyle name="Comma 2 2 3 2 2 2 3 3 2 3 3 2" xfId="40400"/>
    <cellStyle name="Comma 2 2 3 2 2 2 3 3 2 4" xfId="10166"/>
    <cellStyle name="Comma 2 2 3 2 2 2 3 3 2 4 2" xfId="38036"/>
    <cellStyle name="Comma 2 2 3 2 2 2 3 3 2 4 2 2" xfId="45529"/>
    <cellStyle name="Comma 2 2 3 2 2 2 3 3 2 5" xfId="23652"/>
    <cellStyle name="Comma 2 2 3 2 2 2 3 3 3" xfId="4596"/>
    <cellStyle name="Comma 2 2 3 2 2 2 3 3 3 2" xfId="6198"/>
    <cellStyle name="Comma 2 2 3 2 2 2 3 3 3 2 2" xfId="18177"/>
    <cellStyle name="Comma 2 2 3 2 2 2 3 3 3 2 2 2" xfId="19757"/>
    <cellStyle name="Comma 2 2 3 2 2 2 3 3 3 2 2 2 2" xfId="53503"/>
    <cellStyle name="Comma 2 2 3 2 2 2 3 3 3 2 2 2 2 2" xfId="55083"/>
    <cellStyle name="Comma 2 2 3 2 2 2 3 3 3 2 2 3" xfId="33259"/>
    <cellStyle name="Comma 2 2 3 2 2 2 3 3 3 2 3" xfId="31678"/>
    <cellStyle name="Comma 2 2 3 2 2 2 3 3 3 2 3 2" xfId="41628"/>
    <cellStyle name="Comma 2 2 3 2 2 2 3 3 3 3" xfId="11423"/>
    <cellStyle name="Comma 2 2 3 2 2 2 3 3 3 3 2" xfId="40035"/>
    <cellStyle name="Comma 2 2 3 2 2 2 3 3 3 3 2 2" xfId="46774"/>
    <cellStyle name="Comma 2 2 3 2 2 2 3 3 3 4" xfId="24911"/>
    <cellStyle name="Comma 2 2 3 2 2 2 3 3 4" xfId="9800"/>
    <cellStyle name="Comma 2 2 3 2 2 2 3 3 4 2" xfId="14583"/>
    <cellStyle name="Comma 2 2 3 2 2 2 3 3 4 2 2" xfId="45170"/>
    <cellStyle name="Comma 2 2 3 2 2 2 3 3 4 2 2 2" xfId="49922"/>
    <cellStyle name="Comma 2 2 3 2 2 2 3 3 4 3" xfId="28093"/>
    <cellStyle name="Comma 2 2 3 2 2 2 3 3 5" xfId="23293"/>
    <cellStyle name="Comma 2 2 3 2 2 2 3 3 5 2" xfId="36391"/>
    <cellStyle name="Comma 2 2 3 2 2 2 3 4" xfId="1683"/>
    <cellStyle name="Comma 2 2 3 2 2 2 3 4 2" xfId="5802"/>
    <cellStyle name="Comma 2 2 3 2 2 2 3 4 2 2" xfId="6938"/>
    <cellStyle name="Comma 2 2 3 2 2 2 3 4 2 2 2" xfId="19370"/>
    <cellStyle name="Comma 2 2 3 2 2 2 3 4 2 2 2 2" xfId="20491"/>
    <cellStyle name="Comma 2 2 3 2 2 2 3 4 2 2 2 2 2" xfId="54696"/>
    <cellStyle name="Comma 2 2 3 2 2 2 3 4 2 2 2 2 2 2" xfId="55817"/>
    <cellStyle name="Comma 2 2 3 2 2 2 3 4 2 2 2 3" xfId="33993"/>
    <cellStyle name="Comma 2 2 3 2 2 2 3 4 2 2 3" xfId="32871"/>
    <cellStyle name="Comma 2 2 3 2 2 2 3 4 2 2 3 2" xfId="42366"/>
    <cellStyle name="Comma 2 2 3 2 2 2 3 4 2 3" xfId="12162"/>
    <cellStyle name="Comma 2 2 3 2 2 2 3 4 2 3 2" xfId="41237"/>
    <cellStyle name="Comma 2 2 3 2 2 2 3 4 2 3 2 2" xfId="47509"/>
    <cellStyle name="Comma 2 2 3 2 2 2 3 4 2 4" xfId="25647"/>
    <cellStyle name="Comma 2 2 3 2 2 2 3 4 3" xfId="11024"/>
    <cellStyle name="Comma 2 2 3 2 2 2 3 4 3 2" xfId="15355"/>
    <cellStyle name="Comma 2 2 3 2 2 2 3 4 3 2 2" xfId="46383"/>
    <cellStyle name="Comma 2 2 3 2 2 2 3 4 3 2 2 2" xfId="50689"/>
    <cellStyle name="Comma 2 2 3 2 2 2 3 4 3 3" xfId="28863"/>
    <cellStyle name="Comma 2 2 3 2 2 2 3 4 4" xfId="24518"/>
    <cellStyle name="Comma 2 2 3 2 2 2 3 4 4 2" xfId="37166"/>
    <cellStyle name="Comma 2 2 3 2 2 2 3 5" xfId="3688"/>
    <cellStyle name="Comma 2 2 3 2 2 2 3 5 2" xfId="14185"/>
    <cellStyle name="Comma 2 2 3 2 2 2 3 5 2 2" xfId="17306"/>
    <cellStyle name="Comma 2 2 3 2 2 2 3 5 2 2 2" xfId="49530"/>
    <cellStyle name="Comma 2 2 3 2 2 2 3 5 2 2 2 2" xfId="52633"/>
    <cellStyle name="Comma 2 2 3 2 2 2 3 5 2 3" xfId="30807"/>
    <cellStyle name="Comma 2 2 3 2 2 2 3 5 3" xfId="27691"/>
    <cellStyle name="Comma 2 2 3 2 2 2 3 5 3 2" xfId="39139"/>
    <cellStyle name="Comma 2 2 3 2 2 2 3 6" xfId="8877"/>
    <cellStyle name="Comma 2 2 3 2 2 2 3 6 2" xfId="35997"/>
    <cellStyle name="Comma 2 2 3 2 2 2 3 6 2 2" xfId="44278"/>
    <cellStyle name="Comma 2 2 3 2 2 2 3 7" xfId="22386"/>
    <cellStyle name="Comma 2 2 3 2 2 2 4" xfId="785"/>
    <cellStyle name="Comma 2 2 3 2 2 2 4 2" xfId="1055"/>
    <cellStyle name="Comma 2 2 3 2 2 2 4 2 2" xfId="2841"/>
    <cellStyle name="Comma 2 2 3 2 2 2 4 2 2 2" xfId="3091"/>
    <cellStyle name="Comma 2 2 3 2 2 2 4 2 2 2 2" xfId="8057"/>
    <cellStyle name="Comma 2 2 3 2 2 2 4 2 2 2 2 2" xfId="8306"/>
    <cellStyle name="Comma 2 2 3 2 2 2 4 2 2 2 2 2 2" xfId="21609"/>
    <cellStyle name="Comma 2 2 3 2 2 2 4 2 2 2 2 2 2 2" xfId="21858"/>
    <cellStyle name="Comma 2 2 3 2 2 2 4 2 2 2 2 2 2 2 2" xfId="56935"/>
    <cellStyle name="Comma 2 2 3 2 2 2 4 2 2 2 2 2 2 2 2 2" xfId="57184"/>
    <cellStyle name="Comma 2 2 3 2 2 2 4 2 2 2 2 2 2 3" xfId="35361"/>
    <cellStyle name="Comma 2 2 3 2 2 2 4 2 2 2 2 2 3" xfId="35112"/>
    <cellStyle name="Comma 2 2 3 2 2 2 4 2 2 2 2 2 3 2" xfId="43733"/>
    <cellStyle name="Comma 2 2 3 2 2 2 4 2 2 2 2 3" xfId="13531"/>
    <cellStyle name="Comma 2 2 3 2 2 2 4 2 2 2 2 3 2" xfId="43484"/>
    <cellStyle name="Comma 2 2 3 2 2 2 4 2 2 2 2 3 2 2" xfId="48877"/>
    <cellStyle name="Comma 2 2 3 2 2 2 4 2 2 2 2 4" xfId="27016"/>
    <cellStyle name="Comma 2 2 3 2 2 2 4 2 2 2 3" xfId="13282"/>
    <cellStyle name="Comma 2 2 3 2 2 2 4 2 2 2 3 2" xfId="16748"/>
    <cellStyle name="Comma 2 2 3 2 2 2 4 2 2 2 3 2 2" xfId="48628"/>
    <cellStyle name="Comma 2 2 3 2 2 2 4 2 2 2 3 2 2 2" xfId="52076"/>
    <cellStyle name="Comma 2 2 3 2 2 2 4 2 2 2 3 3" xfId="30250"/>
    <cellStyle name="Comma 2 2 3 2 2 2 4 2 2 2 4" xfId="26766"/>
    <cellStyle name="Comma 2 2 3 2 2 2 4 2 2 2 4 2" xfId="38560"/>
    <cellStyle name="Comma 2 2 3 2 2 2 4 2 2 3" xfId="5128"/>
    <cellStyle name="Comma 2 2 3 2 2 2 4 2 2 3 2" xfId="16499"/>
    <cellStyle name="Comma 2 2 3 2 2 2 4 2 2 3 2 2" xfId="18701"/>
    <cellStyle name="Comma 2 2 3 2 2 2 4 2 2 3 2 2 2" xfId="51827"/>
    <cellStyle name="Comma 2 2 3 2 2 2 4 2 2 3 2 2 2 2" xfId="54027"/>
    <cellStyle name="Comma 2 2 3 2 2 2 4 2 2 3 2 3" xfId="32202"/>
    <cellStyle name="Comma 2 2 3 2 2 2 4 2 2 3 3" xfId="30001"/>
    <cellStyle name="Comma 2 2 3 2 2 2 4 2 2 3 3 2" xfId="40565"/>
    <cellStyle name="Comma 2 2 3 2 2 2 4 2 2 4" xfId="10331"/>
    <cellStyle name="Comma 2 2 3 2 2 2 4 2 2 4 2" xfId="38311"/>
    <cellStyle name="Comma 2 2 3 2 2 2 4 2 2 4 2 2" xfId="45694"/>
    <cellStyle name="Comma 2 2 3 2 2 2 4 2 2 5" xfId="23817"/>
    <cellStyle name="Comma 2 2 3 2 2 2 4 2 3" xfId="4877"/>
    <cellStyle name="Comma 2 2 3 2 2 2 4 2 3 2" xfId="6365"/>
    <cellStyle name="Comma 2 2 3 2 2 2 4 2 3 2 2" xfId="18451"/>
    <cellStyle name="Comma 2 2 3 2 2 2 4 2 3 2 2 2" xfId="19922"/>
    <cellStyle name="Comma 2 2 3 2 2 2 4 2 3 2 2 2 2" xfId="53777"/>
    <cellStyle name="Comma 2 2 3 2 2 2 4 2 3 2 2 2 2 2" xfId="55248"/>
    <cellStyle name="Comma 2 2 3 2 2 2 4 2 3 2 2 3" xfId="33424"/>
    <cellStyle name="Comma 2 2 3 2 2 2 4 2 3 2 3" xfId="31952"/>
    <cellStyle name="Comma 2 2 3 2 2 2 4 2 3 2 3 2" xfId="41794"/>
    <cellStyle name="Comma 2 2 3 2 2 2 4 2 3 3" xfId="11591"/>
    <cellStyle name="Comma 2 2 3 2 2 2 4 2 3 3 2" xfId="40314"/>
    <cellStyle name="Comma 2 2 3 2 2 2 4 2 3 3 2 2" xfId="46940"/>
    <cellStyle name="Comma 2 2 3 2 2 2 4 2 3 4" xfId="25077"/>
    <cellStyle name="Comma 2 2 3 2 2 2 4 2 4" xfId="10080"/>
    <cellStyle name="Comma 2 2 3 2 2 2 4 2 4 2" xfId="14748"/>
    <cellStyle name="Comma 2 2 3 2 2 2 4 2 4 2 2" xfId="45444"/>
    <cellStyle name="Comma 2 2 3 2 2 2 4 2 4 2 2 2" xfId="50087"/>
    <cellStyle name="Comma 2 2 3 2 2 2 4 2 4 3" xfId="28260"/>
    <cellStyle name="Comma 2 2 3 2 2 2 4 2 5" xfId="23567"/>
    <cellStyle name="Comma 2 2 3 2 2 2 4 2 5 2" xfId="36556"/>
    <cellStyle name="Comma 2 2 3 2 2 2 4 3" xfId="1863"/>
    <cellStyle name="Comma 2 2 3 2 2 2 4 3 2" xfId="6101"/>
    <cellStyle name="Comma 2 2 3 2 2 2 4 3 2 2" xfId="7113"/>
    <cellStyle name="Comma 2 2 3 2 2 2 4 3 2 2 2" xfId="19663"/>
    <cellStyle name="Comma 2 2 3 2 2 2 4 3 2 2 2 2" xfId="20665"/>
    <cellStyle name="Comma 2 2 3 2 2 2 4 3 2 2 2 2 2" xfId="54989"/>
    <cellStyle name="Comma 2 2 3 2 2 2 4 3 2 2 2 2 2 2" xfId="55991"/>
    <cellStyle name="Comma 2 2 3 2 2 2 4 3 2 2 2 3" xfId="34168"/>
    <cellStyle name="Comma 2 2 3 2 2 2 4 3 2 2 3" xfId="33164"/>
    <cellStyle name="Comma 2 2 3 2 2 2 4 3 2 2 3 2" xfId="42540"/>
    <cellStyle name="Comma 2 2 3 2 2 2 4 3 2 3" xfId="12338"/>
    <cellStyle name="Comma 2 2 3 2 2 2 4 3 2 3 2" xfId="41534"/>
    <cellStyle name="Comma 2 2 3 2 2 2 4 3 2 3 2 2" xfId="47684"/>
    <cellStyle name="Comma 2 2 3 2 2 2 4 3 2 4" xfId="25822"/>
    <cellStyle name="Comma 2 2 3 2 2 2 4 3 3" xfId="11327"/>
    <cellStyle name="Comma 2 2 3 2 2 2 4 3 3 2" xfId="15534"/>
    <cellStyle name="Comma 2 2 3 2 2 2 4 3 3 2 2" xfId="46680"/>
    <cellStyle name="Comma 2 2 3 2 2 2 4 3 3 2 2 2" xfId="50866"/>
    <cellStyle name="Comma 2 2 3 2 2 2 4 3 3 3" xfId="29040"/>
    <cellStyle name="Comma 2 2 3 2 2 2 4 3 4" xfId="24817"/>
    <cellStyle name="Comma 2 2 3 2 2 2 4 3 4 2" xfId="37344"/>
    <cellStyle name="Comma 2 2 3 2 2 2 4 4" xfId="3877"/>
    <cellStyle name="Comma 2 2 3 2 2 2 4 4 2" xfId="14485"/>
    <cellStyle name="Comma 2 2 3 2 2 2 4 4 2 2" xfId="17488"/>
    <cellStyle name="Comma 2 2 3 2 2 2 4 4 2 2 2" xfId="49827"/>
    <cellStyle name="Comma 2 2 3 2 2 2 4 4 2 2 2 2" xfId="52815"/>
    <cellStyle name="Comma 2 2 3 2 2 2 4 4 2 3" xfId="30990"/>
    <cellStyle name="Comma 2 2 3 2 2 2 4 4 3" xfId="27996"/>
    <cellStyle name="Comma 2 2 3 2 2 2 4 4 3 2" xfId="39325"/>
    <cellStyle name="Comma 2 2 3 2 2 2 4 5" xfId="9071"/>
    <cellStyle name="Comma 2 2 3 2 2 2 4 5 2" xfId="36295"/>
    <cellStyle name="Comma 2 2 3 2 2 2 4 5 2 2" xfId="44467"/>
    <cellStyle name="Comma 2 2 3 2 2 2 4 6" xfId="22579"/>
    <cellStyle name="Comma 2 2 3 2 2 2 5" xfId="1572"/>
    <cellStyle name="Comma 2 2 3 2 2 2 5 2" xfId="2318"/>
    <cellStyle name="Comma 2 2 3 2 2 2 5 2 2" xfId="6844"/>
    <cellStyle name="Comma 2 2 3 2 2 2 5 2 2 2" xfId="7552"/>
    <cellStyle name="Comma 2 2 3 2 2 2 5 2 2 2 2" xfId="20397"/>
    <cellStyle name="Comma 2 2 3 2 2 2 5 2 2 2 2 2" xfId="21104"/>
    <cellStyle name="Comma 2 2 3 2 2 2 5 2 2 2 2 2 2" xfId="55723"/>
    <cellStyle name="Comma 2 2 3 2 2 2 5 2 2 2 2 2 2 2" xfId="56430"/>
    <cellStyle name="Comma 2 2 3 2 2 2 5 2 2 2 2 3" xfId="34607"/>
    <cellStyle name="Comma 2 2 3 2 2 2 5 2 2 2 3" xfId="33899"/>
    <cellStyle name="Comma 2 2 3 2 2 2 5 2 2 2 3 2" xfId="42979"/>
    <cellStyle name="Comma 2 2 3 2 2 2 5 2 2 3" xfId="12777"/>
    <cellStyle name="Comma 2 2 3 2 2 2 5 2 2 3 2" xfId="42272"/>
    <cellStyle name="Comma 2 2 3 2 2 2 5 2 2 3 2 2" xfId="48123"/>
    <cellStyle name="Comma 2 2 3 2 2 2 5 2 2 4" xfId="26261"/>
    <cellStyle name="Comma 2 2 3 2 2 2 5 2 3" xfId="12068"/>
    <cellStyle name="Comma 2 2 3 2 2 2 5 2 3 2" xfId="15982"/>
    <cellStyle name="Comma 2 2 3 2 2 2 5 2 3 2 2" xfId="47415"/>
    <cellStyle name="Comma 2 2 3 2 2 2 5 2 3 2 2 2" xfId="51314"/>
    <cellStyle name="Comma 2 2 3 2 2 2 5 2 3 3" xfId="29488"/>
    <cellStyle name="Comma 2 2 3 2 2 2 5 2 4" xfId="25553"/>
    <cellStyle name="Comma 2 2 3 2 2 2 5 2 4 2" xfId="37796"/>
    <cellStyle name="Comma 2 2 3 2 2 2 5 3" xfId="4347"/>
    <cellStyle name="Comma 2 2 3 2 2 2 5 3 2" xfId="15248"/>
    <cellStyle name="Comma 2 2 3 2 2 2 5 3 2 2" xfId="17940"/>
    <cellStyle name="Comma 2 2 3 2 2 2 5 3 2 2 2" xfId="50585"/>
    <cellStyle name="Comma 2 2 3 2 2 2 5 3 2 2 2 2" xfId="53267"/>
    <cellStyle name="Comma 2 2 3 2 2 2 5 3 2 3" xfId="31442"/>
    <cellStyle name="Comma 2 2 3 2 2 2 5 3 3" xfId="28759"/>
    <cellStyle name="Comma 2 2 3 2 2 2 5 3 3 2" xfId="39790"/>
    <cellStyle name="Comma 2 2 3 2 2 2 5 4" xfId="9546"/>
    <cellStyle name="Comma 2 2 3 2 2 2 5 4 2" xfId="37060"/>
    <cellStyle name="Comma 2 2 3 2 2 2 5 4 2 2" xfId="44928"/>
    <cellStyle name="Comma 2 2 3 2 2 2 5 5" xfId="23047"/>
    <cellStyle name="Comma 2 2 3 2 2 2 6" xfId="3573"/>
    <cellStyle name="Comma 2 2 3 2 2 2 6 2" xfId="5558"/>
    <cellStyle name="Comma 2 2 3 2 2 2 6 2 2" xfId="17209"/>
    <cellStyle name="Comma 2 2 3 2 2 2 6 2 2 2" xfId="19131"/>
    <cellStyle name="Comma 2 2 3 2 2 2 6 2 2 2 2" xfId="52536"/>
    <cellStyle name="Comma 2 2 3 2 2 2 6 2 2 2 2 2" xfId="54457"/>
    <cellStyle name="Comma 2 2 3 2 2 2 6 2 2 3" xfId="32632"/>
    <cellStyle name="Comma 2 2 3 2 2 2 6 2 3" xfId="30710"/>
    <cellStyle name="Comma 2 2 3 2 2 2 6 2 3 2" xfId="40995"/>
    <cellStyle name="Comma 2 2 3 2 2 2 6 3" xfId="10768"/>
    <cellStyle name="Comma 2 2 3 2 2 2 6 3 2" xfId="39030"/>
    <cellStyle name="Comma 2 2 3 2 2 2 6 3 2 2" xfId="46130"/>
    <cellStyle name="Comma 2 2 3 2 2 2 6 4" xfId="24256"/>
    <cellStyle name="Comma 2 2 3 2 2 2 7" xfId="8764"/>
    <cellStyle name="Comma 2 2 3 2 2 2 7 2" xfId="13943"/>
    <cellStyle name="Comma 2 2 3 2 2 2 7 2 2" xfId="44177"/>
    <cellStyle name="Comma 2 2 3 2 2 2 7 2 2 2" xfId="49289"/>
    <cellStyle name="Comma 2 2 3 2 2 2 7 3" xfId="27432"/>
    <cellStyle name="Comma 2 2 3 2 2 2 8" xfId="22281"/>
    <cellStyle name="Comma 2 2 3 2 2 2 8 2" xfId="35755"/>
    <cellStyle name="Comma 2 2 3 2 2 3" xfId="250"/>
    <cellStyle name="Comma 2 2 3 2 2 3 2" xfId="539"/>
    <cellStyle name="Comma 2 2 3 2 2 3 2 2" xfId="596"/>
    <cellStyle name="Comma 2 2 3 2 2 3 2 2 2" xfId="1344"/>
    <cellStyle name="Comma 2 2 3 2 2 3 2 2 2 2" xfId="1392"/>
    <cellStyle name="Comma 2 2 3 2 2 3 2 2 2 2 2" xfId="3362"/>
    <cellStyle name="Comma 2 2 3 2 2 3 2 2 2 2 2 2" xfId="3410"/>
    <cellStyle name="Comma 2 2 3 2 2 3 2 2 2 2 2 2 2" xfId="8577"/>
    <cellStyle name="Comma 2 2 3 2 2 3 2 2 2 2 2 2 2 2" xfId="8625"/>
    <cellStyle name="Comma 2 2 3 2 2 3 2 2 2 2 2 2 2 2 2" xfId="22129"/>
    <cellStyle name="Comma 2 2 3 2 2 3 2 2 2 2 2 2 2 2 2 2" xfId="22177"/>
    <cellStyle name="Comma 2 2 3 2 2 3 2 2 2 2 2 2 2 2 2 2 2" xfId="57455"/>
    <cellStyle name="Comma 2 2 3 2 2 3 2 2 2 2 2 2 2 2 2 2 2 2" xfId="57503"/>
    <cellStyle name="Comma 2 2 3 2 2 3 2 2 2 2 2 2 2 2 2 3" xfId="35680"/>
    <cellStyle name="Comma 2 2 3 2 2 3 2 2 2 2 2 2 2 2 3" xfId="35632"/>
    <cellStyle name="Comma 2 2 3 2 2 3 2 2 2 2 2 2 2 2 3 2" xfId="44052"/>
    <cellStyle name="Comma 2 2 3 2 2 3 2 2 2 2 2 2 2 3" xfId="13850"/>
    <cellStyle name="Comma 2 2 3 2 2 3 2 2 2 2 2 2 2 3 2" xfId="44004"/>
    <cellStyle name="Comma 2 2 3 2 2 3 2 2 2 2 2 2 2 3 2 2" xfId="49196"/>
    <cellStyle name="Comma 2 2 3 2 2 3 2 2 2 2 2 2 2 4" xfId="27335"/>
    <cellStyle name="Comma 2 2 3 2 2 3 2 2 2 2 2 2 3" xfId="13802"/>
    <cellStyle name="Comma 2 2 3 2 2 3 2 2 2 2 2 2 3 2" xfId="17067"/>
    <cellStyle name="Comma 2 2 3 2 2 3 2 2 2 2 2 2 3 2 2" xfId="49148"/>
    <cellStyle name="Comma 2 2 3 2 2 3 2 2 2 2 2 2 3 2 2 2" xfId="52395"/>
    <cellStyle name="Comma 2 2 3 2 2 3 2 2 2 2 2 2 3 3" xfId="30569"/>
    <cellStyle name="Comma 2 2 3 2 2 3 2 2 2 2 2 2 4" xfId="27287"/>
    <cellStyle name="Comma 2 2 3 2 2 3 2 2 2 2 2 2 4 2" xfId="38879"/>
    <cellStyle name="Comma 2 2 3 2 2 3 2 2 2 2 2 3" xfId="5447"/>
    <cellStyle name="Comma 2 2 3 2 2 3 2 2 2 2 2 3 2" xfId="17019"/>
    <cellStyle name="Comma 2 2 3 2 2 3 2 2 2 2 2 3 2 2" xfId="19020"/>
    <cellStyle name="Comma 2 2 3 2 2 3 2 2 2 2 2 3 2 2 2" xfId="52347"/>
    <cellStyle name="Comma 2 2 3 2 2 3 2 2 2 2 2 3 2 2 2 2" xfId="54346"/>
    <cellStyle name="Comma 2 2 3 2 2 3 2 2 2 2 2 3 2 3" xfId="32521"/>
    <cellStyle name="Comma 2 2 3 2 2 3 2 2 2 2 2 3 3" xfId="30521"/>
    <cellStyle name="Comma 2 2 3 2 2 3 2 2 2 2 2 3 3 2" xfId="40884"/>
    <cellStyle name="Comma 2 2 3 2 2 3 2 2 2 2 2 4" xfId="10650"/>
    <cellStyle name="Comma 2 2 3 2 2 3 2 2 2 2 2 4 2" xfId="38831"/>
    <cellStyle name="Comma 2 2 3 2 2 3 2 2 2 2 2 4 2 2" xfId="46013"/>
    <cellStyle name="Comma 2 2 3 2 2 3 2 2 2 2 2 5" xfId="24136"/>
    <cellStyle name="Comma 2 2 3 2 2 3 2 2 2 2 3" xfId="5399"/>
    <cellStyle name="Comma 2 2 3 2 2 3 2 2 2 2 3 2" xfId="6700"/>
    <cellStyle name="Comma 2 2 3 2 2 3 2 2 2 2 3 2 2" xfId="18972"/>
    <cellStyle name="Comma 2 2 3 2 2 3 2 2 2 2 3 2 2 2" xfId="20253"/>
    <cellStyle name="Comma 2 2 3 2 2 3 2 2 2 2 3 2 2 2 2" xfId="54298"/>
    <cellStyle name="Comma 2 2 3 2 2 3 2 2 2 2 3 2 2 2 2 2" xfId="55579"/>
    <cellStyle name="Comma 2 2 3 2 2 3 2 2 2 2 3 2 2 3" xfId="33755"/>
    <cellStyle name="Comma 2 2 3 2 2 3 2 2 2 2 3 2 3" xfId="32473"/>
    <cellStyle name="Comma 2 2 3 2 2 3 2 2 2 2 3 2 3 2" xfId="42128"/>
    <cellStyle name="Comma 2 2 3 2 2 3 2 2 2 2 3 3" xfId="11923"/>
    <cellStyle name="Comma 2 2 3 2 2 3 2 2 2 2 3 3 2" xfId="40836"/>
    <cellStyle name="Comma 2 2 3 2 2 3 2 2 2 2 3 3 2 2" xfId="47271"/>
    <cellStyle name="Comma 2 2 3 2 2 3 2 2 2 2 3 4" xfId="25408"/>
    <cellStyle name="Comma 2 2 3 2 2 3 2 2 2 2 4" xfId="10602"/>
    <cellStyle name="Comma 2 2 3 2 2 3 2 2 2 2 4 2" xfId="15081"/>
    <cellStyle name="Comma 2 2 3 2 2 3 2 2 2 2 4 2 2" xfId="45965"/>
    <cellStyle name="Comma 2 2 3 2 2 3 2 2 2 2 4 2 2 2" xfId="50420"/>
    <cellStyle name="Comma 2 2 3 2 2 3 2 2 2 2 4 3" xfId="28594"/>
    <cellStyle name="Comma 2 2 3 2 2 3 2 2 2 2 5" xfId="24088"/>
    <cellStyle name="Comma 2 2 3 2 2 3 2 2 2 2 5 2" xfId="36889"/>
    <cellStyle name="Comma 2 2 3 2 2 3 2 2 2 3" xfId="2199"/>
    <cellStyle name="Comma 2 2 3 2 2 3 2 2 2 3 2" xfId="6652"/>
    <cellStyle name="Comma 2 2 3 2 2 3 2 2 2 3 2 2" xfId="7433"/>
    <cellStyle name="Comma 2 2 3 2 2 3 2 2 2 3 2 2 2" xfId="20205"/>
    <cellStyle name="Comma 2 2 3 2 2 3 2 2 2 3 2 2 2 2" xfId="20985"/>
    <cellStyle name="Comma 2 2 3 2 2 3 2 2 2 3 2 2 2 2 2" xfId="55531"/>
    <cellStyle name="Comma 2 2 3 2 2 3 2 2 2 3 2 2 2 2 2 2" xfId="56311"/>
    <cellStyle name="Comma 2 2 3 2 2 3 2 2 2 3 2 2 2 3" xfId="34488"/>
    <cellStyle name="Comma 2 2 3 2 2 3 2 2 2 3 2 2 3" xfId="33707"/>
    <cellStyle name="Comma 2 2 3 2 2 3 2 2 2 3 2 2 3 2" xfId="42860"/>
    <cellStyle name="Comma 2 2 3 2 2 3 2 2 2 3 2 3" xfId="12658"/>
    <cellStyle name="Comma 2 2 3 2 2 3 2 2 2 3 2 3 2" xfId="42080"/>
    <cellStyle name="Comma 2 2 3 2 2 3 2 2 2 3 2 3 2 2" xfId="48004"/>
    <cellStyle name="Comma 2 2 3 2 2 3 2 2 2 3 2 4" xfId="26142"/>
    <cellStyle name="Comma 2 2 3 2 2 3 2 2 2 3 3" xfId="11875"/>
    <cellStyle name="Comma 2 2 3 2 2 3 2 2 2 3 3 2" xfId="15863"/>
    <cellStyle name="Comma 2 2 3 2 2 3 2 2 2 3 3 2 2" xfId="47223"/>
    <cellStyle name="Comma 2 2 3 2 2 3 2 2 2 3 3 2 2 2" xfId="51195"/>
    <cellStyle name="Comma 2 2 3 2 2 3 2 2 2 3 3 3" xfId="29369"/>
    <cellStyle name="Comma 2 2 3 2 2 3 2 2 2 3 4" xfId="25360"/>
    <cellStyle name="Comma 2 2 3 2 2 3 2 2 2 3 4 2" xfId="37677"/>
    <cellStyle name="Comma 2 2 3 2 2 3 2 2 2 4" xfId="4215"/>
    <cellStyle name="Comma 2 2 3 2 2 3 2 2 2 4 2" xfId="15033"/>
    <cellStyle name="Comma 2 2 3 2 2 3 2 2 2 4 2 2" xfId="17808"/>
    <cellStyle name="Comma 2 2 3 2 2 3 2 2 2 4 2 2 2" xfId="50372"/>
    <cellStyle name="Comma 2 2 3 2 2 3 2 2 2 4 2 2 2 2" xfId="53135"/>
    <cellStyle name="Comma 2 2 3 2 2 3 2 2 2 4 2 3" xfId="31310"/>
    <cellStyle name="Comma 2 2 3 2 2 3 2 2 2 4 3" xfId="28546"/>
    <cellStyle name="Comma 2 2 3 2 2 3 2 2 2 4 3 2" xfId="39658"/>
    <cellStyle name="Comma 2 2 3 2 2 3 2 2 2 5" xfId="9406"/>
    <cellStyle name="Comma 2 2 3 2 2 3 2 2 2 5 2" xfId="36841"/>
    <cellStyle name="Comma 2 2 3 2 2 3 2 2 2 5 2 2" xfId="44788"/>
    <cellStyle name="Comma 2 2 3 2 2 3 2 2 2 6" xfId="22902"/>
    <cellStyle name="Comma 2 2 3 2 2 3 2 2 3" xfId="2151"/>
    <cellStyle name="Comma 2 2 3 2 2 3 2 2 3 2" xfId="2686"/>
    <cellStyle name="Comma 2 2 3 2 2 3 2 2 3 2 2" xfId="7385"/>
    <cellStyle name="Comma 2 2 3 2 2 3 2 2 3 2 2 2" xfId="7905"/>
    <cellStyle name="Comma 2 2 3 2 2 3 2 2 3 2 2 2 2" xfId="20937"/>
    <cellStyle name="Comma 2 2 3 2 2 3 2 2 3 2 2 2 2 2" xfId="21457"/>
    <cellStyle name="Comma 2 2 3 2 2 3 2 2 3 2 2 2 2 2 2" xfId="56263"/>
    <cellStyle name="Comma 2 2 3 2 2 3 2 2 3 2 2 2 2 2 2 2" xfId="56783"/>
    <cellStyle name="Comma 2 2 3 2 2 3 2 2 3 2 2 2 2 3" xfId="34960"/>
    <cellStyle name="Comma 2 2 3 2 2 3 2 2 3 2 2 2 3" xfId="34440"/>
    <cellStyle name="Comma 2 2 3 2 2 3 2 2 3 2 2 2 3 2" xfId="43332"/>
    <cellStyle name="Comma 2 2 3 2 2 3 2 2 3 2 2 3" xfId="13130"/>
    <cellStyle name="Comma 2 2 3 2 2 3 2 2 3 2 2 3 2" xfId="42812"/>
    <cellStyle name="Comma 2 2 3 2 2 3 2 2 3 2 2 3 2 2" xfId="48476"/>
    <cellStyle name="Comma 2 2 3 2 2 3 2 2 3 2 2 4" xfId="26614"/>
    <cellStyle name="Comma 2 2 3 2 2 3 2 2 3 2 3" xfId="12610"/>
    <cellStyle name="Comma 2 2 3 2 2 3 2 2 3 2 3 2" xfId="16345"/>
    <cellStyle name="Comma 2 2 3 2 2 3 2 2 3 2 3 2 2" xfId="47956"/>
    <cellStyle name="Comma 2 2 3 2 2 3 2 2 3 2 3 2 2 2" xfId="51675"/>
    <cellStyle name="Comma 2 2 3 2 2 3 2 2 3 2 3 3" xfId="29849"/>
    <cellStyle name="Comma 2 2 3 2 2 3 2 2 3 2 4" xfId="26094"/>
    <cellStyle name="Comma 2 2 3 2 2 3 2 2 3 2 4 2" xfId="38159"/>
    <cellStyle name="Comma 2 2 3 2 2 3 2 2 3 3" xfId="4722"/>
    <cellStyle name="Comma 2 2 3 2 2 3 2 2 3 3 2" xfId="15815"/>
    <cellStyle name="Comma 2 2 3 2 2 3 2 2 3 3 2 2" xfId="18299"/>
    <cellStyle name="Comma 2 2 3 2 2 3 2 2 3 3 2 2 2" xfId="51147"/>
    <cellStyle name="Comma 2 2 3 2 2 3 2 2 3 3 2 2 2 2" xfId="53625"/>
    <cellStyle name="Comma 2 2 3 2 2 3 2 2 3 3 2 3" xfId="31800"/>
    <cellStyle name="Comma 2 2 3 2 2 3 2 2 3 3 3" xfId="29321"/>
    <cellStyle name="Comma 2 2 3 2 2 3 2 2 3 3 3 2" xfId="40160"/>
    <cellStyle name="Comma 2 2 3 2 2 3 2 2 3 4" xfId="9925"/>
    <cellStyle name="Comma 2 2 3 2 2 3 2 2 3 4 2" xfId="37629"/>
    <cellStyle name="Comma 2 2 3 2 2 3 2 2 3 4 2 2" xfId="45292"/>
    <cellStyle name="Comma 2 2 3 2 2 3 2 2 3 5" xfId="23415"/>
    <cellStyle name="Comma 2 2 3 2 2 3 2 2 4" xfId="4167"/>
    <cellStyle name="Comma 2 2 3 2 2 3 2 2 4 2" xfId="5927"/>
    <cellStyle name="Comma 2 2 3 2 2 3 2 2 4 2 2" xfId="17760"/>
    <cellStyle name="Comma 2 2 3 2 2 3 2 2 4 2 2 2" xfId="19494"/>
    <cellStyle name="Comma 2 2 3 2 2 3 2 2 4 2 2 2 2" xfId="53087"/>
    <cellStyle name="Comma 2 2 3 2 2 3 2 2 4 2 2 2 2 2" xfId="54820"/>
    <cellStyle name="Comma 2 2 3 2 2 3 2 2 4 2 2 3" xfId="32995"/>
    <cellStyle name="Comma 2 2 3 2 2 3 2 2 4 2 3" xfId="31262"/>
    <cellStyle name="Comma 2 2 3 2 2 3 2 2 4 2 3 2" xfId="41361"/>
    <cellStyle name="Comma 2 2 3 2 2 3 2 2 4 3" xfId="11152"/>
    <cellStyle name="Comma 2 2 3 2 2 3 2 2 4 3 2" xfId="39610"/>
    <cellStyle name="Comma 2 2 3 2 2 3 2 2 4 3 2 2" xfId="46510"/>
    <cellStyle name="Comma 2 2 3 2 2 3 2 2 4 4" xfId="24645"/>
    <cellStyle name="Comma 2 2 3 2 2 3 2 2 5" xfId="9358"/>
    <cellStyle name="Comma 2 2 3 2 2 3 2 2 5 2" xfId="14311"/>
    <cellStyle name="Comma 2 2 3 2 2 3 2 2 5 2 2" xfId="44740"/>
    <cellStyle name="Comma 2 2 3 2 2 3 2 2 5 2 2 2" xfId="49656"/>
    <cellStyle name="Comma 2 2 3 2 2 3 2 2 5 3" xfId="27821"/>
    <cellStyle name="Comma 2 2 3 2 2 3 2 2 6" xfId="22854"/>
    <cellStyle name="Comma 2 2 3 2 2 3 2 2 6 2" xfId="36123"/>
    <cellStyle name="Comma 2 2 3 2 2 3 2 3" xfId="924"/>
    <cellStyle name="Comma 2 2 3 2 2 3 2 3 2" xfId="2633"/>
    <cellStyle name="Comma 2 2 3 2 2 3 2 3 2 2" xfId="2962"/>
    <cellStyle name="Comma 2 2 3 2 2 3 2 3 2 2 2" xfId="7853"/>
    <cellStyle name="Comma 2 2 3 2 2 3 2 3 2 2 2 2" xfId="8177"/>
    <cellStyle name="Comma 2 2 3 2 2 3 2 3 2 2 2 2 2" xfId="21405"/>
    <cellStyle name="Comma 2 2 3 2 2 3 2 3 2 2 2 2 2 2" xfId="21729"/>
    <cellStyle name="Comma 2 2 3 2 2 3 2 3 2 2 2 2 2 2 2" xfId="56731"/>
    <cellStyle name="Comma 2 2 3 2 2 3 2 3 2 2 2 2 2 2 2 2" xfId="57055"/>
    <cellStyle name="Comma 2 2 3 2 2 3 2 3 2 2 2 2 2 3" xfId="35232"/>
    <cellStyle name="Comma 2 2 3 2 2 3 2 3 2 2 2 2 3" xfId="34908"/>
    <cellStyle name="Comma 2 2 3 2 2 3 2 3 2 2 2 2 3 2" xfId="43604"/>
    <cellStyle name="Comma 2 2 3 2 2 3 2 3 2 2 2 3" xfId="13402"/>
    <cellStyle name="Comma 2 2 3 2 2 3 2 3 2 2 2 3 2" xfId="43280"/>
    <cellStyle name="Comma 2 2 3 2 2 3 2 3 2 2 2 3 2 2" xfId="48748"/>
    <cellStyle name="Comma 2 2 3 2 2 3 2 3 2 2 2 4" xfId="26887"/>
    <cellStyle name="Comma 2 2 3 2 2 3 2 3 2 2 3" xfId="13078"/>
    <cellStyle name="Comma 2 2 3 2 2 3 2 3 2 2 3 2" xfId="16619"/>
    <cellStyle name="Comma 2 2 3 2 2 3 2 3 2 2 3 2 2" xfId="48424"/>
    <cellStyle name="Comma 2 2 3 2 2 3 2 3 2 2 3 2 2 2" xfId="51947"/>
    <cellStyle name="Comma 2 2 3 2 2 3 2 3 2 2 3 3" xfId="30121"/>
    <cellStyle name="Comma 2 2 3 2 2 3 2 3 2 2 4" xfId="26562"/>
    <cellStyle name="Comma 2 2 3 2 2 3 2 3 2 2 4 2" xfId="38431"/>
    <cellStyle name="Comma 2 2 3 2 2 3 2 3 2 3" xfId="4998"/>
    <cellStyle name="Comma 2 2 3 2 2 3 2 3 2 3 2" xfId="16292"/>
    <cellStyle name="Comma 2 2 3 2 2 3 2 3 2 3 2 2" xfId="18571"/>
    <cellStyle name="Comma 2 2 3 2 2 3 2 3 2 3 2 2 2" xfId="51622"/>
    <cellStyle name="Comma 2 2 3 2 2 3 2 3 2 3 2 2 2 2" xfId="53897"/>
    <cellStyle name="Comma 2 2 3 2 2 3 2 3 2 3 2 3" xfId="32072"/>
    <cellStyle name="Comma 2 2 3 2 2 3 2 3 2 3 3" xfId="29796"/>
    <cellStyle name="Comma 2 2 3 2 2 3 2 3 2 3 3 2" xfId="40435"/>
    <cellStyle name="Comma 2 2 3 2 2 3 2 3 2 4" xfId="10201"/>
    <cellStyle name="Comma 2 2 3 2 2 3 2 3 2 4 2" xfId="38106"/>
    <cellStyle name="Comma 2 2 3 2 2 3 2 3 2 4 2 2" xfId="45564"/>
    <cellStyle name="Comma 2 2 3 2 2 3 2 3 2 5" xfId="23687"/>
    <cellStyle name="Comma 2 2 3 2 2 3 2 3 3" xfId="4668"/>
    <cellStyle name="Comma 2 2 3 2 2 3 2 3 3 2" xfId="6235"/>
    <cellStyle name="Comma 2 2 3 2 2 3 2 3 3 2 2" xfId="18247"/>
    <cellStyle name="Comma 2 2 3 2 2 3 2 3 3 2 2 2" xfId="19792"/>
    <cellStyle name="Comma 2 2 3 2 2 3 2 3 3 2 2 2 2" xfId="53573"/>
    <cellStyle name="Comma 2 2 3 2 2 3 2 3 3 2 2 2 2 2" xfId="55118"/>
    <cellStyle name="Comma 2 2 3 2 2 3 2 3 3 2 2 3" xfId="33294"/>
    <cellStyle name="Comma 2 2 3 2 2 3 2 3 3 2 3" xfId="31748"/>
    <cellStyle name="Comma 2 2 3 2 2 3 2 3 3 2 3 2" xfId="41664"/>
    <cellStyle name="Comma 2 2 3 2 2 3 2 3 3 3" xfId="11460"/>
    <cellStyle name="Comma 2 2 3 2 2 3 2 3 3 3 2" xfId="40107"/>
    <cellStyle name="Comma 2 2 3 2 2 3 2 3 3 3 2 2" xfId="46809"/>
    <cellStyle name="Comma 2 2 3 2 2 3 2 3 3 4" xfId="24946"/>
    <cellStyle name="Comma 2 2 3 2 2 3 2 3 4" xfId="9871"/>
    <cellStyle name="Comma 2 2 3 2 2 3 2 3 4 2" xfId="14618"/>
    <cellStyle name="Comma 2 2 3 2 2 3 2 3 4 2 2" xfId="45240"/>
    <cellStyle name="Comma 2 2 3 2 2 3 2 3 4 2 2 2" xfId="49957"/>
    <cellStyle name="Comma 2 2 3 2 2 3 2 3 4 3" xfId="28129"/>
    <cellStyle name="Comma 2 2 3 2 2 3 2 3 5" xfId="23363"/>
    <cellStyle name="Comma 2 2 3 2 2 3 2 3 5 2" xfId="36426"/>
    <cellStyle name="Comma 2 2 3 2 2 3 2 4" xfId="1720"/>
    <cellStyle name="Comma 2 2 3 2 2 3 2 4 2" xfId="5872"/>
    <cellStyle name="Comma 2 2 3 2 2 3 2 4 2 2" xfId="6973"/>
    <cellStyle name="Comma 2 2 3 2 2 3 2 4 2 2 2" xfId="19440"/>
    <cellStyle name="Comma 2 2 3 2 2 3 2 4 2 2 2 2" xfId="20526"/>
    <cellStyle name="Comma 2 2 3 2 2 3 2 4 2 2 2 2 2" xfId="54766"/>
    <cellStyle name="Comma 2 2 3 2 2 3 2 4 2 2 2 2 2 2" xfId="55852"/>
    <cellStyle name="Comma 2 2 3 2 2 3 2 4 2 2 2 3" xfId="34028"/>
    <cellStyle name="Comma 2 2 3 2 2 3 2 4 2 2 3" xfId="32941"/>
    <cellStyle name="Comma 2 2 3 2 2 3 2 4 2 2 3 2" xfId="42401"/>
    <cellStyle name="Comma 2 2 3 2 2 3 2 4 2 3" xfId="12197"/>
    <cellStyle name="Comma 2 2 3 2 2 3 2 4 2 3 2" xfId="41307"/>
    <cellStyle name="Comma 2 2 3 2 2 3 2 4 2 3 2 2" xfId="47544"/>
    <cellStyle name="Comma 2 2 3 2 2 3 2 4 2 4" xfId="25682"/>
    <cellStyle name="Comma 2 2 3 2 2 3 2 4 3" xfId="11096"/>
    <cellStyle name="Comma 2 2 3 2 2 3 2 4 3 2" xfId="15392"/>
    <cellStyle name="Comma 2 2 3 2 2 3 2 4 3 2 2" xfId="46455"/>
    <cellStyle name="Comma 2 2 3 2 2 3 2 4 3 2 2 2" xfId="50725"/>
    <cellStyle name="Comma 2 2 3 2 2 3 2 4 3 3" xfId="28899"/>
    <cellStyle name="Comma 2 2 3 2 2 3 2 4 4" xfId="24590"/>
    <cellStyle name="Comma 2 2 3 2 2 3 2 4 4 2" xfId="37202"/>
    <cellStyle name="Comma 2 2 3 2 2 3 2 5" xfId="3725"/>
    <cellStyle name="Comma 2 2 3 2 2 3 2 5 2" xfId="14257"/>
    <cellStyle name="Comma 2 2 3 2 2 3 2 5 2 2" xfId="17341"/>
    <cellStyle name="Comma 2 2 3 2 2 3 2 5 2 2 2" xfId="49602"/>
    <cellStyle name="Comma 2 2 3 2 2 3 2 5 2 2 2 2" xfId="52668"/>
    <cellStyle name="Comma 2 2 3 2 2 3 2 5 2 3" xfId="30842"/>
    <cellStyle name="Comma 2 2 3 2 2 3 2 5 3" xfId="27764"/>
    <cellStyle name="Comma 2 2 3 2 2 3 2 5 3 2" xfId="39176"/>
    <cellStyle name="Comma 2 2 3 2 2 3 2 6" xfId="8915"/>
    <cellStyle name="Comma 2 2 3 2 2 3 2 6 2" xfId="36069"/>
    <cellStyle name="Comma 2 2 3 2 2 3 2 6 2 2" xfId="44314"/>
    <cellStyle name="Comma 2 2 3 2 2 3 2 7" xfId="22422"/>
    <cellStyle name="Comma 2 2 3 2 2 3 3" xfId="867"/>
    <cellStyle name="Comma 2 2 3 2 2 3 3 2" xfId="1116"/>
    <cellStyle name="Comma 2 2 3 2 2 3 3 2 2" xfId="2914"/>
    <cellStyle name="Comma 2 2 3 2 2 3 3 2 2 2" xfId="3141"/>
    <cellStyle name="Comma 2 2 3 2 2 3 3 2 2 2 2" xfId="8129"/>
    <cellStyle name="Comma 2 2 3 2 2 3 3 2 2 2 2 2" xfId="8356"/>
    <cellStyle name="Comma 2 2 3 2 2 3 3 2 2 2 2 2 2" xfId="21681"/>
    <cellStyle name="Comma 2 2 3 2 2 3 3 2 2 2 2 2 2 2" xfId="21908"/>
    <cellStyle name="Comma 2 2 3 2 2 3 3 2 2 2 2 2 2 2 2" xfId="57007"/>
    <cellStyle name="Comma 2 2 3 2 2 3 3 2 2 2 2 2 2 2 2 2" xfId="57234"/>
    <cellStyle name="Comma 2 2 3 2 2 3 3 2 2 2 2 2 2 3" xfId="35411"/>
    <cellStyle name="Comma 2 2 3 2 2 3 3 2 2 2 2 2 3" xfId="35184"/>
    <cellStyle name="Comma 2 2 3 2 2 3 3 2 2 2 2 2 3 2" xfId="43783"/>
    <cellStyle name="Comma 2 2 3 2 2 3 3 2 2 2 2 3" xfId="13581"/>
    <cellStyle name="Comma 2 2 3 2 2 3 3 2 2 2 2 3 2" xfId="43556"/>
    <cellStyle name="Comma 2 2 3 2 2 3 3 2 2 2 2 3 2 2" xfId="48927"/>
    <cellStyle name="Comma 2 2 3 2 2 3 3 2 2 2 2 4" xfId="27066"/>
    <cellStyle name="Comma 2 2 3 2 2 3 3 2 2 2 3" xfId="13354"/>
    <cellStyle name="Comma 2 2 3 2 2 3 3 2 2 2 3 2" xfId="16798"/>
    <cellStyle name="Comma 2 2 3 2 2 3 3 2 2 2 3 2 2" xfId="48700"/>
    <cellStyle name="Comma 2 2 3 2 2 3 3 2 2 2 3 2 2 2" xfId="52126"/>
    <cellStyle name="Comma 2 2 3 2 2 3 3 2 2 2 3 3" xfId="30300"/>
    <cellStyle name="Comma 2 2 3 2 2 3 3 2 2 2 4" xfId="26839"/>
    <cellStyle name="Comma 2 2 3 2 2 3 3 2 2 2 4 2" xfId="38610"/>
    <cellStyle name="Comma 2 2 3 2 2 3 3 2 2 3" xfId="5178"/>
    <cellStyle name="Comma 2 2 3 2 2 3 3 2 2 3 2" xfId="16571"/>
    <cellStyle name="Comma 2 2 3 2 2 3 3 2 2 3 2 2" xfId="18751"/>
    <cellStyle name="Comma 2 2 3 2 2 3 3 2 2 3 2 2 2" xfId="51899"/>
    <cellStyle name="Comma 2 2 3 2 2 3 3 2 2 3 2 2 2 2" xfId="54077"/>
    <cellStyle name="Comma 2 2 3 2 2 3 3 2 2 3 2 3" xfId="32252"/>
    <cellStyle name="Comma 2 2 3 2 2 3 3 2 2 3 3" xfId="30073"/>
    <cellStyle name="Comma 2 2 3 2 2 3 3 2 2 3 3 2" xfId="40615"/>
    <cellStyle name="Comma 2 2 3 2 2 3 3 2 2 4" xfId="10381"/>
    <cellStyle name="Comma 2 2 3 2 2 3 3 2 2 4 2" xfId="38383"/>
    <cellStyle name="Comma 2 2 3 2 2 3 3 2 2 4 2 2" xfId="45744"/>
    <cellStyle name="Comma 2 2 3 2 2 3 3 2 2 5" xfId="23867"/>
    <cellStyle name="Comma 2 2 3 2 2 3 3 2 3" xfId="4950"/>
    <cellStyle name="Comma 2 2 3 2 2 3 3 2 3 2" xfId="6424"/>
    <cellStyle name="Comma 2 2 3 2 2 3 3 2 3 2 2" xfId="18523"/>
    <cellStyle name="Comma 2 2 3 2 2 3 3 2 3 2 2 2" xfId="19979"/>
    <cellStyle name="Comma 2 2 3 2 2 3 3 2 3 2 2 2 2" xfId="53849"/>
    <cellStyle name="Comma 2 2 3 2 2 3 3 2 3 2 2 2 2 2" xfId="55305"/>
    <cellStyle name="Comma 2 2 3 2 2 3 3 2 3 2 2 3" xfId="33481"/>
    <cellStyle name="Comma 2 2 3 2 2 3 3 2 3 2 3" xfId="32024"/>
    <cellStyle name="Comma 2 2 3 2 2 3 3 2 3 2 3 2" xfId="41852"/>
    <cellStyle name="Comma 2 2 3 2 2 3 3 2 3 3" xfId="11648"/>
    <cellStyle name="Comma 2 2 3 2 2 3 3 2 3 3 2" xfId="40387"/>
    <cellStyle name="Comma 2 2 3 2 2 3 3 2 3 3 2 2" xfId="46997"/>
    <cellStyle name="Comma 2 2 3 2 2 3 3 2 3 4" xfId="25134"/>
    <cellStyle name="Comma 2 2 3 2 2 3 3 2 4" xfId="10153"/>
    <cellStyle name="Comma 2 2 3 2 2 3 3 2 4 2" xfId="14807"/>
    <cellStyle name="Comma 2 2 3 2 2 3 3 2 4 2 2" xfId="45516"/>
    <cellStyle name="Comma 2 2 3 2 2 3 3 2 4 2 2 2" xfId="50146"/>
    <cellStyle name="Comma 2 2 3 2 2 3 3 2 4 3" xfId="28319"/>
    <cellStyle name="Comma 2 2 3 2 2 3 3 2 5" xfId="23639"/>
    <cellStyle name="Comma 2 2 3 2 2 3 3 2 5 2" xfId="36615"/>
    <cellStyle name="Comma 2 2 3 2 2 3 3 3" xfId="1924"/>
    <cellStyle name="Comma 2 2 3 2 2 3 3 3 2" xfId="6181"/>
    <cellStyle name="Comma 2 2 3 2 2 3 3 3 2 2" xfId="7163"/>
    <cellStyle name="Comma 2 2 3 2 2 3 3 3 2 2 2" xfId="19740"/>
    <cellStyle name="Comma 2 2 3 2 2 3 3 3 2 2 2 2" xfId="20715"/>
    <cellStyle name="Comma 2 2 3 2 2 3 3 3 2 2 2 2 2" xfId="55066"/>
    <cellStyle name="Comma 2 2 3 2 2 3 3 3 2 2 2 2 2 2" xfId="56041"/>
    <cellStyle name="Comma 2 2 3 2 2 3 3 3 2 2 2 3" xfId="34218"/>
    <cellStyle name="Comma 2 2 3 2 2 3 3 3 2 2 3" xfId="33242"/>
    <cellStyle name="Comma 2 2 3 2 2 3 3 3 2 2 3 2" xfId="42590"/>
    <cellStyle name="Comma 2 2 3 2 2 3 3 3 2 3" xfId="12388"/>
    <cellStyle name="Comma 2 2 3 2 2 3 3 3 2 3 2" xfId="41611"/>
    <cellStyle name="Comma 2 2 3 2 2 3 3 3 2 3 2 2" xfId="47734"/>
    <cellStyle name="Comma 2 2 3 2 2 3 3 3 2 4" xfId="25872"/>
    <cellStyle name="Comma 2 2 3 2 2 3 3 3 3" xfId="11406"/>
    <cellStyle name="Comma 2 2 3 2 2 3 3 3 3 2" xfId="15589"/>
    <cellStyle name="Comma 2 2 3 2 2 3 3 3 3 2 2" xfId="46757"/>
    <cellStyle name="Comma 2 2 3 2 2 3 3 3 3 2 2 2" xfId="50921"/>
    <cellStyle name="Comma 2 2 3 2 2 3 3 3 3 3" xfId="29095"/>
    <cellStyle name="Comma 2 2 3 2 2 3 3 3 4" xfId="24894"/>
    <cellStyle name="Comma 2 2 3 2 2 3 3 3 4 2" xfId="37402"/>
    <cellStyle name="Comma 2 2 3 2 2 3 3 4" xfId="3938"/>
    <cellStyle name="Comma 2 2 3 2 2 3 3 4 2" xfId="14564"/>
    <cellStyle name="Comma 2 2 3 2 2 3 3 4 2 2" xfId="17538"/>
    <cellStyle name="Comma 2 2 3 2 2 3 3 4 2 2 2" xfId="49905"/>
    <cellStyle name="Comma 2 2 3 2 2 3 3 4 2 2 2 2" xfId="52865"/>
    <cellStyle name="Comma 2 2 3 2 2 3 3 4 2 3" xfId="31040"/>
    <cellStyle name="Comma 2 2 3 2 2 3 3 4 3" xfId="28075"/>
    <cellStyle name="Comma 2 2 3 2 2 3 3 4 3 2" xfId="39382"/>
    <cellStyle name="Comma 2 2 3 2 2 3 3 5" xfId="9130"/>
    <cellStyle name="Comma 2 2 3 2 2 3 3 5 2" xfId="36374"/>
    <cellStyle name="Comma 2 2 3 2 2 3 3 5 2 2" xfId="44518"/>
    <cellStyle name="Comma 2 2 3 2 2 3 3 6" xfId="22632"/>
    <cellStyle name="Comma 2 2 3 2 2 3 4" xfId="1662"/>
    <cellStyle name="Comma 2 2 3 2 2 3 4 2" xfId="2372"/>
    <cellStyle name="Comma 2 2 3 2 2 3 4 2 2" xfId="6924"/>
    <cellStyle name="Comma 2 2 3 2 2 3 4 2 2 2" xfId="7605"/>
    <cellStyle name="Comma 2 2 3 2 2 3 4 2 2 2 2" xfId="20477"/>
    <cellStyle name="Comma 2 2 3 2 2 3 4 2 2 2 2 2" xfId="21157"/>
    <cellStyle name="Comma 2 2 3 2 2 3 4 2 2 2 2 2 2" xfId="55803"/>
    <cellStyle name="Comma 2 2 3 2 2 3 4 2 2 2 2 2 2 2" xfId="56483"/>
    <cellStyle name="Comma 2 2 3 2 2 3 4 2 2 2 2 3" xfId="34660"/>
    <cellStyle name="Comma 2 2 3 2 2 3 4 2 2 2 3" xfId="33979"/>
    <cellStyle name="Comma 2 2 3 2 2 3 4 2 2 2 3 2" xfId="43032"/>
    <cellStyle name="Comma 2 2 3 2 2 3 4 2 2 3" xfId="12830"/>
    <cellStyle name="Comma 2 2 3 2 2 3 4 2 2 3 2" xfId="42352"/>
    <cellStyle name="Comma 2 2 3 2 2 3 4 2 2 3 2 2" xfId="48176"/>
    <cellStyle name="Comma 2 2 3 2 2 3 4 2 2 4" xfId="26314"/>
    <cellStyle name="Comma 2 2 3 2 2 3 4 2 3" xfId="12148"/>
    <cellStyle name="Comma 2 2 3 2 2 3 4 2 3 2" xfId="16035"/>
    <cellStyle name="Comma 2 2 3 2 2 3 4 2 3 2 2" xfId="47495"/>
    <cellStyle name="Comma 2 2 3 2 2 3 4 2 3 2 2 2" xfId="51367"/>
    <cellStyle name="Comma 2 2 3 2 2 3 4 2 3 3" xfId="29541"/>
    <cellStyle name="Comma 2 2 3 2 2 3 4 2 4" xfId="25633"/>
    <cellStyle name="Comma 2 2 3 2 2 3 4 2 4 2" xfId="37850"/>
    <cellStyle name="Comma 2 2 3 2 2 3 4 3" xfId="4406"/>
    <cellStyle name="Comma 2 2 3 2 2 3 4 3 2" xfId="15335"/>
    <cellStyle name="Comma 2 2 3 2 2 3 4 3 2 2" xfId="17997"/>
    <cellStyle name="Comma 2 2 3 2 2 3 4 3 2 2 2" xfId="50670"/>
    <cellStyle name="Comma 2 2 3 2 2 3 4 3 2 2 2 2" xfId="53323"/>
    <cellStyle name="Comma 2 2 3 2 2 3 4 3 2 3" xfId="31498"/>
    <cellStyle name="Comma 2 2 3 2 2 3 4 3 3" xfId="28844"/>
    <cellStyle name="Comma 2 2 3 2 2 3 4 3 3 2" xfId="39848"/>
    <cellStyle name="Comma 2 2 3 2 2 3 4 4" xfId="9609"/>
    <cellStyle name="Comma 2 2 3 2 2 3 4 4 2" xfId="37146"/>
    <cellStyle name="Comma 2 2 3 2 2 3 4 4 2 2" xfId="44989"/>
    <cellStyle name="Comma 2 2 3 2 2 3 4 5" xfId="23110"/>
    <cellStyle name="Comma 2 2 3 2 2 3 5" xfId="3667"/>
    <cellStyle name="Comma 2 2 3 2 2 3 5 2" xfId="5613"/>
    <cellStyle name="Comma 2 2 3 2 2 3 5 2 2" xfId="17292"/>
    <cellStyle name="Comma 2 2 3 2 2 3 5 2 2 2" xfId="19185"/>
    <cellStyle name="Comma 2 2 3 2 2 3 5 2 2 2 2" xfId="52619"/>
    <cellStyle name="Comma 2 2 3 2 2 3 5 2 2 2 2 2" xfId="54511"/>
    <cellStyle name="Comma 2 2 3 2 2 3 5 2 2 3" xfId="32686"/>
    <cellStyle name="Comma 2 2 3 2 2 3 5 2 3" xfId="30793"/>
    <cellStyle name="Comma 2 2 3 2 2 3 5 2 3 2" xfId="41049"/>
    <cellStyle name="Comma 2 2 3 2 2 3 5 3" xfId="10829"/>
    <cellStyle name="Comma 2 2 3 2 2 3 5 3 2" xfId="39120"/>
    <cellStyle name="Comma 2 2 3 2 2 3 5 3 2 2" xfId="46191"/>
    <cellStyle name="Comma 2 2 3 2 2 3 5 4" xfId="24321"/>
    <cellStyle name="Comma 2 2 3 2 2 3 6" xfId="8860"/>
    <cellStyle name="Comma 2 2 3 2 2 3 6 2" xfId="13997"/>
    <cellStyle name="Comma 2 2 3 2 2 3 6 2 2" xfId="44264"/>
    <cellStyle name="Comma 2 2 3 2 2 3 6 2 2 2" xfId="49343"/>
    <cellStyle name="Comma 2 2 3 2 2 3 6 3" xfId="27491"/>
    <cellStyle name="Comma 2 2 3 2 2 3 7" xfId="22372"/>
    <cellStyle name="Comma 2 2 3 2 2 3 7 2" xfId="35809"/>
    <cellStyle name="Comma 2 2 3 2 2 4" xfId="391"/>
    <cellStyle name="Comma 2 2 3 2 2 4 2" xfId="1039"/>
    <cellStyle name="Comma 2 2 3 2 2 4 2 2" xfId="1222"/>
    <cellStyle name="Comma 2 2 3 2 2 4 2 2 2" xfId="3075"/>
    <cellStyle name="Comma 2 2 3 2 2 4 2 2 2 2" xfId="3240"/>
    <cellStyle name="Comma 2 2 3 2 2 4 2 2 2 2 2" xfId="8290"/>
    <cellStyle name="Comma 2 2 3 2 2 4 2 2 2 2 2 2" xfId="8455"/>
    <cellStyle name="Comma 2 2 3 2 2 4 2 2 2 2 2 2 2" xfId="21842"/>
    <cellStyle name="Comma 2 2 3 2 2 4 2 2 2 2 2 2 2 2" xfId="22007"/>
    <cellStyle name="Comma 2 2 3 2 2 4 2 2 2 2 2 2 2 2 2" xfId="57168"/>
    <cellStyle name="Comma 2 2 3 2 2 4 2 2 2 2 2 2 2 2 2 2" xfId="57333"/>
    <cellStyle name="Comma 2 2 3 2 2 4 2 2 2 2 2 2 2 3" xfId="35510"/>
    <cellStyle name="Comma 2 2 3 2 2 4 2 2 2 2 2 2 3" xfId="35345"/>
    <cellStyle name="Comma 2 2 3 2 2 4 2 2 2 2 2 2 3 2" xfId="43882"/>
    <cellStyle name="Comma 2 2 3 2 2 4 2 2 2 2 2 3" xfId="13680"/>
    <cellStyle name="Comma 2 2 3 2 2 4 2 2 2 2 2 3 2" xfId="43717"/>
    <cellStyle name="Comma 2 2 3 2 2 4 2 2 2 2 2 3 2 2" xfId="49026"/>
    <cellStyle name="Comma 2 2 3 2 2 4 2 2 2 2 2 4" xfId="27165"/>
    <cellStyle name="Comma 2 2 3 2 2 4 2 2 2 2 3" xfId="13515"/>
    <cellStyle name="Comma 2 2 3 2 2 4 2 2 2 2 3 2" xfId="16897"/>
    <cellStyle name="Comma 2 2 3 2 2 4 2 2 2 2 3 2 2" xfId="48861"/>
    <cellStyle name="Comma 2 2 3 2 2 4 2 2 2 2 3 2 2 2" xfId="52225"/>
    <cellStyle name="Comma 2 2 3 2 2 4 2 2 2 2 3 3" xfId="30399"/>
    <cellStyle name="Comma 2 2 3 2 2 4 2 2 2 2 4" xfId="27000"/>
    <cellStyle name="Comma 2 2 3 2 2 4 2 2 2 2 4 2" xfId="38709"/>
    <cellStyle name="Comma 2 2 3 2 2 4 2 2 2 3" xfId="5277"/>
    <cellStyle name="Comma 2 2 3 2 2 4 2 2 2 3 2" xfId="16732"/>
    <cellStyle name="Comma 2 2 3 2 2 4 2 2 2 3 2 2" xfId="18850"/>
    <cellStyle name="Comma 2 2 3 2 2 4 2 2 2 3 2 2 2" xfId="52060"/>
    <cellStyle name="Comma 2 2 3 2 2 4 2 2 2 3 2 2 2 2" xfId="54176"/>
    <cellStyle name="Comma 2 2 3 2 2 4 2 2 2 3 2 3" xfId="32351"/>
    <cellStyle name="Comma 2 2 3 2 2 4 2 2 2 3 3" xfId="30234"/>
    <cellStyle name="Comma 2 2 3 2 2 4 2 2 2 3 3 2" xfId="40714"/>
    <cellStyle name="Comma 2 2 3 2 2 4 2 2 2 4" xfId="10480"/>
    <cellStyle name="Comma 2 2 3 2 2 4 2 2 2 4 2" xfId="38544"/>
    <cellStyle name="Comma 2 2 3 2 2 4 2 2 2 4 2 2" xfId="45843"/>
    <cellStyle name="Comma 2 2 3 2 2 4 2 2 2 5" xfId="23966"/>
    <cellStyle name="Comma 2 2 3 2 2 4 2 2 3" xfId="5112"/>
    <cellStyle name="Comma 2 2 3 2 2 4 2 2 3 2" xfId="6530"/>
    <cellStyle name="Comma 2 2 3 2 2 4 2 2 3 2 2" xfId="18685"/>
    <cellStyle name="Comma 2 2 3 2 2 4 2 2 3 2 2 2" xfId="20083"/>
    <cellStyle name="Comma 2 2 3 2 2 4 2 2 3 2 2 2 2" xfId="54011"/>
    <cellStyle name="Comma 2 2 3 2 2 4 2 2 3 2 2 2 2 2" xfId="55409"/>
    <cellStyle name="Comma 2 2 3 2 2 4 2 2 3 2 2 3" xfId="33585"/>
    <cellStyle name="Comma 2 2 3 2 2 4 2 2 3 2 3" xfId="32186"/>
    <cellStyle name="Comma 2 2 3 2 2 4 2 2 3 2 3 2" xfId="41958"/>
    <cellStyle name="Comma 2 2 3 2 2 4 2 2 3 3" xfId="11753"/>
    <cellStyle name="Comma 2 2 3 2 2 4 2 2 3 3 2" xfId="40549"/>
    <cellStyle name="Comma 2 2 3 2 2 4 2 2 3 3 2 2" xfId="47101"/>
    <cellStyle name="Comma 2 2 3 2 2 4 2 2 3 4" xfId="25238"/>
    <cellStyle name="Comma 2 2 3 2 2 4 2 2 4" xfId="10315"/>
    <cellStyle name="Comma 2 2 3 2 2 4 2 2 4 2" xfId="14911"/>
    <cellStyle name="Comma 2 2 3 2 2 4 2 2 4 2 2" xfId="45678"/>
    <cellStyle name="Comma 2 2 3 2 2 4 2 2 4 2 2 2" xfId="50250"/>
    <cellStyle name="Comma 2 2 3 2 2 4 2 2 4 3" xfId="28424"/>
    <cellStyle name="Comma 2 2 3 2 2 4 2 2 5" xfId="23801"/>
    <cellStyle name="Comma 2 2 3 2 2 4 2 2 5 2" xfId="36719"/>
    <cellStyle name="Comma 2 2 3 2 2 4 2 3" xfId="2028"/>
    <cellStyle name="Comma 2 2 3 2 2 4 2 3 2" xfId="6349"/>
    <cellStyle name="Comma 2 2 3 2 2 4 2 3 2 2" xfId="7262"/>
    <cellStyle name="Comma 2 2 3 2 2 4 2 3 2 2 2" xfId="19906"/>
    <cellStyle name="Comma 2 2 3 2 2 4 2 3 2 2 2 2" xfId="20814"/>
    <cellStyle name="Comma 2 2 3 2 2 4 2 3 2 2 2 2 2" xfId="55232"/>
    <cellStyle name="Comma 2 2 3 2 2 4 2 3 2 2 2 2 2 2" xfId="56140"/>
    <cellStyle name="Comma 2 2 3 2 2 4 2 3 2 2 2 3" xfId="34317"/>
    <cellStyle name="Comma 2 2 3 2 2 4 2 3 2 2 3" xfId="33408"/>
    <cellStyle name="Comma 2 2 3 2 2 4 2 3 2 2 3 2" xfId="42689"/>
    <cellStyle name="Comma 2 2 3 2 2 4 2 3 2 3" xfId="12487"/>
    <cellStyle name="Comma 2 2 3 2 2 4 2 3 2 3 2" xfId="41778"/>
    <cellStyle name="Comma 2 2 3 2 2 4 2 3 2 3 2 2" xfId="47833"/>
    <cellStyle name="Comma 2 2 3 2 2 4 2 3 2 4" xfId="25971"/>
    <cellStyle name="Comma 2 2 3 2 2 4 2 3 3" xfId="11575"/>
    <cellStyle name="Comma 2 2 3 2 2 4 2 3 3 2" xfId="15692"/>
    <cellStyle name="Comma 2 2 3 2 2 4 2 3 3 2 2" xfId="46924"/>
    <cellStyle name="Comma 2 2 3 2 2 4 2 3 3 2 2 2" xfId="51024"/>
    <cellStyle name="Comma 2 2 3 2 2 4 2 3 3 3" xfId="29198"/>
    <cellStyle name="Comma 2 2 3 2 2 4 2 3 4" xfId="25061"/>
    <cellStyle name="Comma 2 2 3 2 2 4 2 3 4 2" xfId="37506"/>
    <cellStyle name="Comma 2 2 3 2 2 4 2 4" xfId="4044"/>
    <cellStyle name="Comma 2 2 3 2 2 4 2 4 2" xfId="14732"/>
    <cellStyle name="Comma 2 2 3 2 2 4 2 4 2 2" xfId="17637"/>
    <cellStyle name="Comma 2 2 3 2 2 4 2 4 2 2 2" xfId="50071"/>
    <cellStyle name="Comma 2 2 3 2 2 4 2 4 2 2 2 2" xfId="52964"/>
    <cellStyle name="Comma 2 2 3 2 2 4 2 4 2 3" xfId="31139"/>
    <cellStyle name="Comma 2 2 3 2 2 4 2 4 3" xfId="28244"/>
    <cellStyle name="Comma 2 2 3 2 2 4 2 4 3 2" xfId="39487"/>
    <cellStyle name="Comma 2 2 3 2 2 4 2 5" xfId="9235"/>
    <cellStyle name="Comma 2 2 3 2 2 4 2 5 2" xfId="36540"/>
    <cellStyle name="Comma 2 2 3 2 2 4 2 5 2 2" xfId="44617"/>
    <cellStyle name="Comma 2 2 3 2 2 4 2 6" xfId="22731"/>
    <cellStyle name="Comma 2 2 3 2 2 4 3" xfId="1844"/>
    <cellStyle name="Comma 2 2 3 2 2 4 3 2" xfId="2493"/>
    <cellStyle name="Comma 2 2 3 2 2 4 3 2 2" xfId="7094"/>
    <cellStyle name="Comma 2 2 3 2 2 4 3 2 2 2" xfId="7718"/>
    <cellStyle name="Comma 2 2 3 2 2 4 3 2 2 2 2" xfId="20647"/>
    <cellStyle name="Comma 2 2 3 2 2 4 3 2 2 2 2 2" xfId="21270"/>
    <cellStyle name="Comma 2 2 3 2 2 4 3 2 2 2 2 2 2" xfId="55973"/>
    <cellStyle name="Comma 2 2 3 2 2 4 3 2 2 2 2 2 2 2" xfId="56596"/>
    <cellStyle name="Comma 2 2 3 2 2 4 3 2 2 2 2 3" xfId="34773"/>
    <cellStyle name="Comma 2 2 3 2 2 4 3 2 2 2 3" xfId="34149"/>
    <cellStyle name="Comma 2 2 3 2 2 4 3 2 2 2 3 2" xfId="43145"/>
    <cellStyle name="Comma 2 2 3 2 2 4 3 2 2 3" xfId="12943"/>
    <cellStyle name="Comma 2 2 3 2 2 4 3 2 2 3 2" xfId="42522"/>
    <cellStyle name="Comma 2 2 3 2 2 4 3 2 2 3 2 2" xfId="48289"/>
    <cellStyle name="Comma 2 2 3 2 2 4 3 2 2 4" xfId="26427"/>
    <cellStyle name="Comma 2 2 3 2 2 4 3 2 3" xfId="12319"/>
    <cellStyle name="Comma 2 2 3 2 2 4 3 2 3 2" xfId="16154"/>
    <cellStyle name="Comma 2 2 3 2 2 4 3 2 3 2 2" xfId="47666"/>
    <cellStyle name="Comma 2 2 3 2 2 4 3 2 3 2 2 2" xfId="51485"/>
    <cellStyle name="Comma 2 2 3 2 2 4 3 2 3 3" xfId="29659"/>
    <cellStyle name="Comma 2 2 3 2 2 4 3 2 4" xfId="25804"/>
    <cellStyle name="Comma 2 2 3 2 2 4 3 2 4 2" xfId="37968"/>
    <cellStyle name="Comma 2 2 3 2 2 4 3 3" xfId="4528"/>
    <cellStyle name="Comma 2 2 3 2 2 4 3 3 2" xfId="15515"/>
    <cellStyle name="Comma 2 2 3 2 2 4 3 3 2 2" xfId="18111"/>
    <cellStyle name="Comma 2 2 3 2 2 4 3 3 2 2 2" xfId="50848"/>
    <cellStyle name="Comma 2 2 3 2 2 4 3 3 2 2 2 2" xfId="53437"/>
    <cellStyle name="Comma 2 2 3 2 2 4 3 3 2 3" xfId="31612"/>
    <cellStyle name="Comma 2 2 3 2 2 4 3 3 3" xfId="29022"/>
    <cellStyle name="Comma 2 2 3 2 2 4 3 3 3 2" xfId="39969"/>
    <cellStyle name="Comma 2 2 3 2 2 4 3 4" xfId="9731"/>
    <cellStyle name="Comma 2 2 3 2 2 4 3 4 2" xfId="37325"/>
    <cellStyle name="Comma 2 2 3 2 2 4 3 4 2 2" xfId="45104"/>
    <cellStyle name="Comma 2 2 3 2 2 4 3 5" xfId="23227"/>
    <cellStyle name="Comma 2 2 3 2 2 4 4" xfId="3857"/>
    <cellStyle name="Comma 2 2 3 2 2 4 4 2" xfId="5734"/>
    <cellStyle name="Comma 2 2 3 2 2 4 4 2 2" xfId="17470"/>
    <cellStyle name="Comma 2 2 3 2 2 4 4 2 2 2" xfId="19303"/>
    <cellStyle name="Comma 2 2 3 2 2 4 4 2 2 2 2" xfId="52797"/>
    <cellStyle name="Comma 2 2 3 2 2 4 4 2 2 2 2 2" xfId="54629"/>
    <cellStyle name="Comma 2 2 3 2 2 4 4 2 2 3" xfId="32804"/>
    <cellStyle name="Comma 2 2 3 2 2 4 4 2 3" xfId="30971"/>
    <cellStyle name="Comma 2 2 3 2 2 4 4 2 3 2" xfId="41169"/>
    <cellStyle name="Comma 2 2 3 2 2 4 4 3" xfId="10955"/>
    <cellStyle name="Comma 2 2 3 2 2 4 4 3 2" xfId="39306"/>
    <cellStyle name="Comma 2 2 3 2 2 4 4 3 2 2" xfId="46314"/>
    <cellStyle name="Comma 2 2 3 2 2 4 4 4" xfId="24448"/>
    <cellStyle name="Comma 2 2 3 2 2 4 5" xfId="9049"/>
    <cellStyle name="Comma 2 2 3 2 2 4 5 2" xfId="14118"/>
    <cellStyle name="Comma 2 2 3 2 2 4 5 2 2" xfId="44446"/>
    <cellStyle name="Comma 2 2 3 2 2 4 5 2 2 2" xfId="49463"/>
    <cellStyle name="Comma 2 2 3 2 2 4 5 3" xfId="27620"/>
    <cellStyle name="Comma 2 2 3 2 2 4 6" xfId="22557"/>
    <cellStyle name="Comma 2 2 3 2 2 4 6 2" xfId="35929"/>
    <cellStyle name="Comma 2 2 3 2 2 5" xfId="705"/>
    <cellStyle name="Comma 2 2 3 2 2 5 2" xfId="2302"/>
    <cellStyle name="Comma 2 2 3 2 2 5 2 2" xfId="2777"/>
    <cellStyle name="Comma 2 2 3 2 2 5 2 2 2" xfId="7536"/>
    <cellStyle name="Comma 2 2 3 2 2 5 2 2 2 2" xfId="7994"/>
    <cellStyle name="Comma 2 2 3 2 2 5 2 2 2 2 2" xfId="21088"/>
    <cellStyle name="Comma 2 2 3 2 2 5 2 2 2 2 2 2" xfId="21546"/>
    <cellStyle name="Comma 2 2 3 2 2 5 2 2 2 2 2 2 2" xfId="56414"/>
    <cellStyle name="Comma 2 2 3 2 2 5 2 2 2 2 2 2 2 2" xfId="56872"/>
    <cellStyle name="Comma 2 2 3 2 2 5 2 2 2 2 2 3" xfId="35049"/>
    <cellStyle name="Comma 2 2 3 2 2 5 2 2 2 2 3" xfId="34591"/>
    <cellStyle name="Comma 2 2 3 2 2 5 2 2 2 2 3 2" xfId="43421"/>
    <cellStyle name="Comma 2 2 3 2 2 5 2 2 2 3" xfId="13219"/>
    <cellStyle name="Comma 2 2 3 2 2 5 2 2 2 3 2" xfId="42963"/>
    <cellStyle name="Comma 2 2 3 2 2 5 2 2 2 3 2 2" xfId="48565"/>
    <cellStyle name="Comma 2 2 3 2 2 5 2 2 2 4" xfId="26703"/>
    <cellStyle name="Comma 2 2 3 2 2 5 2 2 3" xfId="12761"/>
    <cellStyle name="Comma 2 2 3 2 2 5 2 2 3 2" xfId="16436"/>
    <cellStyle name="Comma 2 2 3 2 2 5 2 2 3 2 2" xfId="48107"/>
    <cellStyle name="Comma 2 2 3 2 2 5 2 2 3 2 2 2" xfId="51764"/>
    <cellStyle name="Comma 2 2 3 2 2 5 2 2 3 3" xfId="29938"/>
    <cellStyle name="Comma 2 2 3 2 2 5 2 2 4" xfId="26245"/>
    <cellStyle name="Comma 2 2 3 2 2 5 2 2 4 2" xfId="38248"/>
    <cellStyle name="Comma 2 2 3 2 2 5 2 3" xfId="4813"/>
    <cellStyle name="Comma 2 2 3 2 2 5 2 3 2" xfId="15966"/>
    <cellStyle name="Comma 2 2 3 2 2 5 2 3 2 2" xfId="18388"/>
    <cellStyle name="Comma 2 2 3 2 2 5 2 3 2 2 2" xfId="51298"/>
    <cellStyle name="Comma 2 2 3 2 2 5 2 3 2 2 2 2" xfId="53714"/>
    <cellStyle name="Comma 2 2 3 2 2 5 2 3 2 3" xfId="31889"/>
    <cellStyle name="Comma 2 2 3 2 2 5 2 3 3" xfId="29472"/>
    <cellStyle name="Comma 2 2 3 2 2 5 2 3 3 2" xfId="40250"/>
    <cellStyle name="Comma 2 2 3 2 2 5 2 4" xfId="10016"/>
    <cellStyle name="Comma 2 2 3 2 2 5 2 4 2" xfId="37780"/>
    <cellStyle name="Comma 2 2 3 2 2 5 2 4 2 2" xfId="45381"/>
    <cellStyle name="Comma 2 2 3 2 2 5 2 5" xfId="23504"/>
    <cellStyle name="Comma 2 2 3 2 2 5 3" xfId="4330"/>
    <cellStyle name="Comma 2 2 3 2 2 5 3 2" xfId="6030"/>
    <cellStyle name="Comma 2 2 3 2 2 5 3 2 2" xfId="17923"/>
    <cellStyle name="Comma 2 2 3 2 2 5 3 2 2 2" xfId="19594"/>
    <cellStyle name="Comma 2 2 3 2 2 5 3 2 2 2 2" xfId="53250"/>
    <cellStyle name="Comma 2 2 3 2 2 5 3 2 2 2 2 2" xfId="54920"/>
    <cellStyle name="Comma 2 2 3 2 2 5 3 2 2 3" xfId="33095"/>
    <cellStyle name="Comma 2 2 3 2 2 5 3 2 3" xfId="31425"/>
    <cellStyle name="Comma 2 2 3 2 2 5 3 2 3 2" xfId="41464"/>
    <cellStyle name="Comma 2 2 3 2 2 5 3 3" xfId="11255"/>
    <cellStyle name="Comma 2 2 3 2 2 5 3 3 2" xfId="39773"/>
    <cellStyle name="Comma 2 2 3 2 2 5 3 3 2 2" xfId="46610"/>
    <cellStyle name="Comma 2 2 3 2 2 5 3 4" xfId="24747"/>
    <cellStyle name="Comma 2 2 3 2 2 5 4" xfId="9526"/>
    <cellStyle name="Comma 2 2 3 2 2 5 4 2" xfId="14413"/>
    <cellStyle name="Comma 2 2 3 2 2 5 4 2 2" xfId="44908"/>
    <cellStyle name="Comma 2 2 3 2 2 5 4 2 2 2" xfId="49758"/>
    <cellStyle name="Comma 2 2 3 2 2 5 4 3" xfId="27926"/>
    <cellStyle name="Comma 2 2 3 2 2 5 5" xfId="23024"/>
    <cellStyle name="Comma 2 2 3 2 2 5 5 2" xfId="36226"/>
    <cellStyle name="Comma 2 2 3 2 2 6" xfId="1484"/>
    <cellStyle name="Comma 2 2 3 2 2 6 2" xfId="5541"/>
    <cellStyle name="Comma 2 2 3 2 2 6 2 2" xfId="6775"/>
    <cellStyle name="Comma 2 2 3 2 2 6 2 2 2" xfId="19114"/>
    <cellStyle name="Comma 2 2 3 2 2 6 2 2 2 2" xfId="20328"/>
    <cellStyle name="Comma 2 2 3 2 2 6 2 2 2 2 2" xfId="54440"/>
    <cellStyle name="Comma 2 2 3 2 2 6 2 2 2 2 2 2" xfId="55654"/>
    <cellStyle name="Comma 2 2 3 2 2 6 2 2 2 3" xfId="33830"/>
    <cellStyle name="Comma 2 2 3 2 2 6 2 2 3" xfId="32615"/>
    <cellStyle name="Comma 2 2 3 2 2 6 2 2 3 2" xfId="42203"/>
    <cellStyle name="Comma 2 2 3 2 2 6 2 3" xfId="11998"/>
    <cellStyle name="Comma 2 2 3 2 2 6 2 3 2" xfId="40978"/>
    <cellStyle name="Comma 2 2 3 2 2 6 2 3 2 2" xfId="47346"/>
    <cellStyle name="Comma 2 2 3 2 2 6 2 4" xfId="25483"/>
    <cellStyle name="Comma 2 2 3 2 2 6 3" xfId="10748"/>
    <cellStyle name="Comma 2 2 3 2 2 6 3 2" xfId="15168"/>
    <cellStyle name="Comma 2 2 3 2 2 6 3 2 2" xfId="46110"/>
    <cellStyle name="Comma 2 2 3 2 2 6 3 2 2 2" xfId="50506"/>
    <cellStyle name="Comma 2 2 3 2 2 6 3 3" xfId="28680"/>
    <cellStyle name="Comma 2 2 3 2 2 6 4" xfId="24235"/>
    <cellStyle name="Comma 2 2 3 2 2 6 4 2" xfId="36978"/>
    <cellStyle name="Comma 2 2 3 2 2 7" xfId="3483"/>
    <cellStyle name="Comma 2 2 3 2 2 7 2" xfId="13926"/>
    <cellStyle name="Comma 2 2 3 2 2 7 2 2" xfId="17137"/>
    <cellStyle name="Comma 2 2 3 2 2 7 2 2 2" xfId="49272"/>
    <cellStyle name="Comma 2 2 3 2 2 7 2 2 2 2" xfId="52465"/>
    <cellStyle name="Comma 2 2 3 2 2 7 2 3" xfId="30639"/>
    <cellStyle name="Comma 2 2 3 2 2 7 3" xfId="27412"/>
    <cellStyle name="Comma 2 2 3 2 2 7 3 2" xfId="38950"/>
    <cellStyle name="Comma 2 2 3 2 2 8" xfId="4398"/>
    <cellStyle name="Comma 2 2 3 2 2 8 2" xfId="22998"/>
    <cellStyle name="Comma 2 2 3 2 2 8 2 2" xfId="39840"/>
    <cellStyle name="Comma 2 2 3 2 2 9" xfId="8800"/>
    <cellStyle name="Comma 2 2 3 2 3" xfId="224"/>
    <cellStyle name="Comma 2 2 3 2 3 2" xfId="272"/>
    <cellStyle name="Comma 2 2 3 2 3 2 2" xfId="587"/>
    <cellStyle name="Comma 2 2 3 2 3 2 2 2" xfId="616"/>
    <cellStyle name="Comma 2 2 3 2 3 2 2 2 2" xfId="1383"/>
    <cellStyle name="Comma 2 2 3 2 3 2 2 2 2 2" xfId="1412"/>
    <cellStyle name="Comma 2 2 3 2 3 2 2 2 2 2 2" xfId="3401"/>
    <cellStyle name="Comma 2 2 3 2 3 2 2 2 2 2 2 2" xfId="3430"/>
    <cellStyle name="Comma 2 2 3 2 3 2 2 2 2 2 2 2 2" xfId="8616"/>
    <cellStyle name="Comma 2 2 3 2 3 2 2 2 2 2 2 2 2 2" xfId="8645"/>
    <cellStyle name="Comma 2 2 3 2 3 2 2 2 2 2 2 2 2 2 2" xfId="22168"/>
    <cellStyle name="Comma 2 2 3 2 3 2 2 2 2 2 2 2 2 2 2 2" xfId="22197"/>
    <cellStyle name="Comma 2 2 3 2 3 2 2 2 2 2 2 2 2 2 2 2 2" xfId="57494"/>
    <cellStyle name="Comma 2 2 3 2 3 2 2 2 2 2 2 2 2 2 2 2 2 2" xfId="57523"/>
    <cellStyle name="Comma 2 2 3 2 3 2 2 2 2 2 2 2 2 2 2 3" xfId="35700"/>
    <cellStyle name="Comma 2 2 3 2 3 2 2 2 2 2 2 2 2 2 3" xfId="35671"/>
    <cellStyle name="Comma 2 2 3 2 3 2 2 2 2 2 2 2 2 2 3 2" xfId="44072"/>
    <cellStyle name="Comma 2 2 3 2 3 2 2 2 2 2 2 2 2 3" xfId="13870"/>
    <cellStyle name="Comma 2 2 3 2 3 2 2 2 2 2 2 2 2 3 2" xfId="44043"/>
    <cellStyle name="Comma 2 2 3 2 3 2 2 2 2 2 2 2 2 3 2 2" xfId="49216"/>
    <cellStyle name="Comma 2 2 3 2 3 2 2 2 2 2 2 2 2 4" xfId="27355"/>
    <cellStyle name="Comma 2 2 3 2 3 2 2 2 2 2 2 2 3" xfId="13841"/>
    <cellStyle name="Comma 2 2 3 2 3 2 2 2 2 2 2 2 3 2" xfId="17087"/>
    <cellStyle name="Comma 2 2 3 2 3 2 2 2 2 2 2 2 3 2 2" xfId="49187"/>
    <cellStyle name="Comma 2 2 3 2 3 2 2 2 2 2 2 2 3 2 2 2" xfId="52415"/>
    <cellStyle name="Comma 2 2 3 2 3 2 2 2 2 2 2 2 3 3" xfId="30589"/>
    <cellStyle name="Comma 2 2 3 2 3 2 2 2 2 2 2 2 4" xfId="27326"/>
    <cellStyle name="Comma 2 2 3 2 3 2 2 2 2 2 2 2 4 2" xfId="38899"/>
    <cellStyle name="Comma 2 2 3 2 3 2 2 2 2 2 2 3" xfId="5467"/>
    <cellStyle name="Comma 2 2 3 2 3 2 2 2 2 2 2 3 2" xfId="17058"/>
    <cellStyle name="Comma 2 2 3 2 3 2 2 2 2 2 2 3 2 2" xfId="19040"/>
    <cellStyle name="Comma 2 2 3 2 3 2 2 2 2 2 2 3 2 2 2" xfId="52386"/>
    <cellStyle name="Comma 2 2 3 2 3 2 2 2 2 2 2 3 2 2 2 2" xfId="54366"/>
    <cellStyle name="Comma 2 2 3 2 3 2 2 2 2 2 2 3 2 3" xfId="32541"/>
    <cellStyle name="Comma 2 2 3 2 3 2 2 2 2 2 2 3 3" xfId="30560"/>
    <cellStyle name="Comma 2 2 3 2 3 2 2 2 2 2 2 3 3 2" xfId="40904"/>
    <cellStyle name="Comma 2 2 3 2 3 2 2 2 2 2 2 4" xfId="10670"/>
    <cellStyle name="Comma 2 2 3 2 3 2 2 2 2 2 2 4 2" xfId="38870"/>
    <cellStyle name="Comma 2 2 3 2 3 2 2 2 2 2 2 4 2 2" xfId="46033"/>
    <cellStyle name="Comma 2 2 3 2 3 2 2 2 2 2 2 5" xfId="24156"/>
    <cellStyle name="Comma 2 2 3 2 3 2 2 2 2 2 3" xfId="5438"/>
    <cellStyle name="Comma 2 2 3 2 3 2 2 2 2 2 3 2" xfId="6720"/>
    <cellStyle name="Comma 2 2 3 2 3 2 2 2 2 2 3 2 2" xfId="19011"/>
    <cellStyle name="Comma 2 2 3 2 3 2 2 2 2 2 3 2 2 2" xfId="20273"/>
    <cellStyle name="Comma 2 2 3 2 3 2 2 2 2 2 3 2 2 2 2" xfId="54337"/>
    <cellStyle name="Comma 2 2 3 2 3 2 2 2 2 2 3 2 2 2 2 2" xfId="55599"/>
    <cellStyle name="Comma 2 2 3 2 3 2 2 2 2 2 3 2 2 3" xfId="33775"/>
    <cellStyle name="Comma 2 2 3 2 3 2 2 2 2 2 3 2 3" xfId="32512"/>
    <cellStyle name="Comma 2 2 3 2 3 2 2 2 2 2 3 2 3 2" xfId="42148"/>
    <cellStyle name="Comma 2 2 3 2 3 2 2 2 2 2 3 3" xfId="11943"/>
    <cellStyle name="Comma 2 2 3 2 3 2 2 2 2 2 3 3 2" xfId="40875"/>
    <cellStyle name="Comma 2 2 3 2 3 2 2 2 2 2 3 3 2 2" xfId="47291"/>
    <cellStyle name="Comma 2 2 3 2 3 2 2 2 2 2 3 4" xfId="25428"/>
    <cellStyle name="Comma 2 2 3 2 3 2 2 2 2 2 4" xfId="10641"/>
    <cellStyle name="Comma 2 2 3 2 3 2 2 2 2 2 4 2" xfId="15101"/>
    <cellStyle name="Comma 2 2 3 2 3 2 2 2 2 2 4 2 2" xfId="46004"/>
    <cellStyle name="Comma 2 2 3 2 3 2 2 2 2 2 4 2 2 2" xfId="50440"/>
    <cellStyle name="Comma 2 2 3 2 3 2 2 2 2 2 4 3" xfId="28614"/>
    <cellStyle name="Comma 2 2 3 2 3 2 2 2 2 2 5" xfId="24127"/>
    <cellStyle name="Comma 2 2 3 2 3 2 2 2 2 2 5 2" xfId="36909"/>
    <cellStyle name="Comma 2 2 3 2 3 2 2 2 2 3" xfId="2219"/>
    <cellStyle name="Comma 2 2 3 2 3 2 2 2 2 3 2" xfId="6691"/>
    <cellStyle name="Comma 2 2 3 2 3 2 2 2 2 3 2 2" xfId="7453"/>
    <cellStyle name="Comma 2 2 3 2 3 2 2 2 2 3 2 2 2" xfId="20244"/>
    <cellStyle name="Comma 2 2 3 2 3 2 2 2 2 3 2 2 2 2" xfId="21005"/>
    <cellStyle name="Comma 2 2 3 2 3 2 2 2 2 3 2 2 2 2 2" xfId="55570"/>
    <cellStyle name="Comma 2 2 3 2 3 2 2 2 2 3 2 2 2 2 2 2" xfId="56331"/>
    <cellStyle name="Comma 2 2 3 2 3 2 2 2 2 3 2 2 2 3" xfId="34508"/>
    <cellStyle name="Comma 2 2 3 2 3 2 2 2 2 3 2 2 3" xfId="33746"/>
    <cellStyle name="Comma 2 2 3 2 3 2 2 2 2 3 2 2 3 2" xfId="42880"/>
    <cellStyle name="Comma 2 2 3 2 3 2 2 2 2 3 2 3" xfId="12678"/>
    <cellStyle name="Comma 2 2 3 2 3 2 2 2 2 3 2 3 2" xfId="42119"/>
    <cellStyle name="Comma 2 2 3 2 3 2 2 2 2 3 2 3 2 2" xfId="48024"/>
    <cellStyle name="Comma 2 2 3 2 3 2 2 2 2 3 2 4" xfId="26162"/>
    <cellStyle name="Comma 2 2 3 2 3 2 2 2 2 3 3" xfId="11914"/>
    <cellStyle name="Comma 2 2 3 2 3 2 2 2 2 3 3 2" xfId="15883"/>
    <cellStyle name="Comma 2 2 3 2 3 2 2 2 2 3 3 2 2" xfId="47262"/>
    <cellStyle name="Comma 2 2 3 2 3 2 2 2 2 3 3 2 2 2" xfId="51215"/>
    <cellStyle name="Comma 2 2 3 2 3 2 2 2 2 3 3 3" xfId="29389"/>
    <cellStyle name="Comma 2 2 3 2 3 2 2 2 2 3 4" xfId="25399"/>
    <cellStyle name="Comma 2 2 3 2 3 2 2 2 2 3 4 2" xfId="37697"/>
    <cellStyle name="Comma 2 2 3 2 3 2 2 2 2 4" xfId="4235"/>
    <cellStyle name="Comma 2 2 3 2 3 2 2 2 2 4 2" xfId="15072"/>
    <cellStyle name="Comma 2 2 3 2 3 2 2 2 2 4 2 2" xfId="17828"/>
    <cellStyle name="Comma 2 2 3 2 3 2 2 2 2 4 2 2 2" xfId="50411"/>
    <cellStyle name="Comma 2 2 3 2 3 2 2 2 2 4 2 2 2 2" xfId="53155"/>
    <cellStyle name="Comma 2 2 3 2 3 2 2 2 2 4 2 3" xfId="31330"/>
    <cellStyle name="Comma 2 2 3 2 3 2 2 2 2 4 3" xfId="28585"/>
    <cellStyle name="Comma 2 2 3 2 3 2 2 2 2 4 3 2" xfId="39678"/>
    <cellStyle name="Comma 2 2 3 2 3 2 2 2 2 5" xfId="9426"/>
    <cellStyle name="Comma 2 2 3 2 3 2 2 2 2 5 2" xfId="36880"/>
    <cellStyle name="Comma 2 2 3 2 3 2 2 2 2 5 2 2" xfId="44808"/>
    <cellStyle name="Comma 2 2 3 2 3 2 2 2 2 6" xfId="22922"/>
    <cellStyle name="Comma 2 2 3 2 3 2 2 2 3" xfId="2190"/>
    <cellStyle name="Comma 2 2 3 2 3 2 2 2 3 2" xfId="2706"/>
    <cellStyle name="Comma 2 2 3 2 3 2 2 2 3 2 2" xfId="7424"/>
    <cellStyle name="Comma 2 2 3 2 3 2 2 2 3 2 2 2" xfId="7925"/>
    <cellStyle name="Comma 2 2 3 2 3 2 2 2 3 2 2 2 2" xfId="20976"/>
    <cellStyle name="Comma 2 2 3 2 3 2 2 2 3 2 2 2 2 2" xfId="21477"/>
    <cellStyle name="Comma 2 2 3 2 3 2 2 2 3 2 2 2 2 2 2" xfId="56302"/>
    <cellStyle name="Comma 2 2 3 2 3 2 2 2 3 2 2 2 2 2 2 2" xfId="56803"/>
    <cellStyle name="Comma 2 2 3 2 3 2 2 2 3 2 2 2 2 3" xfId="34980"/>
    <cellStyle name="Comma 2 2 3 2 3 2 2 2 3 2 2 2 3" xfId="34479"/>
    <cellStyle name="Comma 2 2 3 2 3 2 2 2 3 2 2 2 3 2" xfId="43352"/>
    <cellStyle name="Comma 2 2 3 2 3 2 2 2 3 2 2 3" xfId="13150"/>
    <cellStyle name="Comma 2 2 3 2 3 2 2 2 3 2 2 3 2" xfId="42851"/>
    <cellStyle name="Comma 2 2 3 2 3 2 2 2 3 2 2 3 2 2" xfId="48496"/>
    <cellStyle name="Comma 2 2 3 2 3 2 2 2 3 2 2 4" xfId="26634"/>
    <cellStyle name="Comma 2 2 3 2 3 2 2 2 3 2 3" xfId="12649"/>
    <cellStyle name="Comma 2 2 3 2 3 2 2 2 3 2 3 2" xfId="16365"/>
    <cellStyle name="Comma 2 2 3 2 3 2 2 2 3 2 3 2 2" xfId="47995"/>
    <cellStyle name="Comma 2 2 3 2 3 2 2 2 3 2 3 2 2 2" xfId="51695"/>
    <cellStyle name="Comma 2 2 3 2 3 2 2 2 3 2 3 3" xfId="29869"/>
    <cellStyle name="Comma 2 2 3 2 3 2 2 2 3 2 4" xfId="26133"/>
    <cellStyle name="Comma 2 2 3 2 3 2 2 2 3 2 4 2" xfId="38179"/>
    <cellStyle name="Comma 2 2 3 2 3 2 2 2 3 3" xfId="4742"/>
    <cellStyle name="Comma 2 2 3 2 3 2 2 2 3 3 2" xfId="15854"/>
    <cellStyle name="Comma 2 2 3 2 3 2 2 2 3 3 2 2" xfId="18319"/>
    <cellStyle name="Comma 2 2 3 2 3 2 2 2 3 3 2 2 2" xfId="51186"/>
    <cellStyle name="Comma 2 2 3 2 3 2 2 2 3 3 2 2 2 2" xfId="53645"/>
    <cellStyle name="Comma 2 2 3 2 3 2 2 2 3 3 2 3" xfId="31820"/>
    <cellStyle name="Comma 2 2 3 2 3 2 2 2 3 3 3" xfId="29360"/>
    <cellStyle name="Comma 2 2 3 2 3 2 2 2 3 3 3 2" xfId="40180"/>
    <cellStyle name="Comma 2 2 3 2 3 2 2 2 3 4" xfId="9945"/>
    <cellStyle name="Comma 2 2 3 2 3 2 2 2 3 4 2" xfId="37668"/>
    <cellStyle name="Comma 2 2 3 2 3 2 2 2 3 4 2 2" xfId="45312"/>
    <cellStyle name="Comma 2 2 3 2 3 2 2 2 3 5" xfId="23435"/>
    <cellStyle name="Comma 2 2 3 2 3 2 2 2 4" xfId="4206"/>
    <cellStyle name="Comma 2 2 3 2 3 2 2 2 4 2" xfId="5947"/>
    <cellStyle name="Comma 2 2 3 2 3 2 2 2 4 2 2" xfId="17799"/>
    <cellStyle name="Comma 2 2 3 2 3 2 2 2 4 2 2 2" xfId="19514"/>
    <cellStyle name="Comma 2 2 3 2 3 2 2 2 4 2 2 2 2" xfId="53126"/>
    <cellStyle name="Comma 2 2 3 2 3 2 2 2 4 2 2 2 2 2" xfId="54840"/>
    <cellStyle name="Comma 2 2 3 2 3 2 2 2 4 2 2 3" xfId="33015"/>
    <cellStyle name="Comma 2 2 3 2 3 2 2 2 4 2 3" xfId="31301"/>
    <cellStyle name="Comma 2 2 3 2 3 2 2 2 4 2 3 2" xfId="41381"/>
    <cellStyle name="Comma 2 2 3 2 3 2 2 2 4 3" xfId="11172"/>
    <cellStyle name="Comma 2 2 3 2 3 2 2 2 4 3 2" xfId="39649"/>
    <cellStyle name="Comma 2 2 3 2 3 2 2 2 4 3 2 2" xfId="46530"/>
    <cellStyle name="Comma 2 2 3 2 3 2 2 2 4 4" xfId="24665"/>
    <cellStyle name="Comma 2 2 3 2 3 2 2 2 5" xfId="9397"/>
    <cellStyle name="Comma 2 2 3 2 3 2 2 2 5 2" xfId="14331"/>
    <cellStyle name="Comma 2 2 3 2 3 2 2 2 5 2 2" xfId="44779"/>
    <cellStyle name="Comma 2 2 3 2 3 2 2 2 5 2 2 2" xfId="49676"/>
    <cellStyle name="Comma 2 2 3 2 3 2 2 2 5 3" xfId="27841"/>
    <cellStyle name="Comma 2 2 3 2 3 2 2 2 6" xfId="22893"/>
    <cellStyle name="Comma 2 2 3 2 3 2 2 2 6 2" xfId="36143"/>
    <cellStyle name="Comma 2 2 3 2 3 2 2 3" xfId="944"/>
    <cellStyle name="Comma 2 2 3 2 3 2 2 3 2" xfId="2677"/>
    <cellStyle name="Comma 2 2 3 2 3 2 2 3 2 2" xfId="2982"/>
    <cellStyle name="Comma 2 2 3 2 3 2 2 3 2 2 2" xfId="7896"/>
    <cellStyle name="Comma 2 2 3 2 3 2 2 3 2 2 2 2" xfId="8197"/>
    <cellStyle name="Comma 2 2 3 2 3 2 2 3 2 2 2 2 2" xfId="21448"/>
    <cellStyle name="Comma 2 2 3 2 3 2 2 3 2 2 2 2 2 2" xfId="21749"/>
    <cellStyle name="Comma 2 2 3 2 3 2 2 3 2 2 2 2 2 2 2" xfId="56774"/>
    <cellStyle name="Comma 2 2 3 2 3 2 2 3 2 2 2 2 2 2 2 2" xfId="57075"/>
    <cellStyle name="Comma 2 2 3 2 3 2 2 3 2 2 2 2 2 3" xfId="35252"/>
    <cellStyle name="Comma 2 2 3 2 3 2 2 3 2 2 2 2 3" xfId="34951"/>
    <cellStyle name="Comma 2 2 3 2 3 2 2 3 2 2 2 2 3 2" xfId="43624"/>
    <cellStyle name="Comma 2 2 3 2 3 2 2 3 2 2 2 3" xfId="13422"/>
    <cellStyle name="Comma 2 2 3 2 3 2 2 3 2 2 2 3 2" xfId="43323"/>
    <cellStyle name="Comma 2 2 3 2 3 2 2 3 2 2 2 3 2 2" xfId="48768"/>
    <cellStyle name="Comma 2 2 3 2 3 2 2 3 2 2 2 4" xfId="26907"/>
    <cellStyle name="Comma 2 2 3 2 3 2 2 3 2 2 3" xfId="13121"/>
    <cellStyle name="Comma 2 2 3 2 3 2 2 3 2 2 3 2" xfId="16639"/>
    <cellStyle name="Comma 2 2 3 2 3 2 2 3 2 2 3 2 2" xfId="48467"/>
    <cellStyle name="Comma 2 2 3 2 3 2 2 3 2 2 3 2 2 2" xfId="51967"/>
    <cellStyle name="Comma 2 2 3 2 3 2 2 3 2 2 3 3" xfId="30141"/>
    <cellStyle name="Comma 2 2 3 2 3 2 2 3 2 2 4" xfId="26605"/>
    <cellStyle name="Comma 2 2 3 2 3 2 2 3 2 2 4 2" xfId="38451"/>
    <cellStyle name="Comma 2 2 3 2 3 2 2 3 2 3" xfId="5018"/>
    <cellStyle name="Comma 2 2 3 2 3 2 2 3 2 3 2" xfId="16336"/>
    <cellStyle name="Comma 2 2 3 2 3 2 2 3 2 3 2 2" xfId="18591"/>
    <cellStyle name="Comma 2 2 3 2 3 2 2 3 2 3 2 2 2" xfId="51666"/>
    <cellStyle name="Comma 2 2 3 2 3 2 2 3 2 3 2 2 2 2" xfId="53917"/>
    <cellStyle name="Comma 2 2 3 2 3 2 2 3 2 3 2 3" xfId="32092"/>
    <cellStyle name="Comma 2 2 3 2 3 2 2 3 2 3 3" xfId="29840"/>
    <cellStyle name="Comma 2 2 3 2 3 2 2 3 2 3 3 2" xfId="40455"/>
    <cellStyle name="Comma 2 2 3 2 3 2 2 3 2 4" xfId="10221"/>
    <cellStyle name="Comma 2 2 3 2 3 2 2 3 2 4 2" xfId="38150"/>
    <cellStyle name="Comma 2 2 3 2 3 2 2 3 2 4 2 2" xfId="45584"/>
    <cellStyle name="Comma 2 2 3 2 3 2 2 3 2 5" xfId="23707"/>
    <cellStyle name="Comma 2 2 3 2 3 2 2 3 3" xfId="4713"/>
    <cellStyle name="Comma 2 2 3 2 3 2 2 3 3 2" xfId="6255"/>
    <cellStyle name="Comma 2 2 3 2 3 2 2 3 3 2 2" xfId="18290"/>
    <cellStyle name="Comma 2 2 3 2 3 2 2 3 3 2 2 2" xfId="19812"/>
    <cellStyle name="Comma 2 2 3 2 3 2 2 3 3 2 2 2 2" xfId="53616"/>
    <cellStyle name="Comma 2 2 3 2 3 2 2 3 3 2 2 2 2 2" xfId="55138"/>
    <cellStyle name="Comma 2 2 3 2 3 2 2 3 3 2 2 3" xfId="33314"/>
    <cellStyle name="Comma 2 2 3 2 3 2 2 3 3 2 3" xfId="31791"/>
    <cellStyle name="Comma 2 2 3 2 3 2 2 3 3 2 3 2" xfId="41684"/>
    <cellStyle name="Comma 2 2 3 2 3 2 2 3 3 3" xfId="11480"/>
    <cellStyle name="Comma 2 2 3 2 3 2 2 3 3 3 2" xfId="40151"/>
    <cellStyle name="Comma 2 2 3 2 3 2 2 3 3 3 2 2" xfId="46829"/>
    <cellStyle name="Comma 2 2 3 2 3 2 2 3 3 4" xfId="24966"/>
    <cellStyle name="Comma 2 2 3 2 3 2 2 3 4" xfId="9916"/>
    <cellStyle name="Comma 2 2 3 2 3 2 2 3 4 2" xfId="14638"/>
    <cellStyle name="Comma 2 2 3 2 3 2 2 3 4 2 2" xfId="45283"/>
    <cellStyle name="Comma 2 2 3 2 3 2 2 3 4 2 2 2" xfId="49977"/>
    <cellStyle name="Comma 2 2 3 2 3 2 2 3 4 3" xfId="28149"/>
    <cellStyle name="Comma 2 2 3 2 3 2 2 3 5" xfId="23406"/>
    <cellStyle name="Comma 2 2 3 2 3 2 2 3 5 2" xfId="36446"/>
    <cellStyle name="Comma 2 2 3 2 3 2 2 4" xfId="1740"/>
    <cellStyle name="Comma 2 2 3 2 3 2 2 4 2" xfId="5918"/>
    <cellStyle name="Comma 2 2 3 2 3 2 2 4 2 2" xfId="6993"/>
    <cellStyle name="Comma 2 2 3 2 3 2 2 4 2 2 2" xfId="19485"/>
    <cellStyle name="Comma 2 2 3 2 3 2 2 4 2 2 2 2" xfId="20546"/>
    <cellStyle name="Comma 2 2 3 2 3 2 2 4 2 2 2 2 2" xfId="54811"/>
    <cellStyle name="Comma 2 2 3 2 3 2 2 4 2 2 2 2 2 2" xfId="55872"/>
    <cellStyle name="Comma 2 2 3 2 3 2 2 4 2 2 2 3" xfId="34048"/>
    <cellStyle name="Comma 2 2 3 2 3 2 2 4 2 2 3" xfId="32986"/>
    <cellStyle name="Comma 2 2 3 2 3 2 2 4 2 2 3 2" xfId="42421"/>
    <cellStyle name="Comma 2 2 3 2 3 2 2 4 2 3" xfId="12217"/>
    <cellStyle name="Comma 2 2 3 2 3 2 2 4 2 3 2" xfId="41352"/>
    <cellStyle name="Comma 2 2 3 2 3 2 2 4 2 3 2 2" xfId="47564"/>
    <cellStyle name="Comma 2 2 3 2 3 2 2 4 2 4" xfId="25702"/>
    <cellStyle name="Comma 2 2 3 2 3 2 2 4 3" xfId="11143"/>
    <cellStyle name="Comma 2 2 3 2 3 2 2 4 3 2" xfId="15412"/>
    <cellStyle name="Comma 2 2 3 2 3 2 2 4 3 2 2" xfId="46501"/>
    <cellStyle name="Comma 2 2 3 2 3 2 2 4 3 2 2 2" xfId="50745"/>
    <cellStyle name="Comma 2 2 3 2 3 2 2 4 3 3" xfId="28919"/>
    <cellStyle name="Comma 2 2 3 2 3 2 2 4 4" xfId="24636"/>
    <cellStyle name="Comma 2 2 3 2 3 2 2 4 4 2" xfId="37222"/>
    <cellStyle name="Comma 2 2 3 2 3 2 2 5" xfId="3746"/>
    <cellStyle name="Comma 2 2 3 2 3 2 2 5 2" xfId="14302"/>
    <cellStyle name="Comma 2 2 3 2 3 2 2 5 2 2" xfId="17362"/>
    <cellStyle name="Comma 2 2 3 2 3 2 2 5 2 2 2" xfId="49647"/>
    <cellStyle name="Comma 2 2 3 2 3 2 2 5 2 2 2 2" xfId="52689"/>
    <cellStyle name="Comma 2 2 3 2 3 2 2 5 2 3" xfId="30863"/>
    <cellStyle name="Comma 2 2 3 2 3 2 2 5 3" xfId="27812"/>
    <cellStyle name="Comma 2 2 3 2 3 2 2 5 3 2" xfId="39197"/>
    <cellStyle name="Comma 2 2 3 2 3 2 2 6" xfId="8936"/>
    <cellStyle name="Comma 2 2 3 2 3 2 2 6 2" xfId="36114"/>
    <cellStyle name="Comma 2 2 3 2 3 2 2 6 2 2" xfId="44335"/>
    <cellStyle name="Comma 2 2 3 2 3 2 2 7" xfId="22443"/>
    <cellStyle name="Comma 2 2 3 2 3 2 3" xfId="915"/>
    <cellStyle name="Comma 2 2 3 2 3 2 3 2" xfId="1137"/>
    <cellStyle name="Comma 2 2 3 2 3 2 3 2 2" xfId="2953"/>
    <cellStyle name="Comma 2 2 3 2 3 2 3 2 2 2" xfId="3162"/>
    <cellStyle name="Comma 2 2 3 2 3 2 3 2 2 2 2" xfId="8168"/>
    <cellStyle name="Comma 2 2 3 2 3 2 3 2 2 2 2 2" xfId="8377"/>
    <cellStyle name="Comma 2 2 3 2 3 2 3 2 2 2 2 2 2" xfId="21720"/>
    <cellStyle name="Comma 2 2 3 2 3 2 3 2 2 2 2 2 2 2" xfId="21929"/>
    <cellStyle name="Comma 2 2 3 2 3 2 3 2 2 2 2 2 2 2 2" xfId="57046"/>
    <cellStyle name="Comma 2 2 3 2 3 2 3 2 2 2 2 2 2 2 2 2" xfId="57255"/>
    <cellStyle name="Comma 2 2 3 2 3 2 3 2 2 2 2 2 2 3" xfId="35432"/>
    <cellStyle name="Comma 2 2 3 2 3 2 3 2 2 2 2 2 3" xfId="35223"/>
    <cellStyle name="Comma 2 2 3 2 3 2 3 2 2 2 2 2 3 2" xfId="43804"/>
    <cellStyle name="Comma 2 2 3 2 3 2 3 2 2 2 2 3" xfId="13602"/>
    <cellStyle name="Comma 2 2 3 2 3 2 3 2 2 2 2 3 2" xfId="43595"/>
    <cellStyle name="Comma 2 2 3 2 3 2 3 2 2 2 2 3 2 2" xfId="48948"/>
    <cellStyle name="Comma 2 2 3 2 3 2 3 2 2 2 2 4" xfId="27087"/>
    <cellStyle name="Comma 2 2 3 2 3 2 3 2 2 2 3" xfId="13393"/>
    <cellStyle name="Comma 2 2 3 2 3 2 3 2 2 2 3 2" xfId="16819"/>
    <cellStyle name="Comma 2 2 3 2 3 2 3 2 2 2 3 2 2" xfId="48739"/>
    <cellStyle name="Comma 2 2 3 2 3 2 3 2 2 2 3 2 2 2" xfId="52147"/>
    <cellStyle name="Comma 2 2 3 2 3 2 3 2 2 2 3 3" xfId="30321"/>
    <cellStyle name="Comma 2 2 3 2 3 2 3 2 2 2 4" xfId="26878"/>
    <cellStyle name="Comma 2 2 3 2 3 2 3 2 2 2 4 2" xfId="38631"/>
    <cellStyle name="Comma 2 2 3 2 3 2 3 2 2 3" xfId="5199"/>
    <cellStyle name="Comma 2 2 3 2 3 2 3 2 2 3 2" xfId="16610"/>
    <cellStyle name="Comma 2 2 3 2 3 2 3 2 2 3 2 2" xfId="18772"/>
    <cellStyle name="Comma 2 2 3 2 3 2 3 2 2 3 2 2 2" xfId="51938"/>
    <cellStyle name="Comma 2 2 3 2 3 2 3 2 2 3 2 2 2 2" xfId="54098"/>
    <cellStyle name="Comma 2 2 3 2 3 2 3 2 2 3 2 3" xfId="32273"/>
    <cellStyle name="Comma 2 2 3 2 3 2 3 2 2 3 3" xfId="30112"/>
    <cellStyle name="Comma 2 2 3 2 3 2 3 2 2 3 3 2" xfId="40636"/>
    <cellStyle name="Comma 2 2 3 2 3 2 3 2 2 4" xfId="10402"/>
    <cellStyle name="Comma 2 2 3 2 3 2 3 2 2 4 2" xfId="38422"/>
    <cellStyle name="Comma 2 2 3 2 3 2 3 2 2 4 2 2" xfId="45765"/>
    <cellStyle name="Comma 2 2 3 2 3 2 3 2 2 5" xfId="23888"/>
    <cellStyle name="Comma 2 2 3 2 3 2 3 2 3" xfId="4989"/>
    <cellStyle name="Comma 2 2 3 2 3 2 3 2 3 2" xfId="6445"/>
    <cellStyle name="Comma 2 2 3 2 3 2 3 2 3 2 2" xfId="18562"/>
    <cellStyle name="Comma 2 2 3 2 3 2 3 2 3 2 2 2" xfId="20000"/>
    <cellStyle name="Comma 2 2 3 2 3 2 3 2 3 2 2 2 2" xfId="53888"/>
    <cellStyle name="Comma 2 2 3 2 3 2 3 2 3 2 2 2 2 2" xfId="55326"/>
    <cellStyle name="Comma 2 2 3 2 3 2 3 2 3 2 2 3" xfId="33502"/>
    <cellStyle name="Comma 2 2 3 2 3 2 3 2 3 2 3" xfId="32063"/>
    <cellStyle name="Comma 2 2 3 2 3 2 3 2 3 2 3 2" xfId="41873"/>
    <cellStyle name="Comma 2 2 3 2 3 2 3 2 3 3" xfId="11669"/>
    <cellStyle name="Comma 2 2 3 2 3 2 3 2 3 3 2" xfId="40426"/>
    <cellStyle name="Comma 2 2 3 2 3 2 3 2 3 3 2 2" xfId="47018"/>
    <cellStyle name="Comma 2 2 3 2 3 2 3 2 3 4" xfId="25155"/>
    <cellStyle name="Comma 2 2 3 2 3 2 3 2 4" xfId="10192"/>
    <cellStyle name="Comma 2 2 3 2 3 2 3 2 4 2" xfId="14828"/>
    <cellStyle name="Comma 2 2 3 2 3 2 3 2 4 2 2" xfId="45555"/>
    <cellStyle name="Comma 2 2 3 2 3 2 3 2 4 2 2 2" xfId="50167"/>
    <cellStyle name="Comma 2 2 3 2 3 2 3 2 4 3" xfId="28340"/>
    <cellStyle name="Comma 2 2 3 2 3 2 3 2 5" xfId="23678"/>
    <cellStyle name="Comma 2 2 3 2 3 2 3 2 5 2" xfId="36636"/>
    <cellStyle name="Comma 2 2 3 2 3 2 3 3" xfId="1945"/>
    <cellStyle name="Comma 2 2 3 2 3 2 3 3 2" xfId="6226"/>
    <cellStyle name="Comma 2 2 3 2 3 2 3 3 2 2" xfId="7184"/>
    <cellStyle name="Comma 2 2 3 2 3 2 3 3 2 2 2" xfId="19783"/>
    <cellStyle name="Comma 2 2 3 2 3 2 3 3 2 2 2 2" xfId="20736"/>
    <cellStyle name="Comma 2 2 3 2 3 2 3 3 2 2 2 2 2" xfId="55109"/>
    <cellStyle name="Comma 2 2 3 2 3 2 3 3 2 2 2 2 2 2" xfId="56062"/>
    <cellStyle name="Comma 2 2 3 2 3 2 3 3 2 2 2 3" xfId="34239"/>
    <cellStyle name="Comma 2 2 3 2 3 2 3 3 2 2 3" xfId="33285"/>
    <cellStyle name="Comma 2 2 3 2 3 2 3 3 2 2 3 2" xfId="42611"/>
    <cellStyle name="Comma 2 2 3 2 3 2 3 3 2 3" xfId="12409"/>
    <cellStyle name="Comma 2 2 3 2 3 2 3 3 2 3 2" xfId="41655"/>
    <cellStyle name="Comma 2 2 3 2 3 2 3 3 2 3 2 2" xfId="47755"/>
    <cellStyle name="Comma 2 2 3 2 3 2 3 3 2 4" xfId="25893"/>
    <cellStyle name="Comma 2 2 3 2 3 2 3 3 3" xfId="11451"/>
    <cellStyle name="Comma 2 2 3 2 3 2 3 3 3 2" xfId="15610"/>
    <cellStyle name="Comma 2 2 3 2 3 2 3 3 3 2 2" xfId="46800"/>
    <cellStyle name="Comma 2 2 3 2 3 2 3 3 3 2 2 2" xfId="50942"/>
    <cellStyle name="Comma 2 2 3 2 3 2 3 3 3 3" xfId="29116"/>
    <cellStyle name="Comma 2 2 3 2 3 2 3 3 4" xfId="24937"/>
    <cellStyle name="Comma 2 2 3 2 3 2 3 3 4 2" xfId="37423"/>
    <cellStyle name="Comma 2 2 3 2 3 2 3 4" xfId="3959"/>
    <cellStyle name="Comma 2 2 3 2 3 2 3 4 2" xfId="14609"/>
    <cellStyle name="Comma 2 2 3 2 3 2 3 4 2 2" xfId="17559"/>
    <cellStyle name="Comma 2 2 3 2 3 2 3 4 2 2 2" xfId="49948"/>
    <cellStyle name="Comma 2 2 3 2 3 2 3 4 2 2 2 2" xfId="52886"/>
    <cellStyle name="Comma 2 2 3 2 3 2 3 4 2 3" xfId="31061"/>
    <cellStyle name="Comma 2 2 3 2 3 2 3 4 3" xfId="28120"/>
    <cellStyle name="Comma 2 2 3 2 3 2 3 4 3 2" xfId="39403"/>
    <cellStyle name="Comma 2 2 3 2 3 2 3 5" xfId="9152"/>
    <cellStyle name="Comma 2 2 3 2 3 2 3 5 2" xfId="36417"/>
    <cellStyle name="Comma 2 2 3 2 3 2 3 5 2 2" xfId="44539"/>
    <cellStyle name="Comma 2 2 3 2 3 2 3 6" xfId="22653"/>
    <cellStyle name="Comma 2 2 3 2 3 2 4" xfId="1711"/>
    <cellStyle name="Comma 2 2 3 2 3 2 4 2" xfId="2393"/>
    <cellStyle name="Comma 2 2 3 2 3 2 4 2 2" xfId="6964"/>
    <cellStyle name="Comma 2 2 3 2 3 2 4 2 2 2" xfId="7626"/>
    <cellStyle name="Comma 2 2 3 2 3 2 4 2 2 2 2" xfId="20517"/>
    <cellStyle name="Comma 2 2 3 2 3 2 4 2 2 2 2 2" xfId="21178"/>
    <cellStyle name="Comma 2 2 3 2 3 2 4 2 2 2 2 2 2" xfId="55843"/>
    <cellStyle name="Comma 2 2 3 2 3 2 4 2 2 2 2 2 2 2" xfId="56504"/>
    <cellStyle name="Comma 2 2 3 2 3 2 4 2 2 2 2 3" xfId="34681"/>
    <cellStyle name="Comma 2 2 3 2 3 2 4 2 2 2 3" xfId="34019"/>
    <cellStyle name="Comma 2 2 3 2 3 2 4 2 2 2 3 2" xfId="43053"/>
    <cellStyle name="Comma 2 2 3 2 3 2 4 2 2 3" xfId="12851"/>
    <cellStyle name="Comma 2 2 3 2 3 2 4 2 2 3 2" xfId="42392"/>
    <cellStyle name="Comma 2 2 3 2 3 2 4 2 2 3 2 2" xfId="48197"/>
    <cellStyle name="Comma 2 2 3 2 3 2 4 2 2 4" xfId="26335"/>
    <cellStyle name="Comma 2 2 3 2 3 2 4 2 3" xfId="12188"/>
    <cellStyle name="Comma 2 2 3 2 3 2 4 2 3 2" xfId="16056"/>
    <cellStyle name="Comma 2 2 3 2 3 2 4 2 3 2 2" xfId="47535"/>
    <cellStyle name="Comma 2 2 3 2 3 2 4 2 3 2 2 2" xfId="51388"/>
    <cellStyle name="Comma 2 2 3 2 3 2 4 2 3 3" xfId="29562"/>
    <cellStyle name="Comma 2 2 3 2 3 2 4 2 4" xfId="25673"/>
    <cellStyle name="Comma 2 2 3 2 3 2 4 2 4 2" xfId="37871"/>
    <cellStyle name="Comma 2 2 3 2 3 2 4 3" xfId="4428"/>
    <cellStyle name="Comma 2 2 3 2 3 2 4 3 2" xfId="15383"/>
    <cellStyle name="Comma 2 2 3 2 3 2 4 3 2 2" xfId="18019"/>
    <cellStyle name="Comma 2 2 3 2 3 2 4 3 2 2 2" xfId="50716"/>
    <cellStyle name="Comma 2 2 3 2 3 2 4 3 2 2 2 2" xfId="53345"/>
    <cellStyle name="Comma 2 2 3 2 3 2 4 3 2 3" xfId="31520"/>
    <cellStyle name="Comma 2 2 3 2 3 2 4 3 3" xfId="28890"/>
    <cellStyle name="Comma 2 2 3 2 3 2 4 3 3 2" xfId="39870"/>
    <cellStyle name="Comma 2 2 3 2 3 2 4 4" xfId="9631"/>
    <cellStyle name="Comma 2 2 3 2 3 2 4 4 2" xfId="37193"/>
    <cellStyle name="Comma 2 2 3 2 3 2 4 4 2 2" xfId="45011"/>
    <cellStyle name="Comma 2 2 3 2 3 2 4 5" xfId="23132"/>
    <cellStyle name="Comma 2 2 3 2 3 2 5" xfId="3716"/>
    <cellStyle name="Comma 2 2 3 2 3 2 5 2" xfId="5634"/>
    <cellStyle name="Comma 2 2 3 2 3 2 5 2 2" xfId="17332"/>
    <cellStyle name="Comma 2 2 3 2 3 2 5 2 2 2" xfId="19206"/>
    <cellStyle name="Comma 2 2 3 2 3 2 5 2 2 2 2" xfId="52659"/>
    <cellStyle name="Comma 2 2 3 2 3 2 5 2 2 2 2 2" xfId="54532"/>
    <cellStyle name="Comma 2 2 3 2 3 2 5 2 2 3" xfId="32707"/>
    <cellStyle name="Comma 2 2 3 2 3 2 5 2 3" xfId="30833"/>
    <cellStyle name="Comma 2 2 3 2 3 2 5 2 3 2" xfId="41070"/>
    <cellStyle name="Comma 2 2 3 2 3 2 5 3" xfId="10850"/>
    <cellStyle name="Comma 2 2 3 2 3 2 5 3 2" xfId="39167"/>
    <cellStyle name="Comma 2 2 3 2 3 2 5 3 2 2" xfId="46212"/>
    <cellStyle name="Comma 2 2 3 2 3 2 5 4" xfId="24342"/>
    <cellStyle name="Comma 2 2 3 2 3 2 6" xfId="8906"/>
    <cellStyle name="Comma 2 2 3 2 3 2 6 2" xfId="14018"/>
    <cellStyle name="Comma 2 2 3 2 3 2 6 2 2" xfId="44305"/>
    <cellStyle name="Comma 2 2 3 2 3 2 6 2 2 2" xfId="49364"/>
    <cellStyle name="Comma 2 2 3 2 3 2 6 3" xfId="27513"/>
    <cellStyle name="Comma 2 2 3 2 3 2 7" xfId="22413"/>
    <cellStyle name="Comma 2 2 3 2 3 2 7 2" xfId="35830"/>
    <cellStyle name="Comma 2 2 3 2 3 3" xfId="418"/>
    <cellStyle name="Comma 2 2 3 2 3 3 2" xfId="1096"/>
    <cellStyle name="Comma 2 2 3 2 3 3 2 2" xfId="1247"/>
    <cellStyle name="Comma 2 2 3 2 3 3 2 2 2" xfId="3126"/>
    <cellStyle name="Comma 2 2 3 2 3 3 2 2 2 2" xfId="3265"/>
    <cellStyle name="Comma 2 2 3 2 3 3 2 2 2 2 2" xfId="8341"/>
    <cellStyle name="Comma 2 2 3 2 3 3 2 2 2 2 2 2" xfId="8480"/>
    <cellStyle name="Comma 2 2 3 2 3 3 2 2 2 2 2 2 2" xfId="21893"/>
    <cellStyle name="Comma 2 2 3 2 3 3 2 2 2 2 2 2 2 2" xfId="22032"/>
    <cellStyle name="Comma 2 2 3 2 3 3 2 2 2 2 2 2 2 2 2" xfId="57219"/>
    <cellStyle name="Comma 2 2 3 2 3 3 2 2 2 2 2 2 2 2 2 2" xfId="57358"/>
    <cellStyle name="Comma 2 2 3 2 3 3 2 2 2 2 2 2 2 3" xfId="35535"/>
    <cellStyle name="Comma 2 2 3 2 3 3 2 2 2 2 2 2 3" xfId="35396"/>
    <cellStyle name="Comma 2 2 3 2 3 3 2 2 2 2 2 2 3 2" xfId="43907"/>
    <cellStyle name="Comma 2 2 3 2 3 3 2 2 2 2 2 3" xfId="13705"/>
    <cellStyle name="Comma 2 2 3 2 3 3 2 2 2 2 2 3 2" xfId="43768"/>
    <cellStyle name="Comma 2 2 3 2 3 3 2 2 2 2 2 3 2 2" xfId="49051"/>
    <cellStyle name="Comma 2 2 3 2 3 3 2 2 2 2 2 4" xfId="27190"/>
    <cellStyle name="Comma 2 2 3 2 3 3 2 2 2 2 3" xfId="13566"/>
    <cellStyle name="Comma 2 2 3 2 3 3 2 2 2 2 3 2" xfId="16922"/>
    <cellStyle name="Comma 2 2 3 2 3 3 2 2 2 2 3 2 2" xfId="48912"/>
    <cellStyle name="Comma 2 2 3 2 3 3 2 2 2 2 3 2 2 2" xfId="52250"/>
    <cellStyle name="Comma 2 2 3 2 3 3 2 2 2 2 3 3" xfId="30424"/>
    <cellStyle name="Comma 2 2 3 2 3 3 2 2 2 2 4" xfId="27051"/>
    <cellStyle name="Comma 2 2 3 2 3 3 2 2 2 2 4 2" xfId="38734"/>
    <cellStyle name="Comma 2 2 3 2 3 3 2 2 2 3" xfId="5302"/>
    <cellStyle name="Comma 2 2 3 2 3 3 2 2 2 3 2" xfId="16783"/>
    <cellStyle name="Comma 2 2 3 2 3 3 2 2 2 3 2 2" xfId="18875"/>
    <cellStyle name="Comma 2 2 3 2 3 3 2 2 2 3 2 2 2" xfId="52111"/>
    <cellStyle name="Comma 2 2 3 2 3 3 2 2 2 3 2 2 2 2" xfId="54201"/>
    <cellStyle name="Comma 2 2 3 2 3 3 2 2 2 3 2 3" xfId="32376"/>
    <cellStyle name="Comma 2 2 3 2 3 3 2 2 2 3 3" xfId="30285"/>
    <cellStyle name="Comma 2 2 3 2 3 3 2 2 2 3 3 2" xfId="40739"/>
    <cellStyle name="Comma 2 2 3 2 3 3 2 2 2 4" xfId="10505"/>
    <cellStyle name="Comma 2 2 3 2 3 3 2 2 2 4 2" xfId="38595"/>
    <cellStyle name="Comma 2 2 3 2 3 3 2 2 2 4 2 2" xfId="45868"/>
    <cellStyle name="Comma 2 2 3 2 3 3 2 2 2 5" xfId="23991"/>
    <cellStyle name="Comma 2 2 3 2 3 3 2 2 3" xfId="5163"/>
    <cellStyle name="Comma 2 2 3 2 3 3 2 2 3 2" xfId="6555"/>
    <cellStyle name="Comma 2 2 3 2 3 3 2 2 3 2 2" xfId="18736"/>
    <cellStyle name="Comma 2 2 3 2 3 3 2 2 3 2 2 2" xfId="20108"/>
    <cellStyle name="Comma 2 2 3 2 3 3 2 2 3 2 2 2 2" xfId="54062"/>
    <cellStyle name="Comma 2 2 3 2 3 3 2 2 3 2 2 2 2 2" xfId="55434"/>
    <cellStyle name="Comma 2 2 3 2 3 3 2 2 3 2 2 3" xfId="33610"/>
    <cellStyle name="Comma 2 2 3 2 3 3 2 2 3 2 3" xfId="32237"/>
    <cellStyle name="Comma 2 2 3 2 3 3 2 2 3 2 3 2" xfId="41983"/>
    <cellStyle name="Comma 2 2 3 2 3 3 2 2 3 3" xfId="11778"/>
    <cellStyle name="Comma 2 2 3 2 3 3 2 2 3 3 2" xfId="40600"/>
    <cellStyle name="Comma 2 2 3 2 3 3 2 2 3 3 2 2" xfId="47126"/>
    <cellStyle name="Comma 2 2 3 2 3 3 2 2 3 4" xfId="25263"/>
    <cellStyle name="Comma 2 2 3 2 3 3 2 2 4" xfId="10366"/>
    <cellStyle name="Comma 2 2 3 2 3 3 2 2 4 2" xfId="14936"/>
    <cellStyle name="Comma 2 2 3 2 3 3 2 2 4 2 2" xfId="45729"/>
    <cellStyle name="Comma 2 2 3 2 3 3 2 2 4 2 2 2" xfId="50275"/>
    <cellStyle name="Comma 2 2 3 2 3 3 2 2 4 3" xfId="28449"/>
    <cellStyle name="Comma 2 2 3 2 3 3 2 2 5" xfId="23852"/>
    <cellStyle name="Comma 2 2 3 2 3 3 2 2 5 2" xfId="36744"/>
    <cellStyle name="Comma 2 2 3 2 3 3 2 3" xfId="2053"/>
    <cellStyle name="Comma 2 2 3 2 3 3 2 3 2" xfId="6405"/>
    <cellStyle name="Comma 2 2 3 2 3 3 2 3 2 2" xfId="7287"/>
    <cellStyle name="Comma 2 2 3 2 3 3 2 3 2 2 2" xfId="19961"/>
    <cellStyle name="Comma 2 2 3 2 3 3 2 3 2 2 2 2" xfId="20839"/>
    <cellStyle name="Comma 2 2 3 2 3 3 2 3 2 2 2 2 2" xfId="55287"/>
    <cellStyle name="Comma 2 2 3 2 3 3 2 3 2 2 2 2 2 2" xfId="56165"/>
    <cellStyle name="Comma 2 2 3 2 3 3 2 3 2 2 2 3" xfId="34342"/>
    <cellStyle name="Comma 2 2 3 2 3 3 2 3 2 2 3" xfId="33463"/>
    <cellStyle name="Comma 2 2 3 2 3 3 2 3 2 2 3 2" xfId="42714"/>
    <cellStyle name="Comma 2 2 3 2 3 3 2 3 2 3" xfId="12512"/>
    <cellStyle name="Comma 2 2 3 2 3 3 2 3 2 3 2" xfId="41834"/>
    <cellStyle name="Comma 2 2 3 2 3 3 2 3 2 3 2 2" xfId="47858"/>
    <cellStyle name="Comma 2 2 3 2 3 3 2 3 2 4" xfId="25996"/>
    <cellStyle name="Comma 2 2 3 2 3 3 2 3 3" xfId="11630"/>
    <cellStyle name="Comma 2 2 3 2 3 3 2 3 3 2" xfId="15717"/>
    <cellStyle name="Comma 2 2 3 2 3 3 2 3 3 2 2" xfId="46979"/>
    <cellStyle name="Comma 2 2 3 2 3 3 2 3 3 2 2 2" xfId="51049"/>
    <cellStyle name="Comma 2 2 3 2 3 3 2 3 3 3" xfId="29223"/>
    <cellStyle name="Comma 2 2 3 2 3 3 2 3 4" xfId="25116"/>
    <cellStyle name="Comma 2 2 3 2 3 3 2 3 4 2" xfId="37531"/>
    <cellStyle name="Comma 2 2 3 2 3 3 2 4" xfId="4069"/>
    <cellStyle name="Comma 2 2 3 2 3 3 2 4 2" xfId="14788"/>
    <cellStyle name="Comma 2 2 3 2 3 3 2 4 2 2" xfId="17662"/>
    <cellStyle name="Comma 2 2 3 2 3 3 2 4 2 2 2" xfId="50127"/>
    <cellStyle name="Comma 2 2 3 2 3 3 2 4 2 2 2 2" xfId="52989"/>
    <cellStyle name="Comma 2 2 3 2 3 3 2 4 2 3" xfId="31164"/>
    <cellStyle name="Comma 2 2 3 2 3 3 2 4 3" xfId="28300"/>
    <cellStyle name="Comma 2 2 3 2 3 3 2 4 3 2" xfId="39512"/>
    <cellStyle name="Comma 2 2 3 2 3 3 2 5" xfId="9260"/>
    <cellStyle name="Comma 2 2 3 2 3 3 2 5 2" xfId="36596"/>
    <cellStyle name="Comma 2 2 3 2 3 3 2 5 2 2" xfId="44642"/>
    <cellStyle name="Comma 2 2 3 2 3 3 2 6" xfId="22756"/>
    <cellStyle name="Comma 2 2 3 2 3 3 3" xfId="1904"/>
    <cellStyle name="Comma 2 2 3 2 3 3 3 2" xfId="2520"/>
    <cellStyle name="Comma 2 2 3 2 3 3 3 2 2" xfId="7148"/>
    <cellStyle name="Comma 2 2 3 2 3 3 3 2 2 2" xfId="7745"/>
    <cellStyle name="Comma 2 2 3 2 3 3 3 2 2 2 2" xfId="20700"/>
    <cellStyle name="Comma 2 2 3 2 3 3 3 2 2 2 2 2" xfId="21297"/>
    <cellStyle name="Comma 2 2 3 2 3 3 3 2 2 2 2 2 2" xfId="56026"/>
    <cellStyle name="Comma 2 2 3 2 3 3 3 2 2 2 2 2 2 2" xfId="56623"/>
    <cellStyle name="Comma 2 2 3 2 3 3 3 2 2 2 2 3" xfId="34800"/>
    <cellStyle name="Comma 2 2 3 2 3 3 3 2 2 2 3" xfId="34203"/>
    <cellStyle name="Comma 2 2 3 2 3 3 3 2 2 2 3 2" xfId="43172"/>
    <cellStyle name="Comma 2 2 3 2 3 3 3 2 2 3" xfId="12970"/>
    <cellStyle name="Comma 2 2 3 2 3 3 3 2 2 3 2" xfId="42575"/>
    <cellStyle name="Comma 2 2 3 2 3 3 3 2 2 3 2 2" xfId="48316"/>
    <cellStyle name="Comma 2 2 3 2 3 3 3 2 2 4" xfId="26454"/>
    <cellStyle name="Comma 2 2 3 2 3 3 3 2 3" xfId="12373"/>
    <cellStyle name="Comma 2 2 3 2 3 3 3 2 3 2" xfId="16181"/>
    <cellStyle name="Comma 2 2 3 2 3 3 3 2 3 2 2" xfId="47719"/>
    <cellStyle name="Comma 2 2 3 2 3 3 3 2 3 2 2 2" xfId="51512"/>
    <cellStyle name="Comma 2 2 3 2 3 3 3 2 3 3" xfId="29686"/>
    <cellStyle name="Comma 2 2 3 2 3 3 3 2 4" xfId="25857"/>
    <cellStyle name="Comma 2 2 3 2 3 3 3 2 4 2" xfId="37995"/>
    <cellStyle name="Comma 2 2 3 2 3 3 3 3" xfId="4555"/>
    <cellStyle name="Comma 2 2 3 2 3 3 3 3 2" xfId="15571"/>
    <cellStyle name="Comma 2 2 3 2 3 3 3 3 2 2" xfId="18138"/>
    <cellStyle name="Comma 2 2 3 2 3 3 3 3 2 2 2" xfId="50903"/>
    <cellStyle name="Comma 2 2 3 2 3 3 3 3 2 2 2 2" xfId="53464"/>
    <cellStyle name="Comma 2 2 3 2 3 3 3 3 2 3" xfId="31639"/>
    <cellStyle name="Comma 2 2 3 2 3 3 3 3 3" xfId="29077"/>
    <cellStyle name="Comma 2 2 3 2 3 3 3 3 3 2" xfId="39996"/>
    <cellStyle name="Comma 2 2 3 2 3 3 3 4" xfId="9758"/>
    <cellStyle name="Comma 2 2 3 2 3 3 3 4 2" xfId="37383"/>
    <cellStyle name="Comma 2 2 3 2 3 3 3 4 2 2" xfId="45131"/>
    <cellStyle name="Comma 2 2 3 2 3 3 3 5" xfId="23254"/>
    <cellStyle name="Comma 2 2 3 2 3 3 4" xfId="3918"/>
    <cellStyle name="Comma 2 2 3 2 3 3 4 2" xfId="5761"/>
    <cellStyle name="Comma 2 2 3 2 3 3 4 2 2" xfId="17523"/>
    <cellStyle name="Comma 2 2 3 2 3 3 4 2 2 2" xfId="19330"/>
    <cellStyle name="Comma 2 2 3 2 3 3 4 2 2 2 2" xfId="52850"/>
    <cellStyle name="Comma 2 2 3 2 3 3 4 2 2 2 2 2" xfId="54656"/>
    <cellStyle name="Comma 2 2 3 2 3 3 4 2 2 3" xfId="32831"/>
    <cellStyle name="Comma 2 2 3 2 3 3 4 2 3" xfId="31025"/>
    <cellStyle name="Comma 2 2 3 2 3 3 4 2 3 2" xfId="41196"/>
    <cellStyle name="Comma 2 2 3 2 3 3 4 3" xfId="10982"/>
    <cellStyle name="Comma 2 2 3 2 3 3 4 3 2" xfId="39363"/>
    <cellStyle name="Comma 2 2 3 2 3 3 4 3 2 2" xfId="46341"/>
    <cellStyle name="Comma 2 2 3 2 3 3 4 4" xfId="24475"/>
    <cellStyle name="Comma 2 2 3 2 3 3 5" xfId="9110"/>
    <cellStyle name="Comma 2 2 3 2 3 3 5 2" xfId="14145"/>
    <cellStyle name="Comma 2 2 3 2 3 3 5 2 2" xfId="44502"/>
    <cellStyle name="Comma 2 2 3 2 3 3 5 2 2 2" xfId="49490"/>
    <cellStyle name="Comma 2 2 3 2 3 3 5 3" xfId="27647"/>
    <cellStyle name="Comma 2 2 3 2 3 3 6" xfId="22616"/>
    <cellStyle name="Comma 2 2 3 2 3 3 6 2" xfId="35956"/>
    <cellStyle name="Comma 2 2 3 2 3 4" xfId="739"/>
    <cellStyle name="Comma 2 2 3 2 3 4 2" xfId="2353"/>
    <cellStyle name="Comma 2 2 3 2 3 4 2 2" xfId="2809"/>
    <cellStyle name="Comma 2 2 3 2 3 4 2 2 2" xfId="7587"/>
    <cellStyle name="Comma 2 2 3 2 3 4 2 2 2 2" xfId="8025"/>
    <cellStyle name="Comma 2 2 3 2 3 4 2 2 2 2 2" xfId="21139"/>
    <cellStyle name="Comma 2 2 3 2 3 4 2 2 2 2 2 2" xfId="21577"/>
    <cellStyle name="Comma 2 2 3 2 3 4 2 2 2 2 2 2 2" xfId="56465"/>
    <cellStyle name="Comma 2 2 3 2 3 4 2 2 2 2 2 2 2 2" xfId="56903"/>
    <cellStyle name="Comma 2 2 3 2 3 4 2 2 2 2 2 3" xfId="35080"/>
    <cellStyle name="Comma 2 2 3 2 3 4 2 2 2 2 3" xfId="34642"/>
    <cellStyle name="Comma 2 2 3 2 3 4 2 2 2 2 3 2" xfId="43452"/>
    <cellStyle name="Comma 2 2 3 2 3 4 2 2 2 3" xfId="13250"/>
    <cellStyle name="Comma 2 2 3 2 3 4 2 2 2 3 2" xfId="43014"/>
    <cellStyle name="Comma 2 2 3 2 3 4 2 2 2 3 2 2" xfId="48596"/>
    <cellStyle name="Comma 2 2 3 2 3 4 2 2 2 4" xfId="26734"/>
    <cellStyle name="Comma 2 2 3 2 3 4 2 2 3" xfId="12812"/>
    <cellStyle name="Comma 2 2 3 2 3 4 2 2 3 2" xfId="16467"/>
    <cellStyle name="Comma 2 2 3 2 3 4 2 2 3 2 2" xfId="48158"/>
    <cellStyle name="Comma 2 2 3 2 3 4 2 2 3 2 2 2" xfId="51795"/>
    <cellStyle name="Comma 2 2 3 2 3 4 2 2 3 3" xfId="29969"/>
    <cellStyle name="Comma 2 2 3 2 3 4 2 2 4" xfId="26296"/>
    <cellStyle name="Comma 2 2 3 2 3 4 2 2 4 2" xfId="38279"/>
    <cellStyle name="Comma 2 2 3 2 3 4 2 3" xfId="4845"/>
    <cellStyle name="Comma 2 2 3 2 3 4 2 3 2" xfId="16017"/>
    <cellStyle name="Comma 2 2 3 2 3 4 2 3 2 2" xfId="18419"/>
    <cellStyle name="Comma 2 2 3 2 3 4 2 3 2 2 2" xfId="51349"/>
    <cellStyle name="Comma 2 2 3 2 3 4 2 3 2 2 2 2" xfId="53745"/>
    <cellStyle name="Comma 2 2 3 2 3 4 2 3 2 3" xfId="31920"/>
    <cellStyle name="Comma 2 2 3 2 3 4 2 3 3" xfId="29523"/>
    <cellStyle name="Comma 2 2 3 2 3 4 2 3 3 2" xfId="40282"/>
    <cellStyle name="Comma 2 2 3 2 3 4 2 4" xfId="10048"/>
    <cellStyle name="Comma 2 2 3 2 3 4 2 4 2" xfId="37831"/>
    <cellStyle name="Comma 2 2 3 2 3 4 2 4 2 2" xfId="45412"/>
    <cellStyle name="Comma 2 2 3 2 3 4 2 5" xfId="23535"/>
    <cellStyle name="Comma 2 2 3 2 3 4 3" xfId="4384"/>
    <cellStyle name="Comma 2 2 3 2 3 4 3 2" xfId="6061"/>
    <cellStyle name="Comma 2 2 3 2 3 4 3 2 2" xfId="17976"/>
    <cellStyle name="Comma 2 2 3 2 3 4 3 2 2 2" xfId="19625"/>
    <cellStyle name="Comma 2 2 3 2 3 4 3 2 2 2 2" xfId="53302"/>
    <cellStyle name="Comma 2 2 3 2 3 4 3 2 2 2 2 2" xfId="54951"/>
    <cellStyle name="Comma 2 2 3 2 3 4 3 2 2 3" xfId="33126"/>
    <cellStyle name="Comma 2 2 3 2 3 4 3 2 3" xfId="31477"/>
    <cellStyle name="Comma 2 2 3 2 3 4 3 2 3 2" xfId="41495"/>
    <cellStyle name="Comma 2 2 3 2 3 4 3 3" xfId="11287"/>
    <cellStyle name="Comma 2 2 3 2 3 4 3 3 2" xfId="39826"/>
    <cellStyle name="Comma 2 2 3 2 3 4 3 3 2 2" xfId="46642"/>
    <cellStyle name="Comma 2 2 3 2 3 4 3 4" xfId="24779"/>
    <cellStyle name="Comma 2 2 3 2 3 4 4" xfId="9586"/>
    <cellStyle name="Comma 2 2 3 2 3 4 4 2" xfId="14445"/>
    <cellStyle name="Comma 2 2 3 2 3 4 4 2 2" xfId="44967"/>
    <cellStyle name="Comma 2 2 3 2 3 4 4 2 2 2" xfId="49789"/>
    <cellStyle name="Comma 2 2 3 2 3 4 4 3" xfId="27957"/>
    <cellStyle name="Comma 2 2 3 2 3 4 5" xfId="23087"/>
    <cellStyle name="Comma 2 2 3 2 3 4 5 2" xfId="36257"/>
    <cellStyle name="Comma 2 2 3 2 3 5" xfId="1523"/>
    <cellStyle name="Comma 2 2 3 2 3 5 2" xfId="5594"/>
    <cellStyle name="Comma 2 2 3 2 3 5 2 2" xfId="6811"/>
    <cellStyle name="Comma 2 2 3 2 3 5 2 2 2" xfId="19166"/>
    <cellStyle name="Comma 2 2 3 2 3 5 2 2 2 2" xfId="20364"/>
    <cellStyle name="Comma 2 2 3 2 3 5 2 2 2 2 2" xfId="54492"/>
    <cellStyle name="Comma 2 2 3 2 3 5 2 2 2 2 2 2" xfId="55690"/>
    <cellStyle name="Comma 2 2 3 2 3 5 2 2 2 3" xfId="33866"/>
    <cellStyle name="Comma 2 2 3 2 3 5 2 2 3" xfId="32667"/>
    <cellStyle name="Comma 2 2 3 2 3 5 2 2 3 2" xfId="42239"/>
    <cellStyle name="Comma 2 2 3 2 3 5 2 3" xfId="12035"/>
    <cellStyle name="Comma 2 2 3 2 3 5 2 3 2" xfId="41030"/>
    <cellStyle name="Comma 2 2 3 2 3 5 2 3 2 2" xfId="47382"/>
    <cellStyle name="Comma 2 2 3 2 3 5 2 4" xfId="25519"/>
    <cellStyle name="Comma 2 2 3 2 3 5 3" xfId="10806"/>
    <cellStyle name="Comma 2 2 3 2 3 5 3 2" xfId="15204"/>
    <cellStyle name="Comma 2 2 3 2 3 5 3 2 2" xfId="46168"/>
    <cellStyle name="Comma 2 2 3 2 3 5 3 2 2 2" xfId="50542"/>
    <cellStyle name="Comma 2 2 3 2 3 5 3 3" xfId="28716"/>
    <cellStyle name="Comma 2 2 3 2 3 5 4" xfId="24296"/>
    <cellStyle name="Comma 2 2 3 2 3 5 4 2" xfId="37014"/>
    <cellStyle name="Comma 2 2 3 2 3 6" xfId="3524"/>
    <cellStyle name="Comma 2 2 3 2 3 6 2" xfId="13978"/>
    <cellStyle name="Comma 2 2 3 2 3 6 2 2" xfId="17176"/>
    <cellStyle name="Comma 2 2 3 2 3 6 2 2 2" xfId="49324"/>
    <cellStyle name="Comma 2 2 3 2 3 6 2 2 2 2" xfId="52503"/>
    <cellStyle name="Comma 2 2 3 2 3 6 2 3" xfId="30677"/>
    <cellStyle name="Comma 2 2 3 2 3 6 3" xfId="27470"/>
    <cellStyle name="Comma 2 2 3 2 3 6 3 2" xfId="38989"/>
    <cellStyle name="Comma 2 2 3 2 3 7" xfId="8718"/>
    <cellStyle name="Comma 2 2 3 2 3 7 2" xfId="35790"/>
    <cellStyle name="Comma 2 2 3 2 3 7 2 2" xfId="44144"/>
    <cellStyle name="Comma 2 2 3 2 3 8" xfId="22248"/>
    <cellStyle name="Comma 2 2 3 2 4" xfId="363"/>
    <cellStyle name="Comma 2 2 3 2 4 2" xfId="490"/>
    <cellStyle name="Comma 2 2 3 2 4 2 2" xfId="1211"/>
    <cellStyle name="Comma 2 2 3 2 4 2 2 2" xfId="1303"/>
    <cellStyle name="Comma 2 2 3 2 4 2 2 2 2" xfId="3229"/>
    <cellStyle name="Comma 2 2 3 2 4 2 2 2 2 2" xfId="3321"/>
    <cellStyle name="Comma 2 2 3 2 4 2 2 2 2 2 2" xfId="8444"/>
    <cellStyle name="Comma 2 2 3 2 4 2 2 2 2 2 2 2" xfId="8536"/>
    <cellStyle name="Comma 2 2 3 2 4 2 2 2 2 2 2 2 2" xfId="21996"/>
    <cellStyle name="Comma 2 2 3 2 4 2 2 2 2 2 2 2 2 2" xfId="22088"/>
    <cellStyle name="Comma 2 2 3 2 4 2 2 2 2 2 2 2 2 2 2" xfId="57322"/>
    <cellStyle name="Comma 2 2 3 2 4 2 2 2 2 2 2 2 2 2 2 2" xfId="57414"/>
    <cellStyle name="Comma 2 2 3 2 4 2 2 2 2 2 2 2 2 3" xfId="35591"/>
    <cellStyle name="Comma 2 2 3 2 4 2 2 2 2 2 2 2 3" xfId="35499"/>
    <cellStyle name="Comma 2 2 3 2 4 2 2 2 2 2 2 2 3 2" xfId="43963"/>
    <cellStyle name="Comma 2 2 3 2 4 2 2 2 2 2 2 3" xfId="13761"/>
    <cellStyle name="Comma 2 2 3 2 4 2 2 2 2 2 2 3 2" xfId="43871"/>
    <cellStyle name="Comma 2 2 3 2 4 2 2 2 2 2 2 3 2 2" xfId="49107"/>
    <cellStyle name="Comma 2 2 3 2 4 2 2 2 2 2 2 4" xfId="27246"/>
    <cellStyle name="Comma 2 2 3 2 4 2 2 2 2 2 3" xfId="13669"/>
    <cellStyle name="Comma 2 2 3 2 4 2 2 2 2 2 3 2" xfId="16978"/>
    <cellStyle name="Comma 2 2 3 2 4 2 2 2 2 2 3 2 2" xfId="49015"/>
    <cellStyle name="Comma 2 2 3 2 4 2 2 2 2 2 3 2 2 2" xfId="52306"/>
    <cellStyle name="Comma 2 2 3 2 4 2 2 2 2 2 3 3" xfId="30480"/>
    <cellStyle name="Comma 2 2 3 2 4 2 2 2 2 2 4" xfId="27154"/>
    <cellStyle name="Comma 2 2 3 2 4 2 2 2 2 2 4 2" xfId="38790"/>
    <cellStyle name="Comma 2 2 3 2 4 2 2 2 2 3" xfId="5358"/>
    <cellStyle name="Comma 2 2 3 2 4 2 2 2 2 3 2" xfId="16886"/>
    <cellStyle name="Comma 2 2 3 2 4 2 2 2 2 3 2 2" xfId="18931"/>
    <cellStyle name="Comma 2 2 3 2 4 2 2 2 2 3 2 2 2" xfId="52214"/>
    <cellStyle name="Comma 2 2 3 2 4 2 2 2 2 3 2 2 2 2" xfId="54257"/>
    <cellStyle name="Comma 2 2 3 2 4 2 2 2 2 3 2 3" xfId="32432"/>
    <cellStyle name="Comma 2 2 3 2 4 2 2 2 2 3 3" xfId="30388"/>
    <cellStyle name="Comma 2 2 3 2 4 2 2 2 2 3 3 2" xfId="40795"/>
    <cellStyle name="Comma 2 2 3 2 4 2 2 2 2 4" xfId="10561"/>
    <cellStyle name="Comma 2 2 3 2 4 2 2 2 2 4 2" xfId="38698"/>
    <cellStyle name="Comma 2 2 3 2 4 2 2 2 2 4 2 2" xfId="45924"/>
    <cellStyle name="Comma 2 2 3 2 4 2 2 2 2 5" xfId="24047"/>
    <cellStyle name="Comma 2 2 3 2 4 2 2 2 3" xfId="5266"/>
    <cellStyle name="Comma 2 2 3 2 4 2 2 2 3 2" xfId="6611"/>
    <cellStyle name="Comma 2 2 3 2 4 2 2 2 3 2 2" xfId="18839"/>
    <cellStyle name="Comma 2 2 3 2 4 2 2 2 3 2 2 2" xfId="20164"/>
    <cellStyle name="Comma 2 2 3 2 4 2 2 2 3 2 2 2 2" xfId="54165"/>
    <cellStyle name="Comma 2 2 3 2 4 2 2 2 3 2 2 2 2 2" xfId="55490"/>
    <cellStyle name="Comma 2 2 3 2 4 2 2 2 3 2 2 3" xfId="33666"/>
    <cellStyle name="Comma 2 2 3 2 4 2 2 2 3 2 3" xfId="32340"/>
    <cellStyle name="Comma 2 2 3 2 4 2 2 2 3 2 3 2" xfId="42039"/>
    <cellStyle name="Comma 2 2 3 2 4 2 2 2 3 3" xfId="11834"/>
    <cellStyle name="Comma 2 2 3 2 4 2 2 2 3 3 2" xfId="40703"/>
    <cellStyle name="Comma 2 2 3 2 4 2 2 2 3 3 2 2" xfId="47182"/>
    <cellStyle name="Comma 2 2 3 2 4 2 2 2 3 4" xfId="25319"/>
    <cellStyle name="Comma 2 2 3 2 4 2 2 2 4" xfId="10469"/>
    <cellStyle name="Comma 2 2 3 2 4 2 2 2 4 2" xfId="14992"/>
    <cellStyle name="Comma 2 2 3 2 4 2 2 2 4 2 2" xfId="45832"/>
    <cellStyle name="Comma 2 2 3 2 4 2 2 2 4 2 2 2" xfId="50331"/>
    <cellStyle name="Comma 2 2 3 2 4 2 2 2 4 3" xfId="28505"/>
    <cellStyle name="Comma 2 2 3 2 4 2 2 2 5" xfId="23955"/>
    <cellStyle name="Comma 2 2 3 2 4 2 2 2 5 2" xfId="36800"/>
    <cellStyle name="Comma 2 2 3 2 4 2 2 3" xfId="2110"/>
    <cellStyle name="Comma 2 2 3 2 4 2 2 3 2" xfId="6519"/>
    <cellStyle name="Comma 2 2 3 2 4 2 2 3 2 2" xfId="7344"/>
    <cellStyle name="Comma 2 2 3 2 4 2 2 3 2 2 2" xfId="20072"/>
    <cellStyle name="Comma 2 2 3 2 4 2 2 3 2 2 2 2" xfId="20896"/>
    <cellStyle name="Comma 2 2 3 2 4 2 2 3 2 2 2 2 2" xfId="55398"/>
    <cellStyle name="Comma 2 2 3 2 4 2 2 3 2 2 2 2 2 2" xfId="56222"/>
    <cellStyle name="Comma 2 2 3 2 4 2 2 3 2 2 2 3" xfId="34399"/>
    <cellStyle name="Comma 2 2 3 2 4 2 2 3 2 2 3" xfId="33574"/>
    <cellStyle name="Comma 2 2 3 2 4 2 2 3 2 2 3 2" xfId="42771"/>
    <cellStyle name="Comma 2 2 3 2 4 2 2 3 2 3" xfId="12569"/>
    <cellStyle name="Comma 2 2 3 2 4 2 2 3 2 3 2" xfId="41947"/>
    <cellStyle name="Comma 2 2 3 2 4 2 2 3 2 3 2 2" xfId="47915"/>
    <cellStyle name="Comma 2 2 3 2 4 2 2 3 2 4" xfId="26053"/>
    <cellStyle name="Comma 2 2 3 2 4 2 2 3 3" xfId="11742"/>
    <cellStyle name="Comma 2 2 3 2 4 2 2 3 3 2" xfId="15774"/>
    <cellStyle name="Comma 2 2 3 2 4 2 2 3 3 2 2" xfId="47090"/>
    <cellStyle name="Comma 2 2 3 2 4 2 2 3 3 2 2 2" xfId="51106"/>
    <cellStyle name="Comma 2 2 3 2 4 2 2 3 3 3" xfId="29280"/>
    <cellStyle name="Comma 2 2 3 2 4 2 2 3 4" xfId="25227"/>
    <cellStyle name="Comma 2 2 3 2 4 2 2 3 4 2" xfId="37588"/>
    <cellStyle name="Comma 2 2 3 2 4 2 2 4" xfId="4126"/>
    <cellStyle name="Comma 2 2 3 2 4 2 2 4 2" xfId="14900"/>
    <cellStyle name="Comma 2 2 3 2 4 2 2 4 2 2" xfId="17719"/>
    <cellStyle name="Comma 2 2 3 2 4 2 2 4 2 2 2" xfId="50239"/>
    <cellStyle name="Comma 2 2 3 2 4 2 2 4 2 2 2 2" xfId="53046"/>
    <cellStyle name="Comma 2 2 3 2 4 2 2 4 2 3" xfId="31221"/>
    <cellStyle name="Comma 2 2 3 2 4 2 2 4 3" xfId="28413"/>
    <cellStyle name="Comma 2 2 3 2 4 2 2 4 3 2" xfId="39569"/>
    <cellStyle name="Comma 2 2 3 2 4 2 2 5" xfId="9317"/>
    <cellStyle name="Comma 2 2 3 2 4 2 2 5 2" xfId="36708"/>
    <cellStyle name="Comma 2 2 3 2 4 2 2 5 2 2" xfId="44699"/>
    <cellStyle name="Comma 2 2 3 2 4 2 2 6" xfId="22813"/>
    <cellStyle name="Comma 2 2 3 2 4 2 3" xfId="2017"/>
    <cellStyle name="Comma 2 2 3 2 4 2 3 2" xfId="2587"/>
    <cellStyle name="Comma 2 2 3 2 4 2 3 2 2" xfId="7251"/>
    <cellStyle name="Comma 2 2 3 2 4 2 3 2 2 2" xfId="7808"/>
    <cellStyle name="Comma 2 2 3 2 4 2 3 2 2 2 2" xfId="20803"/>
    <cellStyle name="Comma 2 2 3 2 4 2 3 2 2 2 2 2" xfId="21360"/>
    <cellStyle name="Comma 2 2 3 2 4 2 3 2 2 2 2 2 2" xfId="56129"/>
    <cellStyle name="Comma 2 2 3 2 4 2 3 2 2 2 2 2 2 2" xfId="56686"/>
    <cellStyle name="Comma 2 2 3 2 4 2 3 2 2 2 2 3" xfId="34863"/>
    <cellStyle name="Comma 2 2 3 2 4 2 3 2 2 2 3" xfId="34306"/>
    <cellStyle name="Comma 2 2 3 2 4 2 3 2 2 2 3 2" xfId="43235"/>
    <cellStyle name="Comma 2 2 3 2 4 2 3 2 2 3" xfId="13033"/>
    <cellStyle name="Comma 2 2 3 2 4 2 3 2 2 3 2" xfId="42678"/>
    <cellStyle name="Comma 2 2 3 2 4 2 3 2 2 3 2 2" xfId="48379"/>
    <cellStyle name="Comma 2 2 3 2 4 2 3 2 2 4" xfId="26517"/>
    <cellStyle name="Comma 2 2 3 2 4 2 3 2 3" xfId="12476"/>
    <cellStyle name="Comma 2 2 3 2 4 2 3 2 3 2" xfId="16246"/>
    <cellStyle name="Comma 2 2 3 2 4 2 3 2 3 2 2" xfId="47822"/>
    <cellStyle name="Comma 2 2 3 2 4 2 3 2 3 2 2 2" xfId="51576"/>
    <cellStyle name="Comma 2 2 3 2 4 2 3 2 3 3" xfId="29750"/>
    <cellStyle name="Comma 2 2 3 2 4 2 3 2 4" xfId="25960"/>
    <cellStyle name="Comma 2 2 3 2 4 2 3 2 4 2" xfId="38060"/>
    <cellStyle name="Comma 2 2 3 2 4 2 3 3" xfId="4621"/>
    <cellStyle name="Comma 2 2 3 2 4 2 3 3 2" xfId="15681"/>
    <cellStyle name="Comma 2 2 3 2 4 2 3 3 2 2" xfId="18202"/>
    <cellStyle name="Comma 2 2 3 2 4 2 3 3 2 2 2" xfId="51013"/>
    <cellStyle name="Comma 2 2 3 2 4 2 3 3 2 2 2 2" xfId="53528"/>
    <cellStyle name="Comma 2 2 3 2 4 2 3 3 2 3" xfId="31703"/>
    <cellStyle name="Comma 2 2 3 2 4 2 3 3 3" xfId="29187"/>
    <cellStyle name="Comma 2 2 3 2 4 2 3 3 3 2" xfId="40060"/>
    <cellStyle name="Comma 2 2 3 2 4 2 3 4" xfId="9825"/>
    <cellStyle name="Comma 2 2 3 2 4 2 3 4 2" xfId="37495"/>
    <cellStyle name="Comma 2 2 3 2 4 2 3 4 2 2" xfId="45195"/>
    <cellStyle name="Comma 2 2 3 2 4 2 3 5" xfId="23318"/>
    <cellStyle name="Comma 2 2 3 2 4 2 4" xfId="4033"/>
    <cellStyle name="Comma 2 2 3 2 4 2 4 2" xfId="5826"/>
    <cellStyle name="Comma 2 2 3 2 4 2 4 2 2" xfId="17626"/>
    <cellStyle name="Comma 2 2 3 2 4 2 4 2 2 2" xfId="19394"/>
    <cellStyle name="Comma 2 2 3 2 4 2 4 2 2 2 2" xfId="52953"/>
    <cellStyle name="Comma 2 2 3 2 4 2 4 2 2 2 2 2" xfId="54720"/>
    <cellStyle name="Comma 2 2 3 2 4 2 4 2 2 3" xfId="32895"/>
    <cellStyle name="Comma 2 2 3 2 4 2 4 2 3" xfId="31128"/>
    <cellStyle name="Comma 2 2 3 2 4 2 4 2 3 2" xfId="41261"/>
    <cellStyle name="Comma 2 2 3 2 4 2 4 3" xfId="11049"/>
    <cellStyle name="Comma 2 2 3 2 4 2 4 3 2" xfId="39476"/>
    <cellStyle name="Comma 2 2 3 2 4 2 4 3 2 2" xfId="46408"/>
    <cellStyle name="Comma 2 2 3 2 4 2 4 4" xfId="24543"/>
    <cellStyle name="Comma 2 2 3 2 4 2 5" xfId="9224"/>
    <cellStyle name="Comma 2 2 3 2 4 2 5 2" xfId="14210"/>
    <cellStyle name="Comma 2 2 3 2 4 2 5 2 2" xfId="44606"/>
    <cellStyle name="Comma 2 2 3 2 4 2 5 2 2 2" xfId="49555"/>
    <cellStyle name="Comma 2 2 3 2 4 2 5 3" xfId="27717"/>
    <cellStyle name="Comma 2 2 3 2 4 2 6" xfId="22720"/>
    <cellStyle name="Comma 2 2 3 2 4 2 6 2" xfId="36022"/>
    <cellStyle name="Comma 2 2 3 2 4 3" xfId="816"/>
    <cellStyle name="Comma 2 2 3 2 4 3 2" xfId="2470"/>
    <cellStyle name="Comma 2 2 3 2 4 3 2 2" xfId="2870"/>
    <cellStyle name="Comma 2 2 3 2 4 3 2 2 2" xfId="7700"/>
    <cellStyle name="Comma 2 2 3 2 4 3 2 2 2 2" xfId="8086"/>
    <cellStyle name="Comma 2 2 3 2 4 3 2 2 2 2 2" xfId="21252"/>
    <cellStyle name="Comma 2 2 3 2 4 3 2 2 2 2 2 2" xfId="21638"/>
    <cellStyle name="Comma 2 2 3 2 4 3 2 2 2 2 2 2 2" xfId="56578"/>
    <cellStyle name="Comma 2 2 3 2 4 3 2 2 2 2 2 2 2 2" xfId="56964"/>
    <cellStyle name="Comma 2 2 3 2 4 3 2 2 2 2 2 3" xfId="35141"/>
    <cellStyle name="Comma 2 2 3 2 4 3 2 2 2 2 3" xfId="34755"/>
    <cellStyle name="Comma 2 2 3 2 4 3 2 2 2 2 3 2" xfId="43513"/>
    <cellStyle name="Comma 2 2 3 2 4 3 2 2 2 3" xfId="13311"/>
    <cellStyle name="Comma 2 2 3 2 4 3 2 2 2 3 2" xfId="43127"/>
    <cellStyle name="Comma 2 2 3 2 4 3 2 2 2 3 2 2" xfId="48657"/>
    <cellStyle name="Comma 2 2 3 2 4 3 2 2 2 4" xfId="26795"/>
    <cellStyle name="Comma 2 2 3 2 4 3 2 2 3" xfId="12925"/>
    <cellStyle name="Comma 2 2 3 2 4 3 2 2 3 2" xfId="16528"/>
    <cellStyle name="Comma 2 2 3 2 4 3 2 2 3 2 2" xfId="48271"/>
    <cellStyle name="Comma 2 2 3 2 4 3 2 2 3 2 2 2" xfId="51856"/>
    <cellStyle name="Comma 2 2 3 2 4 3 2 2 3 3" xfId="30030"/>
    <cellStyle name="Comma 2 2 3 2 4 3 2 2 4" xfId="26409"/>
    <cellStyle name="Comma 2 2 3 2 4 3 2 2 4 2" xfId="38340"/>
    <cellStyle name="Comma 2 2 3 2 4 3 2 3" xfId="4906"/>
    <cellStyle name="Comma 2 2 3 2 4 3 2 3 2" xfId="16133"/>
    <cellStyle name="Comma 2 2 3 2 4 3 2 3 2 2" xfId="18480"/>
    <cellStyle name="Comma 2 2 3 2 4 3 2 3 2 2 2" xfId="51464"/>
    <cellStyle name="Comma 2 2 3 2 4 3 2 3 2 2 2 2" xfId="53806"/>
    <cellStyle name="Comma 2 2 3 2 4 3 2 3 2 3" xfId="31981"/>
    <cellStyle name="Comma 2 2 3 2 4 3 2 3 3" xfId="29638"/>
    <cellStyle name="Comma 2 2 3 2 4 3 2 3 3 2" xfId="40343"/>
    <cellStyle name="Comma 2 2 3 2 4 3 2 4" xfId="10109"/>
    <cellStyle name="Comma 2 2 3 2 4 3 2 4 2" xfId="37947"/>
    <cellStyle name="Comma 2 2 3 2 4 3 2 4 2 2" xfId="45473"/>
    <cellStyle name="Comma 2 2 3 2 4 3 2 5" xfId="23596"/>
    <cellStyle name="Comma 2 2 3 2 4 3 3" xfId="4505"/>
    <cellStyle name="Comma 2 2 3 2 4 3 3 2" xfId="6131"/>
    <cellStyle name="Comma 2 2 3 2 4 3 3 2 2" xfId="18093"/>
    <cellStyle name="Comma 2 2 3 2 4 3 3 2 2 2" xfId="19692"/>
    <cellStyle name="Comma 2 2 3 2 4 3 3 2 2 2 2" xfId="53419"/>
    <cellStyle name="Comma 2 2 3 2 4 3 3 2 2 2 2 2" xfId="55018"/>
    <cellStyle name="Comma 2 2 3 2 4 3 3 2 2 3" xfId="33193"/>
    <cellStyle name="Comma 2 2 3 2 4 3 3 2 3" xfId="31594"/>
    <cellStyle name="Comma 2 2 3 2 4 3 3 2 3 2" xfId="41563"/>
    <cellStyle name="Comma 2 2 3 2 4 3 3 3" xfId="11357"/>
    <cellStyle name="Comma 2 2 3 2 4 3 3 3 2" xfId="39946"/>
    <cellStyle name="Comma 2 2 3 2 4 3 3 3 2 2" xfId="46709"/>
    <cellStyle name="Comma 2 2 3 2 4 3 3 4" xfId="24846"/>
    <cellStyle name="Comma 2 2 3 2 4 3 4" xfId="9709"/>
    <cellStyle name="Comma 2 2 3 2 4 3 4 2" xfId="14514"/>
    <cellStyle name="Comma 2 2 3 2 4 3 4 2 2" xfId="45086"/>
    <cellStyle name="Comma 2 2 3 2 4 3 4 2 2 2" xfId="49856"/>
    <cellStyle name="Comma 2 2 3 2 4 3 4 3" xfId="28026"/>
    <cellStyle name="Comma 2 2 3 2 4 3 5" xfId="23209"/>
    <cellStyle name="Comma 2 2 3 2 4 3 5 2" xfId="36324"/>
    <cellStyle name="Comma 2 2 3 2 4 4" xfId="1605"/>
    <cellStyle name="Comma 2 2 3 2 4 4 2" xfId="5713"/>
    <cellStyle name="Comma 2 2 3 2 4 4 2 2" xfId="6875"/>
    <cellStyle name="Comma 2 2 3 2 4 4 2 2 2" xfId="19282"/>
    <cellStyle name="Comma 2 2 3 2 4 4 2 2 2 2" xfId="20428"/>
    <cellStyle name="Comma 2 2 3 2 4 4 2 2 2 2 2" xfId="54608"/>
    <cellStyle name="Comma 2 2 3 2 4 4 2 2 2 2 2 2" xfId="55754"/>
    <cellStyle name="Comma 2 2 3 2 4 4 2 2 2 3" xfId="33930"/>
    <cellStyle name="Comma 2 2 3 2 4 4 2 2 3" xfId="32783"/>
    <cellStyle name="Comma 2 2 3 2 4 4 2 2 3 2" xfId="42303"/>
    <cellStyle name="Comma 2 2 3 2 4 4 2 3" xfId="12099"/>
    <cellStyle name="Comma 2 2 3 2 4 4 2 3 2" xfId="41148"/>
    <cellStyle name="Comma 2 2 3 2 4 4 2 3 2 2" xfId="47446"/>
    <cellStyle name="Comma 2 2 3 2 4 4 2 4" xfId="25584"/>
    <cellStyle name="Comma 2 2 3 2 4 4 3" xfId="10933"/>
    <cellStyle name="Comma 2 2 3 2 4 4 3 2" xfId="15281"/>
    <cellStyle name="Comma 2 2 3 2 4 4 3 2 2" xfId="46292"/>
    <cellStyle name="Comma 2 2 3 2 4 4 3 2 2 2" xfId="50616"/>
    <cellStyle name="Comma 2 2 3 2 4 4 3 3" xfId="28790"/>
    <cellStyle name="Comma 2 2 3 2 4 4 4" xfId="24424"/>
    <cellStyle name="Comma 2 2 3 2 4 4 4 2" xfId="37091"/>
    <cellStyle name="Comma 2 2 3 2 4 5" xfId="3608"/>
    <cellStyle name="Comma 2 2 3 2 4 5 2" xfId="14096"/>
    <cellStyle name="Comma 2 2 3 2 4 5 2 2" xfId="17243"/>
    <cellStyle name="Comma 2 2 3 2 4 5 2 2 2" xfId="49441"/>
    <cellStyle name="Comma 2 2 3 2 4 5 2 2 2 2" xfId="52570"/>
    <cellStyle name="Comma 2 2 3 2 4 5 2 3" xfId="30744"/>
    <cellStyle name="Comma 2 2 3 2 4 5 3" xfId="27596"/>
    <cellStyle name="Comma 2 2 3 2 4 5 3 2" xfId="39064"/>
    <cellStyle name="Comma 2 2 3 2 4 6" xfId="8802"/>
    <cellStyle name="Comma 2 2 3 2 4 6 2" xfId="35907"/>
    <cellStyle name="Comma 2 2 3 2 4 6 2 2" xfId="44213"/>
    <cellStyle name="Comma 2 2 3 2 4 7" xfId="22319"/>
    <cellStyle name="Comma 2 2 3 2 5" xfId="677"/>
    <cellStyle name="Comma 2 2 3 2 5 2" xfId="996"/>
    <cellStyle name="Comma 2 2 3 2 5 2 2" xfId="2765"/>
    <cellStyle name="Comma 2 2 3 2 5 2 2 2" xfId="3033"/>
    <cellStyle name="Comma 2 2 3 2 5 2 2 2 2" xfId="7982"/>
    <cellStyle name="Comma 2 2 3 2 5 2 2 2 2 2" xfId="8248"/>
    <cellStyle name="Comma 2 2 3 2 5 2 2 2 2 2 2" xfId="21534"/>
    <cellStyle name="Comma 2 2 3 2 5 2 2 2 2 2 2 2" xfId="21800"/>
    <cellStyle name="Comma 2 2 3 2 5 2 2 2 2 2 2 2 2" xfId="56860"/>
    <cellStyle name="Comma 2 2 3 2 5 2 2 2 2 2 2 2 2 2" xfId="57126"/>
    <cellStyle name="Comma 2 2 3 2 5 2 2 2 2 2 2 3" xfId="35303"/>
    <cellStyle name="Comma 2 2 3 2 5 2 2 2 2 2 3" xfId="35037"/>
    <cellStyle name="Comma 2 2 3 2 5 2 2 2 2 2 3 2" xfId="43675"/>
    <cellStyle name="Comma 2 2 3 2 5 2 2 2 2 3" xfId="13473"/>
    <cellStyle name="Comma 2 2 3 2 5 2 2 2 2 3 2" xfId="43409"/>
    <cellStyle name="Comma 2 2 3 2 5 2 2 2 2 3 2 2" xfId="48819"/>
    <cellStyle name="Comma 2 2 3 2 5 2 2 2 2 4" xfId="26958"/>
    <cellStyle name="Comma 2 2 3 2 5 2 2 2 3" xfId="13207"/>
    <cellStyle name="Comma 2 2 3 2 5 2 2 2 3 2" xfId="16690"/>
    <cellStyle name="Comma 2 2 3 2 5 2 2 2 3 2 2" xfId="48553"/>
    <cellStyle name="Comma 2 2 3 2 5 2 2 2 3 2 2 2" xfId="52018"/>
    <cellStyle name="Comma 2 2 3 2 5 2 2 2 3 3" xfId="30192"/>
    <cellStyle name="Comma 2 2 3 2 5 2 2 2 4" xfId="26691"/>
    <cellStyle name="Comma 2 2 3 2 5 2 2 2 4 2" xfId="38502"/>
    <cellStyle name="Comma 2 2 3 2 5 2 2 3" xfId="5070"/>
    <cellStyle name="Comma 2 2 3 2 5 2 2 3 2" xfId="16424"/>
    <cellStyle name="Comma 2 2 3 2 5 2 2 3 2 2" xfId="18643"/>
    <cellStyle name="Comma 2 2 3 2 5 2 2 3 2 2 2" xfId="51752"/>
    <cellStyle name="Comma 2 2 3 2 5 2 2 3 2 2 2 2" xfId="53969"/>
    <cellStyle name="Comma 2 2 3 2 5 2 2 3 2 3" xfId="32144"/>
    <cellStyle name="Comma 2 2 3 2 5 2 2 3 3" xfId="29926"/>
    <cellStyle name="Comma 2 2 3 2 5 2 2 3 3 2" xfId="40507"/>
    <cellStyle name="Comma 2 2 3 2 5 2 2 4" xfId="10273"/>
    <cellStyle name="Comma 2 2 3 2 5 2 2 4 2" xfId="38236"/>
    <cellStyle name="Comma 2 2 3 2 5 2 2 4 2 2" xfId="45636"/>
    <cellStyle name="Comma 2 2 3 2 5 2 2 5" xfId="23759"/>
    <cellStyle name="Comma 2 2 3 2 5 2 3" xfId="4801"/>
    <cellStyle name="Comma 2 2 3 2 5 2 3 2" xfId="6306"/>
    <cellStyle name="Comma 2 2 3 2 5 2 3 2 2" xfId="18376"/>
    <cellStyle name="Comma 2 2 3 2 5 2 3 2 2 2" xfId="19863"/>
    <cellStyle name="Comma 2 2 3 2 5 2 3 2 2 2 2" xfId="53702"/>
    <cellStyle name="Comma 2 2 3 2 5 2 3 2 2 2 2 2" xfId="55189"/>
    <cellStyle name="Comma 2 2 3 2 5 2 3 2 2 3" xfId="33365"/>
    <cellStyle name="Comma 2 2 3 2 5 2 3 2 3" xfId="31877"/>
    <cellStyle name="Comma 2 2 3 2 5 2 3 2 3 2" xfId="41735"/>
    <cellStyle name="Comma 2 2 3 2 5 2 3 3" xfId="11532"/>
    <cellStyle name="Comma 2 2 3 2 5 2 3 3 2" xfId="40238"/>
    <cellStyle name="Comma 2 2 3 2 5 2 3 3 2 2" xfId="46881"/>
    <cellStyle name="Comma 2 2 3 2 5 2 3 4" xfId="25018"/>
    <cellStyle name="Comma 2 2 3 2 5 2 4" xfId="10004"/>
    <cellStyle name="Comma 2 2 3 2 5 2 4 2" xfId="14689"/>
    <cellStyle name="Comma 2 2 3 2 5 2 4 2 2" xfId="45369"/>
    <cellStyle name="Comma 2 2 3 2 5 2 4 2 2 2" xfId="50028"/>
    <cellStyle name="Comma 2 2 3 2 5 2 4 3" xfId="28201"/>
    <cellStyle name="Comma 2 2 3 2 5 2 5" xfId="23492"/>
    <cellStyle name="Comma 2 2 3 2 5 2 5 2" xfId="36497"/>
    <cellStyle name="Comma 2 2 3 2 5 3" xfId="1793"/>
    <cellStyle name="Comma 2 2 3 2 5 3 2" xfId="6006"/>
    <cellStyle name="Comma 2 2 3 2 5 3 2 2" xfId="7045"/>
    <cellStyle name="Comma 2 2 3 2 5 3 2 2 2" xfId="19571"/>
    <cellStyle name="Comma 2 2 3 2 5 3 2 2 2 2" xfId="20598"/>
    <cellStyle name="Comma 2 2 3 2 5 3 2 2 2 2 2" xfId="54897"/>
    <cellStyle name="Comma 2 2 3 2 5 3 2 2 2 2 2 2" xfId="55924"/>
    <cellStyle name="Comma 2 2 3 2 5 3 2 2 2 3" xfId="34100"/>
    <cellStyle name="Comma 2 2 3 2 5 3 2 2 3" xfId="33072"/>
    <cellStyle name="Comma 2 2 3 2 5 3 2 2 3 2" xfId="42473"/>
    <cellStyle name="Comma 2 2 3 2 5 3 2 3" xfId="12269"/>
    <cellStyle name="Comma 2 2 3 2 5 3 2 3 2" xfId="41440"/>
    <cellStyle name="Comma 2 2 3 2 5 3 2 3 2 2" xfId="47616"/>
    <cellStyle name="Comma 2 2 3 2 5 3 2 4" xfId="25754"/>
    <cellStyle name="Comma 2 2 3 2 5 3 3" xfId="11231"/>
    <cellStyle name="Comma 2 2 3 2 5 3 3 2" xfId="15465"/>
    <cellStyle name="Comma 2 2 3 2 5 3 3 2 2" xfId="46587"/>
    <cellStyle name="Comma 2 2 3 2 5 3 3 2 2 2" xfId="50798"/>
    <cellStyle name="Comma 2 2 3 2 5 3 3 3" xfId="28972"/>
    <cellStyle name="Comma 2 2 3 2 5 3 4" xfId="24724"/>
    <cellStyle name="Comma 2 2 3 2 5 3 4 2" xfId="37275"/>
    <cellStyle name="Comma 2 2 3 2 5 4" xfId="3800"/>
    <cellStyle name="Comma 2 2 3 2 5 4 2" xfId="14388"/>
    <cellStyle name="Comma 2 2 3 2 5 4 2 2" xfId="17415"/>
    <cellStyle name="Comma 2 2 3 2 5 4 2 2 2" xfId="49733"/>
    <cellStyle name="Comma 2 2 3 2 5 4 2 2 2 2" xfId="52742"/>
    <cellStyle name="Comma 2 2 3 2 5 4 2 3" xfId="30916"/>
    <cellStyle name="Comma 2 2 3 2 5 4 3" xfId="27900"/>
    <cellStyle name="Comma 2 2 3 2 5 4 3 2" xfId="39250"/>
    <cellStyle name="Comma 2 2 3 2 5 5" xfId="8990"/>
    <cellStyle name="Comma 2 2 3 2 5 5 2" xfId="36200"/>
    <cellStyle name="Comma 2 2 3 2 5 5 2 2" xfId="44388"/>
    <cellStyle name="Comma 2 2 3 2 5 6" xfId="22496"/>
    <cellStyle name="Comma 2 2 3 2 6" xfId="688"/>
    <cellStyle name="Comma 2 2 3 2 6 2" xfId="1681"/>
    <cellStyle name="Comma 2 2 3 2 6 2 2" xfId="6017"/>
    <cellStyle name="Comma 2 2 3 2 6 2 2 2" xfId="6936"/>
    <cellStyle name="Comma 2 2 3 2 6 2 2 2 2" xfId="19582"/>
    <cellStyle name="Comma 2 2 3 2 6 2 2 2 2 2" xfId="20489"/>
    <cellStyle name="Comma 2 2 3 2 6 2 2 2 2 2 2" xfId="54908"/>
    <cellStyle name="Comma 2 2 3 2 6 2 2 2 2 2 2 2" xfId="55815"/>
    <cellStyle name="Comma 2 2 3 2 6 2 2 2 2 3" xfId="33991"/>
    <cellStyle name="Comma 2 2 3 2 6 2 2 2 3" xfId="33083"/>
    <cellStyle name="Comma 2 2 3 2 6 2 2 2 3 2" xfId="42364"/>
    <cellStyle name="Comma 2 2 3 2 6 2 2 3" xfId="12160"/>
    <cellStyle name="Comma 2 2 3 2 6 2 2 3 2" xfId="41451"/>
    <cellStyle name="Comma 2 2 3 2 6 2 2 3 2 2" xfId="47507"/>
    <cellStyle name="Comma 2 2 3 2 6 2 2 4" xfId="25645"/>
    <cellStyle name="Comma 2 2 3 2 6 2 3" xfId="11242"/>
    <cellStyle name="Comma 2 2 3 2 6 2 3 2" xfId="15353"/>
    <cellStyle name="Comma 2 2 3 2 6 2 3 2 2" xfId="46598"/>
    <cellStyle name="Comma 2 2 3 2 6 2 3 2 2 2" xfId="50687"/>
    <cellStyle name="Comma 2 2 3 2 6 2 3 3" xfId="28861"/>
    <cellStyle name="Comma 2 2 3 2 6 2 4" xfId="24735"/>
    <cellStyle name="Comma 2 2 3 2 6 2 4 2" xfId="37164"/>
    <cellStyle name="Comma 2 2 3 2 6 3" xfId="3686"/>
    <cellStyle name="Comma 2 2 3 2 6 3 2" xfId="14399"/>
    <cellStyle name="Comma 2 2 3 2 6 3 2 2" xfId="17304"/>
    <cellStyle name="Comma 2 2 3 2 6 3 2 2 2" xfId="49744"/>
    <cellStyle name="Comma 2 2 3 2 6 3 2 2 2 2" xfId="52631"/>
    <cellStyle name="Comma 2 2 3 2 6 3 2 3" xfId="30805"/>
    <cellStyle name="Comma 2 2 3 2 6 3 3" xfId="27911"/>
    <cellStyle name="Comma 2 2 3 2 6 3 3 2" xfId="39137"/>
    <cellStyle name="Comma 2 2 3 2 6 4" xfId="8875"/>
    <cellStyle name="Comma 2 2 3 2 6 4 2" xfId="36211"/>
    <cellStyle name="Comma 2 2 3 2 6 4 2 2" xfId="44276"/>
    <cellStyle name="Comma 2 2 3 2 6 5" xfId="22384"/>
    <cellStyle name="Comma 2 2 3 2 7" xfId="1482"/>
    <cellStyle name="Comma 2 2 3 2 7 2" xfId="4321"/>
    <cellStyle name="Comma 2 2 3 2 7 2 2" xfId="15166"/>
    <cellStyle name="Comma 2 2 3 2 7 2 2 2" xfId="17914"/>
    <cellStyle name="Comma 2 2 3 2 7 2 2 2 2" xfId="50504"/>
    <cellStyle name="Comma 2 2 3 2 7 2 2 2 2 2" xfId="53241"/>
    <cellStyle name="Comma 2 2 3 2 7 2 2 3" xfId="31416"/>
    <cellStyle name="Comma 2 2 3 2 7 2 3" xfId="28678"/>
    <cellStyle name="Comma 2 2 3 2 7 2 3 2" xfId="39764"/>
    <cellStyle name="Comma 2 2 3 2 7 3" xfId="9516"/>
    <cellStyle name="Comma 2 2 3 2 7 3 2" xfId="36976"/>
    <cellStyle name="Comma 2 2 3 2 7 3 2 2" xfId="44898"/>
    <cellStyle name="Comma 2 2 3 2 7 4" xfId="23014"/>
    <cellStyle name="Comma 2 2 3 2 8" xfId="4492"/>
    <cellStyle name="Comma 2 2 3 2 8 2" xfId="8905"/>
    <cellStyle name="Comma 2 2 3 2 8 2 2" xfId="39934"/>
    <cellStyle name="Comma 2 2 3 2 8 2 2 2" xfId="44304"/>
    <cellStyle name="Comma 2 2 3 2 8 3" xfId="22412"/>
    <cellStyle name="Comma 2 2 3 2 9" xfId="16124"/>
    <cellStyle name="Comma 2 2 3 2 9 2" xfId="28018"/>
    <cellStyle name="Comma 2 2 3 3" xfId="119"/>
    <cellStyle name="Comma 2 2 3 3 2" xfId="260"/>
    <cellStyle name="Comma 2 2 3 3 2 2" xfId="300"/>
    <cellStyle name="Comma 2 2 3 3 2 2 2" xfId="606"/>
    <cellStyle name="Comma 2 2 3 3 2 2 2 2" xfId="630"/>
    <cellStyle name="Comma 2 2 3 3 2 2 2 2 2" xfId="1402"/>
    <cellStyle name="Comma 2 2 3 3 2 2 2 2 2 2" xfId="1426"/>
    <cellStyle name="Comma 2 2 3 3 2 2 2 2 2 2 2" xfId="3420"/>
    <cellStyle name="Comma 2 2 3 3 2 2 2 2 2 2 2 2" xfId="3444"/>
    <cellStyle name="Comma 2 2 3 3 2 2 2 2 2 2 2 2 2" xfId="8635"/>
    <cellStyle name="Comma 2 2 3 3 2 2 2 2 2 2 2 2 2 2" xfId="8659"/>
    <cellStyle name="Comma 2 2 3 3 2 2 2 2 2 2 2 2 2 2 2" xfId="22187"/>
    <cellStyle name="Comma 2 2 3 3 2 2 2 2 2 2 2 2 2 2 2 2" xfId="22211"/>
    <cellStyle name="Comma 2 2 3 3 2 2 2 2 2 2 2 2 2 2 2 2 2" xfId="57513"/>
    <cellStyle name="Comma 2 2 3 3 2 2 2 2 2 2 2 2 2 2 2 2 2 2" xfId="57537"/>
    <cellStyle name="Comma 2 2 3 3 2 2 2 2 2 2 2 2 2 2 2 3" xfId="35714"/>
    <cellStyle name="Comma 2 2 3 3 2 2 2 2 2 2 2 2 2 2 3" xfId="35690"/>
    <cellStyle name="Comma 2 2 3 3 2 2 2 2 2 2 2 2 2 2 3 2" xfId="44086"/>
    <cellStyle name="Comma 2 2 3 3 2 2 2 2 2 2 2 2 2 3" xfId="13884"/>
    <cellStyle name="Comma 2 2 3 3 2 2 2 2 2 2 2 2 2 3 2" xfId="44062"/>
    <cellStyle name="Comma 2 2 3 3 2 2 2 2 2 2 2 2 2 3 2 2" xfId="49230"/>
    <cellStyle name="Comma 2 2 3 3 2 2 2 2 2 2 2 2 2 4" xfId="27369"/>
    <cellStyle name="Comma 2 2 3 3 2 2 2 2 2 2 2 2 3" xfId="13860"/>
    <cellStyle name="Comma 2 2 3 3 2 2 2 2 2 2 2 2 3 2" xfId="17101"/>
    <cellStyle name="Comma 2 2 3 3 2 2 2 2 2 2 2 2 3 2 2" xfId="49206"/>
    <cellStyle name="Comma 2 2 3 3 2 2 2 2 2 2 2 2 3 2 2 2" xfId="52429"/>
    <cellStyle name="Comma 2 2 3 3 2 2 2 2 2 2 2 2 3 3" xfId="30603"/>
    <cellStyle name="Comma 2 2 3 3 2 2 2 2 2 2 2 2 4" xfId="27345"/>
    <cellStyle name="Comma 2 2 3 3 2 2 2 2 2 2 2 2 4 2" xfId="38913"/>
    <cellStyle name="Comma 2 2 3 3 2 2 2 2 2 2 2 3" xfId="5481"/>
    <cellStyle name="Comma 2 2 3 3 2 2 2 2 2 2 2 3 2" xfId="17077"/>
    <cellStyle name="Comma 2 2 3 3 2 2 2 2 2 2 2 3 2 2" xfId="19054"/>
    <cellStyle name="Comma 2 2 3 3 2 2 2 2 2 2 2 3 2 2 2" xfId="52405"/>
    <cellStyle name="Comma 2 2 3 3 2 2 2 2 2 2 2 3 2 2 2 2" xfId="54380"/>
    <cellStyle name="Comma 2 2 3 3 2 2 2 2 2 2 2 3 2 3" xfId="32555"/>
    <cellStyle name="Comma 2 2 3 3 2 2 2 2 2 2 2 3 3" xfId="30579"/>
    <cellStyle name="Comma 2 2 3 3 2 2 2 2 2 2 2 3 3 2" xfId="40918"/>
    <cellStyle name="Comma 2 2 3 3 2 2 2 2 2 2 2 4" xfId="10684"/>
    <cellStyle name="Comma 2 2 3 3 2 2 2 2 2 2 2 4 2" xfId="38889"/>
    <cellStyle name="Comma 2 2 3 3 2 2 2 2 2 2 2 4 2 2" xfId="46047"/>
    <cellStyle name="Comma 2 2 3 3 2 2 2 2 2 2 2 5" xfId="24170"/>
    <cellStyle name="Comma 2 2 3 3 2 2 2 2 2 2 3" xfId="5457"/>
    <cellStyle name="Comma 2 2 3 3 2 2 2 2 2 2 3 2" xfId="6734"/>
    <cellStyle name="Comma 2 2 3 3 2 2 2 2 2 2 3 2 2" xfId="19030"/>
    <cellStyle name="Comma 2 2 3 3 2 2 2 2 2 2 3 2 2 2" xfId="20287"/>
    <cellStyle name="Comma 2 2 3 3 2 2 2 2 2 2 3 2 2 2 2" xfId="54356"/>
    <cellStyle name="Comma 2 2 3 3 2 2 2 2 2 2 3 2 2 2 2 2" xfId="55613"/>
    <cellStyle name="Comma 2 2 3 3 2 2 2 2 2 2 3 2 2 3" xfId="33789"/>
    <cellStyle name="Comma 2 2 3 3 2 2 2 2 2 2 3 2 3" xfId="32531"/>
    <cellStyle name="Comma 2 2 3 3 2 2 2 2 2 2 3 2 3 2" xfId="42162"/>
    <cellStyle name="Comma 2 2 3 3 2 2 2 2 2 2 3 3" xfId="11957"/>
    <cellStyle name="Comma 2 2 3 3 2 2 2 2 2 2 3 3 2" xfId="40894"/>
    <cellStyle name="Comma 2 2 3 3 2 2 2 2 2 2 3 3 2 2" xfId="47305"/>
    <cellStyle name="Comma 2 2 3 3 2 2 2 2 2 2 3 4" xfId="25442"/>
    <cellStyle name="Comma 2 2 3 3 2 2 2 2 2 2 4" xfId="10660"/>
    <cellStyle name="Comma 2 2 3 3 2 2 2 2 2 2 4 2" xfId="15115"/>
    <cellStyle name="Comma 2 2 3 3 2 2 2 2 2 2 4 2 2" xfId="46023"/>
    <cellStyle name="Comma 2 2 3 3 2 2 2 2 2 2 4 2 2 2" xfId="50454"/>
    <cellStyle name="Comma 2 2 3 3 2 2 2 2 2 2 4 3" xfId="28628"/>
    <cellStyle name="Comma 2 2 3 3 2 2 2 2 2 2 5" xfId="24146"/>
    <cellStyle name="Comma 2 2 3 3 2 2 2 2 2 2 5 2" xfId="36923"/>
    <cellStyle name="Comma 2 2 3 3 2 2 2 2 2 3" xfId="2233"/>
    <cellStyle name="Comma 2 2 3 3 2 2 2 2 2 3 2" xfId="6710"/>
    <cellStyle name="Comma 2 2 3 3 2 2 2 2 2 3 2 2" xfId="7467"/>
    <cellStyle name="Comma 2 2 3 3 2 2 2 2 2 3 2 2 2" xfId="20263"/>
    <cellStyle name="Comma 2 2 3 3 2 2 2 2 2 3 2 2 2 2" xfId="21019"/>
    <cellStyle name="Comma 2 2 3 3 2 2 2 2 2 3 2 2 2 2 2" xfId="55589"/>
    <cellStyle name="Comma 2 2 3 3 2 2 2 2 2 3 2 2 2 2 2 2" xfId="56345"/>
    <cellStyle name="Comma 2 2 3 3 2 2 2 2 2 3 2 2 2 3" xfId="34522"/>
    <cellStyle name="Comma 2 2 3 3 2 2 2 2 2 3 2 2 3" xfId="33765"/>
    <cellStyle name="Comma 2 2 3 3 2 2 2 2 2 3 2 2 3 2" xfId="42894"/>
    <cellStyle name="Comma 2 2 3 3 2 2 2 2 2 3 2 3" xfId="12692"/>
    <cellStyle name="Comma 2 2 3 3 2 2 2 2 2 3 2 3 2" xfId="42138"/>
    <cellStyle name="Comma 2 2 3 3 2 2 2 2 2 3 2 3 2 2" xfId="48038"/>
    <cellStyle name="Comma 2 2 3 3 2 2 2 2 2 3 2 4" xfId="26176"/>
    <cellStyle name="Comma 2 2 3 3 2 2 2 2 2 3 3" xfId="11933"/>
    <cellStyle name="Comma 2 2 3 3 2 2 2 2 2 3 3 2" xfId="15897"/>
    <cellStyle name="Comma 2 2 3 3 2 2 2 2 2 3 3 2 2" xfId="47281"/>
    <cellStyle name="Comma 2 2 3 3 2 2 2 2 2 3 3 2 2 2" xfId="51229"/>
    <cellStyle name="Comma 2 2 3 3 2 2 2 2 2 3 3 3" xfId="29403"/>
    <cellStyle name="Comma 2 2 3 3 2 2 2 2 2 3 4" xfId="25418"/>
    <cellStyle name="Comma 2 2 3 3 2 2 2 2 2 3 4 2" xfId="37711"/>
    <cellStyle name="Comma 2 2 3 3 2 2 2 2 2 4" xfId="4249"/>
    <cellStyle name="Comma 2 2 3 3 2 2 2 2 2 4 2" xfId="15091"/>
    <cellStyle name="Comma 2 2 3 3 2 2 2 2 2 4 2 2" xfId="17842"/>
    <cellStyle name="Comma 2 2 3 3 2 2 2 2 2 4 2 2 2" xfId="50430"/>
    <cellStyle name="Comma 2 2 3 3 2 2 2 2 2 4 2 2 2 2" xfId="53169"/>
    <cellStyle name="Comma 2 2 3 3 2 2 2 2 2 4 2 3" xfId="31344"/>
    <cellStyle name="Comma 2 2 3 3 2 2 2 2 2 4 3" xfId="28604"/>
    <cellStyle name="Comma 2 2 3 3 2 2 2 2 2 4 3 2" xfId="39692"/>
    <cellStyle name="Comma 2 2 3 3 2 2 2 2 2 5" xfId="9440"/>
    <cellStyle name="Comma 2 2 3 3 2 2 2 2 2 5 2" xfId="36899"/>
    <cellStyle name="Comma 2 2 3 3 2 2 2 2 2 5 2 2" xfId="44822"/>
    <cellStyle name="Comma 2 2 3 3 2 2 2 2 2 6" xfId="22936"/>
    <cellStyle name="Comma 2 2 3 3 2 2 2 2 3" xfId="2209"/>
    <cellStyle name="Comma 2 2 3 3 2 2 2 2 3 2" xfId="2720"/>
    <cellStyle name="Comma 2 2 3 3 2 2 2 2 3 2 2" xfId="7443"/>
    <cellStyle name="Comma 2 2 3 3 2 2 2 2 3 2 2 2" xfId="7939"/>
    <cellStyle name="Comma 2 2 3 3 2 2 2 2 3 2 2 2 2" xfId="20995"/>
    <cellStyle name="Comma 2 2 3 3 2 2 2 2 3 2 2 2 2 2" xfId="21491"/>
    <cellStyle name="Comma 2 2 3 3 2 2 2 2 3 2 2 2 2 2 2" xfId="56321"/>
    <cellStyle name="Comma 2 2 3 3 2 2 2 2 3 2 2 2 2 2 2 2" xfId="56817"/>
    <cellStyle name="Comma 2 2 3 3 2 2 2 2 3 2 2 2 2 3" xfId="34994"/>
    <cellStyle name="Comma 2 2 3 3 2 2 2 2 3 2 2 2 3" xfId="34498"/>
    <cellStyle name="Comma 2 2 3 3 2 2 2 2 3 2 2 2 3 2" xfId="43366"/>
    <cellStyle name="Comma 2 2 3 3 2 2 2 2 3 2 2 3" xfId="13164"/>
    <cellStyle name="Comma 2 2 3 3 2 2 2 2 3 2 2 3 2" xfId="42870"/>
    <cellStyle name="Comma 2 2 3 3 2 2 2 2 3 2 2 3 2 2" xfId="48510"/>
    <cellStyle name="Comma 2 2 3 3 2 2 2 2 3 2 2 4" xfId="26648"/>
    <cellStyle name="Comma 2 2 3 3 2 2 2 2 3 2 3" xfId="12668"/>
    <cellStyle name="Comma 2 2 3 3 2 2 2 2 3 2 3 2" xfId="16379"/>
    <cellStyle name="Comma 2 2 3 3 2 2 2 2 3 2 3 2 2" xfId="48014"/>
    <cellStyle name="Comma 2 2 3 3 2 2 2 2 3 2 3 2 2 2" xfId="51709"/>
    <cellStyle name="Comma 2 2 3 3 2 2 2 2 3 2 3 3" xfId="29883"/>
    <cellStyle name="Comma 2 2 3 3 2 2 2 2 3 2 4" xfId="26152"/>
    <cellStyle name="Comma 2 2 3 3 2 2 2 2 3 2 4 2" xfId="38193"/>
    <cellStyle name="Comma 2 2 3 3 2 2 2 2 3 3" xfId="4756"/>
    <cellStyle name="Comma 2 2 3 3 2 2 2 2 3 3 2" xfId="15873"/>
    <cellStyle name="Comma 2 2 3 3 2 2 2 2 3 3 2 2" xfId="18333"/>
    <cellStyle name="Comma 2 2 3 3 2 2 2 2 3 3 2 2 2" xfId="51205"/>
    <cellStyle name="Comma 2 2 3 3 2 2 2 2 3 3 2 2 2 2" xfId="53659"/>
    <cellStyle name="Comma 2 2 3 3 2 2 2 2 3 3 2 3" xfId="31834"/>
    <cellStyle name="Comma 2 2 3 3 2 2 2 2 3 3 3" xfId="29379"/>
    <cellStyle name="Comma 2 2 3 3 2 2 2 2 3 3 3 2" xfId="40194"/>
    <cellStyle name="Comma 2 2 3 3 2 2 2 2 3 4" xfId="9959"/>
    <cellStyle name="Comma 2 2 3 3 2 2 2 2 3 4 2" xfId="37687"/>
    <cellStyle name="Comma 2 2 3 3 2 2 2 2 3 4 2 2" xfId="45326"/>
    <cellStyle name="Comma 2 2 3 3 2 2 2 2 3 5" xfId="23449"/>
    <cellStyle name="Comma 2 2 3 3 2 2 2 2 4" xfId="4225"/>
    <cellStyle name="Comma 2 2 3 3 2 2 2 2 4 2" xfId="5961"/>
    <cellStyle name="Comma 2 2 3 3 2 2 2 2 4 2 2" xfId="17818"/>
    <cellStyle name="Comma 2 2 3 3 2 2 2 2 4 2 2 2" xfId="19528"/>
    <cellStyle name="Comma 2 2 3 3 2 2 2 2 4 2 2 2 2" xfId="53145"/>
    <cellStyle name="Comma 2 2 3 3 2 2 2 2 4 2 2 2 2 2" xfId="54854"/>
    <cellStyle name="Comma 2 2 3 3 2 2 2 2 4 2 2 3" xfId="33029"/>
    <cellStyle name="Comma 2 2 3 3 2 2 2 2 4 2 3" xfId="31320"/>
    <cellStyle name="Comma 2 2 3 3 2 2 2 2 4 2 3 2" xfId="41395"/>
    <cellStyle name="Comma 2 2 3 3 2 2 2 2 4 3" xfId="11186"/>
    <cellStyle name="Comma 2 2 3 3 2 2 2 2 4 3 2" xfId="39668"/>
    <cellStyle name="Comma 2 2 3 3 2 2 2 2 4 3 2 2" xfId="46544"/>
    <cellStyle name="Comma 2 2 3 3 2 2 2 2 4 4" xfId="24679"/>
    <cellStyle name="Comma 2 2 3 3 2 2 2 2 5" xfId="9416"/>
    <cellStyle name="Comma 2 2 3 3 2 2 2 2 5 2" xfId="14345"/>
    <cellStyle name="Comma 2 2 3 3 2 2 2 2 5 2 2" xfId="44798"/>
    <cellStyle name="Comma 2 2 3 3 2 2 2 2 5 2 2 2" xfId="49690"/>
    <cellStyle name="Comma 2 2 3 3 2 2 2 2 5 3" xfId="27855"/>
    <cellStyle name="Comma 2 2 3 3 2 2 2 2 6" xfId="22912"/>
    <cellStyle name="Comma 2 2 3 3 2 2 2 2 6 2" xfId="36157"/>
    <cellStyle name="Comma 2 2 3 3 2 2 2 3" xfId="958"/>
    <cellStyle name="Comma 2 2 3 3 2 2 2 3 2" xfId="2696"/>
    <cellStyle name="Comma 2 2 3 3 2 2 2 3 2 2" xfId="2996"/>
    <cellStyle name="Comma 2 2 3 3 2 2 2 3 2 2 2" xfId="7915"/>
    <cellStyle name="Comma 2 2 3 3 2 2 2 3 2 2 2 2" xfId="8211"/>
    <cellStyle name="Comma 2 2 3 3 2 2 2 3 2 2 2 2 2" xfId="21467"/>
    <cellStyle name="Comma 2 2 3 3 2 2 2 3 2 2 2 2 2 2" xfId="21763"/>
    <cellStyle name="Comma 2 2 3 3 2 2 2 3 2 2 2 2 2 2 2" xfId="56793"/>
    <cellStyle name="Comma 2 2 3 3 2 2 2 3 2 2 2 2 2 2 2 2" xfId="57089"/>
    <cellStyle name="Comma 2 2 3 3 2 2 2 3 2 2 2 2 2 3" xfId="35266"/>
    <cellStyle name="Comma 2 2 3 3 2 2 2 3 2 2 2 2 3" xfId="34970"/>
    <cellStyle name="Comma 2 2 3 3 2 2 2 3 2 2 2 2 3 2" xfId="43638"/>
    <cellStyle name="Comma 2 2 3 3 2 2 2 3 2 2 2 3" xfId="13436"/>
    <cellStyle name="Comma 2 2 3 3 2 2 2 3 2 2 2 3 2" xfId="43342"/>
    <cellStyle name="Comma 2 2 3 3 2 2 2 3 2 2 2 3 2 2" xfId="48782"/>
    <cellStyle name="Comma 2 2 3 3 2 2 2 3 2 2 2 4" xfId="26921"/>
    <cellStyle name="Comma 2 2 3 3 2 2 2 3 2 2 3" xfId="13140"/>
    <cellStyle name="Comma 2 2 3 3 2 2 2 3 2 2 3 2" xfId="16653"/>
    <cellStyle name="Comma 2 2 3 3 2 2 2 3 2 2 3 2 2" xfId="48486"/>
    <cellStyle name="Comma 2 2 3 3 2 2 2 3 2 2 3 2 2 2" xfId="51981"/>
    <cellStyle name="Comma 2 2 3 3 2 2 2 3 2 2 3 3" xfId="30155"/>
    <cellStyle name="Comma 2 2 3 3 2 2 2 3 2 2 4" xfId="26624"/>
    <cellStyle name="Comma 2 2 3 3 2 2 2 3 2 2 4 2" xfId="38465"/>
    <cellStyle name="Comma 2 2 3 3 2 2 2 3 2 3" xfId="5032"/>
    <cellStyle name="Comma 2 2 3 3 2 2 2 3 2 3 2" xfId="16355"/>
    <cellStyle name="Comma 2 2 3 3 2 2 2 3 2 3 2 2" xfId="18605"/>
    <cellStyle name="Comma 2 2 3 3 2 2 2 3 2 3 2 2 2" xfId="51685"/>
    <cellStyle name="Comma 2 2 3 3 2 2 2 3 2 3 2 2 2 2" xfId="53931"/>
    <cellStyle name="Comma 2 2 3 3 2 2 2 3 2 3 2 3" xfId="32106"/>
    <cellStyle name="Comma 2 2 3 3 2 2 2 3 2 3 3" xfId="29859"/>
    <cellStyle name="Comma 2 2 3 3 2 2 2 3 2 3 3 2" xfId="40469"/>
    <cellStyle name="Comma 2 2 3 3 2 2 2 3 2 4" xfId="10235"/>
    <cellStyle name="Comma 2 2 3 3 2 2 2 3 2 4 2" xfId="38169"/>
    <cellStyle name="Comma 2 2 3 3 2 2 2 3 2 4 2 2" xfId="45598"/>
    <cellStyle name="Comma 2 2 3 3 2 2 2 3 2 5" xfId="23721"/>
    <cellStyle name="Comma 2 2 3 3 2 2 2 3 3" xfId="4732"/>
    <cellStyle name="Comma 2 2 3 3 2 2 2 3 3 2" xfId="6269"/>
    <cellStyle name="Comma 2 2 3 3 2 2 2 3 3 2 2" xfId="18309"/>
    <cellStyle name="Comma 2 2 3 3 2 2 2 3 3 2 2 2" xfId="19826"/>
    <cellStyle name="Comma 2 2 3 3 2 2 2 3 3 2 2 2 2" xfId="53635"/>
    <cellStyle name="Comma 2 2 3 3 2 2 2 3 3 2 2 2 2 2" xfId="55152"/>
    <cellStyle name="Comma 2 2 3 3 2 2 2 3 3 2 2 3" xfId="33328"/>
    <cellStyle name="Comma 2 2 3 3 2 2 2 3 3 2 3" xfId="31810"/>
    <cellStyle name="Comma 2 2 3 3 2 2 2 3 3 2 3 2" xfId="41698"/>
    <cellStyle name="Comma 2 2 3 3 2 2 2 3 3 3" xfId="11494"/>
    <cellStyle name="Comma 2 2 3 3 2 2 2 3 3 3 2" xfId="40170"/>
    <cellStyle name="Comma 2 2 3 3 2 2 2 3 3 3 2 2" xfId="46843"/>
    <cellStyle name="Comma 2 2 3 3 2 2 2 3 3 4" xfId="24980"/>
    <cellStyle name="Comma 2 2 3 3 2 2 2 3 4" xfId="9935"/>
    <cellStyle name="Comma 2 2 3 3 2 2 2 3 4 2" xfId="14652"/>
    <cellStyle name="Comma 2 2 3 3 2 2 2 3 4 2 2" xfId="45302"/>
    <cellStyle name="Comma 2 2 3 3 2 2 2 3 4 2 2 2" xfId="49991"/>
    <cellStyle name="Comma 2 2 3 3 2 2 2 3 4 3" xfId="28163"/>
    <cellStyle name="Comma 2 2 3 3 2 2 2 3 5" xfId="23425"/>
    <cellStyle name="Comma 2 2 3 3 2 2 2 3 5 2" xfId="36460"/>
    <cellStyle name="Comma 2 2 3 3 2 2 2 4" xfId="1754"/>
    <cellStyle name="Comma 2 2 3 3 2 2 2 4 2" xfId="5937"/>
    <cellStyle name="Comma 2 2 3 3 2 2 2 4 2 2" xfId="7007"/>
    <cellStyle name="Comma 2 2 3 3 2 2 2 4 2 2 2" xfId="19504"/>
    <cellStyle name="Comma 2 2 3 3 2 2 2 4 2 2 2 2" xfId="20560"/>
    <cellStyle name="Comma 2 2 3 3 2 2 2 4 2 2 2 2 2" xfId="54830"/>
    <cellStyle name="Comma 2 2 3 3 2 2 2 4 2 2 2 2 2 2" xfId="55886"/>
    <cellStyle name="Comma 2 2 3 3 2 2 2 4 2 2 2 3" xfId="34062"/>
    <cellStyle name="Comma 2 2 3 3 2 2 2 4 2 2 3" xfId="33005"/>
    <cellStyle name="Comma 2 2 3 3 2 2 2 4 2 2 3 2" xfId="42435"/>
    <cellStyle name="Comma 2 2 3 3 2 2 2 4 2 3" xfId="12231"/>
    <cellStyle name="Comma 2 2 3 3 2 2 2 4 2 3 2" xfId="41371"/>
    <cellStyle name="Comma 2 2 3 3 2 2 2 4 2 3 2 2" xfId="47578"/>
    <cellStyle name="Comma 2 2 3 3 2 2 2 4 2 4" xfId="25716"/>
    <cellStyle name="Comma 2 2 3 3 2 2 2 4 3" xfId="11162"/>
    <cellStyle name="Comma 2 2 3 3 2 2 2 4 3 2" xfId="15426"/>
    <cellStyle name="Comma 2 2 3 3 2 2 2 4 3 2 2" xfId="46520"/>
    <cellStyle name="Comma 2 2 3 3 2 2 2 4 3 2 2 2" xfId="50759"/>
    <cellStyle name="Comma 2 2 3 3 2 2 2 4 3 3" xfId="28933"/>
    <cellStyle name="Comma 2 2 3 3 2 2 2 4 4" xfId="24655"/>
    <cellStyle name="Comma 2 2 3 3 2 2 2 4 4 2" xfId="37236"/>
    <cellStyle name="Comma 2 2 3 3 2 2 2 5" xfId="3760"/>
    <cellStyle name="Comma 2 2 3 3 2 2 2 5 2" xfId="14321"/>
    <cellStyle name="Comma 2 2 3 3 2 2 2 5 2 2" xfId="17376"/>
    <cellStyle name="Comma 2 2 3 3 2 2 2 5 2 2 2" xfId="49666"/>
    <cellStyle name="Comma 2 2 3 3 2 2 2 5 2 2 2 2" xfId="52703"/>
    <cellStyle name="Comma 2 2 3 3 2 2 2 5 2 3" xfId="30877"/>
    <cellStyle name="Comma 2 2 3 3 2 2 2 5 3" xfId="27831"/>
    <cellStyle name="Comma 2 2 3 3 2 2 2 5 3 2" xfId="39211"/>
    <cellStyle name="Comma 2 2 3 3 2 2 2 6" xfId="8950"/>
    <cellStyle name="Comma 2 2 3 3 2 2 2 6 2" xfId="36133"/>
    <cellStyle name="Comma 2 2 3 3 2 2 2 6 2 2" xfId="44349"/>
    <cellStyle name="Comma 2 2 3 3 2 2 2 7" xfId="22457"/>
    <cellStyle name="Comma 2 2 3 3 2 2 3" xfId="934"/>
    <cellStyle name="Comma 2 2 3 3 2 2 3 2" xfId="1162"/>
    <cellStyle name="Comma 2 2 3 3 2 2 3 2 2" xfId="2972"/>
    <cellStyle name="Comma 2 2 3 3 2 2 3 2 2 2" xfId="3182"/>
    <cellStyle name="Comma 2 2 3 3 2 2 3 2 2 2 2" xfId="8187"/>
    <cellStyle name="Comma 2 2 3 3 2 2 3 2 2 2 2 2" xfId="8397"/>
    <cellStyle name="Comma 2 2 3 3 2 2 3 2 2 2 2 2 2" xfId="21739"/>
    <cellStyle name="Comma 2 2 3 3 2 2 3 2 2 2 2 2 2 2" xfId="21949"/>
    <cellStyle name="Comma 2 2 3 3 2 2 3 2 2 2 2 2 2 2 2" xfId="57065"/>
    <cellStyle name="Comma 2 2 3 3 2 2 3 2 2 2 2 2 2 2 2 2" xfId="57275"/>
    <cellStyle name="Comma 2 2 3 3 2 2 3 2 2 2 2 2 2 3" xfId="35452"/>
    <cellStyle name="Comma 2 2 3 3 2 2 3 2 2 2 2 2 3" xfId="35242"/>
    <cellStyle name="Comma 2 2 3 3 2 2 3 2 2 2 2 2 3 2" xfId="43824"/>
    <cellStyle name="Comma 2 2 3 3 2 2 3 2 2 2 2 3" xfId="13622"/>
    <cellStyle name="Comma 2 2 3 3 2 2 3 2 2 2 2 3 2" xfId="43614"/>
    <cellStyle name="Comma 2 2 3 3 2 2 3 2 2 2 2 3 2 2" xfId="48968"/>
    <cellStyle name="Comma 2 2 3 3 2 2 3 2 2 2 2 4" xfId="27107"/>
    <cellStyle name="Comma 2 2 3 3 2 2 3 2 2 2 3" xfId="13412"/>
    <cellStyle name="Comma 2 2 3 3 2 2 3 2 2 2 3 2" xfId="16839"/>
    <cellStyle name="Comma 2 2 3 3 2 2 3 2 2 2 3 2 2" xfId="48758"/>
    <cellStyle name="Comma 2 2 3 3 2 2 3 2 2 2 3 2 2 2" xfId="52167"/>
    <cellStyle name="Comma 2 2 3 3 2 2 3 2 2 2 3 3" xfId="30341"/>
    <cellStyle name="Comma 2 2 3 3 2 2 3 2 2 2 4" xfId="26897"/>
    <cellStyle name="Comma 2 2 3 3 2 2 3 2 2 2 4 2" xfId="38651"/>
    <cellStyle name="Comma 2 2 3 3 2 2 3 2 2 3" xfId="5219"/>
    <cellStyle name="Comma 2 2 3 3 2 2 3 2 2 3 2" xfId="16629"/>
    <cellStyle name="Comma 2 2 3 3 2 2 3 2 2 3 2 2" xfId="18792"/>
    <cellStyle name="Comma 2 2 3 3 2 2 3 2 2 3 2 2 2" xfId="51957"/>
    <cellStyle name="Comma 2 2 3 3 2 2 3 2 2 3 2 2 2 2" xfId="54118"/>
    <cellStyle name="Comma 2 2 3 3 2 2 3 2 2 3 2 3" xfId="32293"/>
    <cellStyle name="Comma 2 2 3 3 2 2 3 2 2 3 3" xfId="30131"/>
    <cellStyle name="Comma 2 2 3 3 2 2 3 2 2 3 3 2" xfId="40656"/>
    <cellStyle name="Comma 2 2 3 3 2 2 3 2 2 4" xfId="10422"/>
    <cellStyle name="Comma 2 2 3 3 2 2 3 2 2 4 2" xfId="38441"/>
    <cellStyle name="Comma 2 2 3 3 2 2 3 2 2 4 2 2" xfId="45785"/>
    <cellStyle name="Comma 2 2 3 3 2 2 3 2 2 5" xfId="23908"/>
    <cellStyle name="Comma 2 2 3 3 2 2 3 2 3" xfId="5008"/>
    <cellStyle name="Comma 2 2 3 3 2 2 3 2 3 2" xfId="6470"/>
    <cellStyle name="Comma 2 2 3 3 2 2 3 2 3 2 2" xfId="18581"/>
    <cellStyle name="Comma 2 2 3 3 2 2 3 2 3 2 2 2" xfId="20024"/>
    <cellStyle name="Comma 2 2 3 3 2 2 3 2 3 2 2 2 2" xfId="53907"/>
    <cellStyle name="Comma 2 2 3 3 2 2 3 2 3 2 2 2 2 2" xfId="55350"/>
    <cellStyle name="Comma 2 2 3 3 2 2 3 2 3 2 2 3" xfId="33526"/>
    <cellStyle name="Comma 2 2 3 3 2 2 3 2 3 2 3" xfId="32082"/>
    <cellStyle name="Comma 2 2 3 3 2 2 3 2 3 2 3 2" xfId="41898"/>
    <cellStyle name="Comma 2 2 3 3 2 2 3 2 3 3" xfId="11694"/>
    <cellStyle name="Comma 2 2 3 3 2 2 3 2 3 3 2" xfId="40445"/>
    <cellStyle name="Comma 2 2 3 3 2 2 3 2 3 3 2 2" xfId="47042"/>
    <cellStyle name="Comma 2 2 3 3 2 2 3 2 3 4" xfId="25179"/>
    <cellStyle name="Comma 2 2 3 3 2 2 3 2 4" xfId="10211"/>
    <cellStyle name="Comma 2 2 3 3 2 2 3 2 4 2" xfId="14852"/>
    <cellStyle name="Comma 2 2 3 3 2 2 3 2 4 2 2" xfId="45574"/>
    <cellStyle name="Comma 2 2 3 3 2 2 3 2 4 2 2 2" xfId="50191"/>
    <cellStyle name="Comma 2 2 3 3 2 2 3 2 4 3" xfId="28365"/>
    <cellStyle name="Comma 2 2 3 3 2 2 3 2 5" xfId="23697"/>
    <cellStyle name="Comma 2 2 3 3 2 2 3 2 5 2" xfId="36660"/>
    <cellStyle name="Comma 2 2 3 3 2 2 3 3" xfId="1970"/>
    <cellStyle name="Comma 2 2 3 3 2 2 3 3 2" xfId="6245"/>
    <cellStyle name="Comma 2 2 3 3 2 2 3 3 2 2" xfId="7204"/>
    <cellStyle name="Comma 2 2 3 3 2 2 3 3 2 2 2" xfId="19802"/>
    <cellStyle name="Comma 2 2 3 3 2 2 3 3 2 2 2 2" xfId="20756"/>
    <cellStyle name="Comma 2 2 3 3 2 2 3 3 2 2 2 2 2" xfId="55128"/>
    <cellStyle name="Comma 2 2 3 3 2 2 3 3 2 2 2 2 2 2" xfId="56082"/>
    <cellStyle name="Comma 2 2 3 3 2 2 3 3 2 2 2 3" xfId="34259"/>
    <cellStyle name="Comma 2 2 3 3 2 2 3 3 2 2 3" xfId="33304"/>
    <cellStyle name="Comma 2 2 3 3 2 2 3 3 2 2 3 2" xfId="42631"/>
    <cellStyle name="Comma 2 2 3 3 2 2 3 3 2 3" xfId="12429"/>
    <cellStyle name="Comma 2 2 3 3 2 2 3 3 2 3 2" xfId="41674"/>
    <cellStyle name="Comma 2 2 3 3 2 2 3 3 2 3 2 2" xfId="47775"/>
    <cellStyle name="Comma 2 2 3 3 2 2 3 3 2 4" xfId="25913"/>
    <cellStyle name="Comma 2 2 3 3 2 2 3 3 3" xfId="11470"/>
    <cellStyle name="Comma 2 2 3 3 2 2 3 3 3 2" xfId="15634"/>
    <cellStyle name="Comma 2 2 3 3 2 2 3 3 3 2 2" xfId="46819"/>
    <cellStyle name="Comma 2 2 3 3 2 2 3 3 3 2 2 2" xfId="50966"/>
    <cellStyle name="Comma 2 2 3 3 2 2 3 3 3 3" xfId="29140"/>
    <cellStyle name="Comma 2 2 3 3 2 2 3 3 4" xfId="24956"/>
    <cellStyle name="Comma 2 2 3 3 2 2 3 3 4 2" xfId="37448"/>
    <cellStyle name="Comma 2 2 3 3 2 2 3 4" xfId="3984"/>
    <cellStyle name="Comma 2 2 3 3 2 2 3 4 2" xfId="14628"/>
    <cellStyle name="Comma 2 2 3 3 2 2 3 4 2 2" xfId="17579"/>
    <cellStyle name="Comma 2 2 3 3 2 2 3 4 2 2 2" xfId="49967"/>
    <cellStyle name="Comma 2 2 3 3 2 2 3 4 2 2 2 2" xfId="52906"/>
    <cellStyle name="Comma 2 2 3 3 2 2 3 4 2 3" xfId="31081"/>
    <cellStyle name="Comma 2 2 3 3 2 2 3 4 3" xfId="28139"/>
    <cellStyle name="Comma 2 2 3 3 2 2 3 4 3 2" xfId="39428"/>
    <cellStyle name="Comma 2 2 3 3 2 2 3 5" xfId="9176"/>
    <cellStyle name="Comma 2 2 3 3 2 2 3 5 2" xfId="36436"/>
    <cellStyle name="Comma 2 2 3 3 2 2 3 5 2 2" xfId="44559"/>
    <cellStyle name="Comma 2 2 3 3 2 2 3 6" xfId="22673"/>
    <cellStyle name="Comma 2 2 3 3 2 2 4" xfId="1730"/>
    <cellStyle name="Comma 2 2 3 3 2 2 4 2" xfId="2415"/>
    <cellStyle name="Comma 2 2 3 3 2 2 4 2 2" xfId="6983"/>
    <cellStyle name="Comma 2 2 3 3 2 2 4 2 2 2" xfId="7647"/>
    <cellStyle name="Comma 2 2 3 3 2 2 4 2 2 2 2" xfId="20536"/>
    <cellStyle name="Comma 2 2 3 3 2 2 4 2 2 2 2 2" xfId="21199"/>
    <cellStyle name="Comma 2 2 3 3 2 2 4 2 2 2 2 2 2" xfId="55862"/>
    <cellStyle name="Comma 2 2 3 3 2 2 4 2 2 2 2 2 2 2" xfId="56525"/>
    <cellStyle name="Comma 2 2 3 3 2 2 4 2 2 2 2 3" xfId="34702"/>
    <cellStyle name="Comma 2 2 3 3 2 2 4 2 2 2 3" xfId="34038"/>
    <cellStyle name="Comma 2 2 3 3 2 2 4 2 2 2 3 2" xfId="43074"/>
    <cellStyle name="Comma 2 2 3 3 2 2 4 2 2 3" xfId="12872"/>
    <cellStyle name="Comma 2 2 3 3 2 2 4 2 2 3 2" xfId="42411"/>
    <cellStyle name="Comma 2 2 3 3 2 2 4 2 2 3 2 2" xfId="48218"/>
    <cellStyle name="Comma 2 2 3 3 2 2 4 2 2 4" xfId="26356"/>
    <cellStyle name="Comma 2 2 3 3 2 2 4 2 3" xfId="12207"/>
    <cellStyle name="Comma 2 2 3 3 2 2 4 2 3 2" xfId="16078"/>
    <cellStyle name="Comma 2 2 3 3 2 2 4 2 3 2 2" xfId="47554"/>
    <cellStyle name="Comma 2 2 3 3 2 2 4 2 3 2 2 2" xfId="51410"/>
    <cellStyle name="Comma 2 2 3 3 2 2 4 2 3 3" xfId="29584"/>
    <cellStyle name="Comma 2 2 3 3 2 2 4 2 4" xfId="25692"/>
    <cellStyle name="Comma 2 2 3 3 2 2 4 2 4 2" xfId="37893"/>
    <cellStyle name="Comma 2 2 3 3 2 2 4 3" xfId="4450"/>
    <cellStyle name="Comma 2 2 3 3 2 2 4 3 2" xfId="15402"/>
    <cellStyle name="Comma 2 2 3 3 2 2 4 3 2 2" xfId="18040"/>
    <cellStyle name="Comma 2 2 3 3 2 2 4 3 2 2 2" xfId="50735"/>
    <cellStyle name="Comma 2 2 3 3 2 2 4 3 2 2 2 2" xfId="53366"/>
    <cellStyle name="Comma 2 2 3 3 2 2 4 3 2 3" xfId="31541"/>
    <cellStyle name="Comma 2 2 3 3 2 2 4 3 3" xfId="28909"/>
    <cellStyle name="Comma 2 2 3 3 2 2 4 3 3 2" xfId="39892"/>
    <cellStyle name="Comma 2 2 3 3 2 2 4 4" xfId="9655"/>
    <cellStyle name="Comma 2 2 3 3 2 2 4 4 2" xfId="37212"/>
    <cellStyle name="Comma 2 2 3 3 2 2 4 4 2 2" xfId="45033"/>
    <cellStyle name="Comma 2 2 3 3 2 2 4 5" xfId="23156"/>
    <cellStyle name="Comma 2 2 3 3 2 2 5" xfId="3735"/>
    <cellStyle name="Comma 2 2 3 3 2 2 5 2" xfId="5656"/>
    <cellStyle name="Comma 2 2 3 3 2 2 5 2 2" xfId="17351"/>
    <cellStyle name="Comma 2 2 3 3 2 2 5 2 2 2" xfId="19228"/>
    <cellStyle name="Comma 2 2 3 3 2 2 5 2 2 2 2" xfId="52678"/>
    <cellStyle name="Comma 2 2 3 3 2 2 5 2 2 2 2 2" xfId="54554"/>
    <cellStyle name="Comma 2 2 3 3 2 2 5 2 2 3" xfId="32729"/>
    <cellStyle name="Comma 2 2 3 3 2 2 5 2 3" xfId="30852"/>
    <cellStyle name="Comma 2 2 3 3 2 2 5 2 3 2" xfId="41092"/>
    <cellStyle name="Comma 2 2 3 3 2 2 5 3" xfId="10874"/>
    <cellStyle name="Comma 2 2 3 3 2 2 5 3 2" xfId="39186"/>
    <cellStyle name="Comma 2 2 3 3 2 2 5 3 2 2" xfId="46236"/>
    <cellStyle name="Comma 2 2 3 3 2 2 5 4" xfId="24367"/>
    <cellStyle name="Comma 2 2 3 3 2 2 6" xfId="8925"/>
    <cellStyle name="Comma 2 2 3 3 2 2 6 2" xfId="14040"/>
    <cellStyle name="Comma 2 2 3 3 2 2 6 2 2" xfId="44324"/>
    <cellStyle name="Comma 2 2 3 3 2 2 6 2 2 2" xfId="49386"/>
    <cellStyle name="Comma 2 2 3 3 2 2 6 3" xfId="27539"/>
    <cellStyle name="Comma 2 2 3 3 2 2 7" xfId="22432"/>
    <cellStyle name="Comma 2 2 3 3 2 2 7 2" xfId="35852"/>
    <cellStyle name="Comma 2 2 3 3 2 3" xfId="445"/>
    <cellStyle name="Comma 2 2 3 3 2 3 2" xfId="1126"/>
    <cellStyle name="Comma 2 2 3 3 2 3 2 2" xfId="1261"/>
    <cellStyle name="Comma 2 2 3 3 2 3 2 2 2" xfId="3151"/>
    <cellStyle name="Comma 2 2 3 3 2 3 2 2 2 2" xfId="3279"/>
    <cellStyle name="Comma 2 2 3 3 2 3 2 2 2 2 2" xfId="8366"/>
    <cellStyle name="Comma 2 2 3 3 2 3 2 2 2 2 2 2" xfId="8494"/>
    <cellStyle name="Comma 2 2 3 3 2 3 2 2 2 2 2 2 2" xfId="21918"/>
    <cellStyle name="Comma 2 2 3 3 2 3 2 2 2 2 2 2 2 2" xfId="22046"/>
    <cellStyle name="Comma 2 2 3 3 2 3 2 2 2 2 2 2 2 2 2" xfId="57244"/>
    <cellStyle name="Comma 2 2 3 3 2 3 2 2 2 2 2 2 2 2 2 2" xfId="57372"/>
    <cellStyle name="Comma 2 2 3 3 2 3 2 2 2 2 2 2 2 3" xfId="35549"/>
    <cellStyle name="Comma 2 2 3 3 2 3 2 2 2 2 2 2 3" xfId="35421"/>
    <cellStyle name="Comma 2 2 3 3 2 3 2 2 2 2 2 2 3 2" xfId="43921"/>
    <cellStyle name="Comma 2 2 3 3 2 3 2 2 2 2 2 3" xfId="13719"/>
    <cellStyle name="Comma 2 2 3 3 2 3 2 2 2 2 2 3 2" xfId="43793"/>
    <cellStyle name="Comma 2 2 3 3 2 3 2 2 2 2 2 3 2 2" xfId="49065"/>
    <cellStyle name="Comma 2 2 3 3 2 3 2 2 2 2 2 4" xfId="27204"/>
    <cellStyle name="Comma 2 2 3 3 2 3 2 2 2 2 3" xfId="13591"/>
    <cellStyle name="Comma 2 2 3 3 2 3 2 2 2 2 3 2" xfId="16936"/>
    <cellStyle name="Comma 2 2 3 3 2 3 2 2 2 2 3 2 2" xfId="48937"/>
    <cellStyle name="Comma 2 2 3 3 2 3 2 2 2 2 3 2 2 2" xfId="52264"/>
    <cellStyle name="Comma 2 2 3 3 2 3 2 2 2 2 3 3" xfId="30438"/>
    <cellStyle name="Comma 2 2 3 3 2 3 2 2 2 2 4" xfId="27076"/>
    <cellStyle name="Comma 2 2 3 3 2 3 2 2 2 2 4 2" xfId="38748"/>
    <cellStyle name="Comma 2 2 3 3 2 3 2 2 2 3" xfId="5316"/>
    <cellStyle name="Comma 2 2 3 3 2 3 2 2 2 3 2" xfId="16808"/>
    <cellStyle name="Comma 2 2 3 3 2 3 2 2 2 3 2 2" xfId="18889"/>
    <cellStyle name="Comma 2 2 3 3 2 3 2 2 2 3 2 2 2" xfId="52136"/>
    <cellStyle name="Comma 2 2 3 3 2 3 2 2 2 3 2 2 2 2" xfId="54215"/>
    <cellStyle name="Comma 2 2 3 3 2 3 2 2 2 3 2 3" xfId="32390"/>
    <cellStyle name="Comma 2 2 3 3 2 3 2 2 2 3 3" xfId="30310"/>
    <cellStyle name="Comma 2 2 3 3 2 3 2 2 2 3 3 2" xfId="40753"/>
    <cellStyle name="Comma 2 2 3 3 2 3 2 2 2 4" xfId="10519"/>
    <cellStyle name="Comma 2 2 3 3 2 3 2 2 2 4 2" xfId="38620"/>
    <cellStyle name="Comma 2 2 3 3 2 3 2 2 2 4 2 2" xfId="45882"/>
    <cellStyle name="Comma 2 2 3 3 2 3 2 2 2 5" xfId="24005"/>
    <cellStyle name="Comma 2 2 3 3 2 3 2 2 3" xfId="5188"/>
    <cellStyle name="Comma 2 2 3 3 2 3 2 2 3 2" xfId="6569"/>
    <cellStyle name="Comma 2 2 3 3 2 3 2 2 3 2 2" xfId="18761"/>
    <cellStyle name="Comma 2 2 3 3 2 3 2 2 3 2 2 2" xfId="20122"/>
    <cellStyle name="Comma 2 2 3 3 2 3 2 2 3 2 2 2 2" xfId="54087"/>
    <cellStyle name="Comma 2 2 3 3 2 3 2 2 3 2 2 2 2 2" xfId="55448"/>
    <cellStyle name="Comma 2 2 3 3 2 3 2 2 3 2 2 3" xfId="33624"/>
    <cellStyle name="Comma 2 2 3 3 2 3 2 2 3 2 3" xfId="32262"/>
    <cellStyle name="Comma 2 2 3 3 2 3 2 2 3 2 3 2" xfId="41997"/>
    <cellStyle name="Comma 2 2 3 3 2 3 2 2 3 3" xfId="11792"/>
    <cellStyle name="Comma 2 2 3 3 2 3 2 2 3 3 2" xfId="40625"/>
    <cellStyle name="Comma 2 2 3 3 2 3 2 2 3 3 2 2" xfId="47140"/>
    <cellStyle name="Comma 2 2 3 3 2 3 2 2 3 4" xfId="25277"/>
    <cellStyle name="Comma 2 2 3 3 2 3 2 2 4" xfId="10391"/>
    <cellStyle name="Comma 2 2 3 3 2 3 2 2 4 2" xfId="14950"/>
    <cellStyle name="Comma 2 2 3 3 2 3 2 2 4 2 2" xfId="45754"/>
    <cellStyle name="Comma 2 2 3 3 2 3 2 2 4 2 2 2" xfId="50289"/>
    <cellStyle name="Comma 2 2 3 3 2 3 2 2 4 3" xfId="28463"/>
    <cellStyle name="Comma 2 2 3 3 2 3 2 2 5" xfId="23877"/>
    <cellStyle name="Comma 2 2 3 3 2 3 2 2 5 2" xfId="36758"/>
    <cellStyle name="Comma 2 2 3 3 2 3 2 3" xfId="2067"/>
    <cellStyle name="Comma 2 2 3 3 2 3 2 3 2" xfId="6434"/>
    <cellStyle name="Comma 2 2 3 3 2 3 2 3 2 2" xfId="7301"/>
    <cellStyle name="Comma 2 2 3 3 2 3 2 3 2 2 2" xfId="19989"/>
    <cellStyle name="Comma 2 2 3 3 2 3 2 3 2 2 2 2" xfId="20853"/>
    <cellStyle name="Comma 2 2 3 3 2 3 2 3 2 2 2 2 2" xfId="55315"/>
    <cellStyle name="Comma 2 2 3 3 2 3 2 3 2 2 2 2 2 2" xfId="56179"/>
    <cellStyle name="Comma 2 2 3 3 2 3 2 3 2 2 2 3" xfId="34356"/>
    <cellStyle name="Comma 2 2 3 3 2 3 2 3 2 2 3" xfId="33491"/>
    <cellStyle name="Comma 2 2 3 3 2 3 2 3 2 2 3 2" xfId="42728"/>
    <cellStyle name="Comma 2 2 3 3 2 3 2 3 2 3" xfId="12526"/>
    <cellStyle name="Comma 2 2 3 3 2 3 2 3 2 3 2" xfId="41862"/>
    <cellStyle name="Comma 2 2 3 3 2 3 2 3 2 3 2 2" xfId="47872"/>
    <cellStyle name="Comma 2 2 3 3 2 3 2 3 2 4" xfId="26010"/>
    <cellStyle name="Comma 2 2 3 3 2 3 2 3 3" xfId="11658"/>
    <cellStyle name="Comma 2 2 3 3 2 3 2 3 3 2" xfId="15731"/>
    <cellStyle name="Comma 2 2 3 3 2 3 2 3 3 2 2" xfId="47007"/>
    <cellStyle name="Comma 2 2 3 3 2 3 2 3 3 2 2 2" xfId="51063"/>
    <cellStyle name="Comma 2 2 3 3 2 3 2 3 3 3" xfId="29237"/>
    <cellStyle name="Comma 2 2 3 3 2 3 2 3 4" xfId="25144"/>
    <cellStyle name="Comma 2 2 3 3 2 3 2 3 4 2" xfId="37545"/>
    <cellStyle name="Comma 2 2 3 3 2 3 2 4" xfId="4083"/>
    <cellStyle name="Comma 2 2 3 3 2 3 2 4 2" xfId="14817"/>
    <cellStyle name="Comma 2 2 3 3 2 3 2 4 2 2" xfId="17676"/>
    <cellStyle name="Comma 2 2 3 3 2 3 2 4 2 2 2" xfId="50156"/>
    <cellStyle name="Comma 2 2 3 3 2 3 2 4 2 2 2 2" xfId="53003"/>
    <cellStyle name="Comma 2 2 3 3 2 3 2 4 2 3" xfId="31178"/>
    <cellStyle name="Comma 2 2 3 3 2 3 2 4 3" xfId="28329"/>
    <cellStyle name="Comma 2 2 3 3 2 3 2 4 3 2" xfId="39526"/>
    <cellStyle name="Comma 2 2 3 3 2 3 2 5" xfId="9274"/>
    <cellStyle name="Comma 2 2 3 3 2 3 2 5 2" xfId="36625"/>
    <cellStyle name="Comma 2 2 3 3 2 3 2 5 2 2" xfId="44656"/>
    <cellStyle name="Comma 2 2 3 3 2 3 2 6" xfId="22770"/>
    <cellStyle name="Comma 2 2 3 3 2 3 3" xfId="1934"/>
    <cellStyle name="Comma 2 2 3 3 2 3 3 2" xfId="2544"/>
    <cellStyle name="Comma 2 2 3 3 2 3 3 2 2" xfId="7173"/>
    <cellStyle name="Comma 2 2 3 3 2 3 3 2 2 2" xfId="7766"/>
    <cellStyle name="Comma 2 2 3 3 2 3 3 2 2 2 2" xfId="20725"/>
    <cellStyle name="Comma 2 2 3 3 2 3 3 2 2 2 2 2" xfId="21318"/>
    <cellStyle name="Comma 2 2 3 3 2 3 3 2 2 2 2 2 2" xfId="56051"/>
    <cellStyle name="Comma 2 2 3 3 2 3 3 2 2 2 2 2 2 2" xfId="56644"/>
    <cellStyle name="Comma 2 2 3 3 2 3 3 2 2 2 2 3" xfId="34821"/>
    <cellStyle name="Comma 2 2 3 3 2 3 3 2 2 2 3" xfId="34228"/>
    <cellStyle name="Comma 2 2 3 3 2 3 3 2 2 2 3 2" xfId="43193"/>
    <cellStyle name="Comma 2 2 3 3 2 3 3 2 2 3" xfId="12991"/>
    <cellStyle name="Comma 2 2 3 3 2 3 3 2 2 3 2" xfId="42600"/>
    <cellStyle name="Comma 2 2 3 3 2 3 3 2 2 3 2 2" xfId="48337"/>
    <cellStyle name="Comma 2 2 3 3 2 3 3 2 2 4" xfId="26475"/>
    <cellStyle name="Comma 2 2 3 3 2 3 3 2 3" xfId="12398"/>
    <cellStyle name="Comma 2 2 3 3 2 3 3 2 3 2" xfId="16204"/>
    <cellStyle name="Comma 2 2 3 3 2 3 3 2 3 2 2" xfId="47744"/>
    <cellStyle name="Comma 2 2 3 3 2 3 3 2 3 2 2 2" xfId="51534"/>
    <cellStyle name="Comma 2 2 3 3 2 3 3 2 3 3" xfId="29708"/>
    <cellStyle name="Comma 2 2 3 3 2 3 3 2 4" xfId="25882"/>
    <cellStyle name="Comma 2 2 3 3 2 3 3 2 4 2" xfId="38017"/>
    <cellStyle name="Comma 2 2 3 3 2 3 3 3" xfId="4578"/>
    <cellStyle name="Comma 2 2 3 3 2 3 3 3 2" xfId="15599"/>
    <cellStyle name="Comma 2 2 3 3 2 3 3 3 2 2" xfId="18159"/>
    <cellStyle name="Comma 2 2 3 3 2 3 3 3 2 2 2" xfId="50931"/>
    <cellStyle name="Comma 2 2 3 3 2 3 3 3 2 2 2 2" xfId="53485"/>
    <cellStyle name="Comma 2 2 3 3 2 3 3 3 2 3" xfId="31660"/>
    <cellStyle name="Comma 2 2 3 3 2 3 3 3 3" xfId="29105"/>
    <cellStyle name="Comma 2 2 3 3 2 3 3 3 3 2" xfId="40017"/>
    <cellStyle name="Comma 2 2 3 3 2 3 3 4" xfId="9781"/>
    <cellStyle name="Comma 2 2 3 3 2 3 3 4 2" xfId="37412"/>
    <cellStyle name="Comma 2 2 3 3 2 3 3 4 2 2" xfId="45152"/>
    <cellStyle name="Comma 2 2 3 3 2 3 3 5" xfId="23275"/>
    <cellStyle name="Comma 2 2 3 3 2 3 4" xfId="3948"/>
    <cellStyle name="Comma 2 2 3 3 2 3 4 2" xfId="5784"/>
    <cellStyle name="Comma 2 2 3 3 2 3 4 2 2" xfId="17548"/>
    <cellStyle name="Comma 2 2 3 3 2 3 4 2 2 2" xfId="19352"/>
    <cellStyle name="Comma 2 2 3 3 2 3 4 2 2 2 2" xfId="52875"/>
    <cellStyle name="Comma 2 2 3 3 2 3 4 2 2 2 2 2" xfId="54678"/>
    <cellStyle name="Comma 2 2 3 3 2 3 4 2 2 3" xfId="32853"/>
    <cellStyle name="Comma 2 2 3 3 2 3 4 2 3" xfId="31050"/>
    <cellStyle name="Comma 2 2 3 3 2 3 4 2 3 2" xfId="41219"/>
    <cellStyle name="Comma 2 2 3 3 2 3 4 3" xfId="11005"/>
    <cellStyle name="Comma 2 2 3 3 2 3 4 3 2" xfId="39392"/>
    <cellStyle name="Comma 2 2 3 3 2 3 4 3 2 2" xfId="46364"/>
    <cellStyle name="Comma 2 2 3 3 2 3 4 4" xfId="24499"/>
    <cellStyle name="Comma 2 2 3 3 2 3 5" xfId="9140"/>
    <cellStyle name="Comma 2 2 3 3 2 3 5 2" xfId="14167"/>
    <cellStyle name="Comma 2 2 3 3 2 3 5 2 2" xfId="44528"/>
    <cellStyle name="Comma 2 2 3 3 2 3 5 2 2 2" xfId="49512"/>
    <cellStyle name="Comma 2 2 3 3 2 3 5 3" xfId="27672"/>
    <cellStyle name="Comma 2 2 3 3 2 3 6" xfId="22642"/>
    <cellStyle name="Comma 2 2 3 3 2 3 6 2" xfId="35979"/>
    <cellStyle name="Comma 2 2 3 3 2 4" xfId="766"/>
    <cellStyle name="Comma 2 2 3 3 2 4 2" xfId="2382"/>
    <cellStyle name="Comma 2 2 3 3 2 4 2 2" xfId="2823"/>
    <cellStyle name="Comma 2 2 3 3 2 4 2 2 2" xfId="7615"/>
    <cellStyle name="Comma 2 2 3 3 2 4 2 2 2 2" xfId="8039"/>
    <cellStyle name="Comma 2 2 3 3 2 4 2 2 2 2 2" xfId="21167"/>
    <cellStyle name="Comma 2 2 3 3 2 4 2 2 2 2 2 2" xfId="21591"/>
    <cellStyle name="Comma 2 2 3 3 2 4 2 2 2 2 2 2 2" xfId="56493"/>
    <cellStyle name="Comma 2 2 3 3 2 4 2 2 2 2 2 2 2 2" xfId="56917"/>
    <cellStyle name="Comma 2 2 3 3 2 4 2 2 2 2 2 3" xfId="35094"/>
    <cellStyle name="Comma 2 2 3 3 2 4 2 2 2 2 3" xfId="34670"/>
    <cellStyle name="Comma 2 2 3 3 2 4 2 2 2 2 3 2" xfId="43466"/>
    <cellStyle name="Comma 2 2 3 3 2 4 2 2 2 3" xfId="13264"/>
    <cellStyle name="Comma 2 2 3 3 2 4 2 2 2 3 2" xfId="43042"/>
    <cellStyle name="Comma 2 2 3 3 2 4 2 2 2 3 2 2" xfId="48610"/>
    <cellStyle name="Comma 2 2 3 3 2 4 2 2 2 4" xfId="26748"/>
    <cellStyle name="Comma 2 2 3 3 2 4 2 2 3" xfId="12840"/>
    <cellStyle name="Comma 2 2 3 3 2 4 2 2 3 2" xfId="16481"/>
    <cellStyle name="Comma 2 2 3 3 2 4 2 2 3 2 2" xfId="48186"/>
    <cellStyle name="Comma 2 2 3 3 2 4 2 2 3 2 2 2" xfId="51809"/>
    <cellStyle name="Comma 2 2 3 3 2 4 2 2 3 3" xfId="29983"/>
    <cellStyle name="Comma 2 2 3 3 2 4 2 2 4" xfId="26324"/>
    <cellStyle name="Comma 2 2 3 3 2 4 2 2 4 2" xfId="38293"/>
    <cellStyle name="Comma 2 2 3 3 2 4 2 3" xfId="4859"/>
    <cellStyle name="Comma 2 2 3 3 2 4 2 3 2" xfId="16045"/>
    <cellStyle name="Comma 2 2 3 3 2 4 2 3 2 2" xfId="18433"/>
    <cellStyle name="Comma 2 2 3 3 2 4 2 3 2 2 2" xfId="51377"/>
    <cellStyle name="Comma 2 2 3 3 2 4 2 3 2 2 2 2" xfId="53759"/>
    <cellStyle name="Comma 2 2 3 3 2 4 2 3 2 3" xfId="31934"/>
    <cellStyle name="Comma 2 2 3 3 2 4 2 3 3" xfId="29551"/>
    <cellStyle name="Comma 2 2 3 3 2 4 2 3 3 2" xfId="40296"/>
    <cellStyle name="Comma 2 2 3 3 2 4 2 4" xfId="10062"/>
    <cellStyle name="Comma 2 2 3 3 2 4 2 4 2" xfId="37860"/>
    <cellStyle name="Comma 2 2 3 3 2 4 2 4 2 2" xfId="45426"/>
    <cellStyle name="Comma 2 2 3 3 2 4 2 5" xfId="23549"/>
    <cellStyle name="Comma 2 2 3 3 2 4 3" xfId="4416"/>
    <cellStyle name="Comma 2 2 3 3 2 4 3 2" xfId="6083"/>
    <cellStyle name="Comma 2 2 3 3 2 4 3 2 2" xfId="18007"/>
    <cellStyle name="Comma 2 2 3 3 2 4 3 2 2 2" xfId="19645"/>
    <cellStyle name="Comma 2 2 3 3 2 4 3 2 2 2 2" xfId="53333"/>
    <cellStyle name="Comma 2 2 3 3 2 4 3 2 2 2 2 2" xfId="54971"/>
    <cellStyle name="Comma 2 2 3 3 2 4 3 2 2 3" xfId="33146"/>
    <cellStyle name="Comma 2 2 3 3 2 4 3 2 3" xfId="31508"/>
    <cellStyle name="Comma 2 2 3 3 2 4 3 2 3 2" xfId="41516"/>
    <cellStyle name="Comma 2 2 3 3 2 4 3 3" xfId="11309"/>
    <cellStyle name="Comma 2 2 3 3 2 4 3 3 2" xfId="39858"/>
    <cellStyle name="Comma 2 2 3 3 2 4 3 3 2 2" xfId="46662"/>
    <cellStyle name="Comma 2 2 3 3 2 4 3 4" xfId="24799"/>
    <cellStyle name="Comma 2 2 3 3 2 4 4" xfId="9619"/>
    <cellStyle name="Comma 2 2 3 3 2 4 4 2" xfId="14467"/>
    <cellStyle name="Comma 2 2 3 3 2 4 4 2 2" xfId="44999"/>
    <cellStyle name="Comma 2 2 3 3 2 4 4 2 2 2" xfId="49809"/>
    <cellStyle name="Comma 2 2 3 3 2 4 4 3" xfId="27978"/>
    <cellStyle name="Comma 2 2 3 3 2 4 5" xfId="23120"/>
    <cellStyle name="Comma 2 2 3 3 2 4 5 2" xfId="36277"/>
    <cellStyle name="Comma 2 2 3 3 2 5" xfId="1552"/>
    <cellStyle name="Comma 2 2 3 3 2 5 2" xfId="5623"/>
    <cellStyle name="Comma 2 2 3 3 2 5 2 2" xfId="6825"/>
    <cellStyle name="Comma 2 2 3 3 2 5 2 2 2" xfId="19195"/>
    <cellStyle name="Comma 2 2 3 3 2 5 2 2 2 2" xfId="20378"/>
    <cellStyle name="Comma 2 2 3 3 2 5 2 2 2 2 2" xfId="54521"/>
    <cellStyle name="Comma 2 2 3 3 2 5 2 2 2 2 2 2" xfId="55704"/>
    <cellStyle name="Comma 2 2 3 3 2 5 2 2 2 3" xfId="33880"/>
    <cellStyle name="Comma 2 2 3 3 2 5 2 2 3" xfId="32696"/>
    <cellStyle name="Comma 2 2 3 3 2 5 2 2 3 2" xfId="42253"/>
    <cellStyle name="Comma 2 2 3 3 2 5 2 3" xfId="12049"/>
    <cellStyle name="Comma 2 2 3 3 2 5 2 3 2" xfId="41059"/>
    <cellStyle name="Comma 2 2 3 3 2 5 2 3 2 2" xfId="47396"/>
    <cellStyle name="Comma 2 2 3 3 2 5 2 4" xfId="25534"/>
    <cellStyle name="Comma 2 2 3 3 2 5 3" xfId="10839"/>
    <cellStyle name="Comma 2 2 3 3 2 5 3 2" xfId="15228"/>
    <cellStyle name="Comma 2 2 3 3 2 5 3 2 2" xfId="46201"/>
    <cellStyle name="Comma 2 2 3 3 2 5 3 2 2 2" xfId="50565"/>
    <cellStyle name="Comma 2 2 3 3 2 5 3 3" xfId="28739"/>
    <cellStyle name="Comma 2 2 3 3 2 5 4" xfId="24331"/>
    <cellStyle name="Comma 2 2 3 3 2 5 4 2" xfId="37040"/>
    <cellStyle name="Comma 2 2 3 3 2 6" xfId="3553"/>
    <cellStyle name="Comma 2 2 3 3 2 6 2" xfId="14007"/>
    <cellStyle name="Comma 2 2 3 3 2 6 2 2" xfId="17190"/>
    <cellStyle name="Comma 2 2 3 3 2 6 2 2 2" xfId="49353"/>
    <cellStyle name="Comma 2 2 3 3 2 6 2 2 2 2" xfId="52517"/>
    <cellStyle name="Comma 2 2 3 3 2 6 2 3" xfId="30691"/>
    <cellStyle name="Comma 2 2 3 3 2 6 3" xfId="27501"/>
    <cellStyle name="Comma 2 2 3 3 2 6 3 2" xfId="39010"/>
    <cellStyle name="Comma 2 2 3 3 2 7" xfId="8744"/>
    <cellStyle name="Comma 2 2 3 3 2 7 2" xfId="35819"/>
    <cellStyle name="Comma 2 2 3 3 2 7 2 2" xfId="44158"/>
    <cellStyle name="Comma 2 2 3 3 2 8" xfId="22262"/>
    <cellStyle name="Comma 2 2 3 3 3" xfId="401"/>
    <cellStyle name="Comma 2 2 3 3 3 2" xfId="509"/>
    <cellStyle name="Comma 2 2 3 3 3 2 2" xfId="1232"/>
    <cellStyle name="Comma 2 2 3 3 3 2 2 2" xfId="1319"/>
    <cellStyle name="Comma 2 2 3 3 3 2 2 2 2" xfId="3250"/>
    <cellStyle name="Comma 2 2 3 3 3 2 2 2 2 2" xfId="3337"/>
    <cellStyle name="Comma 2 2 3 3 3 2 2 2 2 2 2" xfId="8465"/>
    <cellStyle name="Comma 2 2 3 3 3 2 2 2 2 2 2 2" xfId="8552"/>
    <cellStyle name="Comma 2 2 3 3 3 2 2 2 2 2 2 2 2" xfId="22017"/>
    <cellStyle name="Comma 2 2 3 3 3 2 2 2 2 2 2 2 2 2" xfId="22104"/>
    <cellStyle name="Comma 2 2 3 3 3 2 2 2 2 2 2 2 2 2 2" xfId="57343"/>
    <cellStyle name="Comma 2 2 3 3 3 2 2 2 2 2 2 2 2 2 2 2" xfId="57430"/>
    <cellStyle name="Comma 2 2 3 3 3 2 2 2 2 2 2 2 2 3" xfId="35607"/>
    <cellStyle name="Comma 2 2 3 3 3 2 2 2 2 2 2 2 3" xfId="35520"/>
    <cellStyle name="Comma 2 2 3 3 3 2 2 2 2 2 2 2 3 2" xfId="43979"/>
    <cellStyle name="Comma 2 2 3 3 3 2 2 2 2 2 2 3" xfId="13777"/>
    <cellStyle name="Comma 2 2 3 3 3 2 2 2 2 2 2 3 2" xfId="43892"/>
    <cellStyle name="Comma 2 2 3 3 3 2 2 2 2 2 2 3 2 2" xfId="49123"/>
    <cellStyle name="Comma 2 2 3 3 3 2 2 2 2 2 2 4" xfId="27262"/>
    <cellStyle name="Comma 2 2 3 3 3 2 2 2 2 2 3" xfId="13690"/>
    <cellStyle name="Comma 2 2 3 3 3 2 2 2 2 2 3 2" xfId="16994"/>
    <cellStyle name="Comma 2 2 3 3 3 2 2 2 2 2 3 2 2" xfId="49036"/>
    <cellStyle name="Comma 2 2 3 3 3 2 2 2 2 2 3 2 2 2" xfId="52322"/>
    <cellStyle name="Comma 2 2 3 3 3 2 2 2 2 2 3 3" xfId="30496"/>
    <cellStyle name="Comma 2 2 3 3 3 2 2 2 2 2 4" xfId="27175"/>
    <cellStyle name="Comma 2 2 3 3 3 2 2 2 2 2 4 2" xfId="38806"/>
    <cellStyle name="Comma 2 2 3 3 3 2 2 2 2 3" xfId="5374"/>
    <cellStyle name="Comma 2 2 3 3 3 2 2 2 2 3 2" xfId="16907"/>
    <cellStyle name="Comma 2 2 3 3 3 2 2 2 2 3 2 2" xfId="18947"/>
    <cellStyle name="Comma 2 2 3 3 3 2 2 2 2 3 2 2 2" xfId="52235"/>
    <cellStyle name="Comma 2 2 3 3 3 2 2 2 2 3 2 2 2 2" xfId="54273"/>
    <cellStyle name="Comma 2 2 3 3 3 2 2 2 2 3 2 3" xfId="32448"/>
    <cellStyle name="Comma 2 2 3 3 3 2 2 2 2 3 3" xfId="30409"/>
    <cellStyle name="Comma 2 2 3 3 3 2 2 2 2 3 3 2" xfId="40811"/>
    <cellStyle name="Comma 2 2 3 3 3 2 2 2 2 4" xfId="10577"/>
    <cellStyle name="Comma 2 2 3 3 3 2 2 2 2 4 2" xfId="38719"/>
    <cellStyle name="Comma 2 2 3 3 3 2 2 2 2 4 2 2" xfId="45940"/>
    <cellStyle name="Comma 2 2 3 3 3 2 2 2 2 5" xfId="24063"/>
    <cellStyle name="Comma 2 2 3 3 3 2 2 2 3" xfId="5287"/>
    <cellStyle name="Comma 2 2 3 3 3 2 2 2 3 2" xfId="6627"/>
    <cellStyle name="Comma 2 2 3 3 3 2 2 2 3 2 2" xfId="18860"/>
    <cellStyle name="Comma 2 2 3 3 3 2 2 2 3 2 2 2" xfId="20180"/>
    <cellStyle name="Comma 2 2 3 3 3 2 2 2 3 2 2 2 2" xfId="54186"/>
    <cellStyle name="Comma 2 2 3 3 3 2 2 2 3 2 2 2 2 2" xfId="55506"/>
    <cellStyle name="Comma 2 2 3 3 3 2 2 2 3 2 2 3" xfId="33682"/>
    <cellStyle name="Comma 2 2 3 3 3 2 2 2 3 2 3" xfId="32361"/>
    <cellStyle name="Comma 2 2 3 3 3 2 2 2 3 2 3 2" xfId="42055"/>
    <cellStyle name="Comma 2 2 3 3 3 2 2 2 3 3" xfId="11850"/>
    <cellStyle name="Comma 2 2 3 3 3 2 2 2 3 3 2" xfId="40724"/>
    <cellStyle name="Comma 2 2 3 3 3 2 2 2 3 3 2 2" xfId="47198"/>
    <cellStyle name="Comma 2 2 3 3 3 2 2 2 3 4" xfId="25335"/>
    <cellStyle name="Comma 2 2 3 3 3 2 2 2 4" xfId="10490"/>
    <cellStyle name="Comma 2 2 3 3 3 2 2 2 4 2" xfId="15008"/>
    <cellStyle name="Comma 2 2 3 3 3 2 2 2 4 2 2" xfId="45853"/>
    <cellStyle name="Comma 2 2 3 3 3 2 2 2 4 2 2 2" xfId="50347"/>
    <cellStyle name="Comma 2 2 3 3 3 2 2 2 4 3" xfId="28521"/>
    <cellStyle name="Comma 2 2 3 3 3 2 2 2 5" xfId="23976"/>
    <cellStyle name="Comma 2 2 3 3 3 2 2 2 5 2" xfId="36816"/>
    <cellStyle name="Comma 2 2 3 3 3 2 2 3" xfId="2126"/>
    <cellStyle name="Comma 2 2 3 3 3 2 2 3 2" xfId="6540"/>
    <cellStyle name="Comma 2 2 3 3 3 2 2 3 2 2" xfId="7360"/>
    <cellStyle name="Comma 2 2 3 3 3 2 2 3 2 2 2" xfId="20093"/>
    <cellStyle name="Comma 2 2 3 3 3 2 2 3 2 2 2 2" xfId="20912"/>
    <cellStyle name="Comma 2 2 3 3 3 2 2 3 2 2 2 2 2" xfId="55419"/>
    <cellStyle name="Comma 2 2 3 3 3 2 2 3 2 2 2 2 2 2" xfId="56238"/>
    <cellStyle name="Comma 2 2 3 3 3 2 2 3 2 2 2 3" xfId="34415"/>
    <cellStyle name="Comma 2 2 3 3 3 2 2 3 2 2 3" xfId="33595"/>
    <cellStyle name="Comma 2 2 3 3 3 2 2 3 2 2 3 2" xfId="42787"/>
    <cellStyle name="Comma 2 2 3 3 3 2 2 3 2 3" xfId="12585"/>
    <cellStyle name="Comma 2 2 3 3 3 2 2 3 2 3 2" xfId="41968"/>
    <cellStyle name="Comma 2 2 3 3 3 2 2 3 2 3 2 2" xfId="47931"/>
    <cellStyle name="Comma 2 2 3 3 3 2 2 3 2 4" xfId="26069"/>
    <cellStyle name="Comma 2 2 3 3 3 2 2 3 3" xfId="11763"/>
    <cellStyle name="Comma 2 2 3 3 3 2 2 3 3 2" xfId="15790"/>
    <cellStyle name="Comma 2 2 3 3 3 2 2 3 3 2 2" xfId="47111"/>
    <cellStyle name="Comma 2 2 3 3 3 2 2 3 3 2 2 2" xfId="51122"/>
    <cellStyle name="Comma 2 2 3 3 3 2 2 3 3 3" xfId="29296"/>
    <cellStyle name="Comma 2 2 3 3 3 2 2 3 4" xfId="25248"/>
    <cellStyle name="Comma 2 2 3 3 3 2 2 3 4 2" xfId="37604"/>
    <cellStyle name="Comma 2 2 3 3 3 2 2 4" xfId="4142"/>
    <cellStyle name="Comma 2 2 3 3 3 2 2 4 2" xfId="14921"/>
    <cellStyle name="Comma 2 2 3 3 3 2 2 4 2 2" xfId="17735"/>
    <cellStyle name="Comma 2 2 3 3 3 2 2 4 2 2 2" xfId="50260"/>
    <cellStyle name="Comma 2 2 3 3 3 2 2 4 2 2 2 2" xfId="53062"/>
    <cellStyle name="Comma 2 2 3 3 3 2 2 4 2 3" xfId="31237"/>
    <cellStyle name="Comma 2 2 3 3 3 2 2 4 3" xfId="28434"/>
    <cellStyle name="Comma 2 2 3 3 3 2 2 4 3 2" xfId="39585"/>
    <cellStyle name="Comma 2 2 3 3 3 2 2 5" xfId="9333"/>
    <cellStyle name="Comma 2 2 3 3 3 2 2 5 2" xfId="36729"/>
    <cellStyle name="Comma 2 2 3 3 3 2 2 5 2 2" xfId="44715"/>
    <cellStyle name="Comma 2 2 3 3 3 2 2 6" xfId="22829"/>
    <cellStyle name="Comma 2 2 3 3 3 2 3" xfId="2038"/>
    <cellStyle name="Comma 2 2 3 3 3 2 3 2" xfId="2605"/>
    <cellStyle name="Comma 2 2 3 3 3 2 3 2 2" xfId="7272"/>
    <cellStyle name="Comma 2 2 3 3 3 2 3 2 2 2" xfId="7825"/>
    <cellStyle name="Comma 2 2 3 3 3 2 3 2 2 2 2" xfId="20824"/>
    <cellStyle name="Comma 2 2 3 3 3 2 3 2 2 2 2 2" xfId="21377"/>
    <cellStyle name="Comma 2 2 3 3 3 2 3 2 2 2 2 2 2" xfId="56150"/>
    <cellStyle name="Comma 2 2 3 3 3 2 3 2 2 2 2 2 2 2" xfId="56703"/>
    <cellStyle name="Comma 2 2 3 3 3 2 3 2 2 2 2 3" xfId="34880"/>
    <cellStyle name="Comma 2 2 3 3 3 2 3 2 2 2 3" xfId="34327"/>
    <cellStyle name="Comma 2 2 3 3 3 2 3 2 2 2 3 2" xfId="43252"/>
    <cellStyle name="Comma 2 2 3 3 3 2 3 2 2 3" xfId="13050"/>
    <cellStyle name="Comma 2 2 3 3 3 2 3 2 2 3 2" xfId="42699"/>
    <cellStyle name="Comma 2 2 3 3 3 2 3 2 2 3 2 2" xfId="48396"/>
    <cellStyle name="Comma 2 2 3 3 3 2 3 2 2 4" xfId="26534"/>
    <cellStyle name="Comma 2 2 3 3 3 2 3 2 3" xfId="12497"/>
    <cellStyle name="Comma 2 2 3 3 3 2 3 2 3 2" xfId="16264"/>
    <cellStyle name="Comma 2 2 3 3 3 2 3 2 3 2 2" xfId="47843"/>
    <cellStyle name="Comma 2 2 3 3 3 2 3 2 3 2 2 2" xfId="51594"/>
    <cellStyle name="Comma 2 2 3 3 3 2 3 2 3 3" xfId="29768"/>
    <cellStyle name="Comma 2 2 3 3 3 2 3 2 4" xfId="25981"/>
    <cellStyle name="Comma 2 2 3 3 3 2 3 2 4 2" xfId="38078"/>
    <cellStyle name="Comma 2 2 3 3 3 2 3 3" xfId="4639"/>
    <cellStyle name="Comma 2 2 3 3 3 2 3 3 2" xfId="15702"/>
    <cellStyle name="Comma 2 2 3 3 3 2 3 3 2 2" xfId="18219"/>
    <cellStyle name="Comma 2 2 3 3 3 2 3 3 2 2 2" xfId="51034"/>
    <cellStyle name="Comma 2 2 3 3 3 2 3 3 2 2 2 2" xfId="53545"/>
    <cellStyle name="Comma 2 2 3 3 3 2 3 3 2 3" xfId="31720"/>
    <cellStyle name="Comma 2 2 3 3 3 2 3 3 3" xfId="29208"/>
    <cellStyle name="Comma 2 2 3 3 3 2 3 3 3 2" xfId="40078"/>
    <cellStyle name="Comma 2 2 3 3 3 2 3 4" xfId="9842"/>
    <cellStyle name="Comma 2 2 3 3 3 2 3 4 2" xfId="37516"/>
    <cellStyle name="Comma 2 2 3 3 3 2 3 4 2 2" xfId="45212"/>
    <cellStyle name="Comma 2 2 3 3 3 2 3 5" xfId="23335"/>
    <cellStyle name="Comma 2 2 3 3 3 2 4" xfId="4054"/>
    <cellStyle name="Comma 2 2 3 3 3 2 4 2" xfId="5844"/>
    <cellStyle name="Comma 2 2 3 3 3 2 4 2 2" xfId="17647"/>
    <cellStyle name="Comma 2 2 3 3 3 2 4 2 2 2" xfId="19412"/>
    <cellStyle name="Comma 2 2 3 3 3 2 4 2 2 2 2" xfId="52974"/>
    <cellStyle name="Comma 2 2 3 3 3 2 4 2 2 2 2 2" xfId="54738"/>
    <cellStyle name="Comma 2 2 3 3 3 2 4 2 2 3" xfId="32913"/>
    <cellStyle name="Comma 2 2 3 3 3 2 4 2 3" xfId="31149"/>
    <cellStyle name="Comma 2 2 3 3 3 2 4 2 3 2" xfId="41279"/>
    <cellStyle name="Comma 2 2 3 3 3 2 4 3" xfId="11067"/>
    <cellStyle name="Comma 2 2 3 3 3 2 4 3 2" xfId="39497"/>
    <cellStyle name="Comma 2 2 3 3 3 2 4 3 2 2" xfId="46426"/>
    <cellStyle name="Comma 2 2 3 3 3 2 4 4" xfId="24561"/>
    <cellStyle name="Comma 2 2 3 3 3 2 5" xfId="9245"/>
    <cellStyle name="Comma 2 2 3 3 3 2 5 2" xfId="14228"/>
    <cellStyle name="Comma 2 2 3 3 3 2 5 2 2" xfId="44627"/>
    <cellStyle name="Comma 2 2 3 3 3 2 5 2 2 2" xfId="49573"/>
    <cellStyle name="Comma 2 2 3 3 3 2 5 3" xfId="27735"/>
    <cellStyle name="Comma 2 2 3 3 3 2 6" xfId="22741"/>
    <cellStyle name="Comma 2 2 3 3 3 2 6 2" xfId="36040"/>
    <cellStyle name="Comma 2 2 3 3 3 3" xfId="836"/>
    <cellStyle name="Comma 2 2 3 3 3 3 2" xfId="2503"/>
    <cellStyle name="Comma 2 2 3 3 3 3 2 2" xfId="2888"/>
    <cellStyle name="Comma 2 2 3 3 3 3 2 2 2" xfId="7728"/>
    <cellStyle name="Comma 2 2 3 3 3 3 2 2 2 2" xfId="8103"/>
    <cellStyle name="Comma 2 2 3 3 3 3 2 2 2 2 2" xfId="21280"/>
    <cellStyle name="Comma 2 2 3 3 3 3 2 2 2 2 2 2" xfId="21655"/>
    <cellStyle name="Comma 2 2 3 3 3 3 2 2 2 2 2 2 2" xfId="56606"/>
    <cellStyle name="Comma 2 2 3 3 3 3 2 2 2 2 2 2 2 2" xfId="56981"/>
    <cellStyle name="Comma 2 2 3 3 3 3 2 2 2 2 2 3" xfId="35158"/>
    <cellStyle name="Comma 2 2 3 3 3 3 2 2 2 2 3" xfId="34783"/>
    <cellStyle name="Comma 2 2 3 3 3 3 2 2 2 2 3 2" xfId="43530"/>
    <cellStyle name="Comma 2 2 3 3 3 3 2 2 2 3" xfId="13328"/>
    <cellStyle name="Comma 2 2 3 3 3 3 2 2 2 3 2" xfId="43155"/>
    <cellStyle name="Comma 2 2 3 3 3 3 2 2 2 3 2 2" xfId="48674"/>
    <cellStyle name="Comma 2 2 3 3 3 3 2 2 2 4" xfId="26813"/>
    <cellStyle name="Comma 2 2 3 3 3 3 2 2 3" xfId="12953"/>
    <cellStyle name="Comma 2 2 3 3 3 3 2 2 3 2" xfId="16545"/>
    <cellStyle name="Comma 2 2 3 3 3 3 2 2 3 2 2" xfId="48299"/>
    <cellStyle name="Comma 2 2 3 3 3 3 2 2 3 2 2 2" xfId="51873"/>
    <cellStyle name="Comma 2 2 3 3 3 3 2 2 3 3" xfId="30047"/>
    <cellStyle name="Comma 2 2 3 3 3 3 2 2 4" xfId="26437"/>
    <cellStyle name="Comma 2 2 3 3 3 3 2 2 4 2" xfId="38357"/>
    <cellStyle name="Comma 2 2 3 3 3 3 2 3" xfId="4924"/>
    <cellStyle name="Comma 2 2 3 3 3 3 2 3 2" xfId="16164"/>
    <cellStyle name="Comma 2 2 3 3 3 3 2 3 2 2" xfId="18497"/>
    <cellStyle name="Comma 2 2 3 3 3 3 2 3 2 2 2" xfId="51495"/>
    <cellStyle name="Comma 2 2 3 3 3 3 2 3 2 2 2 2" xfId="53823"/>
    <cellStyle name="Comma 2 2 3 3 3 3 2 3 2 3" xfId="31998"/>
    <cellStyle name="Comma 2 2 3 3 3 3 2 3 3" xfId="29669"/>
    <cellStyle name="Comma 2 2 3 3 3 3 2 3 3 2" xfId="40361"/>
    <cellStyle name="Comma 2 2 3 3 3 3 2 4" xfId="10127"/>
    <cellStyle name="Comma 2 2 3 3 3 3 2 4 2" xfId="37978"/>
    <cellStyle name="Comma 2 2 3 3 3 3 2 4 2 2" xfId="45490"/>
    <cellStyle name="Comma 2 2 3 3 3 3 2 5" xfId="23613"/>
    <cellStyle name="Comma 2 2 3 3 3 3 3" xfId="4538"/>
    <cellStyle name="Comma 2 2 3 3 3 3 3 2" xfId="6151"/>
    <cellStyle name="Comma 2 2 3 3 3 3 3 2 2" xfId="18121"/>
    <cellStyle name="Comma 2 2 3 3 3 3 3 2 2 2" xfId="19711"/>
    <cellStyle name="Comma 2 2 3 3 3 3 3 2 2 2 2" xfId="53447"/>
    <cellStyle name="Comma 2 2 3 3 3 3 3 2 2 2 2 2" xfId="55037"/>
    <cellStyle name="Comma 2 2 3 3 3 3 3 2 2 3" xfId="33213"/>
    <cellStyle name="Comma 2 2 3 3 3 3 3 2 3" xfId="31622"/>
    <cellStyle name="Comma 2 2 3 3 3 3 3 2 3 2" xfId="41582"/>
    <cellStyle name="Comma 2 2 3 3 3 3 3 3" xfId="11377"/>
    <cellStyle name="Comma 2 2 3 3 3 3 3 3 2" xfId="39979"/>
    <cellStyle name="Comma 2 2 3 3 3 3 3 3 2 2" xfId="46728"/>
    <cellStyle name="Comma 2 2 3 3 3 3 3 4" xfId="24865"/>
    <cellStyle name="Comma 2 2 3 3 3 3 4" xfId="9741"/>
    <cellStyle name="Comma 2 2 3 3 3 3 4 2" xfId="14534"/>
    <cellStyle name="Comma 2 2 3 3 3 3 4 2 2" xfId="45114"/>
    <cellStyle name="Comma 2 2 3 3 3 3 4 2 2 2" xfId="49875"/>
    <cellStyle name="Comma 2 2 3 3 3 3 4 3" xfId="28045"/>
    <cellStyle name="Comma 2 2 3 3 3 3 5" xfId="23237"/>
    <cellStyle name="Comma 2 2 3 3 3 3 5 2" xfId="36344"/>
    <cellStyle name="Comma 2 2 3 3 3 4" xfId="1631"/>
    <cellStyle name="Comma 2 2 3 3 3 4 2" xfId="5744"/>
    <cellStyle name="Comma 2 2 3 3 3 4 2 2" xfId="6897"/>
    <cellStyle name="Comma 2 2 3 3 3 4 2 2 2" xfId="19313"/>
    <cellStyle name="Comma 2 2 3 3 3 4 2 2 2 2" xfId="20450"/>
    <cellStyle name="Comma 2 2 3 3 3 4 2 2 2 2 2" xfId="54639"/>
    <cellStyle name="Comma 2 2 3 3 3 4 2 2 2 2 2 2" xfId="55776"/>
    <cellStyle name="Comma 2 2 3 3 3 4 2 2 2 3" xfId="33952"/>
    <cellStyle name="Comma 2 2 3 3 3 4 2 2 3" xfId="32814"/>
    <cellStyle name="Comma 2 2 3 3 3 4 2 2 3 2" xfId="42325"/>
    <cellStyle name="Comma 2 2 3 3 3 4 2 3" xfId="12121"/>
    <cellStyle name="Comma 2 2 3 3 3 4 2 3 2" xfId="41179"/>
    <cellStyle name="Comma 2 2 3 3 3 4 2 3 2 2" xfId="47468"/>
    <cellStyle name="Comma 2 2 3 3 3 4 2 4" xfId="25606"/>
    <cellStyle name="Comma 2 2 3 3 3 4 3" xfId="10965"/>
    <cellStyle name="Comma 2 2 3 3 3 4 3 2" xfId="15305"/>
    <cellStyle name="Comma 2 2 3 3 3 4 3 2 2" xfId="46324"/>
    <cellStyle name="Comma 2 2 3 3 3 4 3 2 2 2" xfId="50640"/>
    <cellStyle name="Comma 2 2 3 3 3 4 3 3" xfId="28814"/>
    <cellStyle name="Comma 2 2 3 3 3 4 4" xfId="24458"/>
    <cellStyle name="Comma 2 2 3 3 3 4 4 2" xfId="37116"/>
    <cellStyle name="Comma 2 2 3 3 3 5" xfId="3635"/>
    <cellStyle name="Comma 2 2 3 3 3 5 2" xfId="14128"/>
    <cellStyle name="Comma 2 2 3 3 3 5 2 2" xfId="17265"/>
    <cellStyle name="Comma 2 2 3 3 3 5 2 2 2" xfId="49473"/>
    <cellStyle name="Comma 2 2 3 3 3 5 2 2 2 2" xfId="52592"/>
    <cellStyle name="Comma 2 2 3 3 3 5 2 3" xfId="30766"/>
    <cellStyle name="Comma 2 2 3 3 3 5 3" xfId="27630"/>
    <cellStyle name="Comma 2 2 3 3 3 5 3 2" xfId="39090"/>
    <cellStyle name="Comma 2 2 3 3 3 6" xfId="8830"/>
    <cellStyle name="Comma 2 2 3 3 3 6 2" xfId="35939"/>
    <cellStyle name="Comma 2 2 3 3 3 6 2 2" xfId="44237"/>
    <cellStyle name="Comma 2 2 3 3 3 7" xfId="22345"/>
    <cellStyle name="Comma 2 2 3 3 4" xfId="716"/>
    <cellStyle name="Comma 2 2 3 3 4 2" xfId="1012"/>
    <cellStyle name="Comma 2 2 3 3 4 2 2" xfId="2788"/>
    <cellStyle name="Comma 2 2 3 3 4 2 2 2" xfId="3049"/>
    <cellStyle name="Comma 2 2 3 3 4 2 2 2 2" xfId="8005"/>
    <cellStyle name="Comma 2 2 3 3 4 2 2 2 2 2" xfId="8264"/>
    <cellStyle name="Comma 2 2 3 3 4 2 2 2 2 2 2" xfId="21557"/>
    <cellStyle name="Comma 2 2 3 3 4 2 2 2 2 2 2 2" xfId="21816"/>
    <cellStyle name="Comma 2 2 3 3 4 2 2 2 2 2 2 2 2" xfId="56883"/>
    <cellStyle name="Comma 2 2 3 3 4 2 2 2 2 2 2 2 2 2" xfId="57142"/>
    <cellStyle name="Comma 2 2 3 3 4 2 2 2 2 2 2 3" xfId="35319"/>
    <cellStyle name="Comma 2 2 3 3 4 2 2 2 2 2 3" xfId="35060"/>
    <cellStyle name="Comma 2 2 3 3 4 2 2 2 2 2 3 2" xfId="43691"/>
    <cellStyle name="Comma 2 2 3 3 4 2 2 2 2 3" xfId="13489"/>
    <cellStyle name="Comma 2 2 3 3 4 2 2 2 2 3 2" xfId="43432"/>
    <cellStyle name="Comma 2 2 3 3 4 2 2 2 2 3 2 2" xfId="48835"/>
    <cellStyle name="Comma 2 2 3 3 4 2 2 2 2 4" xfId="26974"/>
    <cellStyle name="Comma 2 2 3 3 4 2 2 2 3" xfId="13230"/>
    <cellStyle name="Comma 2 2 3 3 4 2 2 2 3 2" xfId="16706"/>
    <cellStyle name="Comma 2 2 3 3 4 2 2 2 3 2 2" xfId="48576"/>
    <cellStyle name="Comma 2 2 3 3 4 2 2 2 3 2 2 2" xfId="52034"/>
    <cellStyle name="Comma 2 2 3 3 4 2 2 2 3 3" xfId="30208"/>
    <cellStyle name="Comma 2 2 3 3 4 2 2 2 4" xfId="26714"/>
    <cellStyle name="Comma 2 2 3 3 4 2 2 2 4 2" xfId="38518"/>
    <cellStyle name="Comma 2 2 3 3 4 2 2 3" xfId="5086"/>
    <cellStyle name="Comma 2 2 3 3 4 2 2 3 2" xfId="16447"/>
    <cellStyle name="Comma 2 2 3 3 4 2 2 3 2 2" xfId="18659"/>
    <cellStyle name="Comma 2 2 3 3 4 2 2 3 2 2 2" xfId="51775"/>
    <cellStyle name="Comma 2 2 3 3 4 2 2 3 2 2 2 2" xfId="53985"/>
    <cellStyle name="Comma 2 2 3 3 4 2 2 3 2 3" xfId="32160"/>
    <cellStyle name="Comma 2 2 3 3 4 2 2 3 3" xfId="29949"/>
    <cellStyle name="Comma 2 2 3 3 4 2 2 3 3 2" xfId="40523"/>
    <cellStyle name="Comma 2 2 3 3 4 2 2 4" xfId="10289"/>
    <cellStyle name="Comma 2 2 3 3 4 2 2 4 2" xfId="38259"/>
    <cellStyle name="Comma 2 2 3 3 4 2 2 4 2 2" xfId="45652"/>
    <cellStyle name="Comma 2 2 3 3 4 2 2 5" xfId="23775"/>
    <cellStyle name="Comma 2 2 3 3 4 2 3" xfId="4824"/>
    <cellStyle name="Comma 2 2 3 3 4 2 3 2" xfId="6322"/>
    <cellStyle name="Comma 2 2 3 3 4 2 3 2 2" xfId="18399"/>
    <cellStyle name="Comma 2 2 3 3 4 2 3 2 2 2" xfId="19879"/>
    <cellStyle name="Comma 2 2 3 3 4 2 3 2 2 2 2" xfId="53725"/>
    <cellStyle name="Comma 2 2 3 3 4 2 3 2 2 2 2 2" xfId="55205"/>
    <cellStyle name="Comma 2 2 3 3 4 2 3 2 2 3" xfId="33381"/>
    <cellStyle name="Comma 2 2 3 3 4 2 3 2 3" xfId="31900"/>
    <cellStyle name="Comma 2 2 3 3 4 2 3 2 3 2" xfId="41751"/>
    <cellStyle name="Comma 2 2 3 3 4 2 3 3" xfId="11548"/>
    <cellStyle name="Comma 2 2 3 3 4 2 3 3 2" xfId="40261"/>
    <cellStyle name="Comma 2 2 3 3 4 2 3 3 2 2" xfId="46897"/>
    <cellStyle name="Comma 2 2 3 3 4 2 3 4" xfId="25034"/>
    <cellStyle name="Comma 2 2 3 3 4 2 4" xfId="10027"/>
    <cellStyle name="Comma 2 2 3 3 4 2 4 2" xfId="14705"/>
    <cellStyle name="Comma 2 2 3 3 4 2 4 2 2" xfId="45392"/>
    <cellStyle name="Comma 2 2 3 3 4 2 4 2 2 2" xfId="50044"/>
    <cellStyle name="Comma 2 2 3 3 4 2 4 3" xfId="28217"/>
    <cellStyle name="Comma 2 2 3 3 4 2 5" xfId="23515"/>
    <cellStyle name="Comma 2 2 3 3 4 2 5 2" xfId="36513"/>
    <cellStyle name="Comma 2 2 3 3 4 3" xfId="1815"/>
    <cellStyle name="Comma 2 2 3 3 4 3 2" xfId="6041"/>
    <cellStyle name="Comma 2 2 3 3 4 3 2 2" xfId="7067"/>
    <cellStyle name="Comma 2 2 3 3 4 3 2 2 2" xfId="19605"/>
    <cellStyle name="Comma 2 2 3 3 4 3 2 2 2 2" xfId="20620"/>
    <cellStyle name="Comma 2 2 3 3 4 3 2 2 2 2 2" xfId="54931"/>
    <cellStyle name="Comma 2 2 3 3 4 3 2 2 2 2 2 2" xfId="55946"/>
    <cellStyle name="Comma 2 2 3 3 4 3 2 2 2 3" xfId="34122"/>
    <cellStyle name="Comma 2 2 3 3 4 3 2 2 3" xfId="33106"/>
    <cellStyle name="Comma 2 2 3 3 4 3 2 2 3 2" xfId="42495"/>
    <cellStyle name="Comma 2 2 3 3 4 3 2 3" xfId="12291"/>
    <cellStyle name="Comma 2 2 3 3 4 3 2 3 2" xfId="41475"/>
    <cellStyle name="Comma 2 2 3 3 4 3 2 3 2 2" xfId="47638"/>
    <cellStyle name="Comma 2 2 3 3 4 3 2 4" xfId="25776"/>
    <cellStyle name="Comma 2 2 3 3 4 3 3" xfId="11266"/>
    <cellStyle name="Comma 2 2 3 3 4 3 3 2" xfId="15487"/>
    <cellStyle name="Comma 2 2 3 3 4 3 3 2 2" xfId="46621"/>
    <cellStyle name="Comma 2 2 3 3 4 3 3 2 2 2" xfId="50820"/>
    <cellStyle name="Comma 2 2 3 3 4 3 3 3" xfId="28994"/>
    <cellStyle name="Comma 2 2 3 3 4 3 4" xfId="24758"/>
    <cellStyle name="Comma 2 2 3 3 4 3 4 2" xfId="37297"/>
    <cellStyle name="Comma 2 2 3 3 4 4" xfId="3825"/>
    <cellStyle name="Comma 2 2 3 3 4 4 2" xfId="14424"/>
    <cellStyle name="Comma 2 2 3 3 4 4 2 2" xfId="17440"/>
    <cellStyle name="Comma 2 2 3 3 4 4 2 2 2" xfId="49769"/>
    <cellStyle name="Comma 2 2 3 3 4 4 2 2 2 2" xfId="52767"/>
    <cellStyle name="Comma 2 2 3 3 4 4 2 3" xfId="30941"/>
    <cellStyle name="Comma 2 2 3 3 4 4 3" xfId="27937"/>
    <cellStyle name="Comma 2 2 3 3 4 4 3 2" xfId="39275"/>
    <cellStyle name="Comma 2 2 3 3 4 5" xfId="9017"/>
    <cellStyle name="Comma 2 2 3 3 4 5 2" xfId="36237"/>
    <cellStyle name="Comma 2 2 3 3 4 5 2 2" xfId="44415"/>
    <cellStyle name="Comma 2 2 3 3 4 6" xfId="22526"/>
    <cellStyle name="Comma 2 2 3 3 5" xfId="1495"/>
    <cellStyle name="Comma 2 2 3 3 5 2" xfId="2276"/>
    <cellStyle name="Comma 2 2 3 3 5 2 2" xfId="6786"/>
    <cellStyle name="Comma 2 2 3 3 5 2 2 2" xfId="7510"/>
    <cellStyle name="Comma 2 2 3 3 5 2 2 2 2" xfId="20339"/>
    <cellStyle name="Comma 2 2 3 3 5 2 2 2 2 2" xfId="21062"/>
    <cellStyle name="Comma 2 2 3 3 5 2 2 2 2 2 2" xfId="55665"/>
    <cellStyle name="Comma 2 2 3 3 5 2 2 2 2 2 2 2" xfId="56388"/>
    <cellStyle name="Comma 2 2 3 3 5 2 2 2 2 3" xfId="34565"/>
    <cellStyle name="Comma 2 2 3 3 5 2 2 2 3" xfId="33841"/>
    <cellStyle name="Comma 2 2 3 3 5 2 2 2 3 2" xfId="42937"/>
    <cellStyle name="Comma 2 2 3 3 5 2 2 3" xfId="12735"/>
    <cellStyle name="Comma 2 2 3 3 5 2 2 3 2" xfId="42214"/>
    <cellStyle name="Comma 2 2 3 3 5 2 2 3 2 2" xfId="48081"/>
    <cellStyle name="Comma 2 2 3 3 5 2 2 4" xfId="26219"/>
    <cellStyle name="Comma 2 2 3 3 5 2 3" xfId="12009"/>
    <cellStyle name="Comma 2 2 3 3 5 2 3 2" xfId="15940"/>
    <cellStyle name="Comma 2 2 3 3 5 2 3 2 2" xfId="47357"/>
    <cellStyle name="Comma 2 2 3 3 5 2 3 2 2 2" xfId="51272"/>
    <cellStyle name="Comma 2 2 3 3 5 2 3 3" xfId="29446"/>
    <cellStyle name="Comma 2 2 3 3 5 2 4" xfId="25494"/>
    <cellStyle name="Comma 2 2 3 3 5 2 4 2" xfId="37754"/>
    <cellStyle name="Comma 2 2 3 3 5 3" xfId="4300"/>
    <cellStyle name="Comma 2 2 3 3 5 3 2" xfId="15179"/>
    <cellStyle name="Comma 2 2 3 3 5 3 2 2" xfId="17893"/>
    <cellStyle name="Comma 2 2 3 3 5 3 2 2 2" xfId="50517"/>
    <cellStyle name="Comma 2 2 3 3 5 3 2 2 2 2" xfId="53220"/>
    <cellStyle name="Comma 2 2 3 3 5 3 2 3" xfId="31395"/>
    <cellStyle name="Comma 2 2 3 3 5 3 3" xfId="28691"/>
    <cellStyle name="Comma 2 2 3 3 5 3 3 2" xfId="39743"/>
    <cellStyle name="Comma 2 2 3 3 5 4" xfId="9494"/>
    <cellStyle name="Comma 2 2 3 3 5 4 2" xfId="36989"/>
    <cellStyle name="Comma 2 2 3 3 5 4 2 2" xfId="44876"/>
    <cellStyle name="Comma 2 2 3 3 5 5" xfId="22991"/>
    <cellStyle name="Comma 2 2 3 3 6" xfId="3494"/>
    <cellStyle name="Comma 2 2 3 3 6 2" xfId="3744"/>
    <cellStyle name="Comma 2 2 3 3 6 2 2" xfId="17148"/>
    <cellStyle name="Comma 2 2 3 3 6 2 2 2" xfId="17360"/>
    <cellStyle name="Comma 2 2 3 3 6 2 2 2 2" xfId="52476"/>
    <cellStyle name="Comma 2 2 3 3 6 2 2 2 2 2" xfId="52687"/>
    <cellStyle name="Comma 2 2 3 3 6 2 2 3" xfId="30861"/>
    <cellStyle name="Comma 2 2 3 3 6 2 3" xfId="30650"/>
    <cellStyle name="Comma 2 2 3 3 6 2 3 2" xfId="39195"/>
    <cellStyle name="Comma 2 2 3 3 6 3" xfId="8934"/>
    <cellStyle name="Comma 2 2 3 3 6 3 2" xfId="38961"/>
    <cellStyle name="Comma 2 2 3 3 6 3 2 2" xfId="44333"/>
    <cellStyle name="Comma 2 2 3 3 6 4" xfId="22441"/>
    <cellStyle name="Comma 2 2 3 3 7" xfId="699"/>
    <cellStyle name="Comma 2 2 3 3 7 2" xfId="9596"/>
    <cellStyle name="Comma 2 2 3 3 7 2 2" xfId="36220"/>
    <cellStyle name="Comma 2 2 3 3 7 2 2 2" xfId="44977"/>
    <cellStyle name="Comma 2 2 3 3 7 3" xfId="23098"/>
    <cellStyle name="Comma 2 2 3 3 8" xfId="1892"/>
    <cellStyle name="Comma 2 2 3 3 8 2" xfId="27486"/>
    <cellStyle name="Comma 2 2 3 4" xfId="74"/>
    <cellStyle name="Comma 2 2 3 4 2" xfId="471"/>
    <cellStyle name="Comma 2 2 3 4 2 2" xfId="486"/>
    <cellStyle name="Comma 2 2 3 4 2 2 2" xfId="1286"/>
    <cellStyle name="Comma 2 2 3 4 2 2 2 2" xfId="1300"/>
    <cellStyle name="Comma 2 2 3 4 2 2 2 2 2" xfId="3304"/>
    <cellStyle name="Comma 2 2 3 4 2 2 2 2 2 2" xfId="3318"/>
    <cellStyle name="Comma 2 2 3 4 2 2 2 2 2 2 2" xfId="8519"/>
    <cellStyle name="Comma 2 2 3 4 2 2 2 2 2 2 2 2" xfId="8533"/>
    <cellStyle name="Comma 2 2 3 4 2 2 2 2 2 2 2 2 2" xfId="22071"/>
    <cellStyle name="Comma 2 2 3 4 2 2 2 2 2 2 2 2 2 2" xfId="22085"/>
    <cellStyle name="Comma 2 2 3 4 2 2 2 2 2 2 2 2 2 2 2" xfId="57397"/>
    <cellStyle name="Comma 2 2 3 4 2 2 2 2 2 2 2 2 2 2 2 2" xfId="57411"/>
    <cellStyle name="Comma 2 2 3 4 2 2 2 2 2 2 2 2 2 3" xfId="35588"/>
    <cellStyle name="Comma 2 2 3 4 2 2 2 2 2 2 2 2 3" xfId="35574"/>
    <cellStyle name="Comma 2 2 3 4 2 2 2 2 2 2 2 2 3 2" xfId="43960"/>
    <cellStyle name="Comma 2 2 3 4 2 2 2 2 2 2 2 3" xfId="13758"/>
    <cellStyle name="Comma 2 2 3 4 2 2 2 2 2 2 2 3 2" xfId="43946"/>
    <cellStyle name="Comma 2 2 3 4 2 2 2 2 2 2 2 3 2 2" xfId="49104"/>
    <cellStyle name="Comma 2 2 3 4 2 2 2 2 2 2 2 4" xfId="27243"/>
    <cellStyle name="Comma 2 2 3 4 2 2 2 2 2 2 3" xfId="13744"/>
    <cellStyle name="Comma 2 2 3 4 2 2 2 2 2 2 3 2" xfId="16975"/>
    <cellStyle name="Comma 2 2 3 4 2 2 2 2 2 2 3 2 2" xfId="49090"/>
    <cellStyle name="Comma 2 2 3 4 2 2 2 2 2 2 3 2 2 2" xfId="52303"/>
    <cellStyle name="Comma 2 2 3 4 2 2 2 2 2 2 3 3" xfId="30477"/>
    <cellStyle name="Comma 2 2 3 4 2 2 2 2 2 2 4" xfId="27229"/>
    <cellStyle name="Comma 2 2 3 4 2 2 2 2 2 2 4 2" xfId="38787"/>
    <cellStyle name="Comma 2 2 3 4 2 2 2 2 2 3" xfId="5355"/>
    <cellStyle name="Comma 2 2 3 4 2 2 2 2 2 3 2" xfId="16961"/>
    <cellStyle name="Comma 2 2 3 4 2 2 2 2 2 3 2 2" xfId="18928"/>
    <cellStyle name="Comma 2 2 3 4 2 2 2 2 2 3 2 2 2" xfId="52289"/>
    <cellStyle name="Comma 2 2 3 4 2 2 2 2 2 3 2 2 2 2" xfId="54254"/>
    <cellStyle name="Comma 2 2 3 4 2 2 2 2 2 3 2 3" xfId="32429"/>
    <cellStyle name="Comma 2 2 3 4 2 2 2 2 2 3 3" xfId="30463"/>
    <cellStyle name="Comma 2 2 3 4 2 2 2 2 2 3 3 2" xfId="40792"/>
    <cellStyle name="Comma 2 2 3 4 2 2 2 2 2 4" xfId="10558"/>
    <cellStyle name="Comma 2 2 3 4 2 2 2 2 2 4 2" xfId="38773"/>
    <cellStyle name="Comma 2 2 3 4 2 2 2 2 2 4 2 2" xfId="45921"/>
    <cellStyle name="Comma 2 2 3 4 2 2 2 2 2 5" xfId="24044"/>
    <cellStyle name="Comma 2 2 3 4 2 2 2 2 3" xfId="5341"/>
    <cellStyle name="Comma 2 2 3 4 2 2 2 2 3 2" xfId="6608"/>
    <cellStyle name="Comma 2 2 3 4 2 2 2 2 3 2 2" xfId="18914"/>
    <cellStyle name="Comma 2 2 3 4 2 2 2 2 3 2 2 2" xfId="20161"/>
    <cellStyle name="Comma 2 2 3 4 2 2 2 2 3 2 2 2 2" xfId="54240"/>
    <cellStyle name="Comma 2 2 3 4 2 2 2 2 3 2 2 2 2 2" xfId="55487"/>
    <cellStyle name="Comma 2 2 3 4 2 2 2 2 3 2 2 3" xfId="33663"/>
    <cellStyle name="Comma 2 2 3 4 2 2 2 2 3 2 3" xfId="32415"/>
    <cellStyle name="Comma 2 2 3 4 2 2 2 2 3 2 3 2" xfId="42036"/>
    <cellStyle name="Comma 2 2 3 4 2 2 2 2 3 3" xfId="11831"/>
    <cellStyle name="Comma 2 2 3 4 2 2 2 2 3 3 2" xfId="40778"/>
    <cellStyle name="Comma 2 2 3 4 2 2 2 2 3 3 2 2" xfId="47179"/>
    <cellStyle name="Comma 2 2 3 4 2 2 2 2 3 4" xfId="25316"/>
    <cellStyle name="Comma 2 2 3 4 2 2 2 2 4" xfId="10544"/>
    <cellStyle name="Comma 2 2 3 4 2 2 2 2 4 2" xfId="14989"/>
    <cellStyle name="Comma 2 2 3 4 2 2 2 2 4 2 2" xfId="45907"/>
    <cellStyle name="Comma 2 2 3 4 2 2 2 2 4 2 2 2" xfId="50328"/>
    <cellStyle name="Comma 2 2 3 4 2 2 2 2 4 3" xfId="28502"/>
    <cellStyle name="Comma 2 2 3 4 2 2 2 2 5" xfId="24030"/>
    <cellStyle name="Comma 2 2 3 4 2 2 2 2 5 2" xfId="36797"/>
    <cellStyle name="Comma 2 2 3 4 2 2 2 3" xfId="2106"/>
    <cellStyle name="Comma 2 2 3 4 2 2 2 3 2" xfId="6594"/>
    <cellStyle name="Comma 2 2 3 4 2 2 2 3 2 2" xfId="7340"/>
    <cellStyle name="Comma 2 2 3 4 2 2 2 3 2 2 2" xfId="20147"/>
    <cellStyle name="Comma 2 2 3 4 2 2 2 3 2 2 2 2" xfId="20892"/>
    <cellStyle name="Comma 2 2 3 4 2 2 2 3 2 2 2 2 2" xfId="55473"/>
    <cellStyle name="Comma 2 2 3 4 2 2 2 3 2 2 2 2 2 2" xfId="56218"/>
    <cellStyle name="Comma 2 2 3 4 2 2 2 3 2 2 2 3" xfId="34395"/>
    <cellStyle name="Comma 2 2 3 4 2 2 2 3 2 2 3" xfId="33649"/>
    <cellStyle name="Comma 2 2 3 4 2 2 2 3 2 2 3 2" xfId="42767"/>
    <cellStyle name="Comma 2 2 3 4 2 2 2 3 2 3" xfId="12565"/>
    <cellStyle name="Comma 2 2 3 4 2 2 2 3 2 3 2" xfId="42022"/>
    <cellStyle name="Comma 2 2 3 4 2 2 2 3 2 3 2 2" xfId="47911"/>
    <cellStyle name="Comma 2 2 3 4 2 2 2 3 2 4" xfId="26049"/>
    <cellStyle name="Comma 2 2 3 4 2 2 2 3 3" xfId="11817"/>
    <cellStyle name="Comma 2 2 3 4 2 2 2 3 3 2" xfId="15770"/>
    <cellStyle name="Comma 2 2 3 4 2 2 2 3 3 2 2" xfId="47165"/>
    <cellStyle name="Comma 2 2 3 4 2 2 2 3 3 2 2 2" xfId="51102"/>
    <cellStyle name="Comma 2 2 3 4 2 2 2 3 3 3" xfId="29276"/>
    <cellStyle name="Comma 2 2 3 4 2 2 2 3 4" xfId="25302"/>
    <cellStyle name="Comma 2 2 3 4 2 2 2 3 4 2" xfId="37584"/>
    <cellStyle name="Comma 2 2 3 4 2 2 2 4" xfId="4122"/>
    <cellStyle name="Comma 2 2 3 4 2 2 2 4 2" xfId="14975"/>
    <cellStyle name="Comma 2 2 3 4 2 2 2 4 2 2" xfId="17715"/>
    <cellStyle name="Comma 2 2 3 4 2 2 2 4 2 2 2" xfId="50314"/>
    <cellStyle name="Comma 2 2 3 4 2 2 2 4 2 2 2 2" xfId="53042"/>
    <cellStyle name="Comma 2 2 3 4 2 2 2 4 2 3" xfId="31217"/>
    <cellStyle name="Comma 2 2 3 4 2 2 2 4 3" xfId="28488"/>
    <cellStyle name="Comma 2 2 3 4 2 2 2 4 3 2" xfId="39565"/>
    <cellStyle name="Comma 2 2 3 4 2 2 2 5" xfId="9313"/>
    <cellStyle name="Comma 2 2 3 4 2 2 2 5 2" xfId="36783"/>
    <cellStyle name="Comma 2 2 3 4 2 2 2 5 2 2" xfId="44695"/>
    <cellStyle name="Comma 2 2 3 4 2 2 2 6" xfId="22809"/>
    <cellStyle name="Comma 2 2 3 4 2 2 3" xfId="2092"/>
    <cellStyle name="Comma 2 2 3 4 2 2 3 2" xfId="2584"/>
    <cellStyle name="Comma 2 2 3 4 2 2 3 2 2" xfId="7326"/>
    <cellStyle name="Comma 2 2 3 4 2 2 3 2 2 2" xfId="7805"/>
    <cellStyle name="Comma 2 2 3 4 2 2 3 2 2 2 2" xfId="20878"/>
    <cellStyle name="Comma 2 2 3 4 2 2 3 2 2 2 2 2" xfId="21357"/>
    <cellStyle name="Comma 2 2 3 4 2 2 3 2 2 2 2 2 2" xfId="56204"/>
    <cellStyle name="Comma 2 2 3 4 2 2 3 2 2 2 2 2 2 2" xfId="56683"/>
    <cellStyle name="Comma 2 2 3 4 2 2 3 2 2 2 2 3" xfId="34860"/>
    <cellStyle name="Comma 2 2 3 4 2 2 3 2 2 2 3" xfId="34381"/>
    <cellStyle name="Comma 2 2 3 4 2 2 3 2 2 2 3 2" xfId="43232"/>
    <cellStyle name="Comma 2 2 3 4 2 2 3 2 2 3" xfId="13030"/>
    <cellStyle name="Comma 2 2 3 4 2 2 3 2 2 3 2" xfId="42753"/>
    <cellStyle name="Comma 2 2 3 4 2 2 3 2 2 3 2 2" xfId="48376"/>
    <cellStyle name="Comma 2 2 3 4 2 2 3 2 2 4" xfId="26514"/>
    <cellStyle name="Comma 2 2 3 4 2 2 3 2 3" xfId="12551"/>
    <cellStyle name="Comma 2 2 3 4 2 2 3 2 3 2" xfId="16243"/>
    <cellStyle name="Comma 2 2 3 4 2 2 3 2 3 2 2" xfId="47897"/>
    <cellStyle name="Comma 2 2 3 4 2 2 3 2 3 2 2 2" xfId="51573"/>
    <cellStyle name="Comma 2 2 3 4 2 2 3 2 3 3" xfId="29747"/>
    <cellStyle name="Comma 2 2 3 4 2 2 3 2 4" xfId="26035"/>
    <cellStyle name="Comma 2 2 3 4 2 2 3 2 4 2" xfId="38057"/>
    <cellStyle name="Comma 2 2 3 4 2 2 3 3" xfId="4617"/>
    <cellStyle name="Comma 2 2 3 4 2 2 3 3 2" xfId="15756"/>
    <cellStyle name="Comma 2 2 3 4 2 2 3 3 2 2" xfId="18198"/>
    <cellStyle name="Comma 2 2 3 4 2 2 3 3 2 2 2" xfId="51088"/>
    <cellStyle name="Comma 2 2 3 4 2 2 3 3 2 2 2 2" xfId="53524"/>
    <cellStyle name="Comma 2 2 3 4 2 2 3 3 2 3" xfId="31699"/>
    <cellStyle name="Comma 2 2 3 4 2 2 3 3 3" xfId="29262"/>
    <cellStyle name="Comma 2 2 3 4 2 2 3 3 3 2" xfId="40056"/>
    <cellStyle name="Comma 2 2 3 4 2 2 3 4" xfId="9821"/>
    <cellStyle name="Comma 2 2 3 4 2 2 3 4 2" xfId="37570"/>
    <cellStyle name="Comma 2 2 3 4 2 2 3 4 2 2" xfId="45191"/>
    <cellStyle name="Comma 2 2 3 4 2 2 3 5" xfId="23314"/>
    <cellStyle name="Comma 2 2 3 4 2 2 4" xfId="4108"/>
    <cellStyle name="Comma 2 2 3 4 2 2 4 2" xfId="5823"/>
    <cellStyle name="Comma 2 2 3 4 2 2 4 2 2" xfId="17701"/>
    <cellStyle name="Comma 2 2 3 4 2 2 4 2 2 2" xfId="19391"/>
    <cellStyle name="Comma 2 2 3 4 2 2 4 2 2 2 2" xfId="53028"/>
    <cellStyle name="Comma 2 2 3 4 2 2 4 2 2 2 2 2" xfId="54717"/>
    <cellStyle name="Comma 2 2 3 4 2 2 4 2 2 3" xfId="32892"/>
    <cellStyle name="Comma 2 2 3 4 2 2 4 2 3" xfId="31203"/>
    <cellStyle name="Comma 2 2 3 4 2 2 4 2 3 2" xfId="41258"/>
    <cellStyle name="Comma 2 2 3 4 2 2 4 3" xfId="11045"/>
    <cellStyle name="Comma 2 2 3 4 2 2 4 3 2" xfId="39551"/>
    <cellStyle name="Comma 2 2 3 4 2 2 4 3 2 2" xfId="46404"/>
    <cellStyle name="Comma 2 2 3 4 2 2 4 4" xfId="24539"/>
    <cellStyle name="Comma 2 2 3 4 2 2 5" xfId="9299"/>
    <cellStyle name="Comma 2 2 3 4 2 2 5 2" xfId="14207"/>
    <cellStyle name="Comma 2 2 3 4 2 2 5 2 2" xfId="44681"/>
    <cellStyle name="Comma 2 2 3 4 2 2 5 2 2 2" xfId="49552"/>
    <cellStyle name="Comma 2 2 3 4 2 2 5 3" xfId="27713"/>
    <cellStyle name="Comma 2 2 3 4 2 2 6" xfId="22795"/>
    <cellStyle name="Comma 2 2 3 4 2 2 6 2" xfId="36019"/>
    <cellStyle name="Comma 2 2 3 4 2 3" xfId="810"/>
    <cellStyle name="Comma 2 2 3 4 2 3 2" xfId="2570"/>
    <cellStyle name="Comma 2 2 3 4 2 3 2 2" xfId="2865"/>
    <cellStyle name="Comma 2 2 3 4 2 3 2 2 2" xfId="7791"/>
    <cellStyle name="Comma 2 2 3 4 2 3 2 2 2 2" xfId="8081"/>
    <cellStyle name="Comma 2 2 3 4 2 3 2 2 2 2 2" xfId="21343"/>
    <cellStyle name="Comma 2 2 3 4 2 3 2 2 2 2 2 2" xfId="21633"/>
    <cellStyle name="Comma 2 2 3 4 2 3 2 2 2 2 2 2 2" xfId="56669"/>
    <cellStyle name="Comma 2 2 3 4 2 3 2 2 2 2 2 2 2 2" xfId="56959"/>
    <cellStyle name="Comma 2 2 3 4 2 3 2 2 2 2 2 3" xfId="35136"/>
    <cellStyle name="Comma 2 2 3 4 2 3 2 2 2 2 3" xfId="34846"/>
    <cellStyle name="Comma 2 2 3 4 2 3 2 2 2 2 3 2" xfId="43508"/>
    <cellStyle name="Comma 2 2 3 4 2 3 2 2 2 3" xfId="13306"/>
    <cellStyle name="Comma 2 2 3 4 2 3 2 2 2 3 2" xfId="43218"/>
    <cellStyle name="Comma 2 2 3 4 2 3 2 2 2 3 2 2" xfId="48652"/>
    <cellStyle name="Comma 2 2 3 4 2 3 2 2 2 4" xfId="26790"/>
    <cellStyle name="Comma 2 2 3 4 2 3 2 2 3" xfId="13016"/>
    <cellStyle name="Comma 2 2 3 4 2 3 2 2 3 2" xfId="16523"/>
    <cellStyle name="Comma 2 2 3 4 2 3 2 2 3 2 2" xfId="48362"/>
    <cellStyle name="Comma 2 2 3 4 2 3 2 2 3 2 2 2" xfId="51851"/>
    <cellStyle name="Comma 2 2 3 4 2 3 2 2 3 3" xfId="30025"/>
    <cellStyle name="Comma 2 2 3 4 2 3 2 2 4" xfId="26500"/>
    <cellStyle name="Comma 2 2 3 4 2 3 2 2 4 2" xfId="38335"/>
    <cellStyle name="Comma 2 2 3 4 2 3 2 3" xfId="4901"/>
    <cellStyle name="Comma 2 2 3 4 2 3 2 3 2" xfId="16229"/>
    <cellStyle name="Comma 2 2 3 4 2 3 2 3 2 2" xfId="18475"/>
    <cellStyle name="Comma 2 2 3 4 2 3 2 3 2 2 2" xfId="51559"/>
    <cellStyle name="Comma 2 2 3 4 2 3 2 3 2 2 2 2" xfId="53801"/>
    <cellStyle name="Comma 2 2 3 4 2 3 2 3 2 3" xfId="31976"/>
    <cellStyle name="Comma 2 2 3 4 2 3 2 3 3" xfId="29733"/>
    <cellStyle name="Comma 2 2 3 4 2 3 2 3 3 2" xfId="40338"/>
    <cellStyle name="Comma 2 2 3 4 2 3 2 4" xfId="10104"/>
    <cellStyle name="Comma 2 2 3 4 2 3 2 4 2" xfId="38043"/>
    <cellStyle name="Comma 2 2 3 4 2 3 2 4 2 2" xfId="45468"/>
    <cellStyle name="Comma 2 2 3 4 2 3 2 5" xfId="23591"/>
    <cellStyle name="Comma 2 2 3 4 2 3 3" xfId="4603"/>
    <cellStyle name="Comma 2 2 3 4 2 3 3 2" xfId="6126"/>
    <cellStyle name="Comma 2 2 3 4 2 3 3 2 2" xfId="18184"/>
    <cellStyle name="Comma 2 2 3 4 2 3 3 2 2 2" xfId="19687"/>
    <cellStyle name="Comma 2 2 3 4 2 3 3 2 2 2 2" xfId="53510"/>
    <cellStyle name="Comma 2 2 3 4 2 3 3 2 2 2 2 2" xfId="55013"/>
    <cellStyle name="Comma 2 2 3 4 2 3 3 2 2 3" xfId="33188"/>
    <cellStyle name="Comma 2 2 3 4 2 3 3 2 3" xfId="31685"/>
    <cellStyle name="Comma 2 2 3 4 2 3 3 2 3 2" xfId="41558"/>
    <cellStyle name="Comma 2 2 3 4 2 3 3 3" xfId="11352"/>
    <cellStyle name="Comma 2 2 3 4 2 3 3 3 2" xfId="40042"/>
    <cellStyle name="Comma 2 2 3 4 2 3 3 3 2 2" xfId="46704"/>
    <cellStyle name="Comma 2 2 3 4 2 3 3 4" xfId="24841"/>
    <cellStyle name="Comma 2 2 3 4 2 3 4" xfId="9807"/>
    <cellStyle name="Comma 2 2 3 4 2 3 4 2" xfId="14509"/>
    <cellStyle name="Comma 2 2 3 4 2 3 4 2 2" xfId="45177"/>
    <cellStyle name="Comma 2 2 3 4 2 3 4 2 2 2" xfId="49851"/>
    <cellStyle name="Comma 2 2 3 4 2 3 4 3" xfId="28021"/>
    <cellStyle name="Comma 2 2 3 4 2 3 5" xfId="23300"/>
    <cellStyle name="Comma 2 2 3 4 2 3 5 2" xfId="36319"/>
    <cellStyle name="Comma 2 2 3 4 2 4" xfId="1599"/>
    <cellStyle name="Comma 2 2 3 4 2 4 2" xfId="5809"/>
    <cellStyle name="Comma 2 2 3 4 2 4 2 2" xfId="6870"/>
    <cellStyle name="Comma 2 2 3 4 2 4 2 2 2" xfId="19377"/>
    <cellStyle name="Comma 2 2 3 4 2 4 2 2 2 2" xfId="20423"/>
    <cellStyle name="Comma 2 2 3 4 2 4 2 2 2 2 2" xfId="54703"/>
    <cellStyle name="Comma 2 2 3 4 2 4 2 2 2 2 2 2" xfId="55749"/>
    <cellStyle name="Comma 2 2 3 4 2 4 2 2 2 3" xfId="33925"/>
    <cellStyle name="Comma 2 2 3 4 2 4 2 2 3" xfId="32878"/>
    <cellStyle name="Comma 2 2 3 4 2 4 2 2 3 2" xfId="42298"/>
    <cellStyle name="Comma 2 2 3 4 2 4 2 3" xfId="12094"/>
    <cellStyle name="Comma 2 2 3 4 2 4 2 3 2" xfId="41244"/>
    <cellStyle name="Comma 2 2 3 4 2 4 2 3 2 2" xfId="47441"/>
    <cellStyle name="Comma 2 2 3 4 2 4 2 4" xfId="25579"/>
    <cellStyle name="Comma 2 2 3 4 2 4 3" xfId="11031"/>
    <cellStyle name="Comma 2 2 3 4 2 4 3 2" xfId="15275"/>
    <cellStyle name="Comma 2 2 3 4 2 4 3 2 2" xfId="46390"/>
    <cellStyle name="Comma 2 2 3 4 2 4 3 2 2 2" xfId="50611"/>
    <cellStyle name="Comma 2 2 3 4 2 4 3 3" xfId="28785"/>
    <cellStyle name="Comma 2 2 3 4 2 4 4" xfId="24525"/>
    <cellStyle name="Comma 2 2 3 4 2 4 4 2" xfId="37086"/>
    <cellStyle name="Comma 2 2 3 4 2 5" xfId="3599"/>
    <cellStyle name="Comma 2 2 3 4 2 5 2" xfId="14192"/>
    <cellStyle name="Comma 2 2 3 4 2 5 2 2" xfId="17235"/>
    <cellStyle name="Comma 2 2 3 4 2 5 2 2 2" xfId="49537"/>
    <cellStyle name="Comma 2 2 3 4 2 5 2 2 2 2" xfId="52562"/>
    <cellStyle name="Comma 2 2 3 4 2 5 2 3" xfId="30736"/>
    <cellStyle name="Comma 2 2 3 4 2 5 3" xfId="27698"/>
    <cellStyle name="Comma 2 2 3 4 2 5 3 2" xfId="39056"/>
    <cellStyle name="Comma 2 2 3 4 2 6" xfId="8792"/>
    <cellStyle name="Comma 2 2 3 4 2 6 2" xfId="36004"/>
    <cellStyle name="Comma 2 2 3 4 2 6 2 2" xfId="44204"/>
    <cellStyle name="Comma 2 2 3 4 2 7" xfId="22309"/>
    <cellStyle name="Comma 2 2 3 4 3" xfId="792"/>
    <cellStyle name="Comma 2 2 3 4 3 2" xfId="803"/>
    <cellStyle name="Comma 2 2 3 4 3 2 2" xfId="2848"/>
    <cellStyle name="Comma 2 2 3 4 3 2 2 2" xfId="2859"/>
    <cellStyle name="Comma 2 2 3 4 3 2 2 2 2" xfId="8064"/>
    <cellStyle name="Comma 2 2 3 4 3 2 2 2 2 2" xfId="8075"/>
    <cellStyle name="Comma 2 2 3 4 3 2 2 2 2 2 2" xfId="21616"/>
    <cellStyle name="Comma 2 2 3 4 3 2 2 2 2 2 2 2" xfId="21627"/>
    <cellStyle name="Comma 2 2 3 4 3 2 2 2 2 2 2 2 2" xfId="56942"/>
    <cellStyle name="Comma 2 2 3 4 3 2 2 2 2 2 2 2 2 2" xfId="56953"/>
    <cellStyle name="Comma 2 2 3 4 3 2 2 2 2 2 2 3" xfId="35130"/>
    <cellStyle name="Comma 2 2 3 4 3 2 2 2 2 2 3" xfId="35119"/>
    <cellStyle name="Comma 2 2 3 4 3 2 2 2 2 2 3 2" xfId="43502"/>
    <cellStyle name="Comma 2 2 3 4 3 2 2 2 2 3" xfId="13300"/>
    <cellStyle name="Comma 2 2 3 4 3 2 2 2 2 3 2" xfId="43491"/>
    <cellStyle name="Comma 2 2 3 4 3 2 2 2 2 3 2 2" xfId="48646"/>
    <cellStyle name="Comma 2 2 3 4 3 2 2 2 2 4" xfId="26784"/>
    <cellStyle name="Comma 2 2 3 4 3 2 2 2 3" xfId="13289"/>
    <cellStyle name="Comma 2 2 3 4 3 2 2 2 3 2" xfId="16517"/>
    <cellStyle name="Comma 2 2 3 4 3 2 2 2 3 2 2" xfId="48635"/>
    <cellStyle name="Comma 2 2 3 4 3 2 2 2 3 2 2 2" xfId="51845"/>
    <cellStyle name="Comma 2 2 3 4 3 2 2 2 3 3" xfId="30019"/>
    <cellStyle name="Comma 2 2 3 4 3 2 2 2 4" xfId="26773"/>
    <cellStyle name="Comma 2 2 3 4 3 2 2 2 4 2" xfId="38329"/>
    <cellStyle name="Comma 2 2 3 4 3 2 2 3" xfId="4895"/>
    <cellStyle name="Comma 2 2 3 4 3 2 2 3 2" xfId="16506"/>
    <cellStyle name="Comma 2 2 3 4 3 2 2 3 2 2" xfId="18469"/>
    <cellStyle name="Comma 2 2 3 4 3 2 2 3 2 2 2" xfId="51834"/>
    <cellStyle name="Comma 2 2 3 4 3 2 2 3 2 2 2 2" xfId="53795"/>
    <cellStyle name="Comma 2 2 3 4 3 2 2 3 2 3" xfId="31970"/>
    <cellStyle name="Comma 2 2 3 4 3 2 2 3 3" xfId="30008"/>
    <cellStyle name="Comma 2 2 3 4 3 2 2 3 3 2" xfId="40332"/>
    <cellStyle name="Comma 2 2 3 4 3 2 2 4" xfId="10098"/>
    <cellStyle name="Comma 2 2 3 4 3 2 2 4 2" xfId="38318"/>
    <cellStyle name="Comma 2 2 3 4 3 2 2 4 2 2" xfId="45462"/>
    <cellStyle name="Comma 2 2 3 4 3 2 2 5" xfId="23585"/>
    <cellStyle name="Comma 2 2 3 4 3 2 3" xfId="4884"/>
    <cellStyle name="Comma 2 2 3 4 3 2 3 2" xfId="6119"/>
    <cellStyle name="Comma 2 2 3 4 3 2 3 2 2" xfId="18458"/>
    <cellStyle name="Comma 2 2 3 4 3 2 3 2 2 2" xfId="19681"/>
    <cellStyle name="Comma 2 2 3 4 3 2 3 2 2 2 2" xfId="53784"/>
    <cellStyle name="Comma 2 2 3 4 3 2 3 2 2 2 2 2" xfId="55007"/>
    <cellStyle name="Comma 2 2 3 4 3 2 3 2 2 3" xfId="33182"/>
    <cellStyle name="Comma 2 2 3 4 3 2 3 2 3" xfId="31959"/>
    <cellStyle name="Comma 2 2 3 4 3 2 3 2 3 2" xfId="41552"/>
    <cellStyle name="Comma 2 2 3 4 3 2 3 3" xfId="11345"/>
    <cellStyle name="Comma 2 2 3 4 3 2 3 3 2" xfId="40321"/>
    <cellStyle name="Comma 2 2 3 4 3 2 3 3 2 2" xfId="46698"/>
    <cellStyle name="Comma 2 2 3 4 3 2 3 4" xfId="24835"/>
    <cellStyle name="Comma 2 2 3 4 3 2 4" xfId="10087"/>
    <cellStyle name="Comma 2 2 3 4 3 2 4 2" xfId="14503"/>
    <cellStyle name="Comma 2 2 3 4 3 2 4 2 2" xfId="45451"/>
    <cellStyle name="Comma 2 2 3 4 3 2 4 2 2 2" xfId="49845"/>
    <cellStyle name="Comma 2 2 3 4 3 2 4 3" xfId="28014"/>
    <cellStyle name="Comma 2 2 3 4 3 2 5" xfId="23574"/>
    <cellStyle name="Comma 2 2 3 4 3 2 5 2" xfId="36313"/>
    <cellStyle name="Comma 2 2 3 4 3 3" xfId="1590"/>
    <cellStyle name="Comma 2 2 3 4 3 3 2" xfId="6108"/>
    <cellStyle name="Comma 2 2 3 4 3 3 2 2" xfId="6862"/>
    <cellStyle name="Comma 2 2 3 4 3 3 2 2 2" xfId="19670"/>
    <cellStyle name="Comma 2 2 3 4 3 3 2 2 2 2" xfId="20415"/>
    <cellStyle name="Comma 2 2 3 4 3 3 2 2 2 2 2" xfId="54996"/>
    <cellStyle name="Comma 2 2 3 4 3 3 2 2 2 2 2 2" xfId="55741"/>
    <cellStyle name="Comma 2 2 3 4 3 3 2 2 2 3" xfId="33917"/>
    <cellStyle name="Comma 2 2 3 4 3 3 2 2 3" xfId="33171"/>
    <cellStyle name="Comma 2 2 3 4 3 3 2 2 3 2" xfId="42290"/>
    <cellStyle name="Comma 2 2 3 4 3 3 2 3" xfId="12086"/>
    <cellStyle name="Comma 2 2 3 4 3 3 2 3 2" xfId="41541"/>
    <cellStyle name="Comma 2 2 3 4 3 3 2 3 2 2" xfId="47433"/>
    <cellStyle name="Comma 2 2 3 4 3 3 2 4" xfId="25571"/>
    <cellStyle name="Comma 2 2 3 4 3 3 3" xfId="11334"/>
    <cellStyle name="Comma 2 2 3 4 3 3 3 2" xfId="15266"/>
    <cellStyle name="Comma 2 2 3 4 3 3 3 2 2" xfId="46687"/>
    <cellStyle name="Comma 2 2 3 4 3 3 3 2 2 2" xfId="50603"/>
    <cellStyle name="Comma 2 2 3 4 3 3 3 3" xfId="28777"/>
    <cellStyle name="Comma 2 2 3 4 3 3 4" xfId="24824"/>
    <cellStyle name="Comma 2 2 3 4 3 3 4 2" xfId="37078"/>
    <cellStyle name="Comma 2 2 3 4 3 4" xfId="3591"/>
    <cellStyle name="Comma 2 2 3 4 3 4 2" xfId="14492"/>
    <cellStyle name="Comma 2 2 3 4 3 4 2 2" xfId="17227"/>
    <cellStyle name="Comma 2 2 3 4 3 4 2 2 2" xfId="49834"/>
    <cellStyle name="Comma 2 2 3 4 3 4 2 2 2 2" xfId="52554"/>
    <cellStyle name="Comma 2 2 3 4 3 4 2 3" xfId="30728"/>
    <cellStyle name="Comma 2 2 3 4 3 4 3" xfId="28003"/>
    <cellStyle name="Comma 2 2 3 4 3 4 3 2" xfId="39048"/>
    <cellStyle name="Comma 2 2 3 4 3 5" xfId="8782"/>
    <cellStyle name="Comma 2 2 3 4 3 5 2" xfId="36302"/>
    <cellStyle name="Comma 2 2 3 4 3 5 2 2" xfId="44195"/>
    <cellStyle name="Comma 2 2 3 4 3 6" xfId="22299"/>
    <cellStyle name="Comma 2 2 3 4 4" xfId="1579"/>
    <cellStyle name="Comma 2 2 3 4 4 2" xfId="2108"/>
    <cellStyle name="Comma 2 2 3 4 4 2 2" xfId="6851"/>
    <cellStyle name="Comma 2 2 3 4 4 2 2 2" xfId="7342"/>
    <cellStyle name="Comma 2 2 3 4 4 2 2 2 2" xfId="20404"/>
    <cellStyle name="Comma 2 2 3 4 4 2 2 2 2 2" xfId="20894"/>
    <cellStyle name="Comma 2 2 3 4 4 2 2 2 2 2 2" xfId="55730"/>
    <cellStyle name="Comma 2 2 3 4 4 2 2 2 2 2 2 2" xfId="56220"/>
    <cellStyle name="Comma 2 2 3 4 4 2 2 2 2 3" xfId="34397"/>
    <cellStyle name="Comma 2 2 3 4 4 2 2 2 3" xfId="33906"/>
    <cellStyle name="Comma 2 2 3 4 4 2 2 2 3 2" xfId="42769"/>
    <cellStyle name="Comma 2 2 3 4 4 2 2 3" xfId="12567"/>
    <cellStyle name="Comma 2 2 3 4 4 2 2 3 2" xfId="42279"/>
    <cellStyle name="Comma 2 2 3 4 4 2 2 3 2 2" xfId="47913"/>
    <cellStyle name="Comma 2 2 3 4 4 2 2 4" xfId="26051"/>
    <cellStyle name="Comma 2 2 3 4 4 2 3" xfId="12075"/>
    <cellStyle name="Comma 2 2 3 4 4 2 3 2" xfId="15772"/>
    <cellStyle name="Comma 2 2 3 4 4 2 3 2 2" xfId="47422"/>
    <cellStyle name="Comma 2 2 3 4 4 2 3 2 2 2" xfId="51104"/>
    <cellStyle name="Comma 2 2 3 4 4 2 3 3" xfId="29278"/>
    <cellStyle name="Comma 2 2 3 4 4 2 4" xfId="25560"/>
    <cellStyle name="Comma 2 2 3 4 4 2 4 2" xfId="37586"/>
    <cellStyle name="Comma 2 2 3 4 4 3" xfId="4124"/>
    <cellStyle name="Comma 2 2 3 4 4 3 2" xfId="15255"/>
    <cellStyle name="Comma 2 2 3 4 4 3 2 2" xfId="17717"/>
    <cellStyle name="Comma 2 2 3 4 4 3 2 2 2" xfId="50592"/>
    <cellStyle name="Comma 2 2 3 4 4 3 2 2 2 2" xfId="53044"/>
    <cellStyle name="Comma 2 2 3 4 4 3 2 3" xfId="31219"/>
    <cellStyle name="Comma 2 2 3 4 4 3 3" xfId="28766"/>
    <cellStyle name="Comma 2 2 3 4 4 3 3 2" xfId="39567"/>
    <cellStyle name="Comma 2 2 3 4 4 4" xfId="9315"/>
    <cellStyle name="Comma 2 2 3 4 4 4 2" xfId="37067"/>
    <cellStyle name="Comma 2 2 3 4 4 4 2 2" xfId="44697"/>
    <cellStyle name="Comma 2 2 3 4 4 5" xfId="22811"/>
    <cellStyle name="Comma 2 2 3 4 5" xfId="3580"/>
    <cellStyle name="Comma 2 2 3 4 5 2" xfId="3601"/>
    <cellStyle name="Comma 2 2 3 4 5 2 2" xfId="17216"/>
    <cellStyle name="Comma 2 2 3 4 5 2 2 2" xfId="17237"/>
    <cellStyle name="Comma 2 2 3 4 5 2 2 2 2" xfId="52543"/>
    <cellStyle name="Comma 2 2 3 4 5 2 2 2 2 2" xfId="52564"/>
    <cellStyle name="Comma 2 2 3 4 5 2 2 3" xfId="30738"/>
    <cellStyle name="Comma 2 2 3 4 5 2 3" xfId="30717"/>
    <cellStyle name="Comma 2 2 3 4 5 2 3 2" xfId="39058"/>
    <cellStyle name="Comma 2 2 3 4 5 3" xfId="8794"/>
    <cellStyle name="Comma 2 2 3 4 5 3 2" xfId="39037"/>
    <cellStyle name="Comma 2 2 3 4 5 3 2 2" xfId="44206"/>
    <cellStyle name="Comma 2 2 3 4 5 4" xfId="22311"/>
    <cellStyle name="Comma 2 2 3 4 6" xfId="8771"/>
    <cellStyle name="Comma 2 2 3 4 6 2" xfId="10793"/>
    <cellStyle name="Comma 2 2 3 4 6 2 2" xfId="44184"/>
    <cellStyle name="Comma 2 2 3 4 6 2 2 2" xfId="46155"/>
    <cellStyle name="Comma 2 2 3 4 6 3" xfId="24283"/>
    <cellStyle name="Comma 2 2 3 4 7" xfId="22288"/>
    <cellStyle name="Comma 2 2 3 4 7 2" xfId="27670"/>
    <cellStyle name="Comma 2 2 3 5" xfId="282"/>
    <cellStyle name="Comma 2 2 3 5 2" xfId="380"/>
    <cellStyle name="Comma 2 2 3 5 2 2" xfId="1147"/>
    <cellStyle name="Comma 2 2 3 5 2 2 2" xfId="2483"/>
    <cellStyle name="Comma 2 2 3 5 2 2 2 2" xfId="3170"/>
    <cellStyle name="Comma 2 2 3 5 2 2 2 2 2" xfId="7713"/>
    <cellStyle name="Comma 2 2 3 5 2 2 2 2 2 2" xfId="8385"/>
    <cellStyle name="Comma 2 2 3 5 2 2 2 2 2 2 2" xfId="21265"/>
    <cellStyle name="Comma 2 2 3 5 2 2 2 2 2 2 2 2" xfId="21937"/>
    <cellStyle name="Comma 2 2 3 5 2 2 2 2 2 2 2 2 2" xfId="56591"/>
    <cellStyle name="Comma 2 2 3 5 2 2 2 2 2 2 2 2 2 2" xfId="57263"/>
    <cellStyle name="Comma 2 2 3 5 2 2 2 2 2 2 2 3" xfId="35440"/>
    <cellStyle name="Comma 2 2 3 5 2 2 2 2 2 2 3" xfId="34768"/>
    <cellStyle name="Comma 2 2 3 5 2 2 2 2 2 2 3 2" xfId="43812"/>
    <cellStyle name="Comma 2 2 3 5 2 2 2 2 2 3" xfId="13610"/>
    <cellStyle name="Comma 2 2 3 5 2 2 2 2 2 3 2" xfId="43140"/>
    <cellStyle name="Comma 2 2 3 5 2 2 2 2 2 3 2 2" xfId="48956"/>
    <cellStyle name="Comma 2 2 3 5 2 2 2 2 2 4" xfId="27095"/>
    <cellStyle name="Comma 2 2 3 5 2 2 2 2 3" xfId="12938"/>
    <cellStyle name="Comma 2 2 3 5 2 2 2 2 3 2" xfId="16827"/>
    <cellStyle name="Comma 2 2 3 5 2 2 2 2 3 2 2" xfId="48284"/>
    <cellStyle name="Comma 2 2 3 5 2 2 2 2 3 2 2 2" xfId="52155"/>
    <cellStyle name="Comma 2 2 3 5 2 2 2 2 3 3" xfId="30329"/>
    <cellStyle name="Comma 2 2 3 5 2 2 2 2 4" xfId="26422"/>
    <cellStyle name="Comma 2 2 3 5 2 2 2 2 4 2" xfId="38639"/>
    <cellStyle name="Comma 2 2 3 5 2 2 2 3" xfId="5207"/>
    <cellStyle name="Comma 2 2 3 5 2 2 2 3 2" xfId="16146"/>
    <cellStyle name="Comma 2 2 3 5 2 2 2 3 2 2" xfId="18780"/>
    <cellStyle name="Comma 2 2 3 5 2 2 2 3 2 2 2" xfId="51477"/>
    <cellStyle name="Comma 2 2 3 5 2 2 2 3 2 2 2 2" xfId="54106"/>
    <cellStyle name="Comma 2 2 3 5 2 2 2 3 2 3" xfId="32281"/>
    <cellStyle name="Comma 2 2 3 5 2 2 2 3 3" xfId="29651"/>
    <cellStyle name="Comma 2 2 3 5 2 2 2 3 3 2" xfId="40644"/>
    <cellStyle name="Comma 2 2 3 5 2 2 2 4" xfId="10410"/>
    <cellStyle name="Comma 2 2 3 5 2 2 2 4 2" xfId="37960"/>
    <cellStyle name="Comma 2 2 3 5 2 2 2 4 2 2" xfId="45773"/>
    <cellStyle name="Comma 2 2 3 5 2 2 2 5" xfId="23896"/>
    <cellStyle name="Comma 2 2 3 5 2 2 3" xfId="4518"/>
    <cellStyle name="Comma 2 2 3 5 2 2 3 2" xfId="6455"/>
    <cellStyle name="Comma 2 2 3 5 2 2 3 2 2" xfId="18106"/>
    <cellStyle name="Comma 2 2 3 5 2 2 3 2 2 2" xfId="20009"/>
    <cellStyle name="Comma 2 2 3 5 2 2 3 2 2 2 2" xfId="53432"/>
    <cellStyle name="Comma 2 2 3 5 2 2 3 2 2 2 2 2" xfId="55335"/>
    <cellStyle name="Comma 2 2 3 5 2 2 3 2 2 3" xfId="33511"/>
    <cellStyle name="Comma 2 2 3 5 2 2 3 2 3" xfId="31607"/>
    <cellStyle name="Comma 2 2 3 5 2 2 3 2 3 2" xfId="41883"/>
    <cellStyle name="Comma 2 2 3 5 2 2 3 3" xfId="11679"/>
    <cellStyle name="Comma 2 2 3 5 2 2 3 3 2" xfId="39959"/>
    <cellStyle name="Comma 2 2 3 5 2 2 3 3 2 2" xfId="47027"/>
    <cellStyle name="Comma 2 2 3 5 2 2 3 4" xfId="25164"/>
    <cellStyle name="Comma 2 2 3 5 2 2 4" xfId="9722"/>
    <cellStyle name="Comma 2 2 3 5 2 2 4 2" xfId="14837"/>
    <cellStyle name="Comma 2 2 3 5 2 2 4 2 2" xfId="45099"/>
    <cellStyle name="Comma 2 2 3 5 2 2 4 2 2 2" xfId="50176"/>
    <cellStyle name="Comma 2 2 3 5 2 2 4 3" xfId="28350"/>
    <cellStyle name="Comma 2 2 3 5 2 2 5" xfId="23222"/>
    <cellStyle name="Comma 2 2 3 5 2 2 5 2" xfId="36645"/>
    <cellStyle name="Comma 2 2 3 5 2 3" xfId="1955"/>
    <cellStyle name="Comma 2 2 3 5 2 3 2" xfId="5728"/>
    <cellStyle name="Comma 2 2 3 5 2 3 2 2" xfId="7192"/>
    <cellStyle name="Comma 2 2 3 5 2 3 2 2 2" xfId="19297"/>
    <cellStyle name="Comma 2 2 3 5 2 3 2 2 2 2" xfId="20744"/>
    <cellStyle name="Comma 2 2 3 5 2 3 2 2 2 2 2" xfId="54623"/>
    <cellStyle name="Comma 2 2 3 5 2 3 2 2 2 2 2 2" xfId="56070"/>
    <cellStyle name="Comma 2 2 3 5 2 3 2 2 2 3" xfId="34247"/>
    <cellStyle name="Comma 2 2 3 5 2 3 2 2 3" xfId="32798"/>
    <cellStyle name="Comma 2 2 3 5 2 3 2 2 3 2" xfId="42619"/>
    <cellStyle name="Comma 2 2 3 5 2 3 2 3" xfId="12417"/>
    <cellStyle name="Comma 2 2 3 5 2 3 2 3 2" xfId="41163"/>
    <cellStyle name="Comma 2 2 3 5 2 3 2 3 2 2" xfId="47763"/>
    <cellStyle name="Comma 2 2 3 5 2 3 2 4" xfId="25901"/>
    <cellStyle name="Comma 2 2 3 5 2 3 3" xfId="10948"/>
    <cellStyle name="Comma 2 2 3 5 2 3 3 2" xfId="15620"/>
    <cellStyle name="Comma 2 2 3 5 2 3 3 2 2" xfId="46307"/>
    <cellStyle name="Comma 2 2 3 5 2 3 3 2 2 2" xfId="50952"/>
    <cellStyle name="Comma 2 2 3 5 2 3 3 3" xfId="29126"/>
    <cellStyle name="Comma 2 2 3 5 2 3 4" xfId="24439"/>
    <cellStyle name="Comma 2 2 3 5 2 3 4 2" xfId="37433"/>
    <cellStyle name="Comma 2 2 3 5 2 4" xfId="3969"/>
    <cellStyle name="Comma 2 2 3 5 2 4 2" xfId="14112"/>
    <cellStyle name="Comma 2 2 3 5 2 4 2 2" xfId="17567"/>
    <cellStyle name="Comma 2 2 3 5 2 4 2 2 2" xfId="49457"/>
    <cellStyle name="Comma 2 2 3 5 2 4 2 2 2 2" xfId="52894"/>
    <cellStyle name="Comma 2 2 3 5 2 4 2 3" xfId="31069"/>
    <cellStyle name="Comma 2 2 3 5 2 4 3" xfId="27612"/>
    <cellStyle name="Comma 2 2 3 5 2 4 3 2" xfId="39413"/>
    <cellStyle name="Comma 2 2 3 5 2 5" xfId="9161"/>
    <cellStyle name="Comma 2 2 3 5 2 5 2" xfId="35923"/>
    <cellStyle name="Comma 2 2 3 5 2 5 2 2" xfId="44547"/>
    <cellStyle name="Comma 2 2 3 5 2 6" xfId="22661"/>
    <cellStyle name="Comma 2 2 3 5 3" xfId="759"/>
    <cellStyle name="Comma 2 2 3 5 3 2" xfId="2401"/>
    <cellStyle name="Comma 2 2 3 5 3 2 2" xfId="6077"/>
    <cellStyle name="Comma 2 2 3 5 3 2 2 2" xfId="7634"/>
    <cellStyle name="Comma 2 2 3 5 3 2 2 2 2" xfId="19641"/>
    <cellStyle name="Comma 2 2 3 5 3 2 2 2 2 2" xfId="21186"/>
    <cellStyle name="Comma 2 2 3 5 3 2 2 2 2 2 2" xfId="54967"/>
    <cellStyle name="Comma 2 2 3 5 3 2 2 2 2 2 2 2" xfId="56512"/>
    <cellStyle name="Comma 2 2 3 5 3 2 2 2 2 3" xfId="34689"/>
    <cellStyle name="Comma 2 2 3 5 3 2 2 2 3" xfId="33142"/>
    <cellStyle name="Comma 2 2 3 5 3 2 2 2 3 2" xfId="43061"/>
    <cellStyle name="Comma 2 2 3 5 3 2 2 3" xfId="12859"/>
    <cellStyle name="Comma 2 2 3 5 3 2 2 3 2" xfId="41511"/>
    <cellStyle name="Comma 2 2 3 5 3 2 2 3 2 2" xfId="48205"/>
    <cellStyle name="Comma 2 2 3 5 3 2 2 4" xfId="26343"/>
    <cellStyle name="Comma 2 2 3 5 3 2 3" xfId="11303"/>
    <cellStyle name="Comma 2 2 3 5 3 2 3 2" xfId="16064"/>
    <cellStyle name="Comma 2 2 3 5 3 2 3 2 2" xfId="46658"/>
    <cellStyle name="Comma 2 2 3 5 3 2 3 2 2 2" xfId="51396"/>
    <cellStyle name="Comma 2 2 3 5 3 2 3 3" xfId="29570"/>
    <cellStyle name="Comma 2 2 3 5 3 2 4" xfId="24795"/>
    <cellStyle name="Comma 2 2 3 5 3 2 4 2" xfId="37879"/>
    <cellStyle name="Comma 2 2 3 5 3 3" xfId="4436"/>
    <cellStyle name="Comma 2 2 3 5 3 3 2" xfId="14463"/>
    <cellStyle name="Comma 2 2 3 5 3 3 2 2" xfId="18027"/>
    <cellStyle name="Comma 2 2 3 5 3 3 2 2 2" xfId="49805"/>
    <cellStyle name="Comma 2 2 3 5 3 3 2 2 2 2" xfId="53353"/>
    <cellStyle name="Comma 2 2 3 5 3 3 2 3" xfId="31528"/>
    <cellStyle name="Comma 2 2 3 5 3 3 3" xfId="27973"/>
    <cellStyle name="Comma 2 2 3 5 3 3 3 2" xfId="39878"/>
    <cellStyle name="Comma 2 2 3 5 3 4" xfId="9640"/>
    <cellStyle name="Comma 2 2 3 5 3 4 2" xfId="36273"/>
    <cellStyle name="Comma 2 2 3 5 3 4 2 2" xfId="45019"/>
    <cellStyle name="Comma 2 2 3 5 3 5" xfId="23142"/>
    <cellStyle name="Comma 2 2 3 5 4" xfId="1477"/>
    <cellStyle name="Comma 2 2 3 5 4 2" xfId="5642"/>
    <cellStyle name="Comma 2 2 3 5 4 2 2" xfId="15163"/>
    <cellStyle name="Comma 2 2 3 5 4 2 2 2" xfId="19214"/>
    <cellStyle name="Comma 2 2 3 5 4 2 2 2 2" xfId="50502"/>
    <cellStyle name="Comma 2 2 3 5 4 2 2 2 2 2" xfId="54540"/>
    <cellStyle name="Comma 2 2 3 5 4 2 2 3" xfId="32715"/>
    <cellStyle name="Comma 2 2 3 5 4 2 3" xfId="28676"/>
    <cellStyle name="Comma 2 2 3 5 4 2 3 2" xfId="41078"/>
    <cellStyle name="Comma 2 2 3 5 4 3" xfId="10858"/>
    <cellStyle name="Comma 2 2 3 5 4 3 2" xfId="36974"/>
    <cellStyle name="Comma 2 2 3 5 4 3 2 2" xfId="46220"/>
    <cellStyle name="Comma 2 2 3 5 4 4" xfId="24351"/>
    <cellStyle name="Comma 2 2 3 5 5" xfId="3633"/>
    <cellStyle name="Comma 2 2 3 5 5 2" xfId="14026"/>
    <cellStyle name="Comma 2 2 3 5 5 2 2" xfId="39088"/>
    <cellStyle name="Comma 2 2 3 5 5 2 2 2" xfId="49372"/>
    <cellStyle name="Comma 2 2 3 5 5 3" xfId="27522"/>
    <cellStyle name="Comma 2 2 3 5 6" xfId="9862"/>
    <cellStyle name="Comma 2 2 3 5 6 2" xfId="35838"/>
    <cellStyle name="Comma 2 2 3 6" xfId="438"/>
    <cellStyle name="Comma 2 2 3 6 2" xfId="1461"/>
    <cellStyle name="Comma 2 2 3 6 2 2" xfId="2538"/>
    <cellStyle name="Comma 2 2 3 6 2 2 2" xfId="6769"/>
    <cellStyle name="Comma 2 2 3 6 2 2 2 2" xfId="7763"/>
    <cellStyle name="Comma 2 2 3 6 2 2 2 2 2" xfId="20322"/>
    <cellStyle name="Comma 2 2 3 6 2 2 2 2 2 2" xfId="21315"/>
    <cellStyle name="Comma 2 2 3 6 2 2 2 2 2 2 2" xfId="55648"/>
    <cellStyle name="Comma 2 2 3 6 2 2 2 2 2 2 2 2" xfId="56641"/>
    <cellStyle name="Comma 2 2 3 6 2 2 2 2 2 3" xfId="34818"/>
    <cellStyle name="Comma 2 2 3 6 2 2 2 2 3" xfId="33824"/>
    <cellStyle name="Comma 2 2 3 6 2 2 2 2 3 2" xfId="43190"/>
    <cellStyle name="Comma 2 2 3 6 2 2 2 3" xfId="12988"/>
    <cellStyle name="Comma 2 2 3 6 2 2 2 3 2" xfId="42197"/>
    <cellStyle name="Comma 2 2 3 6 2 2 2 3 2 2" xfId="48334"/>
    <cellStyle name="Comma 2 2 3 6 2 2 2 4" xfId="26472"/>
    <cellStyle name="Comma 2 2 3 6 2 2 3" xfId="11992"/>
    <cellStyle name="Comma 2 2 3 6 2 2 3 2" xfId="16199"/>
    <cellStyle name="Comma 2 2 3 6 2 2 3 2 2" xfId="47340"/>
    <cellStyle name="Comma 2 2 3 6 2 2 3 2 2 2" xfId="51530"/>
    <cellStyle name="Comma 2 2 3 6 2 2 3 3" xfId="29704"/>
    <cellStyle name="Comma 2 2 3 6 2 2 4" xfId="25477"/>
    <cellStyle name="Comma 2 2 3 6 2 2 4 2" xfId="38013"/>
    <cellStyle name="Comma 2 2 3 6 2 3" xfId="4573"/>
    <cellStyle name="Comma 2 2 3 6 2 3 2" xfId="15150"/>
    <cellStyle name="Comma 2 2 3 6 2 3 2 2" xfId="18156"/>
    <cellStyle name="Comma 2 2 3 6 2 3 2 2 2" xfId="50489"/>
    <cellStyle name="Comma 2 2 3 6 2 3 2 2 2 2" xfId="53482"/>
    <cellStyle name="Comma 2 2 3 6 2 3 2 3" xfId="31657"/>
    <cellStyle name="Comma 2 2 3 6 2 3 3" xfId="28663"/>
    <cellStyle name="Comma 2 2 3 6 2 3 3 2" xfId="40014"/>
    <cellStyle name="Comma 2 2 3 6 2 4" xfId="9776"/>
    <cellStyle name="Comma 2 2 3 6 2 4 2" xfId="36958"/>
    <cellStyle name="Comma 2 2 3 6 2 4 2 2" xfId="45149"/>
    <cellStyle name="Comma 2 2 3 6 2 5" xfId="23272"/>
    <cellStyle name="Comma 2 2 3 6 3" xfId="1830"/>
    <cellStyle name="Comma 2 2 3 6 3 2" xfId="5781"/>
    <cellStyle name="Comma 2 2 3 6 3 2 2" xfId="15502"/>
    <cellStyle name="Comma 2 2 3 6 3 2 2 2" xfId="19349"/>
    <cellStyle name="Comma 2 2 3 6 3 2 2 2 2" xfId="50835"/>
    <cellStyle name="Comma 2 2 3 6 3 2 2 2 2 2" xfId="54675"/>
    <cellStyle name="Comma 2 2 3 6 3 2 2 3" xfId="32850"/>
    <cellStyle name="Comma 2 2 3 6 3 2 3" xfId="29009"/>
    <cellStyle name="Comma 2 2 3 6 3 2 3 2" xfId="41216"/>
    <cellStyle name="Comma 2 2 3 6 3 3" xfId="11001"/>
    <cellStyle name="Comma 2 2 3 6 3 3 2" xfId="37312"/>
    <cellStyle name="Comma 2 2 3 6 3 3 2 2" xfId="46360"/>
    <cellStyle name="Comma 2 2 3 6 3 4" xfId="24494"/>
    <cellStyle name="Comma 2 2 3 6 4" xfId="3536"/>
    <cellStyle name="Comma 2 2 3 6 4 2" xfId="14164"/>
    <cellStyle name="Comma 2 2 3 6 4 2 2" xfId="38999"/>
    <cellStyle name="Comma 2 2 3 6 4 2 2 2" xfId="49509"/>
    <cellStyle name="Comma 2 2 3 6 4 3" xfId="27666"/>
    <cellStyle name="Comma 2 2 3 6 5" xfId="8728"/>
    <cellStyle name="Comma 2 2 3 6 5 2" xfId="35975"/>
    <cellStyle name="Comma 2 2 3 7" xfId="825"/>
    <cellStyle name="Comma 2 2 3 7 2" xfId="3603"/>
    <cellStyle name="Comma 2 2 3 7 2 2" xfId="6140"/>
    <cellStyle name="Comma 2 2 3 7 2 2 2" xfId="17239"/>
    <cellStyle name="Comma 2 2 3 7 2 2 2 2" xfId="19701"/>
    <cellStyle name="Comma 2 2 3 7 2 2 2 2 2" xfId="52566"/>
    <cellStyle name="Comma 2 2 3 7 2 2 2 2 2 2" xfId="55027"/>
    <cellStyle name="Comma 2 2 3 7 2 2 2 3" xfId="33202"/>
    <cellStyle name="Comma 2 2 3 7 2 2 3" xfId="30740"/>
    <cellStyle name="Comma 2 2 3 7 2 2 3 2" xfId="41572"/>
    <cellStyle name="Comma 2 2 3 7 2 3" xfId="11366"/>
    <cellStyle name="Comma 2 2 3 7 2 3 2" xfId="39060"/>
    <cellStyle name="Comma 2 2 3 7 2 3 2 2" xfId="46718"/>
    <cellStyle name="Comma 2 2 3 7 2 4" xfId="24855"/>
    <cellStyle name="Comma 2 2 3 7 3" xfId="8797"/>
    <cellStyle name="Comma 2 2 3 7 3 2" xfId="14523"/>
    <cellStyle name="Comma 2 2 3 7 3 2 2" xfId="44209"/>
    <cellStyle name="Comma 2 2 3 7 3 2 2 2" xfId="49865"/>
    <cellStyle name="Comma 2 2 3 7 3 3" xfId="28035"/>
    <cellStyle name="Comma 2 2 3 7 4" xfId="22314"/>
    <cellStyle name="Comma 2 2 3 7 4 2" xfId="36333"/>
    <cellStyle name="Comma 2 2 3 8" xfId="1694"/>
    <cellStyle name="Comma 2 2 3 8 2" xfId="10822"/>
    <cellStyle name="Comma 2 2 3 8 2 2" xfId="15366"/>
    <cellStyle name="Comma 2 2 3 8 2 2 2" xfId="46184"/>
    <cellStyle name="Comma 2 2 3 8 2 2 2 2" xfId="50700"/>
    <cellStyle name="Comma 2 2 3 8 2 3" xfId="28874"/>
    <cellStyle name="Comma 2 2 3 8 3" xfId="24314"/>
    <cellStyle name="Comma 2 2 3 8 3 2" xfId="37177"/>
    <cellStyle name="Comma 2 2 3 9" xfId="5774"/>
    <cellStyle name="Comma 2 2 3 9 2" xfId="24313"/>
    <cellStyle name="Comma 2 2 3 9 2 2" xfId="41209"/>
    <cellStyle name="Comma 2 2 4" xfId="108"/>
    <cellStyle name="Comma 2 2 4 2" xfId="124"/>
    <cellStyle name="Comma 2 2 4 2 2" xfId="291"/>
    <cellStyle name="Comma 2 2 4 2 2 2" xfId="305"/>
    <cellStyle name="Comma 2 2 4 2 2 2 2" xfId="627"/>
    <cellStyle name="Comma 2 2 4 2 2 2 2 2" xfId="635"/>
    <cellStyle name="Comma 2 2 4 2 2 2 2 2 2" xfId="1423"/>
    <cellStyle name="Comma 2 2 4 2 2 2 2 2 2 2" xfId="1431"/>
    <cellStyle name="Comma 2 2 4 2 2 2 2 2 2 2 2" xfId="3441"/>
    <cellStyle name="Comma 2 2 4 2 2 2 2 2 2 2 2 2" xfId="3449"/>
    <cellStyle name="Comma 2 2 4 2 2 2 2 2 2 2 2 2 2" xfId="8656"/>
    <cellStyle name="Comma 2 2 4 2 2 2 2 2 2 2 2 2 2 2" xfId="8664"/>
    <cellStyle name="Comma 2 2 4 2 2 2 2 2 2 2 2 2 2 2 2" xfId="22208"/>
    <cellStyle name="Comma 2 2 4 2 2 2 2 2 2 2 2 2 2 2 2 2" xfId="22216"/>
    <cellStyle name="Comma 2 2 4 2 2 2 2 2 2 2 2 2 2 2 2 2 2" xfId="57534"/>
    <cellStyle name="Comma 2 2 4 2 2 2 2 2 2 2 2 2 2 2 2 2 2 2" xfId="57542"/>
    <cellStyle name="Comma 2 2 4 2 2 2 2 2 2 2 2 2 2 2 2 3" xfId="35719"/>
    <cellStyle name="Comma 2 2 4 2 2 2 2 2 2 2 2 2 2 2 3" xfId="35711"/>
    <cellStyle name="Comma 2 2 4 2 2 2 2 2 2 2 2 2 2 2 3 2" xfId="44091"/>
    <cellStyle name="Comma 2 2 4 2 2 2 2 2 2 2 2 2 2 3" xfId="13889"/>
    <cellStyle name="Comma 2 2 4 2 2 2 2 2 2 2 2 2 2 3 2" xfId="44083"/>
    <cellStyle name="Comma 2 2 4 2 2 2 2 2 2 2 2 2 2 3 2 2" xfId="49235"/>
    <cellStyle name="Comma 2 2 4 2 2 2 2 2 2 2 2 2 2 4" xfId="27374"/>
    <cellStyle name="Comma 2 2 4 2 2 2 2 2 2 2 2 2 3" xfId="13881"/>
    <cellStyle name="Comma 2 2 4 2 2 2 2 2 2 2 2 2 3 2" xfId="17106"/>
    <cellStyle name="Comma 2 2 4 2 2 2 2 2 2 2 2 2 3 2 2" xfId="49227"/>
    <cellStyle name="Comma 2 2 4 2 2 2 2 2 2 2 2 2 3 2 2 2" xfId="52434"/>
    <cellStyle name="Comma 2 2 4 2 2 2 2 2 2 2 2 2 3 3" xfId="30608"/>
    <cellStyle name="Comma 2 2 4 2 2 2 2 2 2 2 2 2 4" xfId="27366"/>
    <cellStyle name="Comma 2 2 4 2 2 2 2 2 2 2 2 2 4 2" xfId="38918"/>
    <cellStyle name="Comma 2 2 4 2 2 2 2 2 2 2 2 3" xfId="5486"/>
    <cellStyle name="Comma 2 2 4 2 2 2 2 2 2 2 2 3 2" xfId="17098"/>
    <cellStyle name="Comma 2 2 4 2 2 2 2 2 2 2 2 3 2 2" xfId="19059"/>
    <cellStyle name="Comma 2 2 4 2 2 2 2 2 2 2 2 3 2 2 2" xfId="52426"/>
    <cellStyle name="Comma 2 2 4 2 2 2 2 2 2 2 2 3 2 2 2 2" xfId="54385"/>
    <cellStyle name="Comma 2 2 4 2 2 2 2 2 2 2 2 3 2 3" xfId="32560"/>
    <cellStyle name="Comma 2 2 4 2 2 2 2 2 2 2 2 3 3" xfId="30600"/>
    <cellStyle name="Comma 2 2 4 2 2 2 2 2 2 2 2 3 3 2" xfId="40923"/>
    <cellStyle name="Comma 2 2 4 2 2 2 2 2 2 2 2 4" xfId="10689"/>
    <cellStyle name="Comma 2 2 4 2 2 2 2 2 2 2 2 4 2" xfId="38910"/>
    <cellStyle name="Comma 2 2 4 2 2 2 2 2 2 2 2 4 2 2" xfId="46052"/>
    <cellStyle name="Comma 2 2 4 2 2 2 2 2 2 2 2 5" xfId="24175"/>
    <cellStyle name="Comma 2 2 4 2 2 2 2 2 2 2 3" xfId="5478"/>
    <cellStyle name="Comma 2 2 4 2 2 2 2 2 2 2 3 2" xfId="6739"/>
    <cellStyle name="Comma 2 2 4 2 2 2 2 2 2 2 3 2 2" xfId="19051"/>
    <cellStyle name="Comma 2 2 4 2 2 2 2 2 2 2 3 2 2 2" xfId="20292"/>
    <cellStyle name="Comma 2 2 4 2 2 2 2 2 2 2 3 2 2 2 2" xfId="54377"/>
    <cellStyle name="Comma 2 2 4 2 2 2 2 2 2 2 3 2 2 2 2 2" xfId="55618"/>
    <cellStyle name="Comma 2 2 4 2 2 2 2 2 2 2 3 2 2 3" xfId="33794"/>
    <cellStyle name="Comma 2 2 4 2 2 2 2 2 2 2 3 2 3" xfId="32552"/>
    <cellStyle name="Comma 2 2 4 2 2 2 2 2 2 2 3 2 3 2" xfId="42167"/>
    <cellStyle name="Comma 2 2 4 2 2 2 2 2 2 2 3 3" xfId="11962"/>
    <cellStyle name="Comma 2 2 4 2 2 2 2 2 2 2 3 3 2" xfId="40915"/>
    <cellStyle name="Comma 2 2 4 2 2 2 2 2 2 2 3 3 2 2" xfId="47310"/>
    <cellStyle name="Comma 2 2 4 2 2 2 2 2 2 2 3 4" xfId="25447"/>
    <cellStyle name="Comma 2 2 4 2 2 2 2 2 2 2 4" xfId="10681"/>
    <cellStyle name="Comma 2 2 4 2 2 2 2 2 2 2 4 2" xfId="15120"/>
    <cellStyle name="Comma 2 2 4 2 2 2 2 2 2 2 4 2 2" xfId="46044"/>
    <cellStyle name="Comma 2 2 4 2 2 2 2 2 2 2 4 2 2 2" xfId="50459"/>
    <cellStyle name="Comma 2 2 4 2 2 2 2 2 2 2 4 3" xfId="28633"/>
    <cellStyle name="Comma 2 2 4 2 2 2 2 2 2 2 5" xfId="24167"/>
    <cellStyle name="Comma 2 2 4 2 2 2 2 2 2 2 5 2" xfId="36928"/>
    <cellStyle name="Comma 2 2 4 2 2 2 2 2 2 3" xfId="2238"/>
    <cellStyle name="Comma 2 2 4 2 2 2 2 2 2 3 2" xfId="6731"/>
    <cellStyle name="Comma 2 2 4 2 2 2 2 2 2 3 2 2" xfId="7472"/>
    <cellStyle name="Comma 2 2 4 2 2 2 2 2 2 3 2 2 2" xfId="20284"/>
    <cellStyle name="Comma 2 2 4 2 2 2 2 2 2 3 2 2 2 2" xfId="21024"/>
    <cellStyle name="Comma 2 2 4 2 2 2 2 2 2 3 2 2 2 2 2" xfId="55610"/>
    <cellStyle name="Comma 2 2 4 2 2 2 2 2 2 3 2 2 2 2 2 2" xfId="56350"/>
    <cellStyle name="Comma 2 2 4 2 2 2 2 2 2 3 2 2 2 3" xfId="34527"/>
    <cellStyle name="Comma 2 2 4 2 2 2 2 2 2 3 2 2 3" xfId="33786"/>
    <cellStyle name="Comma 2 2 4 2 2 2 2 2 2 3 2 2 3 2" xfId="42899"/>
    <cellStyle name="Comma 2 2 4 2 2 2 2 2 2 3 2 3" xfId="12697"/>
    <cellStyle name="Comma 2 2 4 2 2 2 2 2 2 3 2 3 2" xfId="42159"/>
    <cellStyle name="Comma 2 2 4 2 2 2 2 2 2 3 2 3 2 2" xfId="48043"/>
    <cellStyle name="Comma 2 2 4 2 2 2 2 2 2 3 2 4" xfId="26181"/>
    <cellStyle name="Comma 2 2 4 2 2 2 2 2 2 3 3" xfId="11954"/>
    <cellStyle name="Comma 2 2 4 2 2 2 2 2 2 3 3 2" xfId="15902"/>
    <cellStyle name="Comma 2 2 4 2 2 2 2 2 2 3 3 2 2" xfId="47302"/>
    <cellStyle name="Comma 2 2 4 2 2 2 2 2 2 3 3 2 2 2" xfId="51234"/>
    <cellStyle name="Comma 2 2 4 2 2 2 2 2 2 3 3 3" xfId="29408"/>
    <cellStyle name="Comma 2 2 4 2 2 2 2 2 2 3 4" xfId="25439"/>
    <cellStyle name="Comma 2 2 4 2 2 2 2 2 2 3 4 2" xfId="37716"/>
    <cellStyle name="Comma 2 2 4 2 2 2 2 2 2 4" xfId="4254"/>
    <cellStyle name="Comma 2 2 4 2 2 2 2 2 2 4 2" xfId="15112"/>
    <cellStyle name="Comma 2 2 4 2 2 2 2 2 2 4 2 2" xfId="17847"/>
    <cellStyle name="Comma 2 2 4 2 2 2 2 2 2 4 2 2 2" xfId="50451"/>
    <cellStyle name="Comma 2 2 4 2 2 2 2 2 2 4 2 2 2 2" xfId="53174"/>
    <cellStyle name="Comma 2 2 4 2 2 2 2 2 2 4 2 3" xfId="31349"/>
    <cellStyle name="Comma 2 2 4 2 2 2 2 2 2 4 3" xfId="28625"/>
    <cellStyle name="Comma 2 2 4 2 2 2 2 2 2 4 3 2" xfId="39697"/>
    <cellStyle name="Comma 2 2 4 2 2 2 2 2 2 5" xfId="9445"/>
    <cellStyle name="Comma 2 2 4 2 2 2 2 2 2 5 2" xfId="36920"/>
    <cellStyle name="Comma 2 2 4 2 2 2 2 2 2 5 2 2" xfId="44827"/>
    <cellStyle name="Comma 2 2 4 2 2 2 2 2 2 6" xfId="22941"/>
    <cellStyle name="Comma 2 2 4 2 2 2 2 2 3" xfId="2230"/>
    <cellStyle name="Comma 2 2 4 2 2 2 2 2 3 2" xfId="2725"/>
    <cellStyle name="Comma 2 2 4 2 2 2 2 2 3 2 2" xfId="7464"/>
    <cellStyle name="Comma 2 2 4 2 2 2 2 2 3 2 2 2" xfId="7944"/>
    <cellStyle name="Comma 2 2 4 2 2 2 2 2 3 2 2 2 2" xfId="21016"/>
    <cellStyle name="Comma 2 2 4 2 2 2 2 2 3 2 2 2 2 2" xfId="21496"/>
    <cellStyle name="Comma 2 2 4 2 2 2 2 2 3 2 2 2 2 2 2" xfId="56342"/>
    <cellStyle name="Comma 2 2 4 2 2 2 2 2 3 2 2 2 2 2 2 2" xfId="56822"/>
    <cellStyle name="Comma 2 2 4 2 2 2 2 2 3 2 2 2 2 3" xfId="34999"/>
    <cellStyle name="Comma 2 2 4 2 2 2 2 2 3 2 2 2 3" xfId="34519"/>
    <cellStyle name="Comma 2 2 4 2 2 2 2 2 3 2 2 2 3 2" xfId="43371"/>
    <cellStyle name="Comma 2 2 4 2 2 2 2 2 3 2 2 3" xfId="13169"/>
    <cellStyle name="Comma 2 2 4 2 2 2 2 2 3 2 2 3 2" xfId="42891"/>
    <cellStyle name="Comma 2 2 4 2 2 2 2 2 3 2 2 3 2 2" xfId="48515"/>
    <cellStyle name="Comma 2 2 4 2 2 2 2 2 3 2 2 4" xfId="26653"/>
    <cellStyle name="Comma 2 2 4 2 2 2 2 2 3 2 3" xfId="12689"/>
    <cellStyle name="Comma 2 2 4 2 2 2 2 2 3 2 3 2" xfId="16384"/>
    <cellStyle name="Comma 2 2 4 2 2 2 2 2 3 2 3 2 2" xfId="48035"/>
    <cellStyle name="Comma 2 2 4 2 2 2 2 2 3 2 3 2 2 2" xfId="51714"/>
    <cellStyle name="Comma 2 2 4 2 2 2 2 2 3 2 3 3" xfId="29888"/>
    <cellStyle name="Comma 2 2 4 2 2 2 2 2 3 2 4" xfId="26173"/>
    <cellStyle name="Comma 2 2 4 2 2 2 2 2 3 2 4 2" xfId="38198"/>
    <cellStyle name="Comma 2 2 4 2 2 2 2 2 3 3" xfId="4761"/>
    <cellStyle name="Comma 2 2 4 2 2 2 2 2 3 3 2" xfId="15894"/>
    <cellStyle name="Comma 2 2 4 2 2 2 2 2 3 3 2 2" xfId="18338"/>
    <cellStyle name="Comma 2 2 4 2 2 2 2 2 3 3 2 2 2" xfId="51226"/>
    <cellStyle name="Comma 2 2 4 2 2 2 2 2 3 3 2 2 2 2" xfId="53664"/>
    <cellStyle name="Comma 2 2 4 2 2 2 2 2 3 3 2 3" xfId="31839"/>
    <cellStyle name="Comma 2 2 4 2 2 2 2 2 3 3 3" xfId="29400"/>
    <cellStyle name="Comma 2 2 4 2 2 2 2 2 3 3 3 2" xfId="40199"/>
    <cellStyle name="Comma 2 2 4 2 2 2 2 2 3 4" xfId="9964"/>
    <cellStyle name="Comma 2 2 4 2 2 2 2 2 3 4 2" xfId="37708"/>
    <cellStyle name="Comma 2 2 4 2 2 2 2 2 3 4 2 2" xfId="45331"/>
    <cellStyle name="Comma 2 2 4 2 2 2 2 2 3 5" xfId="23454"/>
    <cellStyle name="Comma 2 2 4 2 2 2 2 2 4" xfId="4246"/>
    <cellStyle name="Comma 2 2 4 2 2 2 2 2 4 2" xfId="5966"/>
    <cellStyle name="Comma 2 2 4 2 2 2 2 2 4 2 2" xfId="17839"/>
    <cellStyle name="Comma 2 2 4 2 2 2 2 2 4 2 2 2" xfId="19533"/>
    <cellStyle name="Comma 2 2 4 2 2 2 2 2 4 2 2 2 2" xfId="53166"/>
    <cellStyle name="Comma 2 2 4 2 2 2 2 2 4 2 2 2 2 2" xfId="54859"/>
    <cellStyle name="Comma 2 2 4 2 2 2 2 2 4 2 2 3" xfId="33034"/>
    <cellStyle name="Comma 2 2 4 2 2 2 2 2 4 2 3" xfId="31341"/>
    <cellStyle name="Comma 2 2 4 2 2 2 2 2 4 2 3 2" xfId="41400"/>
    <cellStyle name="Comma 2 2 4 2 2 2 2 2 4 3" xfId="11191"/>
    <cellStyle name="Comma 2 2 4 2 2 2 2 2 4 3 2" xfId="39689"/>
    <cellStyle name="Comma 2 2 4 2 2 2 2 2 4 3 2 2" xfId="46549"/>
    <cellStyle name="Comma 2 2 4 2 2 2 2 2 4 4" xfId="24684"/>
    <cellStyle name="Comma 2 2 4 2 2 2 2 2 5" xfId="9437"/>
    <cellStyle name="Comma 2 2 4 2 2 2 2 2 5 2" xfId="14350"/>
    <cellStyle name="Comma 2 2 4 2 2 2 2 2 5 2 2" xfId="44819"/>
    <cellStyle name="Comma 2 2 4 2 2 2 2 2 5 2 2 2" xfId="49695"/>
    <cellStyle name="Comma 2 2 4 2 2 2 2 2 5 3" xfId="27860"/>
    <cellStyle name="Comma 2 2 4 2 2 2 2 2 6" xfId="22933"/>
    <cellStyle name="Comma 2 2 4 2 2 2 2 2 6 2" xfId="36162"/>
    <cellStyle name="Comma 2 2 4 2 2 2 2 3" xfId="963"/>
    <cellStyle name="Comma 2 2 4 2 2 2 2 3 2" xfId="2717"/>
    <cellStyle name="Comma 2 2 4 2 2 2 2 3 2 2" xfId="3001"/>
    <cellStyle name="Comma 2 2 4 2 2 2 2 3 2 2 2" xfId="7936"/>
    <cellStyle name="Comma 2 2 4 2 2 2 2 3 2 2 2 2" xfId="8216"/>
    <cellStyle name="Comma 2 2 4 2 2 2 2 3 2 2 2 2 2" xfId="21488"/>
    <cellStyle name="Comma 2 2 4 2 2 2 2 3 2 2 2 2 2 2" xfId="21768"/>
    <cellStyle name="Comma 2 2 4 2 2 2 2 3 2 2 2 2 2 2 2" xfId="56814"/>
    <cellStyle name="Comma 2 2 4 2 2 2 2 3 2 2 2 2 2 2 2 2" xfId="57094"/>
    <cellStyle name="Comma 2 2 4 2 2 2 2 3 2 2 2 2 2 3" xfId="35271"/>
    <cellStyle name="Comma 2 2 4 2 2 2 2 3 2 2 2 2 3" xfId="34991"/>
    <cellStyle name="Comma 2 2 4 2 2 2 2 3 2 2 2 2 3 2" xfId="43643"/>
    <cellStyle name="Comma 2 2 4 2 2 2 2 3 2 2 2 3" xfId="13441"/>
    <cellStyle name="Comma 2 2 4 2 2 2 2 3 2 2 2 3 2" xfId="43363"/>
    <cellStyle name="Comma 2 2 4 2 2 2 2 3 2 2 2 3 2 2" xfId="48787"/>
    <cellStyle name="Comma 2 2 4 2 2 2 2 3 2 2 2 4" xfId="26926"/>
    <cellStyle name="Comma 2 2 4 2 2 2 2 3 2 2 3" xfId="13161"/>
    <cellStyle name="Comma 2 2 4 2 2 2 2 3 2 2 3 2" xfId="16658"/>
    <cellStyle name="Comma 2 2 4 2 2 2 2 3 2 2 3 2 2" xfId="48507"/>
    <cellStyle name="Comma 2 2 4 2 2 2 2 3 2 2 3 2 2 2" xfId="51986"/>
    <cellStyle name="Comma 2 2 4 2 2 2 2 3 2 2 3 3" xfId="30160"/>
    <cellStyle name="Comma 2 2 4 2 2 2 2 3 2 2 4" xfId="26645"/>
    <cellStyle name="Comma 2 2 4 2 2 2 2 3 2 2 4 2" xfId="38470"/>
    <cellStyle name="Comma 2 2 4 2 2 2 2 3 2 3" xfId="5037"/>
    <cellStyle name="Comma 2 2 4 2 2 2 2 3 2 3 2" xfId="16376"/>
    <cellStyle name="Comma 2 2 4 2 2 2 2 3 2 3 2 2" xfId="18610"/>
    <cellStyle name="Comma 2 2 4 2 2 2 2 3 2 3 2 2 2" xfId="51706"/>
    <cellStyle name="Comma 2 2 4 2 2 2 2 3 2 3 2 2 2 2" xfId="53936"/>
    <cellStyle name="Comma 2 2 4 2 2 2 2 3 2 3 2 3" xfId="32111"/>
    <cellStyle name="Comma 2 2 4 2 2 2 2 3 2 3 3" xfId="29880"/>
    <cellStyle name="Comma 2 2 4 2 2 2 2 3 2 3 3 2" xfId="40474"/>
    <cellStyle name="Comma 2 2 4 2 2 2 2 3 2 4" xfId="10240"/>
    <cellStyle name="Comma 2 2 4 2 2 2 2 3 2 4 2" xfId="38190"/>
    <cellStyle name="Comma 2 2 4 2 2 2 2 3 2 4 2 2" xfId="45603"/>
    <cellStyle name="Comma 2 2 4 2 2 2 2 3 2 5" xfId="23726"/>
    <cellStyle name="Comma 2 2 4 2 2 2 2 3 3" xfId="4753"/>
    <cellStyle name="Comma 2 2 4 2 2 2 2 3 3 2" xfId="6274"/>
    <cellStyle name="Comma 2 2 4 2 2 2 2 3 3 2 2" xfId="18330"/>
    <cellStyle name="Comma 2 2 4 2 2 2 2 3 3 2 2 2" xfId="19831"/>
    <cellStyle name="Comma 2 2 4 2 2 2 2 3 3 2 2 2 2" xfId="53656"/>
    <cellStyle name="Comma 2 2 4 2 2 2 2 3 3 2 2 2 2 2" xfId="55157"/>
    <cellStyle name="Comma 2 2 4 2 2 2 2 3 3 2 2 3" xfId="33333"/>
    <cellStyle name="Comma 2 2 4 2 2 2 2 3 3 2 3" xfId="31831"/>
    <cellStyle name="Comma 2 2 4 2 2 2 2 3 3 2 3 2" xfId="41703"/>
    <cellStyle name="Comma 2 2 4 2 2 2 2 3 3 3" xfId="11499"/>
    <cellStyle name="Comma 2 2 4 2 2 2 2 3 3 3 2" xfId="40191"/>
    <cellStyle name="Comma 2 2 4 2 2 2 2 3 3 3 2 2" xfId="46848"/>
    <cellStyle name="Comma 2 2 4 2 2 2 2 3 3 4" xfId="24985"/>
    <cellStyle name="Comma 2 2 4 2 2 2 2 3 4" xfId="9956"/>
    <cellStyle name="Comma 2 2 4 2 2 2 2 3 4 2" xfId="14657"/>
    <cellStyle name="Comma 2 2 4 2 2 2 2 3 4 2 2" xfId="45323"/>
    <cellStyle name="Comma 2 2 4 2 2 2 2 3 4 2 2 2" xfId="49996"/>
    <cellStyle name="Comma 2 2 4 2 2 2 2 3 4 3" xfId="28168"/>
    <cellStyle name="Comma 2 2 4 2 2 2 2 3 5" xfId="23446"/>
    <cellStyle name="Comma 2 2 4 2 2 2 2 3 5 2" xfId="36465"/>
    <cellStyle name="Comma 2 2 4 2 2 2 2 4" xfId="1759"/>
    <cellStyle name="Comma 2 2 4 2 2 2 2 4 2" xfId="5958"/>
    <cellStyle name="Comma 2 2 4 2 2 2 2 4 2 2" xfId="7012"/>
    <cellStyle name="Comma 2 2 4 2 2 2 2 4 2 2 2" xfId="19525"/>
    <cellStyle name="Comma 2 2 4 2 2 2 2 4 2 2 2 2" xfId="20565"/>
    <cellStyle name="Comma 2 2 4 2 2 2 2 4 2 2 2 2 2" xfId="54851"/>
    <cellStyle name="Comma 2 2 4 2 2 2 2 4 2 2 2 2 2 2" xfId="55891"/>
    <cellStyle name="Comma 2 2 4 2 2 2 2 4 2 2 2 3" xfId="34067"/>
    <cellStyle name="Comma 2 2 4 2 2 2 2 4 2 2 3" xfId="33026"/>
    <cellStyle name="Comma 2 2 4 2 2 2 2 4 2 2 3 2" xfId="42440"/>
    <cellStyle name="Comma 2 2 4 2 2 2 2 4 2 3" xfId="12236"/>
    <cellStyle name="Comma 2 2 4 2 2 2 2 4 2 3 2" xfId="41392"/>
    <cellStyle name="Comma 2 2 4 2 2 2 2 4 2 3 2 2" xfId="47583"/>
    <cellStyle name="Comma 2 2 4 2 2 2 2 4 2 4" xfId="25721"/>
    <cellStyle name="Comma 2 2 4 2 2 2 2 4 3" xfId="11183"/>
    <cellStyle name="Comma 2 2 4 2 2 2 2 4 3 2" xfId="15431"/>
    <cellStyle name="Comma 2 2 4 2 2 2 2 4 3 2 2" xfId="46541"/>
    <cellStyle name="Comma 2 2 4 2 2 2 2 4 3 2 2 2" xfId="50764"/>
    <cellStyle name="Comma 2 2 4 2 2 2 2 4 3 3" xfId="28938"/>
    <cellStyle name="Comma 2 2 4 2 2 2 2 4 4" xfId="24676"/>
    <cellStyle name="Comma 2 2 4 2 2 2 2 4 4 2" xfId="37241"/>
    <cellStyle name="Comma 2 2 4 2 2 2 2 5" xfId="3765"/>
    <cellStyle name="Comma 2 2 4 2 2 2 2 5 2" xfId="14342"/>
    <cellStyle name="Comma 2 2 4 2 2 2 2 5 2 2" xfId="17381"/>
    <cellStyle name="Comma 2 2 4 2 2 2 2 5 2 2 2" xfId="49687"/>
    <cellStyle name="Comma 2 2 4 2 2 2 2 5 2 2 2 2" xfId="52708"/>
    <cellStyle name="Comma 2 2 4 2 2 2 2 5 2 3" xfId="30882"/>
    <cellStyle name="Comma 2 2 4 2 2 2 2 5 3" xfId="27852"/>
    <cellStyle name="Comma 2 2 4 2 2 2 2 5 3 2" xfId="39216"/>
    <cellStyle name="Comma 2 2 4 2 2 2 2 6" xfId="8955"/>
    <cellStyle name="Comma 2 2 4 2 2 2 2 6 2" xfId="36154"/>
    <cellStyle name="Comma 2 2 4 2 2 2 2 6 2 2" xfId="44354"/>
    <cellStyle name="Comma 2 2 4 2 2 2 2 7" xfId="22462"/>
    <cellStyle name="Comma 2 2 4 2 2 2 3" xfId="955"/>
    <cellStyle name="Comma 2 2 4 2 2 2 3 2" xfId="1167"/>
    <cellStyle name="Comma 2 2 4 2 2 2 3 2 2" xfId="2993"/>
    <cellStyle name="Comma 2 2 4 2 2 2 3 2 2 2" xfId="3187"/>
    <cellStyle name="Comma 2 2 4 2 2 2 3 2 2 2 2" xfId="8208"/>
    <cellStyle name="Comma 2 2 4 2 2 2 3 2 2 2 2 2" xfId="8402"/>
    <cellStyle name="Comma 2 2 4 2 2 2 3 2 2 2 2 2 2" xfId="21760"/>
    <cellStyle name="Comma 2 2 4 2 2 2 3 2 2 2 2 2 2 2" xfId="21954"/>
    <cellStyle name="Comma 2 2 4 2 2 2 3 2 2 2 2 2 2 2 2" xfId="57086"/>
    <cellStyle name="Comma 2 2 4 2 2 2 3 2 2 2 2 2 2 2 2 2" xfId="57280"/>
    <cellStyle name="Comma 2 2 4 2 2 2 3 2 2 2 2 2 2 3" xfId="35457"/>
    <cellStyle name="Comma 2 2 4 2 2 2 3 2 2 2 2 2 3" xfId="35263"/>
    <cellStyle name="Comma 2 2 4 2 2 2 3 2 2 2 2 2 3 2" xfId="43829"/>
    <cellStyle name="Comma 2 2 4 2 2 2 3 2 2 2 2 3" xfId="13627"/>
    <cellStyle name="Comma 2 2 4 2 2 2 3 2 2 2 2 3 2" xfId="43635"/>
    <cellStyle name="Comma 2 2 4 2 2 2 3 2 2 2 2 3 2 2" xfId="48973"/>
    <cellStyle name="Comma 2 2 4 2 2 2 3 2 2 2 2 4" xfId="27112"/>
    <cellStyle name="Comma 2 2 4 2 2 2 3 2 2 2 3" xfId="13433"/>
    <cellStyle name="Comma 2 2 4 2 2 2 3 2 2 2 3 2" xfId="16844"/>
    <cellStyle name="Comma 2 2 4 2 2 2 3 2 2 2 3 2 2" xfId="48779"/>
    <cellStyle name="Comma 2 2 4 2 2 2 3 2 2 2 3 2 2 2" xfId="52172"/>
    <cellStyle name="Comma 2 2 4 2 2 2 3 2 2 2 3 3" xfId="30346"/>
    <cellStyle name="Comma 2 2 4 2 2 2 3 2 2 2 4" xfId="26918"/>
    <cellStyle name="Comma 2 2 4 2 2 2 3 2 2 2 4 2" xfId="38656"/>
    <cellStyle name="Comma 2 2 4 2 2 2 3 2 2 3" xfId="5224"/>
    <cellStyle name="Comma 2 2 4 2 2 2 3 2 2 3 2" xfId="16650"/>
    <cellStyle name="Comma 2 2 4 2 2 2 3 2 2 3 2 2" xfId="18797"/>
    <cellStyle name="Comma 2 2 4 2 2 2 3 2 2 3 2 2 2" xfId="51978"/>
    <cellStyle name="Comma 2 2 4 2 2 2 3 2 2 3 2 2 2 2" xfId="54123"/>
    <cellStyle name="Comma 2 2 4 2 2 2 3 2 2 3 2 3" xfId="32298"/>
    <cellStyle name="Comma 2 2 4 2 2 2 3 2 2 3 3" xfId="30152"/>
    <cellStyle name="Comma 2 2 4 2 2 2 3 2 2 3 3 2" xfId="40661"/>
    <cellStyle name="Comma 2 2 4 2 2 2 3 2 2 4" xfId="10427"/>
    <cellStyle name="Comma 2 2 4 2 2 2 3 2 2 4 2" xfId="38462"/>
    <cellStyle name="Comma 2 2 4 2 2 2 3 2 2 4 2 2" xfId="45790"/>
    <cellStyle name="Comma 2 2 4 2 2 2 3 2 2 5" xfId="23913"/>
    <cellStyle name="Comma 2 2 4 2 2 2 3 2 3" xfId="5029"/>
    <cellStyle name="Comma 2 2 4 2 2 2 3 2 3 2" xfId="6475"/>
    <cellStyle name="Comma 2 2 4 2 2 2 3 2 3 2 2" xfId="18602"/>
    <cellStyle name="Comma 2 2 4 2 2 2 3 2 3 2 2 2" xfId="20029"/>
    <cellStyle name="Comma 2 2 4 2 2 2 3 2 3 2 2 2 2" xfId="53928"/>
    <cellStyle name="Comma 2 2 4 2 2 2 3 2 3 2 2 2 2 2" xfId="55355"/>
    <cellStyle name="Comma 2 2 4 2 2 2 3 2 3 2 2 3" xfId="33531"/>
    <cellStyle name="Comma 2 2 4 2 2 2 3 2 3 2 3" xfId="32103"/>
    <cellStyle name="Comma 2 2 4 2 2 2 3 2 3 2 3 2" xfId="41903"/>
    <cellStyle name="Comma 2 2 4 2 2 2 3 2 3 3" xfId="11699"/>
    <cellStyle name="Comma 2 2 4 2 2 2 3 2 3 3 2" xfId="40466"/>
    <cellStyle name="Comma 2 2 4 2 2 2 3 2 3 3 2 2" xfId="47047"/>
    <cellStyle name="Comma 2 2 4 2 2 2 3 2 3 4" xfId="25184"/>
    <cellStyle name="Comma 2 2 4 2 2 2 3 2 4" xfId="10232"/>
    <cellStyle name="Comma 2 2 4 2 2 2 3 2 4 2" xfId="14857"/>
    <cellStyle name="Comma 2 2 4 2 2 2 3 2 4 2 2" xfId="45595"/>
    <cellStyle name="Comma 2 2 4 2 2 2 3 2 4 2 2 2" xfId="50196"/>
    <cellStyle name="Comma 2 2 4 2 2 2 3 2 4 3" xfId="28370"/>
    <cellStyle name="Comma 2 2 4 2 2 2 3 2 5" xfId="23718"/>
    <cellStyle name="Comma 2 2 4 2 2 2 3 2 5 2" xfId="36665"/>
    <cellStyle name="Comma 2 2 4 2 2 2 3 3" xfId="1975"/>
    <cellStyle name="Comma 2 2 4 2 2 2 3 3 2" xfId="6266"/>
    <cellStyle name="Comma 2 2 4 2 2 2 3 3 2 2" xfId="7209"/>
    <cellStyle name="Comma 2 2 4 2 2 2 3 3 2 2 2" xfId="19823"/>
    <cellStyle name="Comma 2 2 4 2 2 2 3 3 2 2 2 2" xfId="20761"/>
    <cellStyle name="Comma 2 2 4 2 2 2 3 3 2 2 2 2 2" xfId="55149"/>
    <cellStyle name="Comma 2 2 4 2 2 2 3 3 2 2 2 2 2 2" xfId="56087"/>
    <cellStyle name="Comma 2 2 4 2 2 2 3 3 2 2 2 3" xfId="34264"/>
    <cellStyle name="Comma 2 2 4 2 2 2 3 3 2 2 3" xfId="33325"/>
    <cellStyle name="Comma 2 2 4 2 2 2 3 3 2 2 3 2" xfId="42636"/>
    <cellStyle name="Comma 2 2 4 2 2 2 3 3 2 3" xfId="12434"/>
    <cellStyle name="Comma 2 2 4 2 2 2 3 3 2 3 2" xfId="41695"/>
    <cellStyle name="Comma 2 2 4 2 2 2 3 3 2 3 2 2" xfId="47780"/>
    <cellStyle name="Comma 2 2 4 2 2 2 3 3 2 4" xfId="25918"/>
    <cellStyle name="Comma 2 2 4 2 2 2 3 3 3" xfId="11491"/>
    <cellStyle name="Comma 2 2 4 2 2 2 3 3 3 2" xfId="15639"/>
    <cellStyle name="Comma 2 2 4 2 2 2 3 3 3 2 2" xfId="46840"/>
    <cellStyle name="Comma 2 2 4 2 2 2 3 3 3 2 2 2" xfId="50971"/>
    <cellStyle name="Comma 2 2 4 2 2 2 3 3 3 3" xfId="29145"/>
    <cellStyle name="Comma 2 2 4 2 2 2 3 3 4" xfId="24977"/>
    <cellStyle name="Comma 2 2 4 2 2 2 3 3 4 2" xfId="37453"/>
    <cellStyle name="Comma 2 2 4 2 2 2 3 4" xfId="3989"/>
    <cellStyle name="Comma 2 2 4 2 2 2 3 4 2" xfId="14649"/>
    <cellStyle name="Comma 2 2 4 2 2 2 3 4 2 2" xfId="17584"/>
    <cellStyle name="Comma 2 2 4 2 2 2 3 4 2 2 2" xfId="49988"/>
    <cellStyle name="Comma 2 2 4 2 2 2 3 4 2 2 2 2" xfId="52911"/>
    <cellStyle name="Comma 2 2 4 2 2 2 3 4 2 3" xfId="31086"/>
    <cellStyle name="Comma 2 2 4 2 2 2 3 4 3" xfId="28160"/>
    <cellStyle name="Comma 2 2 4 2 2 2 3 4 3 2" xfId="39433"/>
    <cellStyle name="Comma 2 2 4 2 2 2 3 5" xfId="9181"/>
    <cellStyle name="Comma 2 2 4 2 2 2 3 5 2" xfId="36457"/>
    <cellStyle name="Comma 2 2 4 2 2 2 3 5 2 2" xfId="44564"/>
    <cellStyle name="Comma 2 2 4 2 2 2 3 6" xfId="22678"/>
    <cellStyle name="Comma 2 2 4 2 2 2 4" xfId="1751"/>
    <cellStyle name="Comma 2 2 4 2 2 2 4 2" xfId="2420"/>
    <cellStyle name="Comma 2 2 4 2 2 2 4 2 2" xfId="7004"/>
    <cellStyle name="Comma 2 2 4 2 2 2 4 2 2 2" xfId="7652"/>
    <cellStyle name="Comma 2 2 4 2 2 2 4 2 2 2 2" xfId="20557"/>
    <cellStyle name="Comma 2 2 4 2 2 2 4 2 2 2 2 2" xfId="21204"/>
    <cellStyle name="Comma 2 2 4 2 2 2 4 2 2 2 2 2 2" xfId="55883"/>
    <cellStyle name="Comma 2 2 4 2 2 2 4 2 2 2 2 2 2 2" xfId="56530"/>
    <cellStyle name="Comma 2 2 4 2 2 2 4 2 2 2 2 3" xfId="34707"/>
    <cellStyle name="Comma 2 2 4 2 2 2 4 2 2 2 3" xfId="34059"/>
    <cellStyle name="Comma 2 2 4 2 2 2 4 2 2 2 3 2" xfId="43079"/>
    <cellStyle name="Comma 2 2 4 2 2 2 4 2 2 3" xfId="12877"/>
    <cellStyle name="Comma 2 2 4 2 2 2 4 2 2 3 2" xfId="42432"/>
    <cellStyle name="Comma 2 2 4 2 2 2 4 2 2 3 2 2" xfId="48223"/>
    <cellStyle name="Comma 2 2 4 2 2 2 4 2 2 4" xfId="26361"/>
    <cellStyle name="Comma 2 2 4 2 2 2 4 2 3" xfId="12228"/>
    <cellStyle name="Comma 2 2 4 2 2 2 4 2 3 2" xfId="16083"/>
    <cellStyle name="Comma 2 2 4 2 2 2 4 2 3 2 2" xfId="47575"/>
    <cellStyle name="Comma 2 2 4 2 2 2 4 2 3 2 2 2" xfId="51415"/>
    <cellStyle name="Comma 2 2 4 2 2 2 4 2 3 3" xfId="29589"/>
    <cellStyle name="Comma 2 2 4 2 2 2 4 2 4" xfId="25713"/>
    <cellStyle name="Comma 2 2 4 2 2 2 4 2 4 2" xfId="37898"/>
    <cellStyle name="Comma 2 2 4 2 2 2 4 3" xfId="4455"/>
    <cellStyle name="Comma 2 2 4 2 2 2 4 3 2" xfId="15423"/>
    <cellStyle name="Comma 2 2 4 2 2 2 4 3 2 2" xfId="18045"/>
    <cellStyle name="Comma 2 2 4 2 2 2 4 3 2 2 2" xfId="50756"/>
    <cellStyle name="Comma 2 2 4 2 2 2 4 3 2 2 2 2" xfId="53371"/>
    <cellStyle name="Comma 2 2 4 2 2 2 4 3 2 3" xfId="31546"/>
    <cellStyle name="Comma 2 2 4 2 2 2 4 3 3" xfId="28930"/>
    <cellStyle name="Comma 2 2 4 2 2 2 4 3 3 2" xfId="39897"/>
    <cellStyle name="Comma 2 2 4 2 2 2 4 4" xfId="9660"/>
    <cellStyle name="Comma 2 2 4 2 2 2 4 4 2" xfId="37233"/>
    <cellStyle name="Comma 2 2 4 2 2 2 4 4 2 2" xfId="45038"/>
    <cellStyle name="Comma 2 2 4 2 2 2 4 5" xfId="23161"/>
    <cellStyle name="Comma 2 2 4 2 2 2 5" xfId="3757"/>
    <cellStyle name="Comma 2 2 4 2 2 2 5 2" xfId="5661"/>
    <cellStyle name="Comma 2 2 4 2 2 2 5 2 2" xfId="17373"/>
    <cellStyle name="Comma 2 2 4 2 2 2 5 2 2 2" xfId="19233"/>
    <cellStyle name="Comma 2 2 4 2 2 2 5 2 2 2 2" xfId="52700"/>
    <cellStyle name="Comma 2 2 4 2 2 2 5 2 2 2 2 2" xfId="54559"/>
    <cellStyle name="Comma 2 2 4 2 2 2 5 2 2 3" xfId="32734"/>
    <cellStyle name="Comma 2 2 4 2 2 2 5 2 3" xfId="30874"/>
    <cellStyle name="Comma 2 2 4 2 2 2 5 2 3 2" xfId="41097"/>
    <cellStyle name="Comma 2 2 4 2 2 2 5 3" xfId="10879"/>
    <cellStyle name="Comma 2 2 4 2 2 2 5 3 2" xfId="39208"/>
    <cellStyle name="Comma 2 2 4 2 2 2 5 3 2 2" xfId="46241"/>
    <cellStyle name="Comma 2 2 4 2 2 2 5 4" xfId="24372"/>
    <cellStyle name="Comma 2 2 4 2 2 2 6" xfId="8947"/>
    <cellStyle name="Comma 2 2 4 2 2 2 6 2" xfId="14045"/>
    <cellStyle name="Comma 2 2 4 2 2 2 6 2 2" xfId="44346"/>
    <cellStyle name="Comma 2 2 4 2 2 2 6 2 2 2" xfId="49391"/>
    <cellStyle name="Comma 2 2 4 2 2 2 6 3" xfId="27544"/>
    <cellStyle name="Comma 2 2 4 2 2 2 7" xfId="22454"/>
    <cellStyle name="Comma 2 2 4 2 2 2 7 2" xfId="35857"/>
    <cellStyle name="Comma 2 2 4 2 2 3" xfId="450"/>
    <cellStyle name="Comma 2 2 4 2 2 3 2" xfId="1154"/>
    <cellStyle name="Comma 2 2 4 2 2 3 2 2" xfId="1266"/>
    <cellStyle name="Comma 2 2 4 2 2 3 2 2 2" xfId="3177"/>
    <cellStyle name="Comma 2 2 4 2 2 3 2 2 2 2" xfId="3284"/>
    <cellStyle name="Comma 2 2 4 2 2 3 2 2 2 2 2" xfId="8392"/>
    <cellStyle name="Comma 2 2 4 2 2 3 2 2 2 2 2 2" xfId="8499"/>
    <cellStyle name="Comma 2 2 4 2 2 3 2 2 2 2 2 2 2" xfId="21944"/>
    <cellStyle name="Comma 2 2 4 2 2 3 2 2 2 2 2 2 2 2" xfId="22051"/>
    <cellStyle name="Comma 2 2 4 2 2 3 2 2 2 2 2 2 2 2 2" xfId="57270"/>
    <cellStyle name="Comma 2 2 4 2 2 3 2 2 2 2 2 2 2 2 2 2" xfId="57377"/>
    <cellStyle name="Comma 2 2 4 2 2 3 2 2 2 2 2 2 2 3" xfId="35554"/>
    <cellStyle name="Comma 2 2 4 2 2 3 2 2 2 2 2 2 3" xfId="35447"/>
    <cellStyle name="Comma 2 2 4 2 2 3 2 2 2 2 2 2 3 2" xfId="43926"/>
    <cellStyle name="Comma 2 2 4 2 2 3 2 2 2 2 2 3" xfId="13724"/>
    <cellStyle name="Comma 2 2 4 2 2 3 2 2 2 2 2 3 2" xfId="43819"/>
    <cellStyle name="Comma 2 2 4 2 2 3 2 2 2 2 2 3 2 2" xfId="49070"/>
    <cellStyle name="Comma 2 2 4 2 2 3 2 2 2 2 2 4" xfId="27209"/>
    <cellStyle name="Comma 2 2 4 2 2 3 2 2 2 2 3" xfId="13617"/>
    <cellStyle name="Comma 2 2 4 2 2 3 2 2 2 2 3 2" xfId="16941"/>
    <cellStyle name="Comma 2 2 4 2 2 3 2 2 2 2 3 2 2" xfId="48963"/>
    <cellStyle name="Comma 2 2 4 2 2 3 2 2 2 2 3 2 2 2" xfId="52269"/>
    <cellStyle name="Comma 2 2 4 2 2 3 2 2 2 2 3 3" xfId="30443"/>
    <cellStyle name="Comma 2 2 4 2 2 3 2 2 2 2 4" xfId="27102"/>
    <cellStyle name="Comma 2 2 4 2 2 3 2 2 2 2 4 2" xfId="38753"/>
    <cellStyle name="Comma 2 2 4 2 2 3 2 2 2 3" xfId="5321"/>
    <cellStyle name="Comma 2 2 4 2 2 3 2 2 2 3 2" xfId="16834"/>
    <cellStyle name="Comma 2 2 4 2 2 3 2 2 2 3 2 2" xfId="18894"/>
    <cellStyle name="Comma 2 2 4 2 2 3 2 2 2 3 2 2 2" xfId="52162"/>
    <cellStyle name="Comma 2 2 4 2 2 3 2 2 2 3 2 2 2 2" xfId="54220"/>
    <cellStyle name="Comma 2 2 4 2 2 3 2 2 2 3 2 3" xfId="32395"/>
    <cellStyle name="Comma 2 2 4 2 2 3 2 2 2 3 3" xfId="30336"/>
    <cellStyle name="Comma 2 2 4 2 2 3 2 2 2 3 3 2" xfId="40758"/>
    <cellStyle name="Comma 2 2 4 2 2 3 2 2 2 4" xfId="10524"/>
    <cellStyle name="Comma 2 2 4 2 2 3 2 2 2 4 2" xfId="38646"/>
    <cellStyle name="Comma 2 2 4 2 2 3 2 2 2 4 2 2" xfId="45887"/>
    <cellStyle name="Comma 2 2 4 2 2 3 2 2 2 5" xfId="24010"/>
    <cellStyle name="Comma 2 2 4 2 2 3 2 2 3" xfId="5214"/>
    <cellStyle name="Comma 2 2 4 2 2 3 2 2 3 2" xfId="6574"/>
    <cellStyle name="Comma 2 2 4 2 2 3 2 2 3 2 2" xfId="18787"/>
    <cellStyle name="Comma 2 2 4 2 2 3 2 2 3 2 2 2" xfId="20127"/>
    <cellStyle name="Comma 2 2 4 2 2 3 2 2 3 2 2 2 2" xfId="54113"/>
    <cellStyle name="Comma 2 2 4 2 2 3 2 2 3 2 2 2 2 2" xfId="55453"/>
    <cellStyle name="Comma 2 2 4 2 2 3 2 2 3 2 2 3" xfId="33629"/>
    <cellStyle name="Comma 2 2 4 2 2 3 2 2 3 2 3" xfId="32288"/>
    <cellStyle name="Comma 2 2 4 2 2 3 2 2 3 2 3 2" xfId="42002"/>
    <cellStyle name="Comma 2 2 4 2 2 3 2 2 3 3" xfId="11797"/>
    <cellStyle name="Comma 2 2 4 2 2 3 2 2 3 3 2" xfId="40651"/>
    <cellStyle name="Comma 2 2 4 2 2 3 2 2 3 3 2 2" xfId="47145"/>
    <cellStyle name="Comma 2 2 4 2 2 3 2 2 3 4" xfId="25282"/>
    <cellStyle name="Comma 2 2 4 2 2 3 2 2 4" xfId="10417"/>
    <cellStyle name="Comma 2 2 4 2 2 3 2 2 4 2" xfId="14955"/>
    <cellStyle name="Comma 2 2 4 2 2 3 2 2 4 2 2" xfId="45780"/>
    <cellStyle name="Comma 2 2 4 2 2 3 2 2 4 2 2 2" xfId="50294"/>
    <cellStyle name="Comma 2 2 4 2 2 3 2 2 4 3" xfId="28468"/>
    <cellStyle name="Comma 2 2 4 2 2 3 2 2 5" xfId="23903"/>
    <cellStyle name="Comma 2 2 4 2 2 3 2 2 5 2" xfId="36763"/>
    <cellStyle name="Comma 2 2 4 2 2 3 2 3" xfId="2072"/>
    <cellStyle name="Comma 2 2 4 2 2 3 2 3 2" xfId="6462"/>
    <cellStyle name="Comma 2 2 4 2 2 3 2 3 2 2" xfId="7306"/>
    <cellStyle name="Comma 2 2 4 2 2 3 2 3 2 2 2" xfId="20016"/>
    <cellStyle name="Comma 2 2 4 2 2 3 2 3 2 2 2 2" xfId="20858"/>
    <cellStyle name="Comma 2 2 4 2 2 3 2 3 2 2 2 2 2" xfId="55342"/>
    <cellStyle name="Comma 2 2 4 2 2 3 2 3 2 2 2 2 2 2" xfId="56184"/>
    <cellStyle name="Comma 2 2 4 2 2 3 2 3 2 2 2 3" xfId="34361"/>
    <cellStyle name="Comma 2 2 4 2 2 3 2 3 2 2 3" xfId="33518"/>
    <cellStyle name="Comma 2 2 4 2 2 3 2 3 2 2 3 2" xfId="42733"/>
    <cellStyle name="Comma 2 2 4 2 2 3 2 3 2 3" xfId="12531"/>
    <cellStyle name="Comma 2 2 4 2 2 3 2 3 2 3 2" xfId="41890"/>
    <cellStyle name="Comma 2 2 4 2 2 3 2 3 2 3 2 2" xfId="47877"/>
    <cellStyle name="Comma 2 2 4 2 2 3 2 3 2 4" xfId="26015"/>
    <cellStyle name="Comma 2 2 4 2 2 3 2 3 3" xfId="11686"/>
    <cellStyle name="Comma 2 2 4 2 2 3 2 3 3 2" xfId="15736"/>
    <cellStyle name="Comma 2 2 4 2 2 3 2 3 3 2 2" xfId="47034"/>
    <cellStyle name="Comma 2 2 4 2 2 3 2 3 3 2 2 2" xfId="51068"/>
    <cellStyle name="Comma 2 2 4 2 2 3 2 3 3 3" xfId="29242"/>
    <cellStyle name="Comma 2 2 4 2 2 3 2 3 4" xfId="25171"/>
    <cellStyle name="Comma 2 2 4 2 2 3 2 3 4 2" xfId="37550"/>
    <cellStyle name="Comma 2 2 4 2 2 3 2 4" xfId="4088"/>
    <cellStyle name="Comma 2 2 4 2 2 3 2 4 2" xfId="14844"/>
    <cellStyle name="Comma 2 2 4 2 2 3 2 4 2 2" xfId="17681"/>
    <cellStyle name="Comma 2 2 4 2 2 3 2 4 2 2 2" xfId="50183"/>
    <cellStyle name="Comma 2 2 4 2 2 3 2 4 2 2 2 2" xfId="53008"/>
    <cellStyle name="Comma 2 2 4 2 2 3 2 4 2 3" xfId="31183"/>
    <cellStyle name="Comma 2 2 4 2 2 3 2 4 3" xfId="28357"/>
    <cellStyle name="Comma 2 2 4 2 2 3 2 4 3 2" xfId="39531"/>
    <cellStyle name="Comma 2 2 4 2 2 3 2 5" xfId="9279"/>
    <cellStyle name="Comma 2 2 4 2 2 3 2 5 2" xfId="36652"/>
    <cellStyle name="Comma 2 2 4 2 2 3 2 5 2 2" xfId="44661"/>
    <cellStyle name="Comma 2 2 4 2 2 3 2 6" xfId="22775"/>
    <cellStyle name="Comma 2 2 4 2 2 3 3" xfId="1962"/>
    <cellStyle name="Comma 2 2 4 2 2 3 3 2" xfId="2549"/>
    <cellStyle name="Comma 2 2 4 2 2 3 3 2 2" xfId="7199"/>
    <cellStyle name="Comma 2 2 4 2 2 3 3 2 2 2" xfId="7771"/>
    <cellStyle name="Comma 2 2 4 2 2 3 3 2 2 2 2" xfId="20751"/>
    <cellStyle name="Comma 2 2 4 2 2 3 3 2 2 2 2 2" xfId="21323"/>
    <cellStyle name="Comma 2 2 4 2 2 3 3 2 2 2 2 2 2" xfId="56077"/>
    <cellStyle name="Comma 2 2 4 2 2 3 3 2 2 2 2 2 2 2" xfId="56649"/>
    <cellStyle name="Comma 2 2 4 2 2 3 3 2 2 2 2 3" xfId="34826"/>
    <cellStyle name="Comma 2 2 4 2 2 3 3 2 2 2 3" xfId="34254"/>
    <cellStyle name="Comma 2 2 4 2 2 3 3 2 2 2 3 2" xfId="43198"/>
    <cellStyle name="Comma 2 2 4 2 2 3 3 2 2 3" xfId="12996"/>
    <cellStyle name="Comma 2 2 4 2 2 3 3 2 2 3 2" xfId="42626"/>
    <cellStyle name="Comma 2 2 4 2 2 3 3 2 2 3 2 2" xfId="48342"/>
    <cellStyle name="Comma 2 2 4 2 2 3 3 2 2 4" xfId="26480"/>
    <cellStyle name="Comma 2 2 4 2 2 3 3 2 3" xfId="12424"/>
    <cellStyle name="Comma 2 2 4 2 2 3 3 2 3 2" xfId="16209"/>
    <cellStyle name="Comma 2 2 4 2 2 3 3 2 3 2 2" xfId="47770"/>
    <cellStyle name="Comma 2 2 4 2 2 3 3 2 3 2 2 2" xfId="51539"/>
    <cellStyle name="Comma 2 2 4 2 2 3 3 2 3 3" xfId="29713"/>
    <cellStyle name="Comma 2 2 4 2 2 3 3 2 4" xfId="25908"/>
    <cellStyle name="Comma 2 2 4 2 2 3 3 2 4 2" xfId="38022"/>
    <cellStyle name="Comma 2 2 4 2 2 3 3 3" xfId="4583"/>
    <cellStyle name="Comma 2 2 4 2 2 3 3 3 2" xfId="15627"/>
    <cellStyle name="Comma 2 2 4 2 2 3 3 3 2 2" xfId="18164"/>
    <cellStyle name="Comma 2 2 4 2 2 3 3 3 2 2 2" xfId="50959"/>
    <cellStyle name="Comma 2 2 4 2 2 3 3 3 2 2 2 2" xfId="53490"/>
    <cellStyle name="Comma 2 2 4 2 2 3 3 3 2 3" xfId="31665"/>
    <cellStyle name="Comma 2 2 4 2 2 3 3 3 3" xfId="29133"/>
    <cellStyle name="Comma 2 2 4 2 2 3 3 3 3 2" xfId="40022"/>
    <cellStyle name="Comma 2 2 4 2 2 3 3 4" xfId="9786"/>
    <cellStyle name="Comma 2 2 4 2 2 3 3 4 2" xfId="37440"/>
    <cellStyle name="Comma 2 2 4 2 2 3 3 4 2 2" xfId="45157"/>
    <cellStyle name="Comma 2 2 4 2 2 3 3 5" xfId="23280"/>
    <cellStyle name="Comma 2 2 4 2 2 3 4" xfId="3976"/>
    <cellStyle name="Comma 2 2 4 2 2 3 4 2" xfId="5789"/>
    <cellStyle name="Comma 2 2 4 2 2 3 4 2 2" xfId="17574"/>
    <cellStyle name="Comma 2 2 4 2 2 3 4 2 2 2" xfId="19357"/>
    <cellStyle name="Comma 2 2 4 2 2 3 4 2 2 2 2" xfId="52901"/>
    <cellStyle name="Comma 2 2 4 2 2 3 4 2 2 2 2 2" xfId="54683"/>
    <cellStyle name="Comma 2 2 4 2 2 3 4 2 2 3" xfId="32858"/>
    <cellStyle name="Comma 2 2 4 2 2 3 4 2 3" xfId="31076"/>
    <cellStyle name="Comma 2 2 4 2 2 3 4 2 3 2" xfId="41224"/>
    <cellStyle name="Comma 2 2 4 2 2 3 4 3" xfId="11010"/>
    <cellStyle name="Comma 2 2 4 2 2 3 4 3 2" xfId="39420"/>
    <cellStyle name="Comma 2 2 4 2 2 3 4 3 2 2" xfId="46369"/>
    <cellStyle name="Comma 2 2 4 2 2 3 4 4" xfId="24504"/>
    <cellStyle name="Comma 2 2 4 2 2 3 5" xfId="9168"/>
    <cellStyle name="Comma 2 2 4 2 2 3 5 2" xfId="14172"/>
    <cellStyle name="Comma 2 2 4 2 2 3 5 2 2" xfId="44554"/>
    <cellStyle name="Comma 2 2 4 2 2 3 5 2 2 2" xfId="49517"/>
    <cellStyle name="Comma 2 2 4 2 2 3 5 3" xfId="27677"/>
    <cellStyle name="Comma 2 2 4 2 2 3 6" xfId="22668"/>
    <cellStyle name="Comma 2 2 4 2 2 3 6 2" xfId="35984"/>
    <cellStyle name="Comma 2 2 4 2 2 4" xfId="771"/>
    <cellStyle name="Comma 2 2 4 2 2 4 2" xfId="2409"/>
    <cellStyle name="Comma 2 2 4 2 2 4 2 2" xfId="2828"/>
    <cellStyle name="Comma 2 2 4 2 2 4 2 2 2" xfId="7641"/>
    <cellStyle name="Comma 2 2 4 2 2 4 2 2 2 2" xfId="8044"/>
    <cellStyle name="Comma 2 2 4 2 2 4 2 2 2 2 2" xfId="21193"/>
    <cellStyle name="Comma 2 2 4 2 2 4 2 2 2 2 2 2" xfId="21596"/>
    <cellStyle name="Comma 2 2 4 2 2 4 2 2 2 2 2 2 2" xfId="56519"/>
    <cellStyle name="Comma 2 2 4 2 2 4 2 2 2 2 2 2 2 2" xfId="56922"/>
    <cellStyle name="Comma 2 2 4 2 2 4 2 2 2 2 2 3" xfId="35099"/>
    <cellStyle name="Comma 2 2 4 2 2 4 2 2 2 2 3" xfId="34696"/>
    <cellStyle name="Comma 2 2 4 2 2 4 2 2 2 2 3 2" xfId="43471"/>
    <cellStyle name="Comma 2 2 4 2 2 4 2 2 2 3" xfId="13269"/>
    <cellStyle name="Comma 2 2 4 2 2 4 2 2 2 3 2" xfId="43068"/>
    <cellStyle name="Comma 2 2 4 2 2 4 2 2 2 3 2 2" xfId="48615"/>
    <cellStyle name="Comma 2 2 4 2 2 4 2 2 2 4" xfId="26753"/>
    <cellStyle name="Comma 2 2 4 2 2 4 2 2 3" xfId="12866"/>
    <cellStyle name="Comma 2 2 4 2 2 4 2 2 3 2" xfId="16486"/>
    <cellStyle name="Comma 2 2 4 2 2 4 2 2 3 2 2" xfId="48212"/>
    <cellStyle name="Comma 2 2 4 2 2 4 2 2 3 2 2 2" xfId="51814"/>
    <cellStyle name="Comma 2 2 4 2 2 4 2 2 3 3" xfId="29988"/>
    <cellStyle name="Comma 2 2 4 2 2 4 2 2 4" xfId="26350"/>
    <cellStyle name="Comma 2 2 4 2 2 4 2 2 4 2" xfId="38298"/>
    <cellStyle name="Comma 2 2 4 2 2 4 2 3" xfId="4864"/>
    <cellStyle name="Comma 2 2 4 2 2 4 2 3 2" xfId="16072"/>
    <cellStyle name="Comma 2 2 4 2 2 4 2 3 2 2" xfId="18438"/>
    <cellStyle name="Comma 2 2 4 2 2 4 2 3 2 2 2" xfId="51404"/>
    <cellStyle name="Comma 2 2 4 2 2 4 2 3 2 2 2 2" xfId="53764"/>
    <cellStyle name="Comma 2 2 4 2 2 4 2 3 2 3" xfId="31939"/>
    <cellStyle name="Comma 2 2 4 2 2 4 2 3 3" xfId="29578"/>
    <cellStyle name="Comma 2 2 4 2 2 4 2 3 3 2" xfId="40301"/>
    <cellStyle name="Comma 2 2 4 2 2 4 2 4" xfId="10067"/>
    <cellStyle name="Comma 2 2 4 2 2 4 2 4 2" xfId="37887"/>
    <cellStyle name="Comma 2 2 4 2 2 4 2 4 2 2" xfId="45431"/>
    <cellStyle name="Comma 2 2 4 2 2 4 2 5" xfId="23554"/>
    <cellStyle name="Comma 2 2 4 2 2 4 3" xfId="4444"/>
    <cellStyle name="Comma 2 2 4 2 2 4 3 2" xfId="6088"/>
    <cellStyle name="Comma 2 2 4 2 2 4 3 2 2" xfId="18034"/>
    <cellStyle name="Comma 2 2 4 2 2 4 3 2 2 2" xfId="19650"/>
    <cellStyle name="Comma 2 2 4 2 2 4 3 2 2 2 2" xfId="53360"/>
    <cellStyle name="Comma 2 2 4 2 2 4 3 2 2 2 2 2" xfId="54976"/>
    <cellStyle name="Comma 2 2 4 2 2 4 3 2 2 3" xfId="33151"/>
    <cellStyle name="Comma 2 2 4 2 2 4 3 2 3" xfId="31535"/>
    <cellStyle name="Comma 2 2 4 2 2 4 3 2 3 2" xfId="41521"/>
    <cellStyle name="Comma 2 2 4 2 2 4 3 3" xfId="11314"/>
    <cellStyle name="Comma 2 2 4 2 2 4 3 3 2" xfId="39886"/>
    <cellStyle name="Comma 2 2 4 2 2 4 3 3 2 2" xfId="46667"/>
    <cellStyle name="Comma 2 2 4 2 2 4 3 4" xfId="24804"/>
    <cellStyle name="Comma 2 2 4 2 2 4 4" xfId="9648"/>
    <cellStyle name="Comma 2 2 4 2 2 4 4 2" xfId="14472"/>
    <cellStyle name="Comma 2 2 4 2 2 4 4 2 2" xfId="45026"/>
    <cellStyle name="Comma 2 2 4 2 2 4 4 2 2 2" xfId="49814"/>
    <cellStyle name="Comma 2 2 4 2 2 4 4 3" xfId="27983"/>
    <cellStyle name="Comma 2 2 4 2 2 4 5" xfId="23149"/>
    <cellStyle name="Comma 2 2 4 2 2 4 5 2" xfId="36282"/>
    <cellStyle name="Comma 2 2 4 2 2 5" xfId="1557"/>
    <cellStyle name="Comma 2 2 4 2 2 5 2" xfId="5650"/>
    <cellStyle name="Comma 2 2 4 2 2 5 2 2" xfId="6830"/>
    <cellStyle name="Comma 2 2 4 2 2 5 2 2 2" xfId="19222"/>
    <cellStyle name="Comma 2 2 4 2 2 5 2 2 2 2" xfId="20383"/>
    <cellStyle name="Comma 2 2 4 2 2 5 2 2 2 2 2" xfId="54548"/>
    <cellStyle name="Comma 2 2 4 2 2 5 2 2 2 2 2 2" xfId="55709"/>
    <cellStyle name="Comma 2 2 4 2 2 5 2 2 2 3" xfId="33885"/>
    <cellStyle name="Comma 2 2 4 2 2 5 2 2 3" xfId="32723"/>
    <cellStyle name="Comma 2 2 4 2 2 5 2 2 3 2" xfId="42258"/>
    <cellStyle name="Comma 2 2 4 2 2 5 2 3" xfId="12054"/>
    <cellStyle name="Comma 2 2 4 2 2 5 2 3 2" xfId="41086"/>
    <cellStyle name="Comma 2 2 4 2 2 5 2 3 2 2" xfId="47401"/>
    <cellStyle name="Comma 2 2 4 2 2 5 2 4" xfId="25539"/>
    <cellStyle name="Comma 2 2 4 2 2 5 3" xfId="10867"/>
    <cellStyle name="Comma 2 2 4 2 2 5 3 2" xfId="15233"/>
    <cellStyle name="Comma 2 2 4 2 2 5 3 2 2" xfId="46229"/>
    <cellStyle name="Comma 2 2 4 2 2 5 3 2 2 2" xfId="50570"/>
    <cellStyle name="Comma 2 2 4 2 2 5 3 3" xfId="28744"/>
    <cellStyle name="Comma 2 2 4 2 2 5 4" xfId="24360"/>
    <cellStyle name="Comma 2 2 4 2 2 5 4 2" xfId="37045"/>
    <cellStyle name="Comma 2 2 4 2 2 6" xfId="3558"/>
    <cellStyle name="Comma 2 2 4 2 2 6 2" xfId="14034"/>
    <cellStyle name="Comma 2 2 4 2 2 6 2 2" xfId="17195"/>
    <cellStyle name="Comma 2 2 4 2 2 6 2 2 2" xfId="49380"/>
    <cellStyle name="Comma 2 2 4 2 2 6 2 2 2 2" xfId="52522"/>
    <cellStyle name="Comma 2 2 4 2 2 6 2 3" xfId="30696"/>
    <cellStyle name="Comma 2 2 4 2 2 6 3" xfId="27531"/>
    <cellStyle name="Comma 2 2 4 2 2 6 3 2" xfId="39015"/>
    <cellStyle name="Comma 2 2 4 2 2 7" xfId="8749"/>
    <cellStyle name="Comma 2 2 4 2 2 7 2" xfId="35846"/>
    <cellStyle name="Comma 2 2 4 2 2 7 2 2" xfId="44163"/>
    <cellStyle name="Comma 2 2 4 2 2 8" xfId="22267"/>
    <cellStyle name="Comma 2 2 4 2 3" xfId="436"/>
    <cellStyle name="Comma 2 2 4 2 3 2" xfId="514"/>
    <cellStyle name="Comma 2 2 4 2 3 2 2" xfId="1258"/>
    <cellStyle name="Comma 2 2 4 2 3 2 2 2" xfId="1324"/>
    <cellStyle name="Comma 2 2 4 2 3 2 2 2 2" xfId="3276"/>
    <cellStyle name="Comma 2 2 4 2 3 2 2 2 2 2" xfId="3342"/>
    <cellStyle name="Comma 2 2 4 2 3 2 2 2 2 2 2" xfId="8491"/>
    <cellStyle name="Comma 2 2 4 2 3 2 2 2 2 2 2 2" xfId="8557"/>
    <cellStyle name="Comma 2 2 4 2 3 2 2 2 2 2 2 2 2" xfId="22043"/>
    <cellStyle name="Comma 2 2 4 2 3 2 2 2 2 2 2 2 2 2" xfId="22109"/>
    <cellStyle name="Comma 2 2 4 2 3 2 2 2 2 2 2 2 2 2 2" xfId="57369"/>
    <cellStyle name="Comma 2 2 4 2 3 2 2 2 2 2 2 2 2 2 2 2" xfId="57435"/>
    <cellStyle name="Comma 2 2 4 2 3 2 2 2 2 2 2 2 2 3" xfId="35612"/>
    <cellStyle name="Comma 2 2 4 2 3 2 2 2 2 2 2 2 3" xfId="35546"/>
    <cellStyle name="Comma 2 2 4 2 3 2 2 2 2 2 2 2 3 2" xfId="43984"/>
    <cellStyle name="Comma 2 2 4 2 3 2 2 2 2 2 2 3" xfId="13782"/>
    <cellStyle name="Comma 2 2 4 2 3 2 2 2 2 2 2 3 2" xfId="43918"/>
    <cellStyle name="Comma 2 2 4 2 3 2 2 2 2 2 2 3 2 2" xfId="49128"/>
    <cellStyle name="Comma 2 2 4 2 3 2 2 2 2 2 2 4" xfId="27267"/>
    <cellStyle name="Comma 2 2 4 2 3 2 2 2 2 2 3" xfId="13716"/>
    <cellStyle name="Comma 2 2 4 2 3 2 2 2 2 2 3 2" xfId="16999"/>
    <cellStyle name="Comma 2 2 4 2 3 2 2 2 2 2 3 2 2" xfId="49062"/>
    <cellStyle name="Comma 2 2 4 2 3 2 2 2 2 2 3 2 2 2" xfId="52327"/>
    <cellStyle name="Comma 2 2 4 2 3 2 2 2 2 2 3 3" xfId="30501"/>
    <cellStyle name="Comma 2 2 4 2 3 2 2 2 2 2 4" xfId="27201"/>
    <cellStyle name="Comma 2 2 4 2 3 2 2 2 2 2 4 2" xfId="38811"/>
    <cellStyle name="Comma 2 2 4 2 3 2 2 2 2 3" xfId="5379"/>
    <cellStyle name="Comma 2 2 4 2 3 2 2 2 2 3 2" xfId="16933"/>
    <cellStyle name="Comma 2 2 4 2 3 2 2 2 2 3 2 2" xfId="18952"/>
    <cellStyle name="Comma 2 2 4 2 3 2 2 2 2 3 2 2 2" xfId="52261"/>
    <cellStyle name="Comma 2 2 4 2 3 2 2 2 2 3 2 2 2 2" xfId="54278"/>
    <cellStyle name="Comma 2 2 4 2 3 2 2 2 2 3 2 3" xfId="32453"/>
    <cellStyle name="Comma 2 2 4 2 3 2 2 2 2 3 3" xfId="30435"/>
    <cellStyle name="Comma 2 2 4 2 3 2 2 2 2 3 3 2" xfId="40816"/>
    <cellStyle name="Comma 2 2 4 2 3 2 2 2 2 4" xfId="10582"/>
    <cellStyle name="Comma 2 2 4 2 3 2 2 2 2 4 2" xfId="38745"/>
    <cellStyle name="Comma 2 2 4 2 3 2 2 2 2 4 2 2" xfId="45945"/>
    <cellStyle name="Comma 2 2 4 2 3 2 2 2 2 5" xfId="24068"/>
    <cellStyle name="Comma 2 2 4 2 3 2 2 2 3" xfId="5313"/>
    <cellStyle name="Comma 2 2 4 2 3 2 2 2 3 2" xfId="6632"/>
    <cellStyle name="Comma 2 2 4 2 3 2 2 2 3 2 2" xfId="18886"/>
    <cellStyle name="Comma 2 2 4 2 3 2 2 2 3 2 2 2" xfId="20185"/>
    <cellStyle name="Comma 2 2 4 2 3 2 2 2 3 2 2 2 2" xfId="54212"/>
    <cellStyle name="Comma 2 2 4 2 3 2 2 2 3 2 2 2 2 2" xfId="55511"/>
    <cellStyle name="Comma 2 2 4 2 3 2 2 2 3 2 2 3" xfId="33687"/>
    <cellStyle name="Comma 2 2 4 2 3 2 2 2 3 2 3" xfId="32387"/>
    <cellStyle name="Comma 2 2 4 2 3 2 2 2 3 2 3 2" xfId="42060"/>
    <cellStyle name="Comma 2 2 4 2 3 2 2 2 3 3" xfId="11855"/>
    <cellStyle name="Comma 2 2 4 2 3 2 2 2 3 3 2" xfId="40750"/>
    <cellStyle name="Comma 2 2 4 2 3 2 2 2 3 3 2 2" xfId="47203"/>
    <cellStyle name="Comma 2 2 4 2 3 2 2 2 3 4" xfId="25340"/>
    <cellStyle name="Comma 2 2 4 2 3 2 2 2 4" xfId="10516"/>
    <cellStyle name="Comma 2 2 4 2 3 2 2 2 4 2" xfId="15013"/>
    <cellStyle name="Comma 2 2 4 2 3 2 2 2 4 2 2" xfId="45879"/>
    <cellStyle name="Comma 2 2 4 2 3 2 2 2 4 2 2 2" xfId="50352"/>
    <cellStyle name="Comma 2 2 4 2 3 2 2 2 4 3" xfId="28526"/>
    <cellStyle name="Comma 2 2 4 2 3 2 2 2 5" xfId="24002"/>
    <cellStyle name="Comma 2 2 4 2 3 2 2 2 5 2" xfId="36821"/>
    <cellStyle name="Comma 2 2 4 2 3 2 2 3" xfId="2131"/>
    <cellStyle name="Comma 2 2 4 2 3 2 2 3 2" xfId="6566"/>
    <cellStyle name="Comma 2 2 4 2 3 2 2 3 2 2" xfId="7365"/>
    <cellStyle name="Comma 2 2 4 2 3 2 2 3 2 2 2" xfId="20119"/>
    <cellStyle name="Comma 2 2 4 2 3 2 2 3 2 2 2 2" xfId="20917"/>
    <cellStyle name="Comma 2 2 4 2 3 2 2 3 2 2 2 2 2" xfId="55445"/>
    <cellStyle name="Comma 2 2 4 2 3 2 2 3 2 2 2 2 2 2" xfId="56243"/>
    <cellStyle name="Comma 2 2 4 2 3 2 2 3 2 2 2 3" xfId="34420"/>
    <cellStyle name="Comma 2 2 4 2 3 2 2 3 2 2 3" xfId="33621"/>
    <cellStyle name="Comma 2 2 4 2 3 2 2 3 2 2 3 2" xfId="42792"/>
    <cellStyle name="Comma 2 2 4 2 3 2 2 3 2 3" xfId="12590"/>
    <cellStyle name="Comma 2 2 4 2 3 2 2 3 2 3 2" xfId="41994"/>
    <cellStyle name="Comma 2 2 4 2 3 2 2 3 2 3 2 2" xfId="47936"/>
    <cellStyle name="Comma 2 2 4 2 3 2 2 3 2 4" xfId="26074"/>
    <cellStyle name="Comma 2 2 4 2 3 2 2 3 3" xfId="11789"/>
    <cellStyle name="Comma 2 2 4 2 3 2 2 3 3 2" xfId="15795"/>
    <cellStyle name="Comma 2 2 4 2 3 2 2 3 3 2 2" xfId="47137"/>
    <cellStyle name="Comma 2 2 4 2 3 2 2 3 3 2 2 2" xfId="51127"/>
    <cellStyle name="Comma 2 2 4 2 3 2 2 3 3 3" xfId="29301"/>
    <cellStyle name="Comma 2 2 4 2 3 2 2 3 4" xfId="25274"/>
    <cellStyle name="Comma 2 2 4 2 3 2 2 3 4 2" xfId="37609"/>
    <cellStyle name="Comma 2 2 4 2 3 2 2 4" xfId="4147"/>
    <cellStyle name="Comma 2 2 4 2 3 2 2 4 2" xfId="14947"/>
    <cellStyle name="Comma 2 2 4 2 3 2 2 4 2 2" xfId="17740"/>
    <cellStyle name="Comma 2 2 4 2 3 2 2 4 2 2 2" xfId="50286"/>
    <cellStyle name="Comma 2 2 4 2 3 2 2 4 2 2 2 2" xfId="53067"/>
    <cellStyle name="Comma 2 2 4 2 3 2 2 4 2 3" xfId="31242"/>
    <cellStyle name="Comma 2 2 4 2 3 2 2 4 3" xfId="28460"/>
    <cellStyle name="Comma 2 2 4 2 3 2 2 4 3 2" xfId="39590"/>
    <cellStyle name="Comma 2 2 4 2 3 2 2 5" xfId="9338"/>
    <cellStyle name="Comma 2 2 4 2 3 2 2 5 2" xfId="36755"/>
    <cellStyle name="Comma 2 2 4 2 3 2 2 5 2 2" xfId="44720"/>
    <cellStyle name="Comma 2 2 4 2 3 2 2 6" xfId="22834"/>
    <cellStyle name="Comma 2 2 4 2 3 2 3" xfId="2064"/>
    <cellStyle name="Comma 2 2 4 2 3 2 3 2" xfId="2610"/>
    <cellStyle name="Comma 2 2 4 2 3 2 3 2 2" xfId="7298"/>
    <cellStyle name="Comma 2 2 4 2 3 2 3 2 2 2" xfId="7830"/>
    <cellStyle name="Comma 2 2 4 2 3 2 3 2 2 2 2" xfId="20850"/>
    <cellStyle name="Comma 2 2 4 2 3 2 3 2 2 2 2 2" xfId="21382"/>
    <cellStyle name="Comma 2 2 4 2 3 2 3 2 2 2 2 2 2" xfId="56176"/>
    <cellStyle name="Comma 2 2 4 2 3 2 3 2 2 2 2 2 2 2" xfId="56708"/>
    <cellStyle name="Comma 2 2 4 2 3 2 3 2 2 2 2 3" xfId="34885"/>
    <cellStyle name="Comma 2 2 4 2 3 2 3 2 2 2 3" xfId="34353"/>
    <cellStyle name="Comma 2 2 4 2 3 2 3 2 2 2 3 2" xfId="43257"/>
    <cellStyle name="Comma 2 2 4 2 3 2 3 2 2 3" xfId="13055"/>
    <cellStyle name="Comma 2 2 4 2 3 2 3 2 2 3 2" xfId="42725"/>
    <cellStyle name="Comma 2 2 4 2 3 2 3 2 2 3 2 2" xfId="48401"/>
    <cellStyle name="Comma 2 2 4 2 3 2 3 2 2 4" xfId="26539"/>
    <cellStyle name="Comma 2 2 4 2 3 2 3 2 3" xfId="12523"/>
    <cellStyle name="Comma 2 2 4 2 3 2 3 2 3 2" xfId="16269"/>
    <cellStyle name="Comma 2 2 4 2 3 2 3 2 3 2 2" xfId="47869"/>
    <cellStyle name="Comma 2 2 4 2 3 2 3 2 3 2 2 2" xfId="51599"/>
    <cellStyle name="Comma 2 2 4 2 3 2 3 2 3 3" xfId="29773"/>
    <cellStyle name="Comma 2 2 4 2 3 2 3 2 4" xfId="26007"/>
    <cellStyle name="Comma 2 2 4 2 3 2 3 2 4 2" xfId="38083"/>
    <cellStyle name="Comma 2 2 4 2 3 2 3 3" xfId="4644"/>
    <cellStyle name="Comma 2 2 4 2 3 2 3 3 2" xfId="15728"/>
    <cellStyle name="Comma 2 2 4 2 3 2 3 3 2 2" xfId="18224"/>
    <cellStyle name="Comma 2 2 4 2 3 2 3 3 2 2 2" xfId="51060"/>
    <cellStyle name="Comma 2 2 4 2 3 2 3 3 2 2 2 2" xfId="53550"/>
    <cellStyle name="Comma 2 2 4 2 3 2 3 3 2 3" xfId="31725"/>
    <cellStyle name="Comma 2 2 4 2 3 2 3 3 3" xfId="29234"/>
    <cellStyle name="Comma 2 2 4 2 3 2 3 3 3 2" xfId="40083"/>
    <cellStyle name="Comma 2 2 4 2 3 2 3 4" xfId="9847"/>
    <cellStyle name="Comma 2 2 4 2 3 2 3 4 2" xfId="37542"/>
    <cellStyle name="Comma 2 2 4 2 3 2 3 4 2 2" xfId="45217"/>
    <cellStyle name="Comma 2 2 4 2 3 2 3 5" xfId="23340"/>
    <cellStyle name="Comma 2 2 4 2 3 2 4" xfId="4080"/>
    <cellStyle name="Comma 2 2 4 2 3 2 4 2" xfId="5849"/>
    <cellStyle name="Comma 2 2 4 2 3 2 4 2 2" xfId="17673"/>
    <cellStyle name="Comma 2 2 4 2 3 2 4 2 2 2" xfId="19417"/>
    <cellStyle name="Comma 2 2 4 2 3 2 4 2 2 2 2" xfId="53000"/>
    <cellStyle name="Comma 2 2 4 2 3 2 4 2 2 2 2 2" xfId="54743"/>
    <cellStyle name="Comma 2 2 4 2 3 2 4 2 2 3" xfId="32918"/>
    <cellStyle name="Comma 2 2 4 2 3 2 4 2 3" xfId="31175"/>
    <cellStyle name="Comma 2 2 4 2 3 2 4 2 3 2" xfId="41284"/>
    <cellStyle name="Comma 2 2 4 2 3 2 4 3" xfId="11072"/>
    <cellStyle name="Comma 2 2 4 2 3 2 4 3 2" xfId="39523"/>
    <cellStyle name="Comma 2 2 4 2 3 2 4 3 2 2" xfId="46431"/>
    <cellStyle name="Comma 2 2 4 2 3 2 4 4" xfId="24566"/>
    <cellStyle name="Comma 2 2 4 2 3 2 5" xfId="9271"/>
    <cellStyle name="Comma 2 2 4 2 3 2 5 2" xfId="14233"/>
    <cellStyle name="Comma 2 2 4 2 3 2 5 2 2" xfId="44653"/>
    <cellStyle name="Comma 2 2 4 2 3 2 5 2 2 2" xfId="49578"/>
    <cellStyle name="Comma 2 2 4 2 3 2 5 3" xfId="27740"/>
    <cellStyle name="Comma 2 2 4 2 3 2 6" xfId="22767"/>
    <cellStyle name="Comma 2 2 4 2 3 2 6 2" xfId="36045"/>
    <cellStyle name="Comma 2 2 4 2 3 3" xfId="841"/>
    <cellStyle name="Comma 2 2 4 2 3 3 2" xfId="2536"/>
    <cellStyle name="Comma 2 2 4 2 3 3 2 2" xfId="2893"/>
    <cellStyle name="Comma 2 2 4 2 3 3 2 2 2" xfId="7761"/>
    <cellStyle name="Comma 2 2 4 2 3 3 2 2 2 2" xfId="8108"/>
    <cellStyle name="Comma 2 2 4 2 3 3 2 2 2 2 2" xfId="21313"/>
    <cellStyle name="Comma 2 2 4 2 3 3 2 2 2 2 2 2" xfId="21660"/>
    <cellStyle name="Comma 2 2 4 2 3 3 2 2 2 2 2 2 2" xfId="56639"/>
    <cellStyle name="Comma 2 2 4 2 3 3 2 2 2 2 2 2 2 2" xfId="56986"/>
    <cellStyle name="Comma 2 2 4 2 3 3 2 2 2 2 2 3" xfId="35163"/>
    <cellStyle name="Comma 2 2 4 2 3 3 2 2 2 2 3" xfId="34816"/>
    <cellStyle name="Comma 2 2 4 2 3 3 2 2 2 2 3 2" xfId="43535"/>
    <cellStyle name="Comma 2 2 4 2 3 3 2 2 2 3" xfId="13333"/>
    <cellStyle name="Comma 2 2 4 2 3 3 2 2 2 3 2" xfId="43188"/>
    <cellStyle name="Comma 2 2 4 2 3 3 2 2 2 3 2 2" xfId="48679"/>
    <cellStyle name="Comma 2 2 4 2 3 3 2 2 2 4" xfId="26818"/>
    <cellStyle name="Comma 2 2 4 2 3 3 2 2 3" xfId="12986"/>
    <cellStyle name="Comma 2 2 4 2 3 3 2 2 3 2" xfId="16550"/>
    <cellStyle name="Comma 2 2 4 2 3 3 2 2 3 2 2" xfId="48332"/>
    <cellStyle name="Comma 2 2 4 2 3 3 2 2 3 2 2 2" xfId="51878"/>
    <cellStyle name="Comma 2 2 4 2 3 3 2 2 3 3" xfId="30052"/>
    <cellStyle name="Comma 2 2 4 2 3 3 2 2 4" xfId="26470"/>
    <cellStyle name="Comma 2 2 4 2 3 3 2 2 4 2" xfId="38362"/>
    <cellStyle name="Comma 2 2 4 2 3 3 2 3" xfId="4929"/>
    <cellStyle name="Comma 2 2 4 2 3 3 2 3 2" xfId="16197"/>
    <cellStyle name="Comma 2 2 4 2 3 3 2 3 2 2" xfId="18502"/>
    <cellStyle name="Comma 2 2 4 2 3 3 2 3 2 2 2" xfId="51528"/>
    <cellStyle name="Comma 2 2 4 2 3 3 2 3 2 2 2 2" xfId="53828"/>
    <cellStyle name="Comma 2 2 4 2 3 3 2 3 2 3" xfId="32003"/>
    <cellStyle name="Comma 2 2 4 2 3 3 2 3 3" xfId="29702"/>
    <cellStyle name="Comma 2 2 4 2 3 3 2 3 3 2" xfId="40366"/>
    <cellStyle name="Comma 2 2 4 2 3 3 2 4" xfId="10132"/>
    <cellStyle name="Comma 2 2 4 2 3 3 2 4 2" xfId="38011"/>
    <cellStyle name="Comma 2 2 4 2 3 3 2 4 2 2" xfId="45495"/>
    <cellStyle name="Comma 2 2 4 2 3 3 2 5" xfId="23618"/>
    <cellStyle name="Comma 2 2 4 2 3 3 3" xfId="4571"/>
    <cellStyle name="Comma 2 2 4 2 3 3 3 2" xfId="6156"/>
    <cellStyle name="Comma 2 2 4 2 3 3 3 2 2" xfId="18154"/>
    <cellStyle name="Comma 2 2 4 2 3 3 3 2 2 2" xfId="19716"/>
    <cellStyle name="Comma 2 2 4 2 3 3 3 2 2 2 2" xfId="53480"/>
    <cellStyle name="Comma 2 2 4 2 3 3 3 2 2 2 2 2" xfId="55042"/>
    <cellStyle name="Comma 2 2 4 2 3 3 3 2 2 3" xfId="33218"/>
    <cellStyle name="Comma 2 2 4 2 3 3 3 2 3" xfId="31655"/>
    <cellStyle name="Comma 2 2 4 2 3 3 3 2 3 2" xfId="41587"/>
    <cellStyle name="Comma 2 2 4 2 3 3 3 3" xfId="11382"/>
    <cellStyle name="Comma 2 2 4 2 3 3 3 3 2" xfId="40012"/>
    <cellStyle name="Comma 2 2 4 2 3 3 3 3 2 2" xfId="46733"/>
    <cellStyle name="Comma 2 2 4 2 3 3 3 4" xfId="24870"/>
    <cellStyle name="Comma 2 2 4 2 3 3 4" xfId="9774"/>
    <cellStyle name="Comma 2 2 4 2 3 3 4 2" xfId="14539"/>
    <cellStyle name="Comma 2 2 4 2 3 3 4 2 2" xfId="45147"/>
    <cellStyle name="Comma 2 2 4 2 3 3 4 2 2 2" xfId="49880"/>
    <cellStyle name="Comma 2 2 4 2 3 3 4 3" xfId="28050"/>
    <cellStyle name="Comma 2 2 4 2 3 3 5" xfId="23270"/>
    <cellStyle name="Comma 2 2 4 2 3 3 5 2" xfId="36349"/>
    <cellStyle name="Comma 2 2 4 2 3 4" xfId="1636"/>
    <cellStyle name="Comma 2 2 4 2 3 4 2" xfId="5779"/>
    <cellStyle name="Comma 2 2 4 2 3 4 2 2" xfId="6902"/>
    <cellStyle name="Comma 2 2 4 2 3 4 2 2 2" xfId="19347"/>
    <cellStyle name="Comma 2 2 4 2 3 4 2 2 2 2" xfId="20455"/>
    <cellStyle name="Comma 2 2 4 2 3 4 2 2 2 2 2" xfId="54673"/>
    <cellStyle name="Comma 2 2 4 2 3 4 2 2 2 2 2 2" xfId="55781"/>
    <cellStyle name="Comma 2 2 4 2 3 4 2 2 2 3" xfId="33957"/>
    <cellStyle name="Comma 2 2 4 2 3 4 2 2 3" xfId="32848"/>
    <cellStyle name="Comma 2 2 4 2 3 4 2 2 3 2" xfId="42330"/>
    <cellStyle name="Comma 2 2 4 2 3 4 2 3" xfId="12126"/>
    <cellStyle name="Comma 2 2 4 2 3 4 2 3 2" xfId="41214"/>
    <cellStyle name="Comma 2 2 4 2 3 4 2 3 2 2" xfId="47473"/>
    <cellStyle name="Comma 2 2 4 2 3 4 2 4" xfId="25611"/>
    <cellStyle name="Comma 2 2 4 2 3 4 3" xfId="10999"/>
    <cellStyle name="Comma 2 2 4 2 3 4 3 2" xfId="15310"/>
    <cellStyle name="Comma 2 2 4 2 3 4 3 2 2" xfId="46358"/>
    <cellStyle name="Comma 2 2 4 2 3 4 3 2 2 2" xfId="50645"/>
    <cellStyle name="Comma 2 2 4 2 3 4 3 3" xfId="28819"/>
    <cellStyle name="Comma 2 2 4 2 3 4 4" xfId="24492"/>
    <cellStyle name="Comma 2 2 4 2 3 4 4 2" xfId="37121"/>
    <cellStyle name="Comma 2 2 4 2 3 5" xfId="3640"/>
    <cellStyle name="Comma 2 2 4 2 3 5 2" xfId="14162"/>
    <cellStyle name="Comma 2 2 4 2 3 5 2 2" xfId="17270"/>
    <cellStyle name="Comma 2 2 4 2 3 5 2 2 2" xfId="49507"/>
    <cellStyle name="Comma 2 2 4 2 3 5 2 2 2 2" xfId="52597"/>
    <cellStyle name="Comma 2 2 4 2 3 5 2 3" xfId="30771"/>
    <cellStyle name="Comma 2 2 4 2 3 5 3" xfId="27664"/>
    <cellStyle name="Comma 2 2 4 2 3 5 3 2" xfId="39095"/>
    <cellStyle name="Comma 2 2 4 2 3 6" xfId="8835"/>
    <cellStyle name="Comma 2 2 4 2 3 6 2" xfId="35973"/>
    <cellStyle name="Comma 2 2 4 2 3 6 2 2" xfId="44242"/>
    <cellStyle name="Comma 2 2 4 2 3 7" xfId="22350"/>
    <cellStyle name="Comma 2 2 4 2 4" xfId="757"/>
    <cellStyle name="Comma 2 2 4 2 4 2" xfId="1017"/>
    <cellStyle name="Comma 2 2 4 2 4 2 2" xfId="2820"/>
    <cellStyle name="Comma 2 2 4 2 4 2 2 2" xfId="3054"/>
    <cellStyle name="Comma 2 2 4 2 4 2 2 2 2" xfId="8036"/>
    <cellStyle name="Comma 2 2 4 2 4 2 2 2 2 2" xfId="8269"/>
    <cellStyle name="Comma 2 2 4 2 4 2 2 2 2 2 2" xfId="21588"/>
    <cellStyle name="Comma 2 2 4 2 4 2 2 2 2 2 2 2" xfId="21821"/>
    <cellStyle name="Comma 2 2 4 2 4 2 2 2 2 2 2 2 2" xfId="56914"/>
    <cellStyle name="Comma 2 2 4 2 4 2 2 2 2 2 2 2 2 2" xfId="57147"/>
    <cellStyle name="Comma 2 2 4 2 4 2 2 2 2 2 2 3" xfId="35324"/>
    <cellStyle name="Comma 2 2 4 2 4 2 2 2 2 2 3" xfId="35091"/>
    <cellStyle name="Comma 2 2 4 2 4 2 2 2 2 2 3 2" xfId="43696"/>
    <cellStyle name="Comma 2 2 4 2 4 2 2 2 2 3" xfId="13494"/>
    <cellStyle name="Comma 2 2 4 2 4 2 2 2 2 3 2" xfId="43463"/>
    <cellStyle name="Comma 2 2 4 2 4 2 2 2 2 3 2 2" xfId="48840"/>
    <cellStyle name="Comma 2 2 4 2 4 2 2 2 2 4" xfId="26979"/>
    <cellStyle name="Comma 2 2 4 2 4 2 2 2 3" xfId="13261"/>
    <cellStyle name="Comma 2 2 4 2 4 2 2 2 3 2" xfId="16711"/>
    <cellStyle name="Comma 2 2 4 2 4 2 2 2 3 2 2" xfId="48607"/>
    <cellStyle name="Comma 2 2 4 2 4 2 2 2 3 2 2 2" xfId="52039"/>
    <cellStyle name="Comma 2 2 4 2 4 2 2 2 3 3" xfId="30213"/>
    <cellStyle name="Comma 2 2 4 2 4 2 2 2 4" xfId="26745"/>
    <cellStyle name="Comma 2 2 4 2 4 2 2 2 4 2" xfId="38523"/>
    <cellStyle name="Comma 2 2 4 2 4 2 2 3" xfId="5091"/>
    <cellStyle name="Comma 2 2 4 2 4 2 2 3 2" xfId="16478"/>
    <cellStyle name="Comma 2 2 4 2 4 2 2 3 2 2" xfId="18664"/>
    <cellStyle name="Comma 2 2 4 2 4 2 2 3 2 2 2" xfId="51806"/>
    <cellStyle name="Comma 2 2 4 2 4 2 2 3 2 2 2 2" xfId="53990"/>
    <cellStyle name="Comma 2 2 4 2 4 2 2 3 2 3" xfId="32165"/>
    <cellStyle name="Comma 2 2 4 2 4 2 2 3 3" xfId="29980"/>
    <cellStyle name="Comma 2 2 4 2 4 2 2 3 3 2" xfId="40528"/>
    <cellStyle name="Comma 2 2 4 2 4 2 2 4" xfId="10294"/>
    <cellStyle name="Comma 2 2 4 2 4 2 2 4 2" xfId="38290"/>
    <cellStyle name="Comma 2 2 4 2 4 2 2 4 2 2" xfId="45657"/>
    <cellStyle name="Comma 2 2 4 2 4 2 2 5" xfId="23780"/>
    <cellStyle name="Comma 2 2 4 2 4 2 3" xfId="4856"/>
    <cellStyle name="Comma 2 2 4 2 4 2 3 2" xfId="6327"/>
    <cellStyle name="Comma 2 2 4 2 4 2 3 2 2" xfId="18430"/>
    <cellStyle name="Comma 2 2 4 2 4 2 3 2 2 2" xfId="19884"/>
    <cellStyle name="Comma 2 2 4 2 4 2 3 2 2 2 2" xfId="53756"/>
    <cellStyle name="Comma 2 2 4 2 4 2 3 2 2 2 2 2" xfId="55210"/>
    <cellStyle name="Comma 2 2 4 2 4 2 3 2 2 3" xfId="33386"/>
    <cellStyle name="Comma 2 2 4 2 4 2 3 2 3" xfId="31931"/>
    <cellStyle name="Comma 2 2 4 2 4 2 3 2 3 2" xfId="41756"/>
    <cellStyle name="Comma 2 2 4 2 4 2 3 3" xfId="11553"/>
    <cellStyle name="Comma 2 2 4 2 4 2 3 3 2" xfId="40293"/>
    <cellStyle name="Comma 2 2 4 2 4 2 3 3 2 2" xfId="46902"/>
    <cellStyle name="Comma 2 2 4 2 4 2 3 4" xfId="25039"/>
    <cellStyle name="Comma 2 2 4 2 4 2 4" xfId="10059"/>
    <cellStyle name="Comma 2 2 4 2 4 2 4 2" xfId="14710"/>
    <cellStyle name="Comma 2 2 4 2 4 2 4 2 2" xfId="45423"/>
    <cellStyle name="Comma 2 2 4 2 4 2 4 2 2 2" xfId="50049"/>
    <cellStyle name="Comma 2 2 4 2 4 2 4 3" xfId="28222"/>
    <cellStyle name="Comma 2 2 4 2 4 2 5" xfId="23546"/>
    <cellStyle name="Comma 2 2 4 2 4 2 5 2" xfId="36518"/>
    <cellStyle name="Comma 2 2 4 2 4 3" xfId="1820"/>
    <cellStyle name="Comma 2 2 4 2 4 3 2" xfId="6075"/>
    <cellStyle name="Comma 2 2 4 2 4 3 2 2" xfId="7072"/>
    <cellStyle name="Comma 2 2 4 2 4 3 2 2 2" xfId="19639"/>
    <cellStyle name="Comma 2 2 4 2 4 3 2 2 2 2" xfId="20625"/>
    <cellStyle name="Comma 2 2 4 2 4 3 2 2 2 2 2" xfId="54965"/>
    <cellStyle name="Comma 2 2 4 2 4 3 2 2 2 2 2 2" xfId="55951"/>
    <cellStyle name="Comma 2 2 4 2 4 3 2 2 2 3" xfId="34127"/>
    <cellStyle name="Comma 2 2 4 2 4 3 2 2 3" xfId="33140"/>
    <cellStyle name="Comma 2 2 4 2 4 3 2 2 3 2" xfId="42500"/>
    <cellStyle name="Comma 2 2 4 2 4 3 2 3" xfId="12296"/>
    <cellStyle name="Comma 2 2 4 2 4 3 2 3 2" xfId="41509"/>
    <cellStyle name="Comma 2 2 4 2 4 3 2 3 2 2" xfId="47643"/>
    <cellStyle name="Comma 2 2 4 2 4 3 2 4" xfId="25781"/>
    <cellStyle name="Comma 2 2 4 2 4 3 3" xfId="11301"/>
    <cellStyle name="Comma 2 2 4 2 4 3 3 2" xfId="15492"/>
    <cellStyle name="Comma 2 2 4 2 4 3 3 2 2" xfId="46656"/>
    <cellStyle name="Comma 2 2 4 2 4 3 3 2 2 2" xfId="50825"/>
    <cellStyle name="Comma 2 2 4 2 4 3 3 3" xfId="28999"/>
    <cellStyle name="Comma 2 2 4 2 4 3 4" xfId="24793"/>
    <cellStyle name="Comma 2 2 4 2 4 3 4 2" xfId="37302"/>
    <cellStyle name="Comma 2 2 4 2 4 4" xfId="3830"/>
    <cellStyle name="Comma 2 2 4 2 4 4 2" xfId="14461"/>
    <cellStyle name="Comma 2 2 4 2 4 4 2 2" xfId="17445"/>
    <cellStyle name="Comma 2 2 4 2 4 4 2 2 2" xfId="49803"/>
    <cellStyle name="Comma 2 2 4 2 4 4 2 2 2 2" xfId="52772"/>
    <cellStyle name="Comma 2 2 4 2 4 4 2 3" xfId="30946"/>
    <cellStyle name="Comma 2 2 4 2 4 4 3" xfId="27971"/>
    <cellStyle name="Comma 2 2 4 2 4 4 3 2" xfId="39280"/>
    <cellStyle name="Comma 2 2 4 2 4 5" xfId="9022"/>
    <cellStyle name="Comma 2 2 4 2 4 5 2" xfId="36271"/>
    <cellStyle name="Comma 2 2 4 2 4 5 2 2" xfId="44420"/>
    <cellStyle name="Comma 2 2 4 2 4 6" xfId="22531"/>
    <cellStyle name="Comma 2 2 4 2 5" xfId="1543"/>
    <cellStyle name="Comma 2 2 4 2 5 2" xfId="2281"/>
    <cellStyle name="Comma 2 2 4 2 5 2 2" xfId="6822"/>
    <cellStyle name="Comma 2 2 4 2 5 2 2 2" xfId="7515"/>
    <cellStyle name="Comma 2 2 4 2 5 2 2 2 2" xfId="20375"/>
    <cellStyle name="Comma 2 2 4 2 5 2 2 2 2 2" xfId="21067"/>
    <cellStyle name="Comma 2 2 4 2 5 2 2 2 2 2 2" xfId="55701"/>
    <cellStyle name="Comma 2 2 4 2 5 2 2 2 2 2 2 2" xfId="56393"/>
    <cellStyle name="Comma 2 2 4 2 5 2 2 2 2 3" xfId="34570"/>
    <cellStyle name="Comma 2 2 4 2 5 2 2 2 3" xfId="33877"/>
    <cellStyle name="Comma 2 2 4 2 5 2 2 2 3 2" xfId="42942"/>
    <cellStyle name="Comma 2 2 4 2 5 2 2 3" xfId="12740"/>
    <cellStyle name="Comma 2 2 4 2 5 2 2 3 2" xfId="42250"/>
    <cellStyle name="Comma 2 2 4 2 5 2 2 3 2 2" xfId="48086"/>
    <cellStyle name="Comma 2 2 4 2 5 2 2 4" xfId="26224"/>
    <cellStyle name="Comma 2 2 4 2 5 2 3" xfId="12046"/>
    <cellStyle name="Comma 2 2 4 2 5 2 3 2" xfId="15945"/>
    <cellStyle name="Comma 2 2 4 2 5 2 3 2 2" xfId="47393"/>
    <cellStyle name="Comma 2 2 4 2 5 2 3 2 2 2" xfId="51277"/>
    <cellStyle name="Comma 2 2 4 2 5 2 3 3" xfId="29451"/>
    <cellStyle name="Comma 2 2 4 2 5 2 4" xfId="25531"/>
    <cellStyle name="Comma 2 2 4 2 5 2 4 2" xfId="37759"/>
    <cellStyle name="Comma 2 2 4 2 5 3" xfId="4305"/>
    <cellStyle name="Comma 2 2 4 2 5 3 2" xfId="15219"/>
    <cellStyle name="Comma 2 2 4 2 5 3 2 2" xfId="17898"/>
    <cellStyle name="Comma 2 2 4 2 5 3 2 2 2" xfId="50557"/>
    <cellStyle name="Comma 2 2 4 2 5 3 2 2 2 2" xfId="53225"/>
    <cellStyle name="Comma 2 2 4 2 5 3 2 3" xfId="31400"/>
    <cellStyle name="Comma 2 2 4 2 5 3 3" xfId="28731"/>
    <cellStyle name="Comma 2 2 4 2 5 3 3 2" xfId="39748"/>
    <cellStyle name="Comma 2 2 4 2 5 4" xfId="9499"/>
    <cellStyle name="Comma 2 2 4 2 5 4 2" xfId="37032"/>
    <cellStyle name="Comma 2 2 4 2 5 4 2 2" xfId="44881"/>
    <cellStyle name="Comma 2 2 4 2 5 5" xfId="22996"/>
    <cellStyle name="Comma 2 2 4 2 6" xfId="3544"/>
    <cellStyle name="Comma 2 2 4 2 6 2" xfId="5520"/>
    <cellStyle name="Comma 2 2 4 2 6 2 2" xfId="17187"/>
    <cellStyle name="Comma 2 2 4 2 6 2 2 2" xfId="19093"/>
    <cellStyle name="Comma 2 2 4 2 6 2 2 2 2" xfId="52514"/>
    <cellStyle name="Comma 2 2 4 2 6 2 2 2 2 2" xfId="54419"/>
    <cellStyle name="Comma 2 2 4 2 6 2 2 3" xfId="32594"/>
    <cellStyle name="Comma 2 2 4 2 6 2 3" xfId="30688"/>
    <cellStyle name="Comma 2 2 4 2 6 2 3 2" xfId="40957"/>
    <cellStyle name="Comma 2 2 4 2 6 3" xfId="10723"/>
    <cellStyle name="Comma 2 2 4 2 6 3 2" xfId="39005"/>
    <cellStyle name="Comma 2 2 4 2 6 3 2 2" xfId="46086"/>
    <cellStyle name="Comma 2 2 4 2 6 4" xfId="24209"/>
    <cellStyle name="Comma 2 2 4 2 7" xfId="8736"/>
    <cellStyle name="Comma 2 2 4 2 7 2" xfId="8791"/>
    <cellStyle name="Comma 2 2 4 2 7 2 2" xfId="44155"/>
    <cellStyle name="Comma 2 2 4 2 7 2 2 2" xfId="44203"/>
    <cellStyle name="Comma 2 2 4 2 7 3" xfId="22308"/>
    <cellStyle name="Comma 2 2 4 2 8" xfId="22259"/>
    <cellStyle name="Comma 2 2 4 2 8 2" xfId="24307"/>
    <cellStyle name="Comma 2 2 4 3" xfId="189"/>
    <cellStyle name="Comma 2 2 4 3 2" xfId="504"/>
    <cellStyle name="Comma 2 2 4 3 2 2" xfId="569"/>
    <cellStyle name="Comma 2 2 4 3 2 2 2" xfId="1315"/>
    <cellStyle name="Comma 2 2 4 3 2 2 2 2" xfId="1367"/>
    <cellStyle name="Comma 2 2 4 3 2 2 2 2 2" xfId="3333"/>
    <cellStyle name="Comma 2 2 4 3 2 2 2 2 2 2" xfId="3385"/>
    <cellStyle name="Comma 2 2 4 3 2 2 2 2 2 2 2" xfId="8548"/>
    <cellStyle name="Comma 2 2 4 3 2 2 2 2 2 2 2 2" xfId="8600"/>
    <cellStyle name="Comma 2 2 4 3 2 2 2 2 2 2 2 2 2" xfId="22100"/>
    <cellStyle name="Comma 2 2 4 3 2 2 2 2 2 2 2 2 2 2" xfId="22152"/>
    <cellStyle name="Comma 2 2 4 3 2 2 2 2 2 2 2 2 2 2 2" xfId="57426"/>
    <cellStyle name="Comma 2 2 4 3 2 2 2 2 2 2 2 2 2 2 2 2" xfId="57478"/>
    <cellStyle name="Comma 2 2 4 3 2 2 2 2 2 2 2 2 2 3" xfId="35655"/>
    <cellStyle name="Comma 2 2 4 3 2 2 2 2 2 2 2 2 3" xfId="35603"/>
    <cellStyle name="Comma 2 2 4 3 2 2 2 2 2 2 2 2 3 2" xfId="44027"/>
    <cellStyle name="Comma 2 2 4 3 2 2 2 2 2 2 2 3" xfId="13825"/>
    <cellStyle name="Comma 2 2 4 3 2 2 2 2 2 2 2 3 2" xfId="43975"/>
    <cellStyle name="Comma 2 2 4 3 2 2 2 2 2 2 2 3 2 2" xfId="49171"/>
    <cellStyle name="Comma 2 2 4 3 2 2 2 2 2 2 2 4" xfId="27310"/>
    <cellStyle name="Comma 2 2 4 3 2 2 2 2 2 2 3" xfId="13773"/>
    <cellStyle name="Comma 2 2 4 3 2 2 2 2 2 2 3 2" xfId="17042"/>
    <cellStyle name="Comma 2 2 4 3 2 2 2 2 2 2 3 2 2" xfId="49119"/>
    <cellStyle name="Comma 2 2 4 3 2 2 2 2 2 2 3 2 2 2" xfId="52370"/>
    <cellStyle name="Comma 2 2 4 3 2 2 2 2 2 2 3 3" xfId="30544"/>
    <cellStyle name="Comma 2 2 4 3 2 2 2 2 2 2 4" xfId="27258"/>
    <cellStyle name="Comma 2 2 4 3 2 2 2 2 2 2 4 2" xfId="38854"/>
    <cellStyle name="Comma 2 2 4 3 2 2 2 2 2 3" xfId="5422"/>
    <cellStyle name="Comma 2 2 4 3 2 2 2 2 2 3 2" xfId="16990"/>
    <cellStyle name="Comma 2 2 4 3 2 2 2 2 2 3 2 2" xfId="18995"/>
    <cellStyle name="Comma 2 2 4 3 2 2 2 2 2 3 2 2 2" xfId="52318"/>
    <cellStyle name="Comma 2 2 4 3 2 2 2 2 2 3 2 2 2 2" xfId="54321"/>
    <cellStyle name="Comma 2 2 4 3 2 2 2 2 2 3 2 3" xfId="32496"/>
    <cellStyle name="Comma 2 2 4 3 2 2 2 2 2 3 3" xfId="30492"/>
    <cellStyle name="Comma 2 2 4 3 2 2 2 2 2 3 3 2" xfId="40859"/>
    <cellStyle name="Comma 2 2 4 3 2 2 2 2 2 4" xfId="10625"/>
    <cellStyle name="Comma 2 2 4 3 2 2 2 2 2 4 2" xfId="38802"/>
    <cellStyle name="Comma 2 2 4 3 2 2 2 2 2 4 2 2" xfId="45988"/>
    <cellStyle name="Comma 2 2 4 3 2 2 2 2 2 5" xfId="24111"/>
    <cellStyle name="Comma 2 2 4 3 2 2 2 2 3" xfId="5370"/>
    <cellStyle name="Comma 2 2 4 3 2 2 2 2 3 2" xfId="6675"/>
    <cellStyle name="Comma 2 2 4 3 2 2 2 2 3 2 2" xfId="18943"/>
    <cellStyle name="Comma 2 2 4 3 2 2 2 2 3 2 2 2" xfId="20228"/>
    <cellStyle name="Comma 2 2 4 3 2 2 2 2 3 2 2 2 2" xfId="54269"/>
    <cellStyle name="Comma 2 2 4 3 2 2 2 2 3 2 2 2 2 2" xfId="55554"/>
    <cellStyle name="Comma 2 2 4 3 2 2 2 2 3 2 2 3" xfId="33730"/>
    <cellStyle name="Comma 2 2 4 3 2 2 2 2 3 2 3" xfId="32444"/>
    <cellStyle name="Comma 2 2 4 3 2 2 2 2 3 2 3 2" xfId="42103"/>
    <cellStyle name="Comma 2 2 4 3 2 2 2 2 3 3" xfId="11898"/>
    <cellStyle name="Comma 2 2 4 3 2 2 2 2 3 3 2" xfId="40807"/>
    <cellStyle name="Comma 2 2 4 3 2 2 2 2 3 3 2 2" xfId="47246"/>
    <cellStyle name="Comma 2 2 4 3 2 2 2 2 3 4" xfId="25383"/>
    <cellStyle name="Comma 2 2 4 3 2 2 2 2 4" xfId="10573"/>
    <cellStyle name="Comma 2 2 4 3 2 2 2 2 4 2" xfId="15056"/>
    <cellStyle name="Comma 2 2 4 3 2 2 2 2 4 2 2" xfId="45936"/>
    <cellStyle name="Comma 2 2 4 3 2 2 2 2 4 2 2 2" xfId="50395"/>
    <cellStyle name="Comma 2 2 4 3 2 2 2 2 4 3" xfId="28569"/>
    <cellStyle name="Comma 2 2 4 3 2 2 2 2 5" xfId="24059"/>
    <cellStyle name="Comma 2 2 4 3 2 2 2 2 5 2" xfId="36864"/>
    <cellStyle name="Comma 2 2 4 3 2 2 2 3" xfId="2174"/>
    <cellStyle name="Comma 2 2 4 3 2 2 2 3 2" xfId="6623"/>
    <cellStyle name="Comma 2 2 4 3 2 2 2 3 2 2" xfId="7408"/>
    <cellStyle name="Comma 2 2 4 3 2 2 2 3 2 2 2" xfId="20176"/>
    <cellStyle name="Comma 2 2 4 3 2 2 2 3 2 2 2 2" xfId="20960"/>
    <cellStyle name="Comma 2 2 4 3 2 2 2 3 2 2 2 2 2" xfId="55502"/>
    <cellStyle name="Comma 2 2 4 3 2 2 2 3 2 2 2 2 2 2" xfId="56286"/>
    <cellStyle name="Comma 2 2 4 3 2 2 2 3 2 2 2 3" xfId="34463"/>
    <cellStyle name="Comma 2 2 4 3 2 2 2 3 2 2 3" xfId="33678"/>
    <cellStyle name="Comma 2 2 4 3 2 2 2 3 2 2 3 2" xfId="42835"/>
    <cellStyle name="Comma 2 2 4 3 2 2 2 3 2 3" xfId="12633"/>
    <cellStyle name="Comma 2 2 4 3 2 2 2 3 2 3 2" xfId="42051"/>
    <cellStyle name="Comma 2 2 4 3 2 2 2 3 2 3 2 2" xfId="47979"/>
    <cellStyle name="Comma 2 2 4 3 2 2 2 3 2 4" xfId="26117"/>
    <cellStyle name="Comma 2 2 4 3 2 2 2 3 3" xfId="11846"/>
    <cellStyle name="Comma 2 2 4 3 2 2 2 3 3 2" xfId="15838"/>
    <cellStyle name="Comma 2 2 4 3 2 2 2 3 3 2 2" xfId="47194"/>
    <cellStyle name="Comma 2 2 4 3 2 2 2 3 3 2 2 2" xfId="51170"/>
    <cellStyle name="Comma 2 2 4 3 2 2 2 3 3 3" xfId="29344"/>
    <cellStyle name="Comma 2 2 4 3 2 2 2 3 4" xfId="25331"/>
    <cellStyle name="Comma 2 2 4 3 2 2 2 3 4 2" xfId="37652"/>
    <cellStyle name="Comma 2 2 4 3 2 2 2 4" xfId="4190"/>
    <cellStyle name="Comma 2 2 4 3 2 2 2 4 2" xfId="15004"/>
    <cellStyle name="Comma 2 2 4 3 2 2 2 4 2 2" xfId="17783"/>
    <cellStyle name="Comma 2 2 4 3 2 2 2 4 2 2 2" xfId="50343"/>
    <cellStyle name="Comma 2 2 4 3 2 2 2 4 2 2 2 2" xfId="53110"/>
    <cellStyle name="Comma 2 2 4 3 2 2 2 4 2 3" xfId="31285"/>
    <cellStyle name="Comma 2 2 4 3 2 2 2 4 3" xfId="28517"/>
    <cellStyle name="Comma 2 2 4 3 2 2 2 4 3 2" xfId="39633"/>
    <cellStyle name="Comma 2 2 4 3 2 2 2 5" xfId="9381"/>
    <cellStyle name="Comma 2 2 4 3 2 2 2 5 2" xfId="36812"/>
    <cellStyle name="Comma 2 2 4 3 2 2 2 5 2 2" xfId="44763"/>
    <cellStyle name="Comma 2 2 4 3 2 2 2 6" xfId="22877"/>
    <cellStyle name="Comma 2 2 4 3 2 2 3" xfId="2122"/>
    <cellStyle name="Comma 2 2 4 3 2 2 3 2" xfId="2660"/>
    <cellStyle name="Comma 2 2 4 3 2 2 3 2 2" xfId="7356"/>
    <cellStyle name="Comma 2 2 4 3 2 2 3 2 2 2" xfId="7879"/>
    <cellStyle name="Comma 2 2 4 3 2 2 3 2 2 2 2" xfId="20908"/>
    <cellStyle name="Comma 2 2 4 3 2 2 3 2 2 2 2 2" xfId="21431"/>
    <cellStyle name="Comma 2 2 4 3 2 2 3 2 2 2 2 2 2" xfId="56234"/>
    <cellStyle name="Comma 2 2 4 3 2 2 3 2 2 2 2 2 2 2" xfId="56757"/>
    <cellStyle name="Comma 2 2 4 3 2 2 3 2 2 2 2 3" xfId="34934"/>
    <cellStyle name="Comma 2 2 4 3 2 2 3 2 2 2 3" xfId="34411"/>
    <cellStyle name="Comma 2 2 4 3 2 2 3 2 2 2 3 2" xfId="43306"/>
    <cellStyle name="Comma 2 2 4 3 2 2 3 2 2 3" xfId="13104"/>
    <cellStyle name="Comma 2 2 4 3 2 2 3 2 2 3 2" xfId="42783"/>
    <cellStyle name="Comma 2 2 4 3 2 2 3 2 2 3 2 2" xfId="48450"/>
    <cellStyle name="Comma 2 2 4 3 2 2 3 2 2 4" xfId="26588"/>
    <cellStyle name="Comma 2 2 4 3 2 2 3 2 3" xfId="12581"/>
    <cellStyle name="Comma 2 2 4 3 2 2 3 2 3 2" xfId="16319"/>
    <cellStyle name="Comma 2 2 4 3 2 2 3 2 3 2 2" xfId="47927"/>
    <cellStyle name="Comma 2 2 4 3 2 2 3 2 3 2 2 2" xfId="51649"/>
    <cellStyle name="Comma 2 2 4 3 2 2 3 2 3 3" xfId="29823"/>
    <cellStyle name="Comma 2 2 4 3 2 2 3 2 4" xfId="26065"/>
    <cellStyle name="Comma 2 2 4 3 2 2 3 2 4 2" xfId="38133"/>
    <cellStyle name="Comma 2 2 4 3 2 2 3 3" xfId="4695"/>
    <cellStyle name="Comma 2 2 4 3 2 2 3 3 2" xfId="15786"/>
    <cellStyle name="Comma 2 2 4 3 2 2 3 3 2 2" xfId="18273"/>
    <cellStyle name="Comma 2 2 4 3 2 2 3 3 2 2 2" xfId="51118"/>
    <cellStyle name="Comma 2 2 4 3 2 2 3 3 2 2 2 2" xfId="53599"/>
    <cellStyle name="Comma 2 2 4 3 2 2 3 3 2 3" xfId="31774"/>
    <cellStyle name="Comma 2 2 4 3 2 2 3 3 3" xfId="29292"/>
    <cellStyle name="Comma 2 2 4 3 2 2 3 3 3 2" xfId="40134"/>
    <cellStyle name="Comma 2 2 4 3 2 2 3 4" xfId="9898"/>
    <cellStyle name="Comma 2 2 4 3 2 2 3 4 2" xfId="37600"/>
    <cellStyle name="Comma 2 2 4 3 2 2 3 4 2 2" xfId="45266"/>
    <cellStyle name="Comma 2 2 4 3 2 2 3 5" xfId="23389"/>
    <cellStyle name="Comma 2 2 4 3 2 2 4" xfId="4138"/>
    <cellStyle name="Comma 2 2 4 3 2 2 4 2" xfId="5901"/>
    <cellStyle name="Comma 2 2 4 3 2 2 4 2 2" xfId="17731"/>
    <cellStyle name="Comma 2 2 4 3 2 2 4 2 2 2" xfId="19468"/>
    <cellStyle name="Comma 2 2 4 3 2 2 4 2 2 2 2" xfId="53058"/>
    <cellStyle name="Comma 2 2 4 3 2 2 4 2 2 2 2 2" xfId="54794"/>
    <cellStyle name="Comma 2 2 4 3 2 2 4 2 2 3" xfId="32969"/>
    <cellStyle name="Comma 2 2 4 3 2 2 4 2 3" xfId="31233"/>
    <cellStyle name="Comma 2 2 4 3 2 2 4 2 3 2" xfId="41335"/>
    <cellStyle name="Comma 2 2 4 3 2 2 4 3" xfId="11126"/>
    <cellStyle name="Comma 2 2 4 3 2 2 4 3 2" xfId="39581"/>
    <cellStyle name="Comma 2 2 4 3 2 2 4 3 2 2" xfId="46484"/>
    <cellStyle name="Comma 2 2 4 3 2 2 4 4" xfId="24618"/>
    <cellStyle name="Comma 2 2 4 3 2 2 5" xfId="9329"/>
    <cellStyle name="Comma 2 2 4 3 2 2 5 2" xfId="14285"/>
    <cellStyle name="Comma 2 2 4 3 2 2 5 2 2" xfId="44711"/>
    <cellStyle name="Comma 2 2 4 3 2 2 5 2 2 2" xfId="49630"/>
    <cellStyle name="Comma 2 2 4 3 2 2 5 3" xfId="27794"/>
    <cellStyle name="Comma 2 2 4 3 2 2 6" xfId="22825"/>
    <cellStyle name="Comma 2 2 4 3 2 2 6 2" xfId="36097"/>
    <cellStyle name="Comma 2 2 4 3 2 3" xfId="897"/>
    <cellStyle name="Comma 2 2 4 3 2 3 2" xfId="2601"/>
    <cellStyle name="Comma 2 2 4 3 2 3 2 2" xfId="2937"/>
    <cellStyle name="Comma 2 2 4 3 2 3 2 2 2" xfId="7821"/>
    <cellStyle name="Comma 2 2 4 3 2 3 2 2 2 2" xfId="8152"/>
    <cellStyle name="Comma 2 2 4 3 2 3 2 2 2 2 2" xfId="21373"/>
    <cellStyle name="Comma 2 2 4 3 2 3 2 2 2 2 2 2" xfId="21704"/>
    <cellStyle name="Comma 2 2 4 3 2 3 2 2 2 2 2 2 2" xfId="56699"/>
    <cellStyle name="Comma 2 2 4 3 2 3 2 2 2 2 2 2 2 2" xfId="57030"/>
    <cellStyle name="Comma 2 2 4 3 2 3 2 2 2 2 2 3" xfId="35207"/>
    <cellStyle name="Comma 2 2 4 3 2 3 2 2 2 2 3" xfId="34876"/>
    <cellStyle name="Comma 2 2 4 3 2 3 2 2 2 2 3 2" xfId="43579"/>
    <cellStyle name="Comma 2 2 4 3 2 3 2 2 2 3" xfId="13377"/>
    <cellStyle name="Comma 2 2 4 3 2 3 2 2 2 3 2" xfId="43248"/>
    <cellStyle name="Comma 2 2 4 3 2 3 2 2 2 3 2 2" xfId="48723"/>
    <cellStyle name="Comma 2 2 4 3 2 3 2 2 2 4" xfId="26862"/>
    <cellStyle name="Comma 2 2 4 3 2 3 2 2 3" xfId="13046"/>
    <cellStyle name="Comma 2 2 4 3 2 3 2 2 3 2" xfId="16594"/>
    <cellStyle name="Comma 2 2 4 3 2 3 2 2 3 2 2" xfId="48392"/>
    <cellStyle name="Comma 2 2 4 3 2 3 2 2 3 2 2 2" xfId="51922"/>
    <cellStyle name="Comma 2 2 4 3 2 3 2 2 3 3" xfId="30096"/>
    <cellStyle name="Comma 2 2 4 3 2 3 2 2 4" xfId="26530"/>
    <cellStyle name="Comma 2 2 4 3 2 3 2 2 4 2" xfId="38406"/>
    <cellStyle name="Comma 2 2 4 3 2 3 2 3" xfId="4973"/>
    <cellStyle name="Comma 2 2 4 3 2 3 2 3 2" xfId="16260"/>
    <cellStyle name="Comma 2 2 4 3 2 3 2 3 2 2" xfId="18546"/>
    <cellStyle name="Comma 2 2 4 3 2 3 2 3 2 2 2" xfId="51590"/>
    <cellStyle name="Comma 2 2 4 3 2 3 2 3 2 2 2 2" xfId="53872"/>
    <cellStyle name="Comma 2 2 4 3 2 3 2 3 2 3" xfId="32047"/>
    <cellStyle name="Comma 2 2 4 3 2 3 2 3 3" xfId="29764"/>
    <cellStyle name="Comma 2 2 4 3 2 3 2 3 3 2" xfId="40410"/>
    <cellStyle name="Comma 2 2 4 3 2 3 2 4" xfId="10176"/>
    <cellStyle name="Comma 2 2 4 3 2 3 2 4 2" xfId="38074"/>
    <cellStyle name="Comma 2 2 4 3 2 3 2 4 2 2" xfId="45539"/>
    <cellStyle name="Comma 2 2 4 3 2 3 2 5" xfId="23662"/>
    <cellStyle name="Comma 2 2 4 3 2 3 3" xfId="4635"/>
    <cellStyle name="Comma 2 2 4 3 2 3 3 2" xfId="6208"/>
    <cellStyle name="Comma 2 2 4 3 2 3 3 2 2" xfId="18215"/>
    <cellStyle name="Comma 2 2 4 3 2 3 3 2 2 2" xfId="19767"/>
    <cellStyle name="Comma 2 2 4 3 2 3 3 2 2 2 2" xfId="53541"/>
    <cellStyle name="Comma 2 2 4 3 2 3 3 2 2 2 2 2" xfId="55093"/>
    <cellStyle name="Comma 2 2 4 3 2 3 3 2 2 3" xfId="33269"/>
    <cellStyle name="Comma 2 2 4 3 2 3 3 2 3" xfId="31716"/>
    <cellStyle name="Comma 2 2 4 3 2 3 3 2 3 2" xfId="41638"/>
    <cellStyle name="Comma 2 2 4 3 2 3 3 3" xfId="11433"/>
    <cellStyle name="Comma 2 2 4 3 2 3 3 3 2" xfId="40074"/>
    <cellStyle name="Comma 2 2 4 3 2 3 3 3 2 2" xfId="46784"/>
    <cellStyle name="Comma 2 2 4 3 2 3 3 4" xfId="24921"/>
    <cellStyle name="Comma 2 2 4 3 2 3 4" xfId="9838"/>
    <cellStyle name="Comma 2 2 4 3 2 3 4 2" xfId="14593"/>
    <cellStyle name="Comma 2 2 4 3 2 3 4 2 2" xfId="45208"/>
    <cellStyle name="Comma 2 2 4 3 2 3 4 2 2 2" xfId="49932"/>
    <cellStyle name="Comma 2 2 4 3 2 3 4 3" xfId="28103"/>
    <cellStyle name="Comma 2 2 4 3 2 3 5" xfId="23331"/>
    <cellStyle name="Comma 2 2 4 3 2 3 5 2" xfId="36401"/>
    <cellStyle name="Comma 2 2 4 3 2 4" xfId="1693"/>
    <cellStyle name="Comma 2 2 4 3 2 4 2" xfId="5839"/>
    <cellStyle name="Comma 2 2 4 3 2 4 2 2" xfId="6948"/>
    <cellStyle name="Comma 2 2 4 3 2 4 2 2 2" xfId="19407"/>
    <cellStyle name="Comma 2 2 4 3 2 4 2 2 2 2" xfId="20501"/>
    <cellStyle name="Comma 2 2 4 3 2 4 2 2 2 2 2" xfId="54733"/>
    <cellStyle name="Comma 2 2 4 3 2 4 2 2 2 2 2 2" xfId="55827"/>
    <cellStyle name="Comma 2 2 4 3 2 4 2 2 2 3" xfId="34003"/>
    <cellStyle name="Comma 2 2 4 3 2 4 2 2 3" xfId="32908"/>
    <cellStyle name="Comma 2 2 4 3 2 4 2 2 3 2" xfId="42376"/>
    <cellStyle name="Comma 2 2 4 3 2 4 2 3" xfId="12172"/>
    <cellStyle name="Comma 2 2 4 3 2 4 2 3 2" xfId="41274"/>
    <cellStyle name="Comma 2 2 4 3 2 4 2 3 2 2" xfId="47519"/>
    <cellStyle name="Comma 2 2 4 3 2 4 2 4" xfId="25657"/>
    <cellStyle name="Comma 2 2 4 3 2 4 3" xfId="11062"/>
    <cellStyle name="Comma 2 2 4 3 2 4 3 2" xfId="15365"/>
    <cellStyle name="Comma 2 2 4 3 2 4 3 2 2" xfId="46421"/>
    <cellStyle name="Comma 2 2 4 3 2 4 3 2 2 2" xfId="50699"/>
    <cellStyle name="Comma 2 2 4 3 2 4 3 3" xfId="28873"/>
    <cellStyle name="Comma 2 2 4 3 2 4 4" xfId="24556"/>
    <cellStyle name="Comma 2 2 4 3 2 4 4 2" xfId="37176"/>
    <cellStyle name="Comma 2 2 4 3 2 5" xfId="3698"/>
    <cellStyle name="Comma 2 2 4 3 2 5 2" xfId="14223"/>
    <cellStyle name="Comma 2 2 4 3 2 5 2 2" xfId="17316"/>
    <cellStyle name="Comma 2 2 4 3 2 5 2 2 2" xfId="49568"/>
    <cellStyle name="Comma 2 2 4 3 2 5 2 2 2 2" xfId="52643"/>
    <cellStyle name="Comma 2 2 4 3 2 5 2 3" xfId="30817"/>
    <cellStyle name="Comma 2 2 4 3 2 5 3" xfId="27730"/>
    <cellStyle name="Comma 2 2 4 3 2 5 3 2" xfId="39149"/>
    <cellStyle name="Comma 2 2 4 3 2 6" xfId="8887"/>
    <cellStyle name="Comma 2 2 4 3 2 6 2" xfId="36035"/>
    <cellStyle name="Comma 2 2 4 3 2 6 2 2" xfId="44288"/>
    <cellStyle name="Comma 2 2 4 3 2 7" xfId="22396"/>
    <cellStyle name="Comma 2 2 4 3 3" xfId="830"/>
    <cellStyle name="Comma 2 2 4 3 3 2" xfId="1066"/>
    <cellStyle name="Comma 2 2 4 3 3 2 2" xfId="2882"/>
    <cellStyle name="Comma 2 2 4 3 3 2 2 2" xfId="3101"/>
    <cellStyle name="Comma 2 2 4 3 3 2 2 2 2" xfId="8098"/>
    <cellStyle name="Comma 2 2 4 3 3 2 2 2 2 2" xfId="8316"/>
    <cellStyle name="Comma 2 2 4 3 3 2 2 2 2 2 2" xfId="21650"/>
    <cellStyle name="Comma 2 2 4 3 3 2 2 2 2 2 2 2" xfId="21868"/>
    <cellStyle name="Comma 2 2 4 3 3 2 2 2 2 2 2 2 2" xfId="56976"/>
    <cellStyle name="Comma 2 2 4 3 3 2 2 2 2 2 2 2 2 2" xfId="57194"/>
    <cellStyle name="Comma 2 2 4 3 3 2 2 2 2 2 2 3" xfId="35371"/>
    <cellStyle name="Comma 2 2 4 3 3 2 2 2 2 2 3" xfId="35153"/>
    <cellStyle name="Comma 2 2 4 3 3 2 2 2 2 2 3 2" xfId="43743"/>
    <cellStyle name="Comma 2 2 4 3 3 2 2 2 2 3" xfId="13541"/>
    <cellStyle name="Comma 2 2 4 3 3 2 2 2 2 3 2" xfId="43525"/>
    <cellStyle name="Comma 2 2 4 3 3 2 2 2 2 3 2 2" xfId="48887"/>
    <cellStyle name="Comma 2 2 4 3 3 2 2 2 2 4" xfId="27026"/>
    <cellStyle name="Comma 2 2 4 3 3 2 2 2 3" xfId="13323"/>
    <cellStyle name="Comma 2 2 4 3 3 2 2 2 3 2" xfId="16758"/>
    <cellStyle name="Comma 2 2 4 3 3 2 2 2 3 2 2" xfId="48669"/>
    <cellStyle name="Comma 2 2 4 3 3 2 2 2 3 2 2 2" xfId="52086"/>
    <cellStyle name="Comma 2 2 4 3 3 2 2 2 3 3" xfId="30260"/>
    <cellStyle name="Comma 2 2 4 3 3 2 2 2 4" xfId="26807"/>
    <cellStyle name="Comma 2 2 4 3 3 2 2 2 4 2" xfId="38570"/>
    <cellStyle name="Comma 2 2 4 3 3 2 2 3" xfId="5138"/>
    <cellStyle name="Comma 2 2 4 3 3 2 2 3 2" xfId="16540"/>
    <cellStyle name="Comma 2 2 4 3 3 2 2 3 2 2" xfId="18711"/>
    <cellStyle name="Comma 2 2 4 3 3 2 2 3 2 2 2" xfId="51868"/>
    <cellStyle name="Comma 2 2 4 3 3 2 2 3 2 2 2 2" xfId="54037"/>
    <cellStyle name="Comma 2 2 4 3 3 2 2 3 2 3" xfId="32212"/>
    <cellStyle name="Comma 2 2 4 3 3 2 2 3 3" xfId="30042"/>
    <cellStyle name="Comma 2 2 4 3 3 2 2 3 3 2" xfId="40575"/>
    <cellStyle name="Comma 2 2 4 3 3 2 2 4" xfId="10341"/>
    <cellStyle name="Comma 2 2 4 3 3 2 2 4 2" xfId="38352"/>
    <cellStyle name="Comma 2 2 4 3 3 2 2 4 2 2" xfId="45704"/>
    <cellStyle name="Comma 2 2 4 3 3 2 2 5" xfId="23827"/>
    <cellStyle name="Comma 2 2 4 3 3 2 3" xfId="4918"/>
    <cellStyle name="Comma 2 2 4 3 3 2 3 2" xfId="6376"/>
    <cellStyle name="Comma 2 2 4 3 3 2 3 2 2" xfId="18492"/>
    <cellStyle name="Comma 2 2 4 3 3 2 3 2 2 2" xfId="19932"/>
    <cellStyle name="Comma 2 2 4 3 3 2 3 2 2 2 2" xfId="53818"/>
    <cellStyle name="Comma 2 2 4 3 3 2 3 2 2 2 2 2" xfId="55258"/>
    <cellStyle name="Comma 2 2 4 3 3 2 3 2 2 3" xfId="33434"/>
    <cellStyle name="Comma 2 2 4 3 3 2 3 2 3" xfId="31993"/>
    <cellStyle name="Comma 2 2 4 3 3 2 3 2 3 2" xfId="41805"/>
    <cellStyle name="Comma 2 2 4 3 3 2 3 3" xfId="11601"/>
    <cellStyle name="Comma 2 2 4 3 3 2 3 3 2" xfId="40355"/>
    <cellStyle name="Comma 2 2 4 3 3 2 3 3 2 2" xfId="46950"/>
    <cellStyle name="Comma 2 2 4 3 3 2 3 4" xfId="25087"/>
    <cellStyle name="Comma 2 2 4 3 3 2 4" xfId="10121"/>
    <cellStyle name="Comma 2 2 4 3 3 2 4 2" xfId="14758"/>
    <cellStyle name="Comma 2 2 4 3 3 2 4 2 2" xfId="45485"/>
    <cellStyle name="Comma 2 2 4 3 3 2 4 2 2 2" xfId="50097"/>
    <cellStyle name="Comma 2 2 4 3 3 2 4 3" xfId="28270"/>
    <cellStyle name="Comma 2 2 4 3 3 2 5" xfId="23608"/>
    <cellStyle name="Comma 2 2 4 3 3 2 5 2" xfId="36566"/>
    <cellStyle name="Comma 2 2 4 3 3 3" xfId="1874"/>
    <cellStyle name="Comma 2 2 4 3 3 3 2" xfId="6145"/>
    <cellStyle name="Comma 2 2 4 3 3 3 2 2" xfId="7123"/>
    <cellStyle name="Comma 2 2 4 3 3 3 2 2 2" xfId="19706"/>
    <cellStyle name="Comma 2 2 4 3 3 3 2 2 2 2" xfId="20675"/>
    <cellStyle name="Comma 2 2 4 3 3 3 2 2 2 2 2" xfId="55032"/>
    <cellStyle name="Comma 2 2 4 3 3 3 2 2 2 2 2 2" xfId="56001"/>
    <cellStyle name="Comma 2 2 4 3 3 3 2 2 2 3" xfId="34178"/>
    <cellStyle name="Comma 2 2 4 3 3 3 2 2 3" xfId="33207"/>
    <cellStyle name="Comma 2 2 4 3 3 3 2 2 3 2" xfId="42550"/>
    <cellStyle name="Comma 2 2 4 3 3 3 2 3" xfId="12348"/>
    <cellStyle name="Comma 2 2 4 3 3 3 2 3 2" xfId="41577"/>
    <cellStyle name="Comma 2 2 4 3 3 3 2 3 2 2" xfId="47694"/>
    <cellStyle name="Comma 2 2 4 3 3 3 2 4" xfId="25832"/>
    <cellStyle name="Comma 2 2 4 3 3 3 3" xfId="11371"/>
    <cellStyle name="Comma 2 2 4 3 3 3 3 2" xfId="15544"/>
    <cellStyle name="Comma 2 2 4 3 3 3 3 2 2" xfId="46723"/>
    <cellStyle name="Comma 2 2 4 3 3 3 3 2 2 2" xfId="50876"/>
    <cellStyle name="Comma 2 2 4 3 3 3 3 3" xfId="29050"/>
    <cellStyle name="Comma 2 2 4 3 3 3 4" xfId="24860"/>
    <cellStyle name="Comma 2 2 4 3 3 3 4 2" xfId="37355"/>
    <cellStyle name="Comma 2 2 4 3 3 4" xfId="3888"/>
    <cellStyle name="Comma 2 2 4 3 3 4 2" xfId="14528"/>
    <cellStyle name="Comma 2 2 4 3 3 4 2 2" xfId="17498"/>
    <cellStyle name="Comma 2 2 4 3 3 4 2 2 2" xfId="49870"/>
    <cellStyle name="Comma 2 2 4 3 3 4 2 2 2 2" xfId="52825"/>
    <cellStyle name="Comma 2 2 4 3 3 4 2 3" xfId="31000"/>
    <cellStyle name="Comma 2 2 4 3 3 4 3" xfId="28040"/>
    <cellStyle name="Comma 2 2 4 3 3 4 3 2" xfId="39336"/>
    <cellStyle name="Comma 2 2 4 3 3 5" xfId="9081"/>
    <cellStyle name="Comma 2 2 4 3 3 5 2" xfId="36338"/>
    <cellStyle name="Comma 2 2 4 3 3 5 2 2" xfId="44477"/>
    <cellStyle name="Comma 2 2 4 3 3 6" xfId="22589"/>
    <cellStyle name="Comma 2 2 4 3 4" xfId="1623"/>
    <cellStyle name="Comma 2 2 4 3 4 2" xfId="2328"/>
    <cellStyle name="Comma 2 2 4 3 4 2 2" xfId="6891"/>
    <cellStyle name="Comma 2 2 4 3 4 2 2 2" xfId="7562"/>
    <cellStyle name="Comma 2 2 4 3 4 2 2 2 2" xfId="20444"/>
    <cellStyle name="Comma 2 2 4 3 4 2 2 2 2 2" xfId="21114"/>
    <cellStyle name="Comma 2 2 4 3 4 2 2 2 2 2 2" xfId="55770"/>
    <cellStyle name="Comma 2 2 4 3 4 2 2 2 2 2 2 2" xfId="56440"/>
    <cellStyle name="Comma 2 2 4 3 4 2 2 2 2 3" xfId="34617"/>
    <cellStyle name="Comma 2 2 4 3 4 2 2 2 3" xfId="33946"/>
    <cellStyle name="Comma 2 2 4 3 4 2 2 2 3 2" xfId="42989"/>
    <cellStyle name="Comma 2 2 4 3 4 2 2 3" xfId="12787"/>
    <cellStyle name="Comma 2 2 4 3 4 2 2 3 2" xfId="42319"/>
    <cellStyle name="Comma 2 2 4 3 4 2 2 3 2 2" xfId="48133"/>
    <cellStyle name="Comma 2 2 4 3 4 2 2 4" xfId="26271"/>
    <cellStyle name="Comma 2 2 4 3 4 2 3" xfId="12115"/>
    <cellStyle name="Comma 2 2 4 3 4 2 3 2" xfId="15992"/>
    <cellStyle name="Comma 2 2 4 3 4 2 3 2 2" xfId="47462"/>
    <cellStyle name="Comma 2 2 4 3 4 2 3 2 2 2" xfId="51324"/>
    <cellStyle name="Comma 2 2 4 3 4 2 3 3" xfId="29498"/>
    <cellStyle name="Comma 2 2 4 3 4 2 4" xfId="25600"/>
    <cellStyle name="Comma 2 2 4 3 4 2 4 2" xfId="37806"/>
    <cellStyle name="Comma 2 2 4 3 4 3" xfId="4357"/>
    <cellStyle name="Comma 2 2 4 3 4 3 2" xfId="15298"/>
    <cellStyle name="Comma 2 2 4 3 4 3 2 2" xfId="17950"/>
    <cellStyle name="Comma 2 2 4 3 4 3 2 2 2" xfId="50633"/>
    <cellStyle name="Comma 2 2 4 3 4 3 2 2 2 2" xfId="53277"/>
    <cellStyle name="Comma 2 2 4 3 4 3 2 3" xfId="31452"/>
    <cellStyle name="Comma 2 2 4 3 4 3 3" xfId="28807"/>
    <cellStyle name="Comma 2 2 4 3 4 3 3 2" xfId="39800"/>
    <cellStyle name="Comma 2 2 4 3 4 4" xfId="9557"/>
    <cellStyle name="Comma 2 2 4 3 4 4 2" xfId="37109"/>
    <cellStyle name="Comma 2 2 4 3 4 4 2 2" xfId="44939"/>
    <cellStyle name="Comma 2 2 4 3 4 5" xfId="23058"/>
    <cellStyle name="Comma 2 2 4 3 5" xfId="3627"/>
    <cellStyle name="Comma 2 2 4 3 5 2" xfId="5568"/>
    <cellStyle name="Comma 2 2 4 3 5 2 2" xfId="17259"/>
    <cellStyle name="Comma 2 2 4 3 5 2 2 2" xfId="19141"/>
    <cellStyle name="Comma 2 2 4 3 5 2 2 2 2" xfId="52586"/>
    <cellStyle name="Comma 2 2 4 3 5 2 2 2 2 2" xfId="54467"/>
    <cellStyle name="Comma 2 2 4 3 5 2 2 3" xfId="32642"/>
    <cellStyle name="Comma 2 2 4 3 5 2 3" xfId="30760"/>
    <cellStyle name="Comma 2 2 4 3 5 2 3 2" xfId="41005"/>
    <cellStyle name="Comma 2 2 4 3 5 3" xfId="10778"/>
    <cellStyle name="Comma 2 2 4 3 5 3 2" xfId="39082"/>
    <cellStyle name="Comma 2 2 4 3 5 3 2 2" xfId="46140"/>
    <cellStyle name="Comma 2 2 4 3 5 4" xfId="24266"/>
    <cellStyle name="Comma 2 2 4 3 6" xfId="8823"/>
    <cellStyle name="Comma 2 2 4 3 6 2" xfId="13953"/>
    <cellStyle name="Comma 2 2 4 3 6 2 2" xfId="44231"/>
    <cellStyle name="Comma 2 2 4 3 6 2 2 2" xfId="49299"/>
    <cellStyle name="Comma 2 2 4 3 6 3" xfId="27443"/>
    <cellStyle name="Comma 2 2 4 3 7" xfId="22339"/>
    <cellStyle name="Comma 2 2 4 3 7 2" xfId="35765"/>
    <cellStyle name="Comma 2 2 4 4" xfId="175"/>
    <cellStyle name="Comma 2 2 4 4 2" xfId="1008"/>
    <cellStyle name="Comma 2 2 4 4 2 2" xfId="1053"/>
    <cellStyle name="Comma 2 2 4 4 2 2 2" xfId="3045"/>
    <cellStyle name="Comma 2 2 4 4 2 2 2 2" xfId="3089"/>
    <cellStyle name="Comma 2 2 4 4 2 2 2 2 2" xfId="8260"/>
    <cellStyle name="Comma 2 2 4 4 2 2 2 2 2 2" xfId="8304"/>
    <cellStyle name="Comma 2 2 4 4 2 2 2 2 2 2 2" xfId="21812"/>
    <cellStyle name="Comma 2 2 4 4 2 2 2 2 2 2 2 2" xfId="21856"/>
    <cellStyle name="Comma 2 2 4 4 2 2 2 2 2 2 2 2 2" xfId="57138"/>
    <cellStyle name="Comma 2 2 4 4 2 2 2 2 2 2 2 2 2 2" xfId="57182"/>
    <cellStyle name="Comma 2 2 4 4 2 2 2 2 2 2 2 3" xfId="35359"/>
    <cellStyle name="Comma 2 2 4 4 2 2 2 2 2 2 3" xfId="35315"/>
    <cellStyle name="Comma 2 2 4 4 2 2 2 2 2 2 3 2" xfId="43731"/>
    <cellStyle name="Comma 2 2 4 4 2 2 2 2 2 3" xfId="13529"/>
    <cellStyle name="Comma 2 2 4 4 2 2 2 2 2 3 2" xfId="43687"/>
    <cellStyle name="Comma 2 2 4 4 2 2 2 2 2 3 2 2" xfId="48875"/>
    <cellStyle name="Comma 2 2 4 4 2 2 2 2 2 4" xfId="27014"/>
    <cellStyle name="Comma 2 2 4 4 2 2 2 2 3" xfId="13485"/>
    <cellStyle name="Comma 2 2 4 4 2 2 2 2 3 2" xfId="16746"/>
    <cellStyle name="Comma 2 2 4 4 2 2 2 2 3 2 2" xfId="48831"/>
    <cellStyle name="Comma 2 2 4 4 2 2 2 2 3 2 2 2" xfId="52074"/>
    <cellStyle name="Comma 2 2 4 4 2 2 2 2 3 3" xfId="30248"/>
    <cellStyle name="Comma 2 2 4 4 2 2 2 2 4" xfId="26970"/>
    <cellStyle name="Comma 2 2 4 4 2 2 2 2 4 2" xfId="38558"/>
    <cellStyle name="Comma 2 2 4 4 2 2 2 3" xfId="5126"/>
    <cellStyle name="Comma 2 2 4 4 2 2 2 3 2" xfId="16702"/>
    <cellStyle name="Comma 2 2 4 4 2 2 2 3 2 2" xfId="18699"/>
    <cellStyle name="Comma 2 2 4 4 2 2 2 3 2 2 2" xfId="52030"/>
    <cellStyle name="Comma 2 2 4 4 2 2 2 3 2 2 2 2" xfId="54025"/>
    <cellStyle name="Comma 2 2 4 4 2 2 2 3 2 3" xfId="32200"/>
    <cellStyle name="Comma 2 2 4 4 2 2 2 3 3" xfId="30204"/>
    <cellStyle name="Comma 2 2 4 4 2 2 2 3 3 2" xfId="40563"/>
    <cellStyle name="Comma 2 2 4 4 2 2 2 4" xfId="10329"/>
    <cellStyle name="Comma 2 2 4 4 2 2 2 4 2" xfId="38514"/>
    <cellStyle name="Comma 2 2 4 4 2 2 2 4 2 2" xfId="45692"/>
    <cellStyle name="Comma 2 2 4 4 2 2 2 5" xfId="23815"/>
    <cellStyle name="Comma 2 2 4 4 2 2 3" xfId="5082"/>
    <cellStyle name="Comma 2 2 4 4 2 2 3 2" xfId="6363"/>
    <cellStyle name="Comma 2 2 4 4 2 2 3 2 2" xfId="18655"/>
    <cellStyle name="Comma 2 2 4 4 2 2 3 2 2 2" xfId="19920"/>
    <cellStyle name="Comma 2 2 4 4 2 2 3 2 2 2 2" xfId="53981"/>
    <cellStyle name="Comma 2 2 4 4 2 2 3 2 2 2 2 2" xfId="55246"/>
    <cellStyle name="Comma 2 2 4 4 2 2 3 2 2 3" xfId="33422"/>
    <cellStyle name="Comma 2 2 4 4 2 2 3 2 3" xfId="32156"/>
    <cellStyle name="Comma 2 2 4 4 2 2 3 2 3 2" xfId="41792"/>
    <cellStyle name="Comma 2 2 4 4 2 2 3 3" xfId="11589"/>
    <cellStyle name="Comma 2 2 4 4 2 2 3 3 2" xfId="40519"/>
    <cellStyle name="Comma 2 2 4 4 2 2 3 3 2 2" xfId="46938"/>
    <cellStyle name="Comma 2 2 4 4 2 2 3 4" xfId="25075"/>
    <cellStyle name="Comma 2 2 4 4 2 2 4" xfId="10285"/>
    <cellStyle name="Comma 2 2 4 4 2 2 4 2" xfId="14746"/>
    <cellStyle name="Comma 2 2 4 4 2 2 4 2 2" xfId="45648"/>
    <cellStyle name="Comma 2 2 4 4 2 2 4 2 2 2" xfId="50085"/>
    <cellStyle name="Comma 2 2 4 4 2 2 4 3" xfId="28258"/>
    <cellStyle name="Comma 2 2 4 4 2 2 5" xfId="23771"/>
    <cellStyle name="Comma 2 2 4 4 2 2 5 2" xfId="36554"/>
    <cellStyle name="Comma 2 2 4 4 2 3" xfId="1861"/>
    <cellStyle name="Comma 2 2 4 4 2 3 2" xfId="6318"/>
    <cellStyle name="Comma 2 2 4 4 2 3 2 2" xfId="7111"/>
    <cellStyle name="Comma 2 2 4 4 2 3 2 2 2" xfId="19875"/>
    <cellStyle name="Comma 2 2 4 4 2 3 2 2 2 2" xfId="20663"/>
    <cellStyle name="Comma 2 2 4 4 2 3 2 2 2 2 2" xfId="55201"/>
    <cellStyle name="Comma 2 2 4 4 2 3 2 2 2 2 2 2" xfId="55989"/>
    <cellStyle name="Comma 2 2 4 4 2 3 2 2 2 3" xfId="34166"/>
    <cellStyle name="Comma 2 2 4 4 2 3 2 2 3" xfId="33377"/>
    <cellStyle name="Comma 2 2 4 4 2 3 2 2 3 2" xfId="42538"/>
    <cellStyle name="Comma 2 2 4 4 2 3 2 3" xfId="12336"/>
    <cellStyle name="Comma 2 2 4 4 2 3 2 3 2" xfId="41747"/>
    <cellStyle name="Comma 2 2 4 4 2 3 2 3 2 2" xfId="47682"/>
    <cellStyle name="Comma 2 2 4 4 2 3 2 4" xfId="25820"/>
    <cellStyle name="Comma 2 2 4 4 2 3 3" xfId="11544"/>
    <cellStyle name="Comma 2 2 4 4 2 3 3 2" xfId="15532"/>
    <cellStyle name="Comma 2 2 4 4 2 3 3 2 2" xfId="46893"/>
    <cellStyle name="Comma 2 2 4 4 2 3 3 2 2 2" xfId="50864"/>
    <cellStyle name="Comma 2 2 4 4 2 3 3 3" xfId="29038"/>
    <cellStyle name="Comma 2 2 4 4 2 3 4" xfId="25030"/>
    <cellStyle name="Comma 2 2 4 4 2 3 4 2" xfId="37342"/>
    <cellStyle name="Comma 2 2 4 4 2 4" xfId="3875"/>
    <cellStyle name="Comma 2 2 4 4 2 4 2" xfId="14701"/>
    <cellStyle name="Comma 2 2 4 4 2 4 2 2" xfId="17486"/>
    <cellStyle name="Comma 2 2 4 4 2 4 2 2 2" xfId="50040"/>
    <cellStyle name="Comma 2 2 4 4 2 4 2 2 2 2" xfId="52813"/>
    <cellStyle name="Comma 2 2 4 4 2 4 2 3" xfId="30988"/>
    <cellStyle name="Comma 2 2 4 4 2 4 3" xfId="28213"/>
    <cellStyle name="Comma 2 2 4 4 2 4 3 2" xfId="39323"/>
    <cellStyle name="Comma 2 2 4 4 2 5" xfId="9069"/>
    <cellStyle name="Comma 2 2 4 4 2 5 2" xfId="36509"/>
    <cellStyle name="Comma 2 2 4 4 2 5 2 2" xfId="44465"/>
    <cellStyle name="Comma 2 2 4 4 2 6" xfId="22576"/>
    <cellStyle name="Comma 2 2 4 4 3" xfId="1809"/>
    <cellStyle name="Comma 2 2 4 4 3 2" xfId="2316"/>
    <cellStyle name="Comma 2 2 4 4 3 2 2" xfId="7061"/>
    <cellStyle name="Comma 2 2 4 4 3 2 2 2" xfId="7550"/>
    <cellStyle name="Comma 2 2 4 4 3 2 2 2 2" xfId="20614"/>
    <cellStyle name="Comma 2 2 4 4 3 2 2 2 2 2" xfId="21102"/>
    <cellStyle name="Comma 2 2 4 4 3 2 2 2 2 2 2" xfId="55940"/>
    <cellStyle name="Comma 2 2 4 4 3 2 2 2 2 2 2 2" xfId="56428"/>
    <cellStyle name="Comma 2 2 4 4 3 2 2 2 2 3" xfId="34605"/>
    <cellStyle name="Comma 2 2 4 4 3 2 2 2 3" xfId="34116"/>
    <cellStyle name="Comma 2 2 4 4 3 2 2 2 3 2" xfId="42977"/>
    <cellStyle name="Comma 2 2 4 4 3 2 2 3" xfId="12775"/>
    <cellStyle name="Comma 2 2 4 4 3 2 2 3 2" xfId="42489"/>
    <cellStyle name="Comma 2 2 4 4 3 2 2 3 2 2" xfId="48121"/>
    <cellStyle name="Comma 2 2 4 4 3 2 2 4" xfId="26259"/>
    <cellStyle name="Comma 2 2 4 4 3 2 3" xfId="12285"/>
    <cellStyle name="Comma 2 2 4 4 3 2 3 2" xfId="15980"/>
    <cellStyle name="Comma 2 2 4 4 3 2 3 2 2" xfId="47632"/>
    <cellStyle name="Comma 2 2 4 4 3 2 3 2 2 2" xfId="51312"/>
    <cellStyle name="Comma 2 2 4 4 3 2 3 3" xfId="29486"/>
    <cellStyle name="Comma 2 2 4 4 3 2 4" xfId="25770"/>
    <cellStyle name="Comma 2 2 4 4 3 2 4 2" xfId="37794"/>
    <cellStyle name="Comma 2 2 4 4 3 3" xfId="4345"/>
    <cellStyle name="Comma 2 2 4 4 3 3 2" xfId="15481"/>
    <cellStyle name="Comma 2 2 4 4 3 3 2 2" xfId="17938"/>
    <cellStyle name="Comma 2 2 4 4 3 3 2 2 2" xfId="50814"/>
    <cellStyle name="Comma 2 2 4 4 3 3 2 2 2 2" xfId="53265"/>
    <cellStyle name="Comma 2 2 4 4 3 3 2 3" xfId="31440"/>
    <cellStyle name="Comma 2 2 4 4 3 3 3" xfId="28988"/>
    <cellStyle name="Comma 2 2 4 4 3 3 3 2" xfId="39788"/>
    <cellStyle name="Comma 2 2 4 4 3 4" xfId="9544"/>
    <cellStyle name="Comma 2 2 4 4 3 4 2" xfId="37291"/>
    <cellStyle name="Comma 2 2 4 4 3 4 2 2" xfId="44926"/>
    <cellStyle name="Comma 2 2 4 4 3 5" xfId="23044"/>
    <cellStyle name="Comma 2 2 4 4 4" xfId="3817"/>
    <cellStyle name="Comma 2 2 4 4 4 2" xfId="5556"/>
    <cellStyle name="Comma 2 2 4 4 4 2 2" xfId="17432"/>
    <cellStyle name="Comma 2 2 4 4 4 2 2 2" xfId="19129"/>
    <cellStyle name="Comma 2 2 4 4 4 2 2 2 2" xfId="52759"/>
    <cellStyle name="Comma 2 2 4 4 4 2 2 2 2 2" xfId="54455"/>
    <cellStyle name="Comma 2 2 4 4 4 2 2 3" xfId="32630"/>
    <cellStyle name="Comma 2 2 4 4 4 2 3" xfId="30933"/>
    <cellStyle name="Comma 2 2 4 4 4 2 3 2" xfId="40993"/>
    <cellStyle name="Comma 2 2 4 4 4 3" xfId="10766"/>
    <cellStyle name="Comma 2 2 4 4 4 3 2" xfId="39267"/>
    <cellStyle name="Comma 2 2 4 4 4 3 2 2" xfId="46128"/>
    <cellStyle name="Comma 2 2 4 4 4 4" xfId="24254"/>
    <cellStyle name="Comma 2 2 4 4 5" xfId="9008"/>
    <cellStyle name="Comma 2 2 4 4 5 2" xfId="13941"/>
    <cellStyle name="Comma 2 2 4 4 5 2 2" xfId="44406"/>
    <cellStyle name="Comma 2 2 4 4 5 2 2 2" xfId="49287"/>
    <cellStyle name="Comma 2 2 4 4 5 3" xfId="27429"/>
    <cellStyle name="Comma 2 2 4 4 6" xfId="22517"/>
    <cellStyle name="Comma 2 2 4 4 6 2" xfId="35753"/>
    <cellStyle name="Comma 2 2 4 5" xfId="376"/>
    <cellStyle name="Comma 2 2 4 5 2" xfId="2272"/>
    <cellStyle name="Comma 2 2 4 5 2 2" xfId="2479"/>
    <cellStyle name="Comma 2 2 4 5 2 2 2" xfId="7506"/>
    <cellStyle name="Comma 2 2 4 5 2 2 2 2" xfId="7709"/>
    <cellStyle name="Comma 2 2 4 5 2 2 2 2 2" xfId="21058"/>
    <cellStyle name="Comma 2 2 4 5 2 2 2 2 2 2" xfId="21261"/>
    <cellStyle name="Comma 2 2 4 5 2 2 2 2 2 2 2" xfId="56384"/>
    <cellStyle name="Comma 2 2 4 5 2 2 2 2 2 2 2 2" xfId="56587"/>
    <cellStyle name="Comma 2 2 4 5 2 2 2 2 2 3" xfId="34764"/>
    <cellStyle name="Comma 2 2 4 5 2 2 2 2 3" xfId="34561"/>
    <cellStyle name="Comma 2 2 4 5 2 2 2 2 3 2" xfId="43136"/>
    <cellStyle name="Comma 2 2 4 5 2 2 2 3" xfId="12934"/>
    <cellStyle name="Comma 2 2 4 5 2 2 2 3 2" xfId="42933"/>
    <cellStyle name="Comma 2 2 4 5 2 2 2 3 2 2" xfId="48280"/>
    <cellStyle name="Comma 2 2 4 5 2 2 2 4" xfId="26418"/>
    <cellStyle name="Comma 2 2 4 5 2 2 3" xfId="12731"/>
    <cellStyle name="Comma 2 2 4 5 2 2 3 2" xfId="16142"/>
    <cellStyle name="Comma 2 2 4 5 2 2 3 2 2" xfId="48077"/>
    <cellStyle name="Comma 2 2 4 5 2 2 3 2 2 2" xfId="51473"/>
    <cellStyle name="Comma 2 2 4 5 2 2 3 3" xfId="29647"/>
    <cellStyle name="Comma 2 2 4 5 2 2 4" xfId="26215"/>
    <cellStyle name="Comma 2 2 4 5 2 2 4 2" xfId="37956"/>
    <cellStyle name="Comma 2 2 4 5 2 3" xfId="4514"/>
    <cellStyle name="Comma 2 2 4 5 2 3 2" xfId="15936"/>
    <cellStyle name="Comma 2 2 4 5 2 3 2 2" xfId="18102"/>
    <cellStyle name="Comma 2 2 4 5 2 3 2 2 2" xfId="51268"/>
    <cellStyle name="Comma 2 2 4 5 2 3 2 2 2 2" xfId="53428"/>
    <cellStyle name="Comma 2 2 4 5 2 3 2 3" xfId="31603"/>
    <cellStyle name="Comma 2 2 4 5 2 3 3" xfId="29442"/>
    <cellStyle name="Comma 2 2 4 5 2 3 3 2" xfId="39955"/>
    <cellStyle name="Comma 2 2 4 5 2 4" xfId="9718"/>
    <cellStyle name="Comma 2 2 4 5 2 4 2" xfId="37750"/>
    <cellStyle name="Comma 2 2 4 5 2 4 2 2" xfId="45095"/>
    <cellStyle name="Comma 2 2 4 5 2 5" xfId="23218"/>
    <cellStyle name="Comma 2 2 4 5 3" xfId="4292"/>
    <cellStyle name="Comma 2 2 4 5 3 2" xfId="5724"/>
    <cellStyle name="Comma 2 2 4 5 3 2 2" xfId="17885"/>
    <cellStyle name="Comma 2 2 4 5 3 2 2 2" xfId="19293"/>
    <cellStyle name="Comma 2 2 4 5 3 2 2 2 2" xfId="53212"/>
    <cellStyle name="Comma 2 2 4 5 3 2 2 2 2 2" xfId="54619"/>
    <cellStyle name="Comma 2 2 4 5 3 2 2 3" xfId="32794"/>
    <cellStyle name="Comma 2 2 4 5 3 2 3" xfId="31387"/>
    <cellStyle name="Comma 2 2 4 5 3 2 3 2" xfId="41159"/>
    <cellStyle name="Comma 2 2 4 5 3 3" xfId="10944"/>
    <cellStyle name="Comma 2 2 4 5 3 3 2" xfId="39735"/>
    <cellStyle name="Comma 2 2 4 5 3 3 2 2" xfId="46303"/>
    <cellStyle name="Comma 2 2 4 5 3 4" xfId="24435"/>
    <cellStyle name="Comma 2 2 4 5 4" xfId="9484"/>
    <cellStyle name="Comma 2 2 4 5 4 2" xfId="14108"/>
    <cellStyle name="Comma 2 2 4 5 4 2 2" xfId="44866"/>
    <cellStyle name="Comma 2 2 4 5 4 2 2 2" xfId="49453"/>
    <cellStyle name="Comma 2 2 4 5 4 3" xfId="27608"/>
    <cellStyle name="Comma 2 2 4 5 5" xfId="22980"/>
    <cellStyle name="Comma 2 2 4 5 5 2" xfId="35919"/>
    <cellStyle name="Comma 2 2 4 6" xfId="823"/>
    <cellStyle name="Comma 2 2 4 6 2" xfId="4288"/>
    <cellStyle name="Comma 2 2 4 6 2 2" xfId="6138"/>
    <cellStyle name="Comma 2 2 4 6 2 2 2" xfId="17881"/>
    <cellStyle name="Comma 2 2 4 6 2 2 2 2" xfId="19699"/>
    <cellStyle name="Comma 2 2 4 6 2 2 2 2 2" xfId="53208"/>
    <cellStyle name="Comma 2 2 4 6 2 2 2 2 2 2" xfId="55025"/>
    <cellStyle name="Comma 2 2 4 6 2 2 2 3" xfId="33200"/>
    <cellStyle name="Comma 2 2 4 6 2 2 3" xfId="31383"/>
    <cellStyle name="Comma 2 2 4 6 2 2 3 2" xfId="41570"/>
    <cellStyle name="Comma 2 2 4 6 2 3" xfId="11364"/>
    <cellStyle name="Comma 2 2 4 6 2 3 2" xfId="39731"/>
    <cellStyle name="Comma 2 2 4 6 2 3 2 2" xfId="46716"/>
    <cellStyle name="Comma 2 2 4 6 2 4" xfId="24853"/>
    <cellStyle name="Comma 2 2 4 6 3" xfId="9480"/>
    <cellStyle name="Comma 2 2 4 6 3 2" xfId="14521"/>
    <cellStyle name="Comma 2 2 4 6 3 2 2" xfId="44862"/>
    <cellStyle name="Comma 2 2 4 6 3 2 2 2" xfId="49863"/>
    <cellStyle name="Comma 2 2 4 6 3 3" xfId="28033"/>
    <cellStyle name="Comma 2 2 4 6 4" xfId="22976"/>
    <cellStyle name="Comma 2 2 4 6 4 2" xfId="36331"/>
    <cellStyle name="Comma 2 2 4 7" xfId="1476"/>
    <cellStyle name="Comma 2 2 4 7 2" xfId="11530"/>
    <cellStyle name="Comma 2 2 4 7 2 2" xfId="15162"/>
    <cellStyle name="Comma 2 2 4 7 2 2 2" xfId="46879"/>
    <cellStyle name="Comma 2 2 4 7 2 2 2 2" xfId="50501"/>
    <cellStyle name="Comma 2 2 4 7 2 3" xfId="28675"/>
    <cellStyle name="Comma 2 2 4 7 3" xfId="25016"/>
    <cellStyle name="Comma 2 2 4 7 3 2" xfId="36973"/>
    <cellStyle name="Comma 2 2 4 8" xfId="3533"/>
    <cellStyle name="Comma 2 2 4 8 2" xfId="24229"/>
    <cellStyle name="Comma 2 2 4 8 2 2" xfId="38996"/>
    <cellStyle name="Comma 2 2 4 9" xfId="11443"/>
    <cellStyle name="Comma 2 2 5" xfId="125"/>
    <cellStyle name="Comma 2 2 5 2" xfId="253"/>
    <cellStyle name="Comma 2 2 5 2 2" xfId="515"/>
    <cellStyle name="Comma 2 2 5 2 2 2" xfId="599"/>
    <cellStyle name="Comma 2 2 5 2 2 2 2" xfId="1325"/>
    <cellStyle name="Comma 2 2 5 2 2 2 2 2" xfId="1395"/>
    <cellStyle name="Comma 2 2 5 2 2 2 2 2 2" xfId="3343"/>
    <cellStyle name="Comma 2 2 5 2 2 2 2 2 2 2" xfId="3413"/>
    <cellStyle name="Comma 2 2 5 2 2 2 2 2 2 2 2" xfId="8558"/>
    <cellStyle name="Comma 2 2 5 2 2 2 2 2 2 2 2 2" xfId="8628"/>
    <cellStyle name="Comma 2 2 5 2 2 2 2 2 2 2 2 2 2" xfId="22110"/>
    <cellStyle name="Comma 2 2 5 2 2 2 2 2 2 2 2 2 2 2" xfId="22180"/>
    <cellStyle name="Comma 2 2 5 2 2 2 2 2 2 2 2 2 2 2 2" xfId="57436"/>
    <cellStyle name="Comma 2 2 5 2 2 2 2 2 2 2 2 2 2 2 2 2" xfId="57506"/>
    <cellStyle name="Comma 2 2 5 2 2 2 2 2 2 2 2 2 2 3" xfId="35683"/>
    <cellStyle name="Comma 2 2 5 2 2 2 2 2 2 2 2 2 3" xfId="35613"/>
    <cellStyle name="Comma 2 2 5 2 2 2 2 2 2 2 2 2 3 2" xfId="44055"/>
    <cellStyle name="Comma 2 2 5 2 2 2 2 2 2 2 2 3" xfId="13853"/>
    <cellStyle name="Comma 2 2 5 2 2 2 2 2 2 2 2 3 2" xfId="43985"/>
    <cellStyle name="Comma 2 2 5 2 2 2 2 2 2 2 2 3 2 2" xfId="49199"/>
    <cellStyle name="Comma 2 2 5 2 2 2 2 2 2 2 2 4" xfId="27338"/>
    <cellStyle name="Comma 2 2 5 2 2 2 2 2 2 2 3" xfId="13783"/>
    <cellStyle name="Comma 2 2 5 2 2 2 2 2 2 2 3 2" xfId="17070"/>
    <cellStyle name="Comma 2 2 5 2 2 2 2 2 2 2 3 2 2" xfId="49129"/>
    <cellStyle name="Comma 2 2 5 2 2 2 2 2 2 2 3 2 2 2" xfId="52398"/>
    <cellStyle name="Comma 2 2 5 2 2 2 2 2 2 2 3 3" xfId="30572"/>
    <cellStyle name="Comma 2 2 5 2 2 2 2 2 2 2 4" xfId="27268"/>
    <cellStyle name="Comma 2 2 5 2 2 2 2 2 2 2 4 2" xfId="38882"/>
    <cellStyle name="Comma 2 2 5 2 2 2 2 2 2 3" xfId="5450"/>
    <cellStyle name="Comma 2 2 5 2 2 2 2 2 2 3 2" xfId="17000"/>
    <cellStyle name="Comma 2 2 5 2 2 2 2 2 2 3 2 2" xfId="19023"/>
    <cellStyle name="Comma 2 2 5 2 2 2 2 2 2 3 2 2 2" xfId="52328"/>
    <cellStyle name="Comma 2 2 5 2 2 2 2 2 2 3 2 2 2 2" xfId="54349"/>
    <cellStyle name="Comma 2 2 5 2 2 2 2 2 2 3 2 3" xfId="32524"/>
    <cellStyle name="Comma 2 2 5 2 2 2 2 2 2 3 3" xfId="30502"/>
    <cellStyle name="Comma 2 2 5 2 2 2 2 2 2 3 3 2" xfId="40887"/>
    <cellStyle name="Comma 2 2 5 2 2 2 2 2 2 4" xfId="10653"/>
    <cellStyle name="Comma 2 2 5 2 2 2 2 2 2 4 2" xfId="38812"/>
    <cellStyle name="Comma 2 2 5 2 2 2 2 2 2 4 2 2" xfId="46016"/>
    <cellStyle name="Comma 2 2 5 2 2 2 2 2 2 5" xfId="24139"/>
    <cellStyle name="Comma 2 2 5 2 2 2 2 2 3" xfId="5380"/>
    <cellStyle name="Comma 2 2 5 2 2 2 2 2 3 2" xfId="6703"/>
    <cellStyle name="Comma 2 2 5 2 2 2 2 2 3 2 2" xfId="18953"/>
    <cellStyle name="Comma 2 2 5 2 2 2 2 2 3 2 2 2" xfId="20256"/>
    <cellStyle name="Comma 2 2 5 2 2 2 2 2 3 2 2 2 2" xfId="54279"/>
    <cellStyle name="Comma 2 2 5 2 2 2 2 2 3 2 2 2 2 2" xfId="55582"/>
    <cellStyle name="Comma 2 2 5 2 2 2 2 2 3 2 2 3" xfId="33758"/>
    <cellStyle name="Comma 2 2 5 2 2 2 2 2 3 2 3" xfId="32454"/>
    <cellStyle name="Comma 2 2 5 2 2 2 2 2 3 2 3 2" xfId="42131"/>
    <cellStyle name="Comma 2 2 5 2 2 2 2 2 3 3" xfId="11926"/>
    <cellStyle name="Comma 2 2 5 2 2 2 2 2 3 3 2" xfId="40817"/>
    <cellStyle name="Comma 2 2 5 2 2 2 2 2 3 3 2 2" xfId="47274"/>
    <cellStyle name="Comma 2 2 5 2 2 2 2 2 3 4" xfId="25411"/>
    <cellStyle name="Comma 2 2 5 2 2 2 2 2 4" xfId="10583"/>
    <cellStyle name="Comma 2 2 5 2 2 2 2 2 4 2" xfId="15084"/>
    <cellStyle name="Comma 2 2 5 2 2 2 2 2 4 2 2" xfId="45946"/>
    <cellStyle name="Comma 2 2 5 2 2 2 2 2 4 2 2 2" xfId="50423"/>
    <cellStyle name="Comma 2 2 5 2 2 2 2 2 4 3" xfId="28597"/>
    <cellStyle name="Comma 2 2 5 2 2 2 2 2 5" xfId="24069"/>
    <cellStyle name="Comma 2 2 5 2 2 2 2 2 5 2" xfId="36892"/>
    <cellStyle name="Comma 2 2 5 2 2 2 2 3" xfId="2202"/>
    <cellStyle name="Comma 2 2 5 2 2 2 2 3 2" xfId="6633"/>
    <cellStyle name="Comma 2 2 5 2 2 2 2 3 2 2" xfId="7436"/>
    <cellStyle name="Comma 2 2 5 2 2 2 2 3 2 2 2" xfId="20186"/>
    <cellStyle name="Comma 2 2 5 2 2 2 2 3 2 2 2 2" xfId="20988"/>
    <cellStyle name="Comma 2 2 5 2 2 2 2 3 2 2 2 2 2" xfId="55512"/>
    <cellStyle name="Comma 2 2 5 2 2 2 2 3 2 2 2 2 2 2" xfId="56314"/>
    <cellStyle name="Comma 2 2 5 2 2 2 2 3 2 2 2 3" xfId="34491"/>
    <cellStyle name="Comma 2 2 5 2 2 2 2 3 2 2 3" xfId="33688"/>
    <cellStyle name="Comma 2 2 5 2 2 2 2 3 2 2 3 2" xfId="42863"/>
    <cellStyle name="Comma 2 2 5 2 2 2 2 3 2 3" xfId="12661"/>
    <cellStyle name="Comma 2 2 5 2 2 2 2 3 2 3 2" xfId="42061"/>
    <cellStyle name="Comma 2 2 5 2 2 2 2 3 2 3 2 2" xfId="48007"/>
    <cellStyle name="Comma 2 2 5 2 2 2 2 3 2 4" xfId="26145"/>
    <cellStyle name="Comma 2 2 5 2 2 2 2 3 3" xfId="11856"/>
    <cellStyle name="Comma 2 2 5 2 2 2 2 3 3 2" xfId="15866"/>
    <cellStyle name="Comma 2 2 5 2 2 2 2 3 3 2 2" xfId="47204"/>
    <cellStyle name="Comma 2 2 5 2 2 2 2 3 3 2 2 2" xfId="51198"/>
    <cellStyle name="Comma 2 2 5 2 2 2 2 3 3 3" xfId="29372"/>
    <cellStyle name="Comma 2 2 5 2 2 2 2 3 4" xfId="25341"/>
    <cellStyle name="Comma 2 2 5 2 2 2 2 3 4 2" xfId="37680"/>
    <cellStyle name="Comma 2 2 5 2 2 2 2 4" xfId="4218"/>
    <cellStyle name="Comma 2 2 5 2 2 2 2 4 2" xfId="15014"/>
    <cellStyle name="Comma 2 2 5 2 2 2 2 4 2 2" xfId="17811"/>
    <cellStyle name="Comma 2 2 5 2 2 2 2 4 2 2 2" xfId="50353"/>
    <cellStyle name="Comma 2 2 5 2 2 2 2 4 2 2 2 2" xfId="53138"/>
    <cellStyle name="Comma 2 2 5 2 2 2 2 4 2 3" xfId="31313"/>
    <cellStyle name="Comma 2 2 5 2 2 2 2 4 3" xfId="28527"/>
    <cellStyle name="Comma 2 2 5 2 2 2 2 4 3 2" xfId="39661"/>
    <cellStyle name="Comma 2 2 5 2 2 2 2 5" xfId="9409"/>
    <cellStyle name="Comma 2 2 5 2 2 2 2 5 2" xfId="36822"/>
    <cellStyle name="Comma 2 2 5 2 2 2 2 5 2 2" xfId="44791"/>
    <cellStyle name="Comma 2 2 5 2 2 2 2 6" xfId="22905"/>
    <cellStyle name="Comma 2 2 5 2 2 2 3" xfId="2132"/>
    <cellStyle name="Comma 2 2 5 2 2 2 3 2" xfId="2689"/>
    <cellStyle name="Comma 2 2 5 2 2 2 3 2 2" xfId="7366"/>
    <cellStyle name="Comma 2 2 5 2 2 2 3 2 2 2" xfId="7908"/>
    <cellStyle name="Comma 2 2 5 2 2 2 3 2 2 2 2" xfId="20918"/>
    <cellStyle name="Comma 2 2 5 2 2 2 3 2 2 2 2 2" xfId="21460"/>
    <cellStyle name="Comma 2 2 5 2 2 2 3 2 2 2 2 2 2" xfId="56244"/>
    <cellStyle name="Comma 2 2 5 2 2 2 3 2 2 2 2 2 2 2" xfId="56786"/>
    <cellStyle name="Comma 2 2 5 2 2 2 3 2 2 2 2 3" xfId="34963"/>
    <cellStyle name="Comma 2 2 5 2 2 2 3 2 2 2 3" xfId="34421"/>
    <cellStyle name="Comma 2 2 5 2 2 2 3 2 2 2 3 2" xfId="43335"/>
    <cellStyle name="Comma 2 2 5 2 2 2 3 2 2 3" xfId="13133"/>
    <cellStyle name="Comma 2 2 5 2 2 2 3 2 2 3 2" xfId="42793"/>
    <cellStyle name="Comma 2 2 5 2 2 2 3 2 2 3 2 2" xfId="48479"/>
    <cellStyle name="Comma 2 2 5 2 2 2 3 2 2 4" xfId="26617"/>
    <cellStyle name="Comma 2 2 5 2 2 2 3 2 3" xfId="12591"/>
    <cellStyle name="Comma 2 2 5 2 2 2 3 2 3 2" xfId="16348"/>
    <cellStyle name="Comma 2 2 5 2 2 2 3 2 3 2 2" xfId="47937"/>
    <cellStyle name="Comma 2 2 5 2 2 2 3 2 3 2 2 2" xfId="51678"/>
    <cellStyle name="Comma 2 2 5 2 2 2 3 2 3 3" xfId="29852"/>
    <cellStyle name="Comma 2 2 5 2 2 2 3 2 4" xfId="26075"/>
    <cellStyle name="Comma 2 2 5 2 2 2 3 2 4 2" xfId="38162"/>
    <cellStyle name="Comma 2 2 5 2 2 2 3 3" xfId="4725"/>
    <cellStyle name="Comma 2 2 5 2 2 2 3 3 2" xfId="15796"/>
    <cellStyle name="Comma 2 2 5 2 2 2 3 3 2 2" xfId="18302"/>
    <cellStyle name="Comma 2 2 5 2 2 2 3 3 2 2 2" xfId="51128"/>
    <cellStyle name="Comma 2 2 5 2 2 2 3 3 2 2 2 2" xfId="53628"/>
    <cellStyle name="Comma 2 2 5 2 2 2 3 3 2 3" xfId="31803"/>
    <cellStyle name="Comma 2 2 5 2 2 2 3 3 3" xfId="29302"/>
    <cellStyle name="Comma 2 2 5 2 2 2 3 3 3 2" xfId="40163"/>
    <cellStyle name="Comma 2 2 5 2 2 2 3 4" xfId="9928"/>
    <cellStyle name="Comma 2 2 5 2 2 2 3 4 2" xfId="37610"/>
    <cellStyle name="Comma 2 2 5 2 2 2 3 4 2 2" xfId="45295"/>
    <cellStyle name="Comma 2 2 5 2 2 2 3 5" xfId="23418"/>
    <cellStyle name="Comma 2 2 5 2 2 2 4" xfId="4148"/>
    <cellStyle name="Comma 2 2 5 2 2 2 4 2" xfId="5930"/>
    <cellStyle name="Comma 2 2 5 2 2 2 4 2 2" xfId="17741"/>
    <cellStyle name="Comma 2 2 5 2 2 2 4 2 2 2" xfId="19497"/>
    <cellStyle name="Comma 2 2 5 2 2 2 4 2 2 2 2" xfId="53068"/>
    <cellStyle name="Comma 2 2 5 2 2 2 4 2 2 2 2 2" xfId="54823"/>
    <cellStyle name="Comma 2 2 5 2 2 2 4 2 2 3" xfId="32998"/>
    <cellStyle name="Comma 2 2 5 2 2 2 4 2 3" xfId="31243"/>
    <cellStyle name="Comma 2 2 5 2 2 2 4 2 3 2" xfId="41364"/>
    <cellStyle name="Comma 2 2 5 2 2 2 4 3" xfId="11155"/>
    <cellStyle name="Comma 2 2 5 2 2 2 4 3 2" xfId="39591"/>
    <cellStyle name="Comma 2 2 5 2 2 2 4 3 2 2" xfId="46513"/>
    <cellStyle name="Comma 2 2 5 2 2 2 4 4" xfId="24648"/>
    <cellStyle name="Comma 2 2 5 2 2 2 5" xfId="9339"/>
    <cellStyle name="Comma 2 2 5 2 2 2 5 2" xfId="14314"/>
    <cellStyle name="Comma 2 2 5 2 2 2 5 2 2" xfId="44721"/>
    <cellStyle name="Comma 2 2 5 2 2 2 5 2 2 2" xfId="49659"/>
    <cellStyle name="Comma 2 2 5 2 2 2 5 3" xfId="27824"/>
    <cellStyle name="Comma 2 2 5 2 2 2 6" xfId="22835"/>
    <cellStyle name="Comma 2 2 5 2 2 2 6 2" xfId="36126"/>
    <cellStyle name="Comma 2 2 5 2 2 3" xfId="927"/>
    <cellStyle name="Comma 2 2 5 2 2 3 2" xfId="2611"/>
    <cellStyle name="Comma 2 2 5 2 2 3 2 2" xfId="2965"/>
    <cellStyle name="Comma 2 2 5 2 2 3 2 2 2" xfId="7831"/>
    <cellStyle name="Comma 2 2 5 2 2 3 2 2 2 2" xfId="8180"/>
    <cellStyle name="Comma 2 2 5 2 2 3 2 2 2 2 2" xfId="21383"/>
    <cellStyle name="Comma 2 2 5 2 2 3 2 2 2 2 2 2" xfId="21732"/>
    <cellStyle name="Comma 2 2 5 2 2 3 2 2 2 2 2 2 2" xfId="56709"/>
    <cellStyle name="Comma 2 2 5 2 2 3 2 2 2 2 2 2 2 2" xfId="57058"/>
    <cellStyle name="Comma 2 2 5 2 2 3 2 2 2 2 2 3" xfId="35235"/>
    <cellStyle name="Comma 2 2 5 2 2 3 2 2 2 2 3" xfId="34886"/>
    <cellStyle name="Comma 2 2 5 2 2 3 2 2 2 2 3 2" xfId="43607"/>
    <cellStyle name="Comma 2 2 5 2 2 3 2 2 2 3" xfId="13405"/>
    <cellStyle name="Comma 2 2 5 2 2 3 2 2 2 3 2" xfId="43258"/>
    <cellStyle name="Comma 2 2 5 2 2 3 2 2 2 3 2 2" xfId="48751"/>
    <cellStyle name="Comma 2 2 5 2 2 3 2 2 2 4" xfId="26890"/>
    <cellStyle name="Comma 2 2 5 2 2 3 2 2 3" xfId="13056"/>
    <cellStyle name="Comma 2 2 5 2 2 3 2 2 3 2" xfId="16622"/>
    <cellStyle name="Comma 2 2 5 2 2 3 2 2 3 2 2" xfId="48402"/>
    <cellStyle name="Comma 2 2 5 2 2 3 2 2 3 2 2 2" xfId="51950"/>
    <cellStyle name="Comma 2 2 5 2 2 3 2 2 3 3" xfId="30124"/>
    <cellStyle name="Comma 2 2 5 2 2 3 2 2 4" xfId="26540"/>
    <cellStyle name="Comma 2 2 5 2 2 3 2 2 4 2" xfId="38434"/>
    <cellStyle name="Comma 2 2 5 2 2 3 2 3" xfId="5001"/>
    <cellStyle name="Comma 2 2 5 2 2 3 2 3 2" xfId="16270"/>
    <cellStyle name="Comma 2 2 5 2 2 3 2 3 2 2" xfId="18574"/>
    <cellStyle name="Comma 2 2 5 2 2 3 2 3 2 2 2" xfId="51600"/>
    <cellStyle name="Comma 2 2 5 2 2 3 2 3 2 2 2 2" xfId="53900"/>
    <cellStyle name="Comma 2 2 5 2 2 3 2 3 2 3" xfId="32075"/>
    <cellStyle name="Comma 2 2 5 2 2 3 2 3 3" xfId="29774"/>
    <cellStyle name="Comma 2 2 5 2 2 3 2 3 3 2" xfId="40438"/>
    <cellStyle name="Comma 2 2 5 2 2 3 2 4" xfId="10204"/>
    <cellStyle name="Comma 2 2 5 2 2 3 2 4 2" xfId="38084"/>
    <cellStyle name="Comma 2 2 5 2 2 3 2 4 2 2" xfId="45567"/>
    <cellStyle name="Comma 2 2 5 2 2 3 2 5" xfId="23690"/>
    <cellStyle name="Comma 2 2 5 2 2 3 3" xfId="4645"/>
    <cellStyle name="Comma 2 2 5 2 2 3 3 2" xfId="6238"/>
    <cellStyle name="Comma 2 2 5 2 2 3 3 2 2" xfId="18225"/>
    <cellStyle name="Comma 2 2 5 2 2 3 3 2 2 2" xfId="19795"/>
    <cellStyle name="Comma 2 2 5 2 2 3 3 2 2 2 2" xfId="53551"/>
    <cellStyle name="Comma 2 2 5 2 2 3 3 2 2 2 2 2" xfId="55121"/>
    <cellStyle name="Comma 2 2 5 2 2 3 3 2 2 3" xfId="33297"/>
    <cellStyle name="Comma 2 2 5 2 2 3 3 2 3" xfId="31726"/>
    <cellStyle name="Comma 2 2 5 2 2 3 3 2 3 2" xfId="41667"/>
    <cellStyle name="Comma 2 2 5 2 2 3 3 3" xfId="11463"/>
    <cellStyle name="Comma 2 2 5 2 2 3 3 3 2" xfId="40084"/>
    <cellStyle name="Comma 2 2 5 2 2 3 3 3 2 2" xfId="46812"/>
    <cellStyle name="Comma 2 2 5 2 2 3 3 4" xfId="24949"/>
    <cellStyle name="Comma 2 2 5 2 2 3 4" xfId="9848"/>
    <cellStyle name="Comma 2 2 5 2 2 3 4 2" xfId="14621"/>
    <cellStyle name="Comma 2 2 5 2 2 3 4 2 2" xfId="45218"/>
    <cellStyle name="Comma 2 2 5 2 2 3 4 2 2 2" xfId="49960"/>
    <cellStyle name="Comma 2 2 5 2 2 3 4 3" xfId="28132"/>
    <cellStyle name="Comma 2 2 5 2 2 3 5" xfId="23341"/>
    <cellStyle name="Comma 2 2 5 2 2 3 5 2" xfId="36429"/>
    <cellStyle name="Comma 2 2 5 2 2 4" xfId="1723"/>
    <cellStyle name="Comma 2 2 5 2 2 4 2" xfId="5850"/>
    <cellStyle name="Comma 2 2 5 2 2 4 2 2" xfId="6976"/>
    <cellStyle name="Comma 2 2 5 2 2 4 2 2 2" xfId="19418"/>
    <cellStyle name="Comma 2 2 5 2 2 4 2 2 2 2" xfId="20529"/>
    <cellStyle name="Comma 2 2 5 2 2 4 2 2 2 2 2" xfId="54744"/>
    <cellStyle name="Comma 2 2 5 2 2 4 2 2 2 2 2 2" xfId="55855"/>
    <cellStyle name="Comma 2 2 5 2 2 4 2 2 2 3" xfId="34031"/>
    <cellStyle name="Comma 2 2 5 2 2 4 2 2 3" xfId="32919"/>
    <cellStyle name="Comma 2 2 5 2 2 4 2 2 3 2" xfId="42404"/>
    <cellStyle name="Comma 2 2 5 2 2 4 2 3" xfId="12200"/>
    <cellStyle name="Comma 2 2 5 2 2 4 2 3 2" xfId="41285"/>
    <cellStyle name="Comma 2 2 5 2 2 4 2 3 2 2" xfId="47547"/>
    <cellStyle name="Comma 2 2 5 2 2 4 2 4" xfId="25685"/>
    <cellStyle name="Comma 2 2 5 2 2 4 3" xfId="11073"/>
    <cellStyle name="Comma 2 2 5 2 2 4 3 2" xfId="15395"/>
    <cellStyle name="Comma 2 2 5 2 2 4 3 2 2" xfId="46432"/>
    <cellStyle name="Comma 2 2 5 2 2 4 3 2 2 2" xfId="50728"/>
    <cellStyle name="Comma 2 2 5 2 2 4 3 3" xfId="28902"/>
    <cellStyle name="Comma 2 2 5 2 2 4 4" xfId="24567"/>
    <cellStyle name="Comma 2 2 5 2 2 4 4 2" xfId="37205"/>
    <cellStyle name="Comma 2 2 5 2 2 5" xfId="3728"/>
    <cellStyle name="Comma 2 2 5 2 2 5 2" xfId="14234"/>
    <cellStyle name="Comma 2 2 5 2 2 5 2 2" xfId="17344"/>
    <cellStyle name="Comma 2 2 5 2 2 5 2 2 2" xfId="49579"/>
    <cellStyle name="Comma 2 2 5 2 2 5 2 2 2 2" xfId="52671"/>
    <cellStyle name="Comma 2 2 5 2 2 5 2 3" xfId="30845"/>
    <cellStyle name="Comma 2 2 5 2 2 5 3" xfId="27741"/>
    <cellStyle name="Comma 2 2 5 2 2 5 3 2" xfId="39179"/>
    <cellStyle name="Comma 2 2 5 2 2 6" xfId="8918"/>
    <cellStyle name="Comma 2 2 5 2 2 6 2" xfId="36046"/>
    <cellStyle name="Comma 2 2 5 2 2 6 2 2" xfId="44317"/>
    <cellStyle name="Comma 2 2 5 2 2 7" xfId="22425"/>
    <cellStyle name="Comma 2 2 5 2 3" xfId="842"/>
    <cellStyle name="Comma 2 2 5 2 3 2" xfId="1119"/>
    <cellStyle name="Comma 2 2 5 2 3 2 2" xfId="2894"/>
    <cellStyle name="Comma 2 2 5 2 3 2 2 2" xfId="3144"/>
    <cellStyle name="Comma 2 2 5 2 3 2 2 2 2" xfId="8109"/>
    <cellStyle name="Comma 2 2 5 2 3 2 2 2 2 2" xfId="8359"/>
    <cellStyle name="Comma 2 2 5 2 3 2 2 2 2 2 2" xfId="21661"/>
    <cellStyle name="Comma 2 2 5 2 3 2 2 2 2 2 2 2" xfId="21911"/>
    <cellStyle name="Comma 2 2 5 2 3 2 2 2 2 2 2 2 2" xfId="56987"/>
    <cellStyle name="Comma 2 2 5 2 3 2 2 2 2 2 2 2 2 2" xfId="57237"/>
    <cellStyle name="Comma 2 2 5 2 3 2 2 2 2 2 2 3" xfId="35414"/>
    <cellStyle name="Comma 2 2 5 2 3 2 2 2 2 2 3" xfId="35164"/>
    <cellStyle name="Comma 2 2 5 2 3 2 2 2 2 2 3 2" xfId="43786"/>
    <cellStyle name="Comma 2 2 5 2 3 2 2 2 2 3" xfId="13584"/>
    <cellStyle name="Comma 2 2 5 2 3 2 2 2 2 3 2" xfId="43536"/>
    <cellStyle name="Comma 2 2 5 2 3 2 2 2 2 3 2 2" xfId="48930"/>
    <cellStyle name="Comma 2 2 5 2 3 2 2 2 2 4" xfId="27069"/>
    <cellStyle name="Comma 2 2 5 2 3 2 2 2 3" xfId="13334"/>
    <cellStyle name="Comma 2 2 5 2 3 2 2 2 3 2" xfId="16801"/>
    <cellStyle name="Comma 2 2 5 2 3 2 2 2 3 2 2" xfId="48680"/>
    <cellStyle name="Comma 2 2 5 2 3 2 2 2 3 2 2 2" xfId="52129"/>
    <cellStyle name="Comma 2 2 5 2 3 2 2 2 3 3" xfId="30303"/>
    <cellStyle name="Comma 2 2 5 2 3 2 2 2 4" xfId="26819"/>
    <cellStyle name="Comma 2 2 5 2 3 2 2 2 4 2" xfId="38613"/>
    <cellStyle name="Comma 2 2 5 2 3 2 2 3" xfId="5181"/>
    <cellStyle name="Comma 2 2 5 2 3 2 2 3 2" xfId="16551"/>
    <cellStyle name="Comma 2 2 5 2 3 2 2 3 2 2" xfId="18754"/>
    <cellStyle name="Comma 2 2 5 2 3 2 2 3 2 2 2" xfId="51879"/>
    <cellStyle name="Comma 2 2 5 2 3 2 2 3 2 2 2 2" xfId="54080"/>
    <cellStyle name="Comma 2 2 5 2 3 2 2 3 2 3" xfId="32255"/>
    <cellStyle name="Comma 2 2 5 2 3 2 2 3 3" xfId="30053"/>
    <cellStyle name="Comma 2 2 5 2 3 2 2 3 3 2" xfId="40618"/>
    <cellStyle name="Comma 2 2 5 2 3 2 2 4" xfId="10384"/>
    <cellStyle name="Comma 2 2 5 2 3 2 2 4 2" xfId="38363"/>
    <cellStyle name="Comma 2 2 5 2 3 2 2 4 2 2" xfId="45747"/>
    <cellStyle name="Comma 2 2 5 2 3 2 2 5" xfId="23870"/>
    <cellStyle name="Comma 2 2 5 2 3 2 3" xfId="4930"/>
    <cellStyle name="Comma 2 2 5 2 3 2 3 2" xfId="6427"/>
    <cellStyle name="Comma 2 2 5 2 3 2 3 2 2" xfId="18503"/>
    <cellStyle name="Comma 2 2 5 2 3 2 3 2 2 2" xfId="19982"/>
    <cellStyle name="Comma 2 2 5 2 3 2 3 2 2 2 2" xfId="53829"/>
    <cellStyle name="Comma 2 2 5 2 3 2 3 2 2 2 2 2" xfId="55308"/>
    <cellStyle name="Comma 2 2 5 2 3 2 3 2 2 3" xfId="33484"/>
    <cellStyle name="Comma 2 2 5 2 3 2 3 2 3" xfId="32004"/>
    <cellStyle name="Comma 2 2 5 2 3 2 3 2 3 2" xfId="41855"/>
    <cellStyle name="Comma 2 2 5 2 3 2 3 3" xfId="11651"/>
    <cellStyle name="Comma 2 2 5 2 3 2 3 3 2" xfId="40367"/>
    <cellStyle name="Comma 2 2 5 2 3 2 3 3 2 2" xfId="47000"/>
    <cellStyle name="Comma 2 2 5 2 3 2 3 4" xfId="25137"/>
    <cellStyle name="Comma 2 2 5 2 3 2 4" xfId="10133"/>
    <cellStyle name="Comma 2 2 5 2 3 2 4 2" xfId="14810"/>
    <cellStyle name="Comma 2 2 5 2 3 2 4 2 2" xfId="45496"/>
    <cellStyle name="Comma 2 2 5 2 3 2 4 2 2 2" xfId="50149"/>
    <cellStyle name="Comma 2 2 5 2 3 2 4 3" xfId="28322"/>
    <cellStyle name="Comma 2 2 5 2 3 2 5" xfId="23619"/>
    <cellStyle name="Comma 2 2 5 2 3 2 5 2" xfId="36618"/>
    <cellStyle name="Comma 2 2 5 2 3 3" xfId="1927"/>
    <cellStyle name="Comma 2 2 5 2 3 3 2" xfId="6157"/>
    <cellStyle name="Comma 2 2 5 2 3 3 2 2" xfId="7166"/>
    <cellStyle name="Comma 2 2 5 2 3 3 2 2 2" xfId="19717"/>
    <cellStyle name="Comma 2 2 5 2 3 3 2 2 2 2" xfId="20718"/>
    <cellStyle name="Comma 2 2 5 2 3 3 2 2 2 2 2" xfId="55043"/>
    <cellStyle name="Comma 2 2 5 2 3 3 2 2 2 2 2 2" xfId="56044"/>
    <cellStyle name="Comma 2 2 5 2 3 3 2 2 2 3" xfId="34221"/>
    <cellStyle name="Comma 2 2 5 2 3 3 2 2 3" xfId="33219"/>
    <cellStyle name="Comma 2 2 5 2 3 3 2 2 3 2" xfId="42593"/>
    <cellStyle name="Comma 2 2 5 2 3 3 2 3" xfId="12391"/>
    <cellStyle name="Comma 2 2 5 2 3 3 2 3 2" xfId="41588"/>
    <cellStyle name="Comma 2 2 5 2 3 3 2 3 2 2" xfId="47737"/>
    <cellStyle name="Comma 2 2 5 2 3 3 2 4" xfId="25875"/>
    <cellStyle name="Comma 2 2 5 2 3 3 3" xfId="11383"/>
    <cellStyle name="Comma 2 2 5 2 3 3 3 2" xfId="15592"/>
    <cellStyle name="Comma 2 2 5 2 3 3 3 2 2" xfId="46734"/>
    <cellStyle name="Comma 2 2 5 2 3 3 3 2 2 2" xfId="50924"/>
    <cellStyle name="Comma 2 2 5 2 3 3 3 3" xfId="29098"/>
    <cellStyle name="Comma 2 2 5 2 3 3 4" xfId="24871"/>
    <cellStyle name="Comma 2 2 5 2 3 3 4 2" xfId="37405"/>
    <cellStyle name="Comma 2 2 5 2 3 4" xfId="3941"/>
    <cellStyle name="Comma 2 2 5 2 3 4 2" xfId="14540"/>
    <cellStyle name="Comma 2 2 5 2 3 4 2 2" xfId="17541"/>
    <cellStyle name="Comma 2 2 5 2 3 4 2 2 2" xfId="49881"/>
    <cellStyle name="Comma 2 2 5 2 3 4 2 2 2 2" xfId="52868"/>
    <cellStyle name="Comma 2 2 5 2 3 4 2 3" xfId="31043"/>
    <cellStyle name="Comma 2 2 5 2 3 4 3" xfId="28051"/>
    <cellStyle name="Comma 2 2 5 2 3 4 3 2" xfId="39385"/>
    <cellStyle name="Comma 2 2 5 2 3 5" xfId="9133"/>
    <cellStyle name="Comma 2 2 5 2 3 5 2" xfId="36350"/>
    <cellStyle name="Comma 2 2 5 2 3 5 2 2" xfId="44521"/>
    <cellStyle name="Comma 2 2 5 2 3 6" xfId="22635"/>
    <cellStyle name="Comma 2 2 5 2 4" xfId="1637"/>
    <cellStyle name="Comma 2 2 5 2 4 2" xfId="2375"/>
    <cellStyle name="Comma 2 2 5 2 4 2 2" xfId="6903"/>
    <cellStyle name="Comma 2 2 5 2 4 2 2 2" xfId="7608"/>
    <cellStyle name="Comma 2 2 5 2 4 2 2 2 2" xfId="20456"/>
    <cellStyle name="Comma 2 2 5 2 4 2 2 2 2 2" xfId="21160"/>
    <cellStyle name="Comma 2 2 5 2 4 2 2 2 2 2 2" xfId="55782"/>
    <cellStyle name="Comma 2 2 5 2 4 2 2 2 2 2 2 2" xfId="56486"/>
    <cellStyle name="Comma 2 2 5 2 4 2 2 2 2 3" xfId="34663"/>
    <cellStyle name="Comma 2 2 5 2 4 2 2 2 3" xfId="33958"/>
    <cellStyle name="Comma 2 2 5 2 4 2 2 2 3 2" xfId="43035"/>
    <cellStyle name="Comma 2 2 5 2 4 2 2 3" xfId="12833"/>
    <cellStyle name="Comma 2 2 5 2 4 2 2 3 2" xfId="42331"/>
    <cellStyle name="Comma 2 2 5 2 4 2 2 3 2 2" xfId="48179"/>
    <cellStyle name="Comma 2 2 5 2 4 2 2 4" xfId="26317"/>
    <cellStyle name="Comma 2 2 5 2 4 2 3" xfId="12127"/>
    <cellStyle name="Comma 2 2 5 2 4 2 3 2" xfId="16038"/>
    <cellStyle name="Comma 2 2 5 2 4 2 3 2 2" xfId="47474"/>
    <cellStyle name="Comma 2 2 5 2 4 2 3 2 2 2" xfId="51370"/>
    <cellStyle name="Comma 2 2 5 2 4 2 3 3" xfId="29544"/>
    <cellStyle name="Comma 2 2 5 2 4 2 4" xfId="25612"/>
    <cellStyle name="Comma 2 2 5 2 4 2 4 2" xfId="37853"/>
    <cellStyle name="Comma 2 2 5 2 4 3" xfId="4409"/>
    <cellStyle name="Comma 2 2 5 2 4 3 2" xfId="15311"/>
    <cellStyle name="Comma 2 2 5 2 4 3 2 2" xfId="18000"/>
    <cellStyle name="Comma 2 2 5 2 4 3 2 2 2" xfId="50646"/>
    <cellStyle name="Comma 2 2 5 2 4 3 2 2 2 2" xfId="53326"/>
    <cellStyle name="Comma 2 2 5 2 4 3 2 3" xfId="31501"/>
    <cellStyle name="Comma 2 2 5 2 4 3 3" xfId="28820"/>
    <cellStyle name="Comma 2 2 5 2 4 3 3 2" xfId="39851"/>
    <cellStyle name="Comma 2 2 5 2 4 4" xfId="9612"/>
    <cellStyle name="Comma 2 2 5 2 4 4 2" xfId="37122"/>
    <cellStyle name="Comma 2 2 5 2 4 4 2 2" xfId="44992"/>
    <cellStyle name="Comma 2 2 5 2 4 5" xfId="23113"/>
    <cellStyle name="Comma 2 2 5 2 5" xfId="3641"/>
    <cellStyle name="Comma 2 2 5 2 5 2" xfId="5616"/>
    <cellStyle name="Comma 2 2 5 2 5 2 2" xfId="17271"/>
    <cellStyle name="Comma 2 2 5 2 5 2 2 2" xfId="19188"/>
    <cellStyle name="Comma 2 2 5 2 5 2 2 2 2" xfId="52598"/>
    <cellStyle name="Comma 2 2 5 2 5 2 2 2 2 2" xfId="54514"/>
    <cellStyle name="Comma 2 2 5 2 5 2 2 3" xfId="32689"/>
    <cellStyle name="Comma 2 2 5 2 5 2 3" xfId="30772"/>
    <cellStyle name="Comma 2 2 5 2 5 2 3 2" xfId="41052"/>
    <cellStyle name="Comma 2 2 5 2 5 3" xfId="10832"/>
    <cellStyle name="Comma 2 2 5 2 5 3 2" xfId="39096"/>
    <cellStyle name="Comma 2 2 5 2 5 3 2 2" xfId="46194"/>
    <cellStyle name="Comma 2 2 5 2 5 4" xfId="24324"/>
    <cellStyle name="Comma 2 2 5 2 6" xfId="8836"/>
    <cellStyle name="Comma 2 2 5 2 6 2" xfId="14000"/>
    <cellStyle name="Comma 2 2 5 2 6 2 2" xfId="44243"/>
    <cellStyle name="Comma 2 2 5 2 6 2 2 2" xfId="49346"/>
    <cellStyle name="Comma 2 2 5 2 6 3" xfId="27494"/>
    <cellStyle name="Comma 2 2 5 2 7" xfId="22351"/>
    <cellStyle name="Comma 2 2 5 2 7 2" xfId="35812"/>
    <cellStyle name="Comma 2 2 5 3" xfId="394"/>
    <cellStyle name="Comma 2 2 5 3 2" xfId="1018"/>
    <cellStyle name="Comma 2 2 5 3 2 2" xfId="1225"/>
    <cellStyle name="Comma 2 2 5 3 2 2 2" xfId="3055"/>
    <cellStyle name="Comma 2 2 5 3 2 2 2 2" xfId="3243"/>
    <cellStyle name="Comma 2 2 5 3 2 2 2 2 2" xfId="8270"/>
    <cellStyle name="Comma 2 2 5 3 2 2 2 2 2 2" xfId="8458"/>
    <cellStyle name="Comma 2 2 5 3 2 2 2 2 2 2 2" xfId="21822"/>
    <cellStyle name="Comma 2 2 5 3 2 2 2 2 2 2 2 2" xfId="22010"/>
    <cellStyle name="Comma 2 2 5 3 2 2 2 2 2 2 2 2 2" xfId="57148"/>
    <cellStyle name="Comma 2 2 5 3 2 2 2 2 2 2 2 2 2 2" xfId="57336"/>
    <cellStyle name="Comma 2 2 5 3 2 2 2 2 2 2 2 3" xfId="35513"/>
    <cellStyle name="Comma 2 2 5 3 2 2 2 2 2 2 3" xfId="35325"/>
    <cellStyle name="Comma 2 2 5 3 2 2 2 2 2 2 3 2" xfId="43885"/>
    <cellStyle name="Comma 2 2 5 3 2 2 2 2 2 3" xfId="13683"/>
    <cellStyle name="Comma 2 2 5 3 2 2 2 2 2 3 2" xfId="43697"/>
    <cellStyle name="Comma 2 2 5 3 2 2 2 2 2 3 2 2" xfId="49029"/>
    <cellStyle name="Comma 2 2 5 3 2 2 2 2 2 4" xfId="27168"/>
    <cellStyle name="Comma 2 2 5 3 2 2 2 2 3" xfId="13495"/>
    <cellStyle name="Comma 2 2 5 3 2 2 2 2 3 2" xfId="16900"/>
    <cellStyle name="Comma 2 2 5 3 2 2 2 2 3 2 2" xfId="48841"/>
    <cellStyle name="Comma 2 2 5 3 2 2 2 2 3 2 2 2" xfId="52228"/>
    <cellStyle name="Comma 2 2 5 3 2 2 2 2 3 3" xfId="30402"/>
    <cellStyle name="Comma 2 2 5 3 2 2 2 2 4" xfId="26980"/>
    <cellStyle name="Comma 2 2 5 3 2 2 2 2 4 2" xfId="38712"/>
    <cellStyle name="Comma 2 2 5 3 2 2 2 3" xfId="5280"/>
    <cellStyle name="Comma 2 2 5 3 2 2 2 3 2" xfId="16712"/>
    <cellStyle name="Comma 2 2 5 3 2 2 2 3 2 2" xfId="18853"/>
    <cellStyle name="Comma 2 2 5 3 2 2 2 3 2 2 2" xfId="52040"/>
    <cellStyle name="Comma 2 2 5 3 2 2 2 3 2 2 2 2" xfId="54179"/>
    <cellStyle name="Comma 2 2 5 3 2 2 2 3 2 3" xfId="32354"/>
    <cellStyle name="Comma 2 2 5 3 2 2 2 3 3" xfId="30214"/>
    <cellStyle name="Comma 2 2 5 3 2 2 2 3 3 2" xfId="40717"/>
    <cellStyle name="Comma 2 2 5 3 2 2 2 4" xfId="10483"/>
    <cellStyle name="Comma 2 2 5 3 2 2 2 4 2" xfId="38524"/>
    <cellStyle name="Comma 2 2 5 3 2 2 2 4 2 2" xfId="45846"/>
    <cellStyle name="Comma 2 2 5 3 2 2 2 5" xfId="23969"/>
    <cellStyle name="Comma 2 2 5 3 2 2 3" xfId="5092"/>
    <cellStyle name="Comma 2 2 5 3 2 2 3 2" xfId="6533"/>
    <cellStyle name="Comma 2 2 5 3 2 2 3 2 2" xfId="18665"/>
    <cellStyle name="Comma 2 2 5 3 2 2 3 2 2 2" xfId="20086"/>
    <cellStyle name="Comma 2 2 5 3 2 2 3 2 2 2 2" xfId="53991"/>
    <cellStyle name="Comma 2 2 5 3 2 2 3 2 2 2 2 2" xfId="55412"/>
    <cellStyle name="Comma 2 2 5 3 2 2 3 2 2 3" xfId="33588"/>
    <cellStyle name="Comma 2 2 5 3 2 2 3 2 3" xfId="32166"/>
    <cellStyle name="Comma 2 2 5 3 2 2 3 2 3 2" xfId="41961"/>
    <cellStyle name="Comma 2 2 5 3 2 2 3 3" xfId="11756"/>
    <cellStyle name="Comma 2 2 5 3 2 2 3 3 2" xfId="40529"/>
    <cellStyle name="Comma 2 2 5 3 2 2 3 3 2 2" xfId="47104"/>
    <cellStyle name="Comma 2 2 5 3 2 2 3 4" xfId="25241"/>
    <cellStyle name="Comma 2 2 5 3 2 2 4" xfId="10295"/>
    <cellStyle name="Comma 2 2 5 3 2 2 4 2" xfId="14914"/>
    <cellStyle name="Comma 2 2 5 3 2 2 4 2 2" xfId="45658"/>
    <cellStyle name="Comma 2 2 5 3 2 2 4 2 2 2" xfId="50253"/>
    <cellStyle name="Comma 2 2 5 3 2 2 4 3" xfId="28427"/>
    <cellStyle name="Comma 2 2 5 3 2 2 5" xfId="23781"/>
    <cellStyle name="Comma 2 2 5 3 2 2 5 2" xfId="36722"/>
    <cellStyle name="Comma 2 2 5 3 2 3" xfId="2031"/>
    <cellStyle name="Comma 2 2 5 3 2 3 2" xfId="6328"/>
    <cellStyle name="Comma 2 2 5 3 2 3 2 2" xfId="7265"/>
    <cellStyle name="Comma 2 2 5 3 2 3 2 2 2" xfId="19885"/>
    <cellStyle name="Comma 2 2 5 3 2 3 2 2 2 2" xfId="20817"/>
    <cellStyle name="Comma 2 2 5 3 2 3 2 2 2 2 2" xfId="55211"/>
    <cellStyle name="Comma 2 2 5 3 2 3 2 2 2 2 2 2" xfId="56143"/>
    <cellStyle name="Comma 2 2 5 3 2 3 2 2 2 3" xfId="34320"/>
    <cellStyle name="Comma 2 2 5 3 2 3 2 2 3" xfId="33387"/>
    <cellStyle name="Comma 2 2 5 3 2 3 2 2 3 2" xfId="42692"/>
    <cellStyle name="Comma 2 2 5 3 2 3 2 3" xfId="12490"/>
    <cellStyle name="Comma 2 2 5 3 2 3 2 3 2" xfId="41757"/>
    <cellStyle name="Comma 2 2 5 3 2 3 2 3 2 2" xfId="47836"/>
    <cellStyle name="Comma 2 2 5 3 2 3 2 4" xfId="25974"/>
    <cellStyle name="Comma 2 2 5 3 2 3 3" xfId="11554"/>
    <cellStyle name="Comma 2 2 5 3 2 3 3 2" xfId="15695"/>
    <cellStyle name="Comma 2 2 5 3 2 3 3 2 2" xfId="46903"/>
    <cellStyle name="Comma 2 2 5 3 2 3 3 2 2 2" xfId="51027"/>
    <cellStyle name="Comma 2 2 5 3 2 3 3 3" xfId="29201"/>
    <cellStyle name="Comma 2 2 5 3 2 3 4" xfId="25040"/>
    <cellStyle name="Comma 2 2 5 3 2 3 4 2" xfId="37509"/>
    <cellStyle name="Comma 2 2 5 3 2 4" xfId="4047"/>
    <cellStyle name="Comma 2 2 5 3 2 4 2" xfId="14711"/>
    <cellStyle name="Comma 2 2 5 3 2 4 2 2" xfId="17640"/>
    <cellStyle name="Comma 2 2 5 3 2 4 2 2 2" xfId="50050"/>
    <cellStyle name="Comma 2 2 5 3 2 4 2 2 2 2" xfId="52967"/>
    <cellStyle name="Comma 2 2 5 3 2 4 2 3" xfId="31142"/>
    <cellStyle name="Comma 2 2 5 3 2 4 3" xfId="28223"/>
    <cellStyle name="Comma 2 2 5 3 2 4 3 2" xfId="39490"/>
    <cellStyle name="Comma 2 2 5 3 2 5" xfId="9238"/>
    <cellStyle name="Comma 2 2 5 3 2 5 2" xfId="36519"/>
    <cellStyle name="Comma 2 2 5 3 2 5 2 2" xfId="44620"/>
    <cellStyle name="Comma 2 2 5 3 2 6" xfId="22734"/>
    <cellStyle name="Comma 2 2 5 3 3" xfId="1821"/>
    <cellStyle name="Comma 2 2 5 3 3 2" xfId="2496"/>
    <cellStyle name="Comma 2 2 5 3 3 2 2" xfId="7073"/>
    <cellStyle name="Comma 2 2 5 3 3 2 2 2" xfId="7721"/>
    <cellStyle name="Comma 2 2 5 3 3 2 2 2 2" xfId="20626"/>
    <cellStyle name="Comma 2 2 5 3 3 2 2 2 2 2" xfId="21273"/>
    <cellStyle name="Comma 2 2 5 3 3 2 2 2 2 2 2" xfId="55952"/>
    <cellStyle name="Comma 2 2 5 3 3 2 2 2 2 2 2 2" xfId="56599"/>
    <cellStyle name="Comma 2 2 5 3 3 2 2 2 2 3" xfId="34776"/>
    <cellStyle name="Comma 2 2 5 3 3 2 2 2 3" xfId="34128"/>
    <cellStyle name="Comma 2 2 5 3 3 2 2 2 3 2" xfId="43148"/>
    <cellStyle name="Comma 2 2 5 3 3 2 2 3" xfId="12946"/>
    <cellStyle name="Comma 2 2 5 3 3 2 2 3 2" xfId="42501"/>
    <cellStyle name="Comma 2 2 5 3 3 2 2 3 2 2" xfId="48292"/>
    <cellStyle name="Comma 2 2 5 3 3 2 2 4" xfId="26430"/>
    <cellStyle name="Comma 2 2 5 3 3 2 3" xfId="12297"/>
    <cellStyle name="Comma 2 2 5 3 3 2 3 2" xfId="16157"/>
    <cellStyle name="Comma 2 2 5 3 3 2 3 2 2" xfId="47644"/>
    <cellStyle name="Comma 2 2 5 3 3 2 3 2 2 2" xfId="51488"/>
    <cellStyle name="Comma 2 2 5 3 3 2 3 3" xfId="29662"/>
    <cellStyle name="Comma 2 2 5 3 3 2 4" xfId="25782"/>
    <cellStyle name="Comma 2 2 5 3 3 2 4 2" xfId="37971"/>
    <cellStyle name="Comma 2 2 5 3 3 3" xfId="4531"/>
    <cellStyle name="Comma 2 2 5 3 3 3 2" xfId="15493"/>
    <cellStyle name="Comma 2 2 5 3 3 3 2 2" xfId="18114"/>
    <cellStyle name="Comma 2 2 5 3 3 3 2 2 2" xfId="50826"/>
    <cellStyle name="Comma 2 2 5 3 3 3 2 2 2 2" xfId="53440"/>
    <cellStyle name="Comma 2 2 5 3 3 3 2 3" xfId="31615"/>
    <cellStyle name="Comma 2 2 5 3 3 3 3" xfId="29000"/>
    <cellStyle name="Comma 2 2 5 3 3 3 3 2" xfId="39972"/>
    <cellStyle name="Comma 2 2 5 3 3 4" xfId="9734"/>
    <cellStyle name="Comma 2 2 5 3 3 4 2" xfId="37303"/>
    <cellStyle name="Comma 2 2 5 3 3 4 2 2" xfId="45107"/>
    <cellStyle name="Comma 2 2 5 3 3 5" xfId="23230"/>
    <cellStyle name="Comma 2 2 5 3 4" xfId="3831"/>
    <cellStyle name="Comma 2 2 5 3 4 2" xfId="5737"/>
    <cellStyle name="Comma 2 2 5 3 4 2 2" xfId="17446"/>
    <cellStyle name="Comma 2 2 5 3 4 2 2 2" xfId="19306"/>
    <cellStyle name="Comma 2 2 5 3 4 2 2 2 2" xfId="52773"/>
    <cellStyle name="Comma 2 2 5 3 4 2 2 2 2 2" xfId="54632"/>
    <cellStyle name="Comma 2 2 5 3 4 2 2 3" xfId="32807"/>
    <cellStyle name="Comma 2 2 5 3 4 2 3" xfId="30947"/>
    <cellStyle name="Comma 2 2 5 3 4 2 3 2" xfId="41172"/>
    <cellStyle name="Comma 2 2 5 3 4 3" xfId="10958"/>
    <cellStyle name="Comma 2 2 5 3 4 3 2" xfId="39281"/>
    <cellStyle name="Comma 2 2 5 3 4 3 2 2" xfId="46317"/>
    <cellStyle name="Comma 2 2 5 3 4 4" xfId="24451"/>
    <cellStyle name="Comma 2 2 5 3 5" xfId="9023"/>
    <cellStyle name="Comma 2 2 5 3 5 2" xfId="14121"/>
    <cellStyle name="Comma 2 2 5 3 5 2 2" xfId="44421"/>
    <cellStyle name="Comma 2 2 5 3 5 2 2 2" xfId="49466"/>
    <cellStyle name="Comma 2 2 5 3 5 3" xfId="27623"/>
    <cellStyle name="Comma 2 2 5 3 6" xfId="22532"/>
    <cellStyle name="Comma 2 2 5 3 6 2" xfId="35932"/>
    <cellStyle name="Comma 2 2 5 4" xfId="708"/>
    <cellStyle name="Comma 2 2 5 4 2" xfId="2282"/>
    <cellStyle name="Comma 2 2 5 4 2 2" xfId="2780"/>
    <cellStyle name="Comma 2 2 5 4 2 2 2" xfId="7516"/>
    <cellStyle name="Comma 2 2 5 4 2 2 2 2" xfId="7997"/>
    <cellStyle name="Comma 2 2 5 4 2 2 2 2 2" xfId="21068"/>
    <cellStyle name="Comma 2 2 5 4 2 2 2 2 2 2" xfId="21549"/>
    <cellStyle name="Comma 2 2 5 4 2 2 2 2 2 2 2" xfId="56394"/>
    <cellStyle name="Comma 2 2 5 4 2 2 2 2 2 2 2 2" xfId="56875"/>
    <cellStyle name="Comma 2 2 5 4 2 2 2 2 2 3" xfId="35052"/>
    <cellStyle name="Comma 2 2 5 4 2 2 2 2 3" xfId="34571"/>
    <cellStyle name="Comma 2 2 5 4 2 2 2 2 3 2" xfId="43424"/>
    <cellStyle name="Comma 2 2 5 4 2 2 2 3" xfId="13222"/>
    <cellStyle name="Comma 2 2 5 4 2 2 2 3 2" xfId="42943"/>
    <cellStyle name="Comma 2 2 5 4 2 2 2 3 2 2" xfId="48568"/>
    <cellStyle name="Comma 2 2 5 4 2 2 2 4" xfId="26706"/>
    <cellStyle name="Comma 2 2 5 4 2 2 3" xfId="12741"/>
    <cellStyle name="Comma 2 2 5 4 2 2 3 2" xfId="16439"/>
    <cellStyle name="Comma 2 2 5 4 2 2 3 2 2" xfId="48087"/>
    <cellStyle name="Comma 2 2 5 4 2 2 3 2 2 2" xfId="51767"/>
    <cellStyle name="Comma 2 2 5 4 2 2 3 3" xfId="29941"/>
    <cellStyle name="Comma 2 2 5 4 2 2 4" xfId="26225"/>
    <cellStyle name="Comma 2 2 5 4 2 2 4 2" xfId="38251"/>
    <cellStyle name="Comma 2 2 5 4 2 3" xfId="4816"/>
    <cellStyle name="Comma 2 2 5 4 2 3 2" xfId="15946"/>
    <cellStyle name="Comma 2 2 5 4 2 3 2 2" xfId="18391"/>
    <cellStyle name="Comma 2 2 5 4 2 3 2 2 2" xfId="51278"/>
    <cellStyle name="Comma 2 2 5 4 2 3 2 2 2 2" xfId="53717"/>
    <cellStyle name="Comma 2 2 5 4 2 3 2 3" xfId="31892"/>
    <cellStyle name="Comma 2 2 5 4 2 3 3" xfId="29452"/>
    <cellStyle name="Comma 2 2 5 4 2 3 3 2" xfId="40253"/>
    <cellStyle name="Comma 2 2 5 4 2 4" xfId="10019"/>
    <cellStyle name="Comma 2 2 5 4 2 4 2" xfId="37760"/>
    <cellStyle name="Comma 2 2 5 4 2 4 2 2" xfId="45384"/>
    <cellStyle name="Comma 2 2 5 4 2 5" xfId="23507"/>
    <cellStyle name="Comma 2 2 5 4 3" xfId="4306"/>
    <cellStyle name="Comma 2 2 5 4 3 2" xfId="6033"/>
    <cellStyle name="Comma 2 2 5 4 3 2 2" xfId="17899"/>
    <cellStyle name="Comma 2 2 5 4 3 2 2 2" xfId="19597"/>
    <cellStyle name="Comma 2 2 5 4 3 2 2 2 2" xfId="53226"/>
    <cellStyle name="Comma 2 2 5 4 3 2 2 2 2 2" xfId="54923"/>
    <cellStyle name="Comma 2 2 5 4 3 2 2 3" xfId="33098"/>
    <cellStyle name="Comma 2 2 5 4 3 2 3" xfId="31401"/>
    <cellStyle name="Comma 2 2 5 4 3 2 3 2" xfId="41467"/>
    <cellStyle name="Comma 2 2 5 4 3 3" xfId="11258"/>
    <cellStyle name="Comma 2 2 5 4 3 3 2" xfId="39749"/>
    <cellStyle name="Comma 2 2 5 4 3 3 2 2" xfId="46613"/>
    <cellStyle name="Comma 2 2 5 4 3 4" xfId="24750"/>
    <cellStyle name="Comma 2 2 5 4 4" xfId="9500"/>
    <cellStyle name="Comma 2 2 5 4 4 2" xfId="14416"/>
    <cellStyle name="Comma 2 2 5 4 4 2 2" xfId="44882"/>
    <cellStyle name="Comma 2 2 5 4 4 2 2 2" xfId="49761"/>
    <cellStyle name="Comma 2 2 5 4 4 3" xfId="27929"/>
    <cellStyle name="Comma 2 2 5 4 5" xfId="22997"/>
    <cellStyle name="Comma 2 2 5 4 5 2" xfId="36229"/>
    <cellStyle name="Comma 2 2 5 5" xfId="1487"/>
    <cellStyle name="Comma 2 2 5 5 2" xfId="5521"/>
    <cellStyle name="Comma 2 2 5 5 2 2" xfId="6778"/>
    <cellStyle name="Comma 2 2 5 5 2 2 2" xfId="19094"/>
    <cellStyle name="Comma 2 2 5 5 2 2 2 2" xfId="20331"/>
    <cellStyle name="Comma 2 2 5 5 2 2 2 2 2" xfId="54420"/>
    <cellStyle name="Comma 2 2 5 5 2 2 2 2 2 2" xfId="55657"/>
    <cellStyle name="Comma 2 2 5 5 2 2 2 3" xfId="33833"/>
    <cellStyle name="Comma 2 2 5 5 2 2 3" xfId="32595"/>
    <cellStyle name="Comma 2 2 5 5 2 2 3 2" xfId="42206"/>
    <cellStyle name="Comma 2 2 5 5 2 3" xfId="12001"/>
    <cellStyle name="Comma 2 2 5 5 2 3 2" xfId="40958"/>
    <cellStyle name="Comma 2 2 5 5 2 3 2 2" xfId="47349"/>
    <cellStyle name="Comma 2 2 5 5 2 4" xfId="25486"/>
    <cellStyle name="Comma 2 2 5 5 3" xfId="10724"/>
    <cellStyle name="Comma 2 2 5 5 3 2" xfId="15171"/>
    <cellStyle name="Comma 2 2 5 5 3 2 2" xfId="46087"/>
    <cellStyle name="Comma 2 2 5 5 3 2 2 2" xfId="50509"/>
    <cellStyle name="Comma 2 2 5 5 3 3" xfId="28683"/>
    <cellStyle name="Comma 2 2 5 5 4" xfId="24210"/>
    <cellStyle name="Comma 2 2 5 5 4 2" xfId="36981"/>
    <cellStyle name="Comma 2 2 5 6" xfId="3486"/>
    <cellStyle name="Comma 2 2 5 6 2" xfId="9487"/>
    <cellStyle name="Comma 2 2 5 6 2 2" xfId="17140"/>
    <cellStyle name="Comma 2 2 5 6 2 2 2" xfId="44869"/>
    <cellStyle name="Comma 2 2 5 6 2 2 2 2" xfId="52468"/>
    <cellStyle name="Comma 2 2 5 6 2 3" xfId="30642"/>
    <cellStyle name="Comma 2 2 5 6 3" xfId="22983"/>
    <cellStyle name="Comma 2 2 5 6 3 2" xfId="38953"/>
    <cellStyle name="Comma 2 2 5 7" xfId="3541"/>
    <cellStyle name="Comma 2 2 5 7 2" xfId="30980"/>
    <cellStyle name="Comma 2 2 5 7 2 2" xfId="39002"/>
    <cellStyle name="Comma 2 2 5 8" xfId="1627"/>
    <cellStyle name="Comma 2 2 6" xfId="212"/>
    <cellStyle name="Comma 2 2 6 2" xfId="248"/>
    <cellStyle name="Comma 2 2 6 2 2" xfId="1086"/>
    <cellStyle name="Comma 2 2 6 2 2 2" xfId="1114"/>
    <cellStyle name="Comma 2 2 6 2 2 2 2" xfId="3116"/>
    <cellStyle name="Comma 2 2 6 2 2 2 2 2" xfId="3139"/>
    <cellStyle name="Comma 2 2 6 2 2 2 2 2 2" xfId="8331"/>
    <cellStyle name="Comma 2 2 6 2 2 2 2 2 2 2" xfId="8354"/>
    <cellStyle name="Comma 2 2 6 2 2 2 2 2 2 2 2" xfId="21883"/>
    <cellStyle name="Comma 2 2 6 2 2 2 2 2 2 2 2 2" xfId="21906"/>
    <cellStyle name="Comma 2 2 6 2 2 2 2 2 2 2 2 2 2" xfId="57209"/>
    <cellStyle name="Comma 2 2 6 2 2 2 2 2 2 2 2 2 2 2" xfId="57232"/>
    <cellStyle name="Comma 2 2 6 2 2 2 2 2 2 2 2 3" xfId="35409"/>
    <cellStyle name="Comma 2 2 6 2 2 2 2 2 2 2 3" xfId="35386"/>
    <cellStyle name="Comma 2 2 6 2 2 2 2 2 2 2 3 2" xfId="43781"/>
    <cellStyle name="Comma 2 2 6 2 2 2 2 2 2 3" xfId="13579"/>
    <cellStyle name="Comma 2 2 6 2 2 2 2 2 2 3 2" xfId="43758"/>
    <cellStyle name="Comma 2 2 6 2 2 2 2 2 2 3 2 2" xfId="48925"/>
    <cellStyle name="Comma 2 2 6 2 2 2 2 2 2 4" xfId="27064"/>
    <cellStyle name="Comma 2 2 6 2 2 2 2 2 3" xfId="13556"/>
    <cellStyle name="Comma 2 2 6 2 2 2 2 2 3 2" xfId="16796"/>
    <cellStyle name="Comma 2 2 6 2 2 2 2 2 3 2 2" xfId="48902"/>
    <cellStyle name="Comma 2 2 6 2 2 2 2 2 3 2 2 2" xfId="52124"/>
    <cellStyle name="Comma 2 2 6 2 2 2 2 2 3 3" xfId="30298"/>
    <cellStyle name="Comma 2 2 6 2 2 2 2 2 4" xfId="27041"/>
    <cellStyle name="Comma 2 2 6 2 2 2 2 2 4 2" xfId="38608"/>
    <cellStyle name="Comma 2 2 6 2 2 2 2 3" xfId="5176"/>
    <cellStyle name="Comma 2 2 6 2 2 2 2 3 2" xfId="16773"/>
    <cellStyle name="Comma 2 2 6 2 2 2 2 3 2 2" xfId="18749"/>
    <cellStyle name="Comma 2 2 6 2 2 2 2 3 2 2 2" xfId="52101"/>
    <cellStyle name="Comma 2 2 6 2 2 2 2 3 2 2 2 2" xfId="54075"/>
    <cellStyle name="Comma 2 2 6 2 2 2 2 3 2 3" xfId="32250"/>
    <cellStyle name="Comma 2 2 6 2 2 2 2 3 3" xfId="30275"/>
    <cellStyle name="Comma 2 2 6 2 2 2 2 3 3 2" xfId="40613"/>
    <cellStyle name="Comma 2 2 6 2 2 2 2 4" xfId="10379"/>
    <cellStyle name="Comma 2 2 6 2 2 2 2 4 2" xfId="38585"/>
    <cellStyle name="Comma 2 2 6 2 2 2 2 4 2 2" xfId="45742"/>
    <cellStyle name="Comma 2 2 6 2 2 2 2 5" xfId="23865"/>
    <cellStyle name="Comma 2 2 6 2 2 2 3" xfId="5153"/>
    <cellStyle name="Comma 2 2 6 2 2 2 3 2" xfId="6422"/>
    <cellStyle name="Comma 2 2 6 2 2 2 3 2 2" xfId="18726"/>
    <cellStyle name="Comma 2 2 6 2 2 2 3 2 2 2" xfId="19977"/>
    <cellStyle name="Comma 2 2 6 2 2 2 3 2 2 2 2" xfId="54052"/>
    <cellStyle name="Comma 2 2 6 2 2 2 3 2 2 2 2 2" xfId="55303"/>
    <cellStyle name="Comma 2 2 6 2 2 2 3 2 2 3" xfId="33479"/>
    <cellStyle name="Comma 2 2 6 2 2 2 3 2 3" xfId="32227"/>
    <cellStyle name="Comma 2 2 6 2 2 2 3 2 3 2" xfId="41850"/>
    <cellStyle name="Comma 2 2 6 2 2 2 3 3" xfId="11646"/>
    <cellStyle name="Comma 2 2 6 2 2 2 3 3 2" xfId="40590"/>
    <cellStyle name="Comma 2 2 6 2 2 2 3 3 2 2" xfId="46995"/>
    <cellStyle name="Comma 2 2 6 2 2 2 3 4" xfId="25132"/>
    <cellStyle name="Comma 2 2 6 2 2 2 4" xfId="10356"/>
    <cellStyle name="Comma 2 2 6 2 2 2 4 2" xfId="14805"/>
    <cellStyle name="Comma 2 2 6 2 2 2 4 2 2" xfId="45719"/>
    <cellStyle name="Comma 2 2 6 2 2 2 4 2 2 2" xfId="50144"/>
    <cellStyle name="Comma 2 2 6 2 2 2 4 3" xfId="28317"/>
    <cellStyle name="Comma 2 2 6 2 2 2 5" xfId="23842"/>
    <cellStyle name="Comma 2 2 6 2 2 2 5 2" xfId="36613"/>
    <cellStyle name="Comma 2 2 6 2 2 3" xfId="1922"/>
    <cellStyle name="Comma 2 2 6 2 2 3 2" xfId="6395"/>
    <cellStyle name="Comma 2 2 6 2 2 3 2 2" xfId="7161"/>
    <cellStyle name="Comma 2 2 6 2 2 3 2 2 2" xfId="19951"/>
    <cellStyle name="Comma 2 2 6 2 2 3 2 2 2 2" xfId="20713"/>
    <cellStyle name="Comma 2 2 6 2 2 3 2 2 2 2 2" xfId="55277"/>
    <cellStyle name="Comma 2 2 6 2 2 3 2 2 2 2 2 2" xfId="56039"/>
    <cellStyle name="Comma 2 2 6 2 2 3 2 2 2 3" xfId="34216"/>
    <cellStyle name="Comma 2 2 6 2 2 3 2 2 3" xfId="33453"/>
    <cellStyle name="Comma 2 2 6 2 2 3 2 2 3 2" xfId="42588"/>
    <cellStyle name="Comma 2 2 6 2 2 3 2 3" xfId="12386"/>
    <cellStyle name="Comma 2 2 6 2 2 3 2 3 2" xfId="41824"/>
    <cellStyle name="Comma 2 2 6 2 2 3 2 3 2 2" xfId="47732"/>
    <cellStyle name="Comma 2 2 6 2 2 3 2 4" xfId="25870"/>
    <cellStyle name="Comma 2 2 6 2 2 3 3" xfId="11620"/>
    <cellStyle name="Comma 2 2 6 2 2 3 3 2" xfId="15587"/>
    <cellStyle name="Comma 2 2 6 2 2 3 3 2 2" xfId="46969"/>
    <cellStyle name="Comma 2 2 6 2 2 3 3 2 2 2" xfId="50919"/>
    <cellStyle name="Comma 2 2 6 2 2 3 3 3" xfId="29093"/>
    <cellStyle name="Comma 2 2 6 2 2 3 4" xfId="25106"/>
    <cellStyle name="Comma 2 2 6 2 2 3 4 2" xfId="37400"/>
    <cellStyle name="Comma 2 2 6 2 2 4" xfId="3936"/>
    <cellStyle name="Comma 2 2 6 2 2 4 2" xfId="14778"/>
    <cellStyle name="Comma 2 2 6 2 2 4 2 2" xfId="17536"/>
    <cellStyle name="Comma 2 2 6 2 2 4 2 2 2" xfId="50117"/>
    <cellStyle name="Comma 2 2 6 2 2 4 2 2 2 2" xfId="52863"/>
    <cellStyle name="Comma 2 2 6 2 2 4 2 3" xfId="31038"/>
    <cellStyle name="Comma 2 2 6 2 2 4 3" xfId="28290"/>
    <cellStyle name="Comma 2 2 6 2 2 4 3 2" xfId="39380"/>
    <cellStyle name="Comma 2 2 6 2 2 5" xfId="9128"/>
    <cellStyle name="Comma 2 2 6 2 2 5 2" xfId="36586"/>
    <cellStyle name="Comma 2 2 6 2 2 5 2 2" xfId="44516"/>
    <cellStyle name="Comma 2 2 6 2 2 6" xfId="22630"/>
    <cellStyle name="Comma 2 2 6 2 3" xfId="1894"/>
    <cellStyle name="Comma 2 2 6 2 3 2" xfId="2370"/>
    <cellStyle name="Comma 2 2 6 2 3 2 2" xfId="7138"/>
    <cellStyle name="Comma 2 2 6 2 3 2 2 2" xfId="7603"/>
    <cellStyle name="Comma 2 2 6 2 3 2 2 2 2" xfId="20690"/>
    <cellStyle name="Comma 2 2 6 2 3 2 2 2 2 2" xfId="21155"/>
    <cellStyle name="Comma 2 2 6 2 3 2 2 2 2 2 2" xfId="56016"/>
    <cellStyle name="Comma 2 2 6 2 3 2 2 2 2 2 2 2" xfId="56481"/>
    <cellStyle name="Comma 2 2 6 2 3 2 2 2 2 3" xfId="34658"/>
    <cellStyle name="Comma 2 2 6 2 3 2 2 2 3" xfId="34193"/>
    <cellStyle name="Comma 2 2 6 2 3 2 2 2 3 2" xfId="43030"/>
    <cellStyle name="Comma 2 2 6 2 3 2 2 3" xfId="12828"/>
    <cellStyle name="Comma 2 2 6 2 3 2 2 3 2" xfId="42565"/>
    <cellStyle name="Comma 2 2 6 2 3 2 2 3 2 2" xfId="48174"/>
    <cellStyle name="Comma 2 2 6 2 3 2 2 4" xfId="26312"/>
    <cellStyle name="Comma 2 2 6 2 3 2 3" xfId="12363"/>
    <cellStyle name="Comma 2 2 6 2 3 2 3 2" xfId="16033"/>
    <cellStyle name="Comma 2 2 6 2 3 2 3 2 2" xfId="47709"/>
    <cellStyle name="Comma 2 2 6 2 3 2 3 2 2 2" xfId="51365"/>
    <cellStyle name="Comma 2 2 6 2 3 2 3 3" xfId="29539"/>
    <cellStyle name="Comma 2 2 6 2 3 2 4" xfId="25847"/>
    <cellStyle name="Comma 2 2 6 2 3 2 4 2" xfId="37848"/>
    <cellStyle name="Comma 2 2 6 2 3 3" xfId="4404"/>
    <cellStyle name="Comma 2 2 6 2 3 3 2" xfId="15561"/>
    <cellStyle name="Comma 2 2 6 2 3 3 2 2" xfId="17995"/>
    <cellStyle name="Comma 2 2 6 2 3 3 2 2 2" xfId="50893"/>
    <cellStyle name="Comma 2 2 6 2 3 3 2 2 2 2" xfId="53321"/>
    <cellStyle name="Comma 2 2 6 2 3 3 2 3" xfId="31496"/>
    <cellStyle name="Comma 2 2 6 2 3 3 3" xfId="29067"/>
    <cellStyle name="Comma 2 2 6 2 3 3 3 2" xfId="39846"/>
    <cellStyle name="Comma 2 2 6 2 3 4" xfId="9607"/>
    <cellStyle name="Comma 2 2 6 2 3 4 2" xfId="37373"/>
    <cellStyle name="Comma 2 2 6 2 3 4 2 2" xfId="44987"/>
    <cellStyle name="Comma 2 2 6 2 3 5" xfId="23108"/>
    <cellStyle name="Comma 2 2 6 2 4" xfId="3908"/>
    <cellStyle name="Comma 2 2 6 2 4 2" xfId="5611"/>
    <cellStyle name="Comma 2 2 6 2 4 2 2" xfId="17513"/>
    <cellStyle name="Comma 2 2 6 2 4 2 2 2" xfId="19183"/>
    <cellStyle name="Comma 2 2 6 2 4 2 2 2 2" xfId="52840"/>
    <cellStyle name="Comma 2 2 6 2 4 2 2 2 2 2" xfId="54509"/>
    <cellStyle name="Comma 2 2 6 2 4 2 2 3" xfId="32684"/>
    <cellStyle name="Comma 2 2 6 2 4 2 3" xfId="31015"/>
    <cellStyle name="Comma 2 2 6 2 4 2 3 2" xfId="41047"/>
    <cellStyle name="Comma 2 2 6 2 4 3" xfId="10827"/>
    <cellStyle name="Comma 2 2 6 2 4 3 2" xfId="39353"/>
    <cellStyle name="Comma 2 2 6 2 4 3 2 2" xfId="46189"/>
    <cellStyle name="Comma 2 2 6 2 4 4" xfId="24319"/>
    <cellStyle name="Comma 2 2 6 2 5" xfId="9100"/>
    <cellStyle name="Comma 2 2 6 2 5 2" xfId="13995"/>
    <cellStyle name="Comma 2 2 6 2 5 2 2" xfId="44492"/>
    <cellStyle name="Comma 2 2 6 2 5 2 2 2" xfId="49341"/>
    <cellStyle name="Comma 2 2 6 2 5 3" xfId="27489"/>
    <cellStyle name="Comma 2 2 6 2 6" xfId="22605"/>
    <cellStyle name="Comma 2 2 6 2 6 2" xfId="35807"/>
    <cellStyle name="Comma 2 2 6 3" xfId="377"/>
    <cellStyle name="Comma 2 2 6 3 2" xfId="2343"/>
    <cellStyle name="Comma 2 2 6 3 2 2" xfId="2480"/>
    <cellStyle name="Comma 2 2 6 3 2 2 2" xfId="7577"/>
    <cellStyle name="Comma 2 2 6 3 2 2 2 2" xfId="7710"/>
    <cellStyle name="Comma 2 2 6 3 2 2 2 2 2" xfId="21129"/>
    <cellStyle name="Comma 2 2 6 3 2 2 2 2 2 2" xfId="21262"/>
    <cellStyle name="Comma 2 2 6 3 2 2 2 2 2 2 2" xfId="56455"/>
    <cellStyle name="Comma 2 2 6 3 2 2 2 2 2 2 2 2" xfId="56588"/>
    <cellStyle name="Comma 2 2 6 3 2 2 2 2 2 3" xfId="34765"/>
    <cellStyle name="Comma 2 2 6 3 2 2 2 2 3" xfId="34632"/>
    <cellStyle name="Comma 2 2 6 3 2 2 2 2 3 2" xfId="43137"/>
    <cellStyle name="Comma 2 2 6 3 2 2 2 3" xfId="12935"/>
    <cellStyle name="Comma 2 2 6 3 2 2 2 3 2" xfId="43004"/>
    <cellStyle name="Comma 2 2 6 3 2 2 2 3 2 2" xfId="48281"/>
    <cellStyle name="Comma 2 2 6 3 2 2 2 4" xfId="26419"/>
    <cellStyle name="Comma 2 2 6 3 2 2 3" xfId="12802"/>
    <cellStyle name="Comma 2 2 6 3 2 2 3 2" xfId="16143"/>
    <cellStyle name="Comma 2 2 6 3 2 2 3 2 2" xfId="48148"/>
    <cellStyle name="Comma 2 2 6 3 2 2 3 2 2 2" xfId="51474"/>
    <cellStyle name="Comma 2 2 6 3 2 2 3 3" xfId="29648"/>
    <cellStyle name="Comma 2 2 6 3 2 2 4" xfId="26286"/>
    <cellStyle name="Comma 2 2 6 3 2 2 4 2" xfId="37957"/>
    <cellStyle name="Comma 2 2 6 3 2 3" xfId="4515"/>
    <cellStyle name="Comma 2 2 6 3 2 3 2" xfId="16007"/>
    <cellStyle name="Comma 2 2 6 3 2 3 2 2" xfId="18103"/>
    <cellStyle name="Comma 2 2 6 3 2 3 2 2 2" xfId="51339"/>
    <cellStyle name="Comma 2 2 6 3 2 3 2 2 2 2" xfId="53429"/>
    <cellStyle name="Comma 2 2 6 3 2 3 2 3" xfId="31604"/>
    <cellStyle name="Comma 2 2 6 3 2 3 3" xfId="29513"/>
    <cellStyle name="Comma 2 2 6 3 2 3 3 2" xfId="39956"/>
    <cellStyle name="Comma 2 2 6 3 2 4" xfId="9719"/>
    <cellStyle name="Comma 2 2 6 3 2 4 2" xfId="37821"/>
    <cellStyle name="Comma 2 2 6 3 2 4 2 2" xfId="45096"/>
    <cellStyle name="Comma 2 2 6 3 2 5" xfId="23219"/>
    <cellStyle name="Comma 2 2 6 3 3" xfId="4374"/>
    <cellStyle name="Comma 2 2 6 3 3 2" xfId="5725"/>
    <cellStyle name="Comma 2 2 6 3 3 2 2" xfId="17966"/>
    <cellStyle name="Comma 2 2 6 3 3 2 2 2" xfId="19294"/>
    <cellStyle name="Comma 2 2 6 3 3 2 2 2 2" xfId="53292"/>
    <cellStyle name="Comma 2 2 6 3 3 2 2 2 2 2" xfId="54620"/>
    <cellStyle name="Comma 2 2 6 3 3 2 2 3" xfId="32795"/>
    <cellStyle name="Comma 2 2 6 3 3 2 3" xfId="31467"/>
    <cellStyle name="Comma 2 2 6 3 3 2 3 2" xfId="41160"/>
    <cellStyle name="Comma 2 2 6 3 3 3" xfId="10945"/>
    <cellStyle name="Comma 2 2 6 3 3 3 2" xfId="39816"/>
    <cellStyle name="Comma 2 2 6 3 3 3 2 2" xfId="46304"/>
    <cellStyle name="Comma 2 2 6 3 3 4" xfId="24436"/>
    <cellStyle name="Comma 2 2 6 3 4" xfId="9575"/>
    <cellStyle name="Comma 2 2 6 3 4 2" xfId="14109"/>
    <cellStyle name="Comma 2 2 6 3 4 2 2" xfId="44956"/>
    <cellStyle name="Comma 2 2 6 3 4 2 2 2" xfId="49454"/>
    <cellStyle name="Comma 2 2 6 3 4 3" xfId="27609"/>
    <cellStyle name="Comma 2 2 6 3 5" xfId="23076"/>
    <cellStyle name="Comma 2 2 6 3 5 2" xfId="35920"/>
    <cellStyle name="Comma 2 2 6 4" xfId="877"/>
    <cellStyle name="Comma 2 2 6 4 2" xfId="5584"/>
    <cellStyle name="Comma 2 2 6 4 2 2" xfId="6190"/>
    <cellStyle name="Comma 2 2 6 4 2 2 2" xfId="19156"/>
    <cellStyle name="Comma 2 2 6 4 2 2 2 2" xfId="19749"/>
    <cellStyle name="Comma 2 2 6 4 2 2 2 2 2" xfId="54482"/>
    <cellStyle name="Comma 2 2 6 4 2 2 2 2 2 2" xfId="55075"/>
    <cellStyle name="Comma 2 2 6 4 2 2 2 3" xfId="33251"/>
    <cellStyle name="Comma 2 2 6 4 2 2 3" xfId="32657"/>
    <cellStyle name="Comma 2 2 6 4 2 2 3 2" xfId="41620"/>
    <cellStyle name="Comma 2 2 6 4 2 3" xfId="11415"/>
    <cellStyle name="Comma 2 2 6 4 2 3 2" xfId="41020"/>
    <cellStyle name="Comma 2 2 6 4 2 3 2 2" xfId="46766"/>
    <cellStyle name="Comma 2 2 6 4 2 4" xfId="24903"/>
    <cellStyle name="Comma 2 2 6 4 3" xfId="10795"/>
    <cellStyle name="Comma 2 2 6 4 3 2" xfId="14573"/>
    <cellStyle name="Comma 2 2 6 4 3 2 2" xfId="46157"/>
    <cellStyle name="Comma 2 2 6 4 3 2 2 2" xfId="49914"/>
    <cellStyle name="Comma 2 2 6 4 3 3" xfId="28085"/>
    <cellStyle name="Comma 2 2 6 4 4" xfId="24285"/>
    <cellStyle name="Comma 2 2 6 4 4 2" xfId="36383"/>
    <cellStyle name="Comma 2 2 6 5" xfId="1474"/>
    <cellStyle name="Comma 2 2 6 5 2" xfId="13968"/>
    <cellStyle name="Comma 2 2 6 5 2 2" xfId="15160"/>
    <cellStyle name="Comma 2 2 6 5 2 2 2" xfId="49314"/>
    <cellStyle name="Comma 2 2 6 5 2 2 2 2" xfId="50499"/>
    <cellStyle name="Comma 2 2 6 5 2 3" xfId="28673"/>
    <cellStyle name="Comma 2 2 6 5 3" xfId="27460"/>
    <cellStyle name="Comma 2 2 6 5 3 2" xfId="36971"/>
    <cellStyle name="Comma 2 2 6 6" xfId="3930"/>
    <cellStyle name="Comma 2 2 6 6 2" xfId="35780"/>
    <cellStyle name="Comma 2 2 6 6 2 2" xfId="39374"/>
    <cellStyle name="Comma 2 2 6 7" xfId="11307"/>
    <cellStyle name="Comma 2 2 7" xfId="387"/>
    <cellStyle name="Comma 2 2 7 2" xfId="685"/>
    <cellStyle name="Comma 2 2 7 2 2" xfId="2490"/>
    <cellStyle name="Comma 2 2 7 2 2 2" xfId="2773"/>
    <cellStyle name="Comma 2 2 7 2 2 2 2" xfId="7716"/>
    <cellStyle name="Comma 2 2 7 2 2 2 2 2" xfId="7990"/>
    <cellStyle name="Comma 2 2 7 2 2 2 2 2 2" xfId="21268"/>
    <cellStyle name="Comma 2 2 7 2 2 2 2 2 2 2" xfId="21542"/>
    <cellStyle name="Comma 2 2 7 2 2 2 2 2 2 2 2" xfId="56594"/>
    <cellStyle name="Comma 2 2 7 2 2 2 2 2 2 2 2 2" xfId="56868"/>
    <cellStyle name="Comma 2 2 7 2 2 2 2 2 2 3" xfId="35045"/>
    <cellStyle name="Comma 2 2 7 2 2 2 2 2 3" xfId="34771"/>
    <cellStyle name="Comma 2 2 7 2 2 2 2 2 3 2" xfId="43417"/>
    <cellStyle name="Comma 2 2 7 2 2 2 2 3" xfId="13215"/>
    <cellStyle name="Comma 2 2 7 2 2 2 2 3 2" xfId="43143"/>
    <cellStyle name="Comma 2 2 7 2 2 2 2 3 2 2" xfId="48561"/>
    <cellStyle name="Comma 2 2 7 2 2 2 2 4" xfId="26699"/>
    <cellStyle name="Comma 2 2 7 2 2 2 3" xfId="12941"/>
    <cellStyle name="Comma 2 2 7 2 2 2 3 2" xfId="16432"/>
    <cellStyle name="Comma 2 2 7 2 2 2 3 2 2" xfId="48287"/>
    <cellStyle name="Comma 2 2 7 2 2 2 3 2 2 2" xfId="51760"/>
    <cellStyle name="Comma 2 2 7 2 2 2 3 3" xfId="29934"/>
    <cellStyle name="Comma 2 2 7 2 2 2 4" xfId="26425"/>
    <cellStyle name="Comma 2 2 7 2 2 2 4 2" xfId="38244"/>
    <cellStyle name="Comma 2 2 7 2 2 3" xfId="4809"/>
    <cellStyle name="Comma 2 2 7 2 2 3 2" xfId="16151"/>
    <cellStyle name="Comma 2 2 7 2 2 3 2 2" xfId="18384"/>
    <cellStyle name="Comma 2 2 7 2 2 3 2 2 2" xfId="51482"/>
    <cellStyle name="Comma 2 2 7 2 2 3 2 2 2 2" xfId="53710"/>
    <cellStyle name="Comma 2 2 7 2 2 3 2 3" xfId="31885"/>
    <cellStyle name="Comma 2 2 7 2 2 3 3" xfId="29656"/>
    <cellStyle name="Comma 2 2 7 2 2 3 3 2" xfId="40246"/>
    <cellStyle name="Comma 2 2 7 2 2 4" xfId="10012"/>
    <cellStyle name="Comma 2 2 7 2 2 4 2" xfId="37965"/>
    <cellStyle name="Comma 2 2 7 2 2 4 2 2" xfId="45377"/>
    <cellStyle name="Comma 2 2 7 2 2 5" xfId="23500"/>
    <cellStyle name="Comma 2 2 7 2 3" xfId="4525"/>
    <cellStyle name="Comma 2 2 7 2 3 2" xfId="6014"/>
    <cellStyle name="Comma 2 2 7 2 3 2 2" xfId="18109"/>
    <cellStyle name="Comma 2 2 7 2 3 2 2 2" xfId="19579"/>
    <cellStyle name="Comma 2 2 7 2 3 2 2 2 2" xfId="53435"/>
    <cellStyle name="Comma 2 2 7 2 3 2 2 2 2 2" xfId="54905"/>
    <cellStyle name="Comma 2 2 7 2 3 2 2 3" xfId="33080"/>
    <cellStyle name="Comma 2 2 7 2 3 2 3" xfId="31610"/>
    <cellStyle name="Comma 2 2 7 2 3 2 3 2" xfId="41448"/>
    <cellStyle name="Comma 2 2 7 2 3 3" xfId="11239"/>
    <cellStyle name="Comma 2 2 7 2 3 3 2" xfId="39966"/>
    <cellStyle name="Comma 2 2 7 2 3 3 2 2" xfId="46595"/>
    <cellStyle name="Comma 2 2 7 2 3 4" xfId="24732"/>
    <cellStyle name="Comma 2 2 7 2 4" xfId="9728"/>
    <cellStyle name="Comma 2 2 7 2 4 2" xfId="14396"/>
    <cellStyle name="Comma 2 2 7 2 4 2 2" xfId="45102"/>
    <cellStyle name="Comma 2 2 7 2 4 2 2 2" xfId="49741"/>
    <cellStyle name="Comma 2 2 7 2 4 3" xfId="27908"/>
    <cellStyle name="Comma 2 2 7 2 5" xfId="23225"/>
    <cellStyle name="Comma 2 2 7 2 5 2" xfId="36208"/>
    <cellStyle name="Comma 2 2 7 3" xfId="1463"/>
    <cellStyle name="Comma 2 2 7 3 2" xfId="5731"/>
    <cellStyle name="Comma 2 2 7 3 2 2" xfId="6771"/>
    <cellStyle name="Comma 2 2 7 3 2 2 2" xfId="19300"/>
    <cellStyle name="Comma 2 2 7 3 2 2 2 2" xfId="20324"/>
    <cellStyle name="Comma 2 2 7 3 2 2 2 2 2" xfId="54626"/>
    <cellStyle name="Comma 2 2 7 3 2 2 2 2 2 2" xfId="55650"/>
    <cellStyle name="Comma 2 2 7 3 2 2 2 3" xfId="33826"/>
    <cellStyle name="Comma 2 2 7 3 2 2 3" xfId="32801"/>
    <cellStyle name="Comma 2 2 7 3 2 2 3 2" xfId="42199"/>
    <cellStyle name="Comma 2 2 7 3 2 3" xfId="11994"/>
    <cellStyle name="Comma 2 2 7 3 2 3 2" xfId="41166"/>
    <cellStyle name="Comma 2 2 7 3 2 3 2 2" xfId="47342"/>
    <cellStyle name="Comma 2 2 7 3 2 4" xfId="25479"/>
    <cellStyle name="Comma 2 2 7 3 3" xfId="10952"/>
    <cellStyle name="Comma 2 2 7 3 3 2" xfId="15152"/>
    <cellStyle name="Comma 2 2 7 3 3 2 2" xfId="46311"/>
    <cellStyle name="Comma 2 2 7 3 3 2 2 2" xfId="50491"/>
    <cellStyle name="Comma 2 2 7 3 3 3" xfId="28665"/>
    <cellStyle name="Comma 2 2 7 3 4" xfId="24444"/>
    <cellStyle name="Comma 2 2 7 3 4 2" xfId="36960"/>
    <cellStyle name="Comma 2 2 7 4" xfId="1464"/>
    <cellStyle name="Comma 2 2 7 4 2" xfId="14115"/>
    <cellStyle name="Comma 2 2 7 4 2 2" xfId="15153"/>
    <cellStyle name="Comma 2 2 7 4 2 2 2" xfId="49460"/>
    <cellStyle name="Comma 2 2 7 4 2 2 2 2" xfId="50492"/>
    <cellStyle name="Comma 2 2 7 4 2 3" xfId="28666"/>
    <cellStyle name="Comma 2 2 7 4 3" xfId="27617"/>
    <cellStyle name="Comma 2 2 7 4 3 2" xfId="36961"/>
    <cellStyle name="Comma 2 2 7 5" xfId="3848"/>
    <cellStyle name="Comma 2 2 7 5 2" xfId="35926"/>
    <cellStyle name="Comma 2 2 7 5 2 2" xfId="39297"/>
    <cellStyle name="Comma 2 2 7 6" xfId="814"/>
    <cellStyle name="Comma 2 2 8" xfId="763"/>
    <cellStyle name="Comma 2 2 8 2" xfId="1790"/>
    <cellStyle name="Comma 2 2 8 2 2" xfId="6080"/>
    <cellStyle name="Comma 2 2 8 2 2 2" xfId="7043"/>
    <cellStyle name="Comma 2 2 8 2 2 2 2" xfId="19643"/>
    <cellStyle name="Comma 2 2 8 2 2 2 2 2" xfId="20596"/>
    <cellStyle name="Comma 2 2 8 2 2 2 2 2 2" xfId="54969"/>
    <cellStyle name="Comma 2 2 8 2 2 2 2 2 2 2" xfId="55922"/>
    <cellStyle name="Comma 2 2 8 2 2 2 2 3" xfId="34098"/>
    <cellStyle name="Comma 2 2 8 2 2 2 3" xfId="33144"/>
    <cellStyle name="Comma 2 2 8 2 2 2 3 2" xfId="42471"/>
    <cellStyle name="Comma 2 2 8 2 2 3" xfId="12267"/>
    <cellStyle name="Comma 2 2 8 2 2 3 2" xfId="41513"/>
    <cellStyle name="Comma 2 2 8 2 2 3 2 2" xfId="47614"/>
    <cellStyle name="Comma 2 2 8 2 2 4" xfId="25752"/>
    <cellStyle name="Comma 2 2 8 2 3" xfId="11306"/>
    <cellStyle name="Comma 2 2 8 2 3 2" xfId="15462"/>
    <cellStyle name="Comma 2 2 8 2 3 2 2" xfId="46660"/>
    <cellStyle name="Comma 2 2 8 2 3 2 2 2" xfId="50795"/>
    <cellStyle name="Comma 2 2 8 2 3 3" xfId="28969"/>
    <cellStyle name="Comma 2 2 8 2 4" xfId="24797"/>
    <cellStyle name="Comma 2 2 8 2 4 2" xfId="37272"/>
    <cellStyle name="Comma 2 2 8 3" xfId="3796"/>
    <cellStyle name="Comma 2 2 8 3 2" xfId="14465"/>
    <cellStyle name="Comma 2 2 8 3 2 2" xfId="17412"/>
    <cellStyle name="Comma 2 2 8 3 2 2 2" xfId="49807"/>
    <cellStyle name="Comma 2 2 8 3 2 2 2 2" xfId="52739"/>
    <cellStyle name="Comma 2 2 8 3 2 3" xfId="30913"/>
    <cellStyle name="Comma 2 2 8 3 3" xfId="27975"/>
    <cellStyle name="Comma 2 2 8 3 3 2" xfId="39247"/>
    <cellStyle name="Comma 2 2 8 4" xfId="8986"/>
    <cellStyle name="Comma 2 2 8 4 2" xfId="36275"/>
    <cellStyle name="Comma 2 2 8 4 2 2" xfId="44385"/>
    <cellStyle name="Comma 2 2 8 5" xfId="22493"/>
    <cellStyle name="Comma 2 2 9" xfId="1670"/>
    <cellStyle name="Comma 2 2 9 2" xfId="4296"/>
    <cellStyle name="Comma 2 2 9 2 2" xfId="15343"/>
    <cellStyle name="Comma 2 2 9 2 2 2" xfId="17889"/>
    <cellStyle name="Comma 2 2 9 2 2 2 2" xfId="50678"/>
    <cellStyle name="Comma 2 2 9 2 2 2 2 2" xfId="53216"/>
    <cellStyle name="Comma 2 2 9 2 2 3" xfId="31391"/>
    <cellStyle name="Comma 2 2 9 2 3" xfId="28852"/>
    <cellStyle name="Comma 2 2 9 2 3 2" xfId="39739"/>
    <cellStyle name="Comma 2 2 9 3" xfId="9490"/>
    <cellStyle name="Comma 2 2 9 3 2" xfId="37154"/>
    <cellStyle name="Comma 2 2 9 3 2 2" xfId="44872"/>
    <cellStyle name="Comma 2 2 9 4" xfId="22987"/>
    <cellStyle name="Comma 2 3" xfId="4"/>
    <cellStyle name="Comma 2 4" xfId="34"/>
    <cellStyle name="Comma 2 4 10" xfId="9777"/>
    <cellStyle name="Comma 2 4 10 2" xfId="22577"/>
    <cellStyle name="Comma 2 4 2" xfId="84"/>
    <cellStyle name="Comma 2 4 2 10" xfId="8738"/>
    <cellStyle name="Comma 2 4 2 2" xfId="90"/>
    <cellStyle name="Comma 2 4 2 2 2" xfId="177"/>
    <cellStyle name="Comma 2 4 2 2 2 2" xfId="182"/>
    <cellStyle name="Comma 2 4 2 2 2 2 2" xfId="326"/>
    <cellStyle name="Comma 2 4 2 2 2 2 2 2" xfId="331"/>
    <cellStyle name="Comma 2 4 2 2 2 2 2 2 2" xfId="655"/>
    <cellStyle name="Comma 2 4 2 2 2 2 2 2 2 2" xfId="660"/>
    <cellStyle name="Comma 2 4 2 2 2 2 2 2 2 2 2" xfId="1451"/>
    <cellStyle name="Comma 2 4 2 2 2 2 2 2 2 2 2 2" xfId="1456"/>
    <cellStyle name="Comma 2 4 2 2 2 2 2 2 2 2 2 2 2" xfId="3469"/>
    <cellStyle name="Comma 2 4 2 2 2 2 2 2 2 2 2 2 2 2" xfId="3474"/>
    <cellStyle name="Comma 2 4 2 2 2 2 2 2 2 2 2 2 2 2 2" xfId="8684"/>
    <cellStyle name="Comma 2 4 2 2 2 2 2 2 2 2 2 2 2 2 2 2" xfId="8689"/>
    <cellStyle name="Comma 2 4 2 2 2 2 2 2 2 2 2 2 2 2 2 2 2" xfId="22236"/>
    <cellStyle name="Comma 2 4 2 2 2 2 2 2 2 2 2 2 2 2 2 2 2 2" xfId="22241"/>
    <cellStyle name="Comma 2 4 2 2 2 2 2 2 2 2 2 2 2 2 2 2 2 2 2" xfId="57562"/>
    <cellStyle name="Comma 2 4 2 2 2 2 2 2 2 2 2 2 2 2 2 2 2 2 2 2" xfId="57567"/>
    <cellStyle name="Comma 2 4 2 2 2 2 2 2 2 2 2 2 2 2 2 2 2 3" xfId="35744"/>
    <cellStyle name="Comma 2 4 2 2 2 2 2 2 2 2 2 2 2 2 2 2 3" xfId="35739"/>
    <cellStyle name="Comma 2 4 2 2 2 2 2 2 2 2 2 2 2 2 2 2 3 2" xfId="44116"/>
    <cellStyle name="Comma 2 4 2 2 2 2 2 2 2 2 2 2 2 2 2 3" xfId="13914"/>
    <cellStyle name="Comma 2 4 2 2 2 2 2 2 2 2 2 2 2 2 2 3 2" xfId="44111"/>
    <cellStyle name="Comma 2 4 2 2 2 2 2 2 2 2 2 2 2 2 2 3 2 2" xfId="49260"/>
    <cellStyle name="Comma 2 4 2 2 2 2 2 2 2 2 2 2 2 2 2 4" xfId="27399"/>
    <cellStyle name="Comma 2 4 2 2 2 2 2 2 2 2 2 2 2 2 3" xfId="13909"/>
    <cellStyle name="Comma 2 4 2 2 2 2 2 2 2 2 2 2 2 2 3 2" xfId="17131"/>
    <cellStyle name="Comma 2 4 2 2 2 2 2 2 2 2 2 2 2 2 3 2 2" xfId="49255"/>
    <cellStyle name="Comma 2 4 2 2 2 2 2 2 2 2 2 2 2 2 3 2 2 2" xfId="52459"/>
    <cellStyle name="Comma 2 4 2 2 2 2 2 2 2 2 2 2 2 2 3 3" xfId="30633"/>
    <cellStyle name="Comma 2 4 2 2 2 2 2 2 2 2 2 2 2 2 4" xfId="27394"/>
    <cellStyle name="Comma 2 4 2 2 2 2 2 2 2 2 2 2 2 2 4 2" xfId="38943"/>
    <cellStyle name="Comma 2 4 2 2 2 2 2 2 2 2 2 2 2 3" xfId="5511"/>
    <cellStyle name="Comma 2 4 2 2 2 2 2 2 2 2 2 2 2 3 2" xfId="17126"/>
    <cellStyle name="Comma 2 4 2 2 2 2 2 2 2 2 2 2 2 3 2 2" xfId="19084"/>
    <cellStyle name="Comma 2 4 2 2 2 2 2 2 2 2 2 2 2 3 2 2 2" xfId="52454"/>
    <cellStyle name="Comma 2 4 2 2 2 2 2 2 2 2 2 2 2 3 2 2 2 2" xfId="54410"/>
    <cellStyle name="Comma 2 4 2 2 2 2 2 2 2 2 2 2 2 3 2 3" xfId="32585"/>
    <cellStyle name="Comma 2 4 2 2 2 2 2 2 2 2 2 2 2 3 3" xfId="30628"/>
    <cellStyle name="Comma 2 4 2 2 2 2 2 2 2 2 2 2 2 3 3 2" xfId="40948"/>
    <cellStyle name="Comma 2 4 2 2 2 2 2 2 2 2 2 2 2 4" xfId="10714"/>
    <cellStyle name="Comma 2 4 2 2 2 2 2 2 2 2 2 2 2 4 2" xfId="38938"/>
    <cellStyle name="Comma 2 4 2 2 2 2 2 2 2 2 2 2 2 4 2 2" xfId="46077"/>
    <cellStyle name="Comma 2 4 2 2 2 2 2 2 2 2 2 2 2 5" xfId="24200"/>
    <cellStyle name="Comma 2 4 2 2 2 2 2 2 2 2 2 2 3" xfId="5506"/>
    <cellStyle name="Comma 2 4 2 2 2 2 2 2 2 2 2 2 3 2" xfId="6764"/>
    <cellStyle name="Comma 2 4 2 2 2 2 2 2 2 2 2 2 3 2 2" xfId="19079"/>
    <cellStyle name="Comma 2 4 2 2 2 2 2 2 2 2 2 2 3 2 2 2" xfId="20317"/>
    <cellStyle name="Comma 2 4 2 2 2 2 2 2 2 2 2 2 3 2 2 2 2" xfId="54405"/>
    <cellStyle name="Comma 2 4 2 2 2 2 2 2 2 2 2 2 3 2 2 2 2 2" xfId="55643"/>
    <cellStyle name="Comma 2 4 2 2 2 2 2 2 2 2 2 2 3 2 2 3" xfId="33819"/>
    <cellStyle name="Comma 2 4 2 2 2 2 2 2 2 2 2 2 3 2 3" xfId="32580"/>
    <cellStyle name="Comma 2 4 2 2 2 2 2 2 2 2 2 2 3 2 3 2" xfId="42192"/>
    <cellStyle name="Comma 2 4 2 2 2 2 2 2 2 2 2 2 3 3" xfId="11987"/>
    <cellStyle name="Comma 2 4 2 2 2 2 2 2 2 2 2 2 3 3 2" xfId="40943"/>
    <cellStyle name="Comma 2 4 2 2 2 2 2 2 2 2 2 2 3 3 2 2" xfId="47335"/>
    <cellStyle name="Comma 2 4 2 2 2 2 2 2 2 2 2 2 3 4" xfId="25472"/>
    <cellStyle name="Comma 2 4 2 2 2 2 2 2 2 2 2 2 4" xfId="10709"/>
    <cellStyle name="Comma 2 4 2 2 2 2 2 2 2 2 2 2 4 2" xfId="15145"/>
    <cellStyle name="Comma 2 4 2 2 2 2 2 2 2 2 2 2 4 2 2" xfId="46072"/>
    <cellStyle name="Comma 2 4 2 2 2 2 2 2 2 2 2 2 4 2 2 2" xfId="50484"/>
    <cellStyle name="Comma 2 4 2 2 2 2 2 2 2 2 2 2 4 3" xfId="28658"/>
    <cellStyle name="Comma 2 4 2 2 2 2 2 2 2 2 2 2 5" xfId="24195"/>
    <cellStyle name="Comma 2 4 2 2 2 2 2 2 2 2 2 2 5 2" xfId="36953"/>
    <cellStyle name="Comma 2 4 2 2 2 2 2 2 2 2 2 3" xfId="2263"/>
    <cellStyle name="Comma 2 4 2 2 2 2 2 2 2 2 2 3 2" xfId="6759"/>
    <cellStyle name="Comma 2 4 2 2 2 2 2 2 2 2 2 3 2 2" xfId="7497"/>
    <cellStyle name="Comma 2 4 2 2 2 2 2 2 2 2 2 3 2 2 2" xfId="20312"/>
    <cellStyle name="Comma 2 4 2 2 2 2 2 2 2 2 2 3 2 2 2 2" xfId="21049"/>
    <cellStyle name="Comma 2 4 2 2 2 2 2 2 2 2 2 3 2 2 2 2 2" xfId="55638"/>
    <cellStyle name="Comma 2 4 2 2 2 2 2 2 2 2 2 3 2 2 2 2 2 2" xfId="56375"/>
    <cellStyle name="Comma 2 4 2 2 2 2 2 2 2 2 2 3 2 2 2 3" xfId="34552"/>
    <cellStyle name="Comma 2 4 2 2 2 2 2 2 2 2 2 3 2 2 3" xfId="33814"/>
    <cellStyle name="Comma 2 4 2 2 2 2 2 2 2 2 2 3 2 2 3 2" xfId="42924"/>
    <cellStyle name="Comma 2 4 2 2 2 2 2 2 2 2 2 3 2 3" xfId="12722"/>
    <cellStyle name="Comma 2 4 2 2 2 2 2 2 2 2 2 3 2 3 2" xfId="42187"/>
    <cellStyle name="Comma 2 4 2 2 2 2 2 2 2 2 2 3 2 3 2 2" xfId="48068"/>
    <cellStyle name="Comma 2 4 2 2 2 2 2 2 2 2 2 3 2 4" xfId="26206"/>
    <cellStyle name="Comma 2 4 2 2 2 2 2 2 2 2 2 3 3" xfId="11982"/>
    <cellStyle name="Comma 2 4 2 2 2 2 2 2 2 2 2 3 3 2" xfId="15927"/>
    <cellStyle name="Comma 2 4 2 2 2 2 2 2 2 2 2 3 3 2 2" xfId="47330"/>
    <cellStyle name="Comma 2 4 2 2 2 2 2 2 2 2 2 3 3 2 2 2" xfId="51259"/>
    <cellStyle name="Comma 2 4 2 2 2 2 2 2 2 2 2 3 3 3" xfId="29433"/>
    <cellStyle name="Comma 2 4 2 2 2 2 2 2 2 2 2 3 4" xfId="25467"/>
    <cellStyle name="Comma 2 4 2 2 2 2 2 2 2 2 2 3 4 2" xfId="37741"/>
    <cellStyle name="Comma 2 4 2 2 2 2 2 2 2 2 2 4" xfId="4279"/>
    <cellStyle name="Comma 2 4 2 2 2 2 2 2 2 2 2 4 2" xfId="15140"/>
    <cellStyle name="Comma 2 4 2 2 2 2 2 2 2 2 2 4 2 2" xfId="17872"/>
    <cellStyle name="Comma 2 4 2 2 2 2 2 2 2 2 2 4 2 2 2" xfId="50479"/>
    <cellStyle name="Comma 2 4 2 2 2 2 2 2 2 2 2 4 2 2 2 2" xfId="53199"/>
    <cellStyle name="Comma 2 4 2 2 2 2 2 2 2 2 2 4 2 3" xfId="31374"/>
    <cellStyle name="Comma 2 4 2 2 2 2 2 2 2 2 2 4 3" xfId="28653"/>
    <cellStyle name="Comma 2 4 2 2 2 2 2 2 2 2 2 4 3 2" xfId="39722"/>
    <cellStyle name="Comma 2 4 2 2 2 2 2 2 2 2 2 5" xfId="9470"/>
    <cellStyle name="Comma 2 4 2 2 2 2 2 2 2 2 2 5 2" xfId="36948"/>
    <cellStyle name="Comma 2 4 2 2 2 2 2 2 2 2 2 5 2 2" xfId="44852"/>
    <cellStyle name="Comma 2 4 2 2 2 2 2 2 2 2 2 6" xfId="22966"/>
    <cellStyle name="Comma 2 4 2 2 2 2 2 2 2 2 3" xfId="2258"/>
    <cellStyle name="Comma 2 4 2 2 2 2 2 2 2 2 3 2" xfId="2750"/>
    <cellStyle name="Comma 2 4 2 2 2 2 2 2 2 2 3 2 2" xfId="7492"/>
    <cellStyle name="Comma 2 4 2 2 2 2 2 2 2 2 3 2 2 2" xfId="7969"/>
    <cellStyle name="Comma 2 4 2 2 2 2 2 2 2 2 3 2 2 2 2" xfId="21044"/>
    <cellStyle name="Comma 2 4 2 2 2 2 2 2 2 2 3 2 2 2 2 2" xfId="21521"/>
    <cellStyle name="Comma 2 4 2 2 2 2 2 2 2 2 3 2 2 2 2 2 2" xfId="56370"/>
    <cellStyle name="Comma 2 4 2 2 2 2 2 2 2 2 3 2 2 2 2 2 2 2" xfId="56847"/>
    <cellStyle name="Comma 2 4 2 2 2 2 2 2 2 2 3 2 2 2 2 3" xfId="35024"/>
    <cellStyle name="Comma 2 4 2 2 2 2 2 2 2 2 3 2 2 2 3" xfId="34547"/>
    <cellStyle name="Comma 2 4 2 2 2 2 2 2 2 2 3 2 2 2 3 2" xfId="43396"/>
    <cellStyle name="Comma 2 4 2 2 2 2 2 2 2 2 3 2 2 3" xfId="13194"/>
    <cellStyle name="Comma 2 4 2 2 2 2 2 2 2 2 3 2 2 3 2" xfId="42919"/>
    <cellStyle name="Comma 2 4 2 2 2 2 2 2 2 2 3 2 2 3 2 2" xfId="48540"/>
    <cellStyle name="Comma 2 4 2 2 2 2 2 2 2 2 3 2 2 4" xfId="26678"/>
    <cellStyle name="Comma 2 4 2 2 2 2 2 2 2 2 3 2 3" xfId="12717"/>
    <cellStyle name="Comma 2 4 2 2 2 2 2 2 2 2 3 2 3 2" xfId="16409"/>
    <cellStyle name="Comma 2 4 2 2 2 2 2 2 2 2 3 2 3 2 2" xfId="48063"/>
    <cellStyle name="Comma 2 4 2 2 2 2 2 2 2 2 3 2 3 2 2 2" xfId="51739"/>
    <cellStyle name="Comma 2 4 2 2 2 2 2 2 2 2 3 2 3 3" xfId="29913"/>
    <cellStyle name="Comma 2 4 2 2 2 2 2 2 2 2 3 2 4" xfId="26201"/>
    <cellStyle name="Comma 2 4 2 2 2 2 2 2 2 2 3 2 4 2" xfId="38223"/>
    <cellStyle name="Comma 2 4 2 2 2 2 2 2 2 2 3 3" xfId="4786"/>
    <cellStyle name="Comma 2 4 2 2 2 2 2 2 2 2 3 3 2" xfId="15922"/>
    <cellStyle name="Comma 2 4 2 2 2 2 2 2 2 2 3 3 2 2" xfId="18363"/>
    <cellStyle name="Comma 2 4 2 2 2 2 2 2 2 2 3 3 2 2 2" xfId="51254"/>
    <cellStyle name="Comma 2 4 2 2 2 2 2 2 2 2 3 3 2 2 2 2" xfId="53689"/>
    <cellStyle name="Comma 2 4 2 2 2 2 2 2 2 2 3 3 2 3" xfId="31864"/>
    <cellStyle name="Comma 2 4 2 2 2 2 2 2 2 2 3 3 3" xfId="29428"/>
    <cellStyle name="Comma 2 4 2 2 2 2 2 2 2 2 3 3 3 2" xfId="40224"/>
    <cellStyle name="Comma 2 4 2 2 2 2 2 2 2 2 3 4" xfId="9989"/>
    <cellStyle name="Comma 2 4 2 2 2 2 2 2 2 2 3 4 2" xfId="37736"/>
    <cellStyle name="Comma 2 4 2 2 2 2 2 2 2 2 3 4 2 2" xfId="45356"/>
    <cellStyle name="Comma 2 4 2 2 2 2 2 2 2 2 3 5" xfId="23479"/>
    <cellStyle name="Comma 2 4 2 2 2 2 2 2 2 2 4" xfId="4274"/>
    <cellStyle name="Comma 2 4 2 2 2 2 2 2 2 2 4 2" xfId="5991"/>
    <cellStyle name="Comma 2 4 2 2 2 2 2 2 2 2 4 2 2" xfId="17867"/>
    <cellStyle name="Comma 2 4 2 2 2 2 2 2 2 2 4 2 2 2" xfId="19558"/>
    <cellStyle name="Comma 2 4 2 2 2 2 2 2 2 2 4 2 2 2 2" xfId="53194"/>
    <cellStyle name="Comma 2 4 2 2 2 2 2 2 2 2 4 2 2 2 2 2" xfId="54884"/>
    <cellStyle name="Comma 2 4 2 2 2 2 2 2 2 2 4 2 2 3" xfId="33059"/>
    <cellStyle name="Comma 2 4 2 2 2 2 2 2 2 2 4 2 3" xfId="31369"/>
    <cellStyle name="Comma 2 4 2 2 2 2 2 2 2 2 4 2 3 2" xfId="41425"/>
    <cellStyle name="Comma 2 4 2 2 2 2 2 2 2 2 4 3" xfId="11216"/>
    <cellStyle name="Comma 2 4 2 2 2 2 2 2 2 2 4 3 2" xfId="39717"/>
    <cellStyle name="Comma 2 4 2 2 2 2 2 2 2 2 4 3 2 2" xfId="46574"/>
    <cellStyle name="Comma 2 4 2 2 2 2 2 2 2 2 4 4" xfId="24709"/>
    <cellStyle name="Comma 2 4 2 2 2 2 2 2 2 2 5" xfId="9465"/>
    <cellStyle name="Comma 2 4 2 2 2 2 2 2 2 2 5 2" xfId="14375"/>
    <cellStyle name="Comma 2 4 2 2 2 2 2 2 2 2 5 2 2" xfId="44847"/>
    <cellStyle name="Comma 2 4 2 2 2 2 2 2 2 2 5 2 2 2" xfId="49720"/>
    <cellStyle name="Comma 2 4 2 2 2 2 2 2 2 2 5 3" xfId="27885"/>
    <cellStyle name="Comma 2 4 2 2 2 2 2 2 2 2 6" xfId="22961"/>
    <cellStyle name="Comma 2 4 2 2 2 2 2 2 2 2 6 2" xfId="36187"/>
    <cellStyle name="Comma 2 4 2 2 2 2 2 2 2 3" xfId="988"/>
    <cellStyle name="Comma 2 4 2 2 2 2 2 2 2 3 2" xfId="2745"/>
    <cellStyle name="Comma 2 4 2 2 2 2 2 2 2 3 2 2" xfId="3026"/>
    <cellStyle name="Comma 2 4 2 2 2 2 2 2 2 3 2 2 2" xfId="7964"/>
    <cellStyle name="Comma 2 4 2 2 2 2 2 2 2 3 2 2 2 2" xfId="8241"/>
    <cellStyle name="Comma 2 4 2 2 2 2 2 2 2 3 2 2 2 2 2" xfId="21516"/>
    <cellStyle name="Comma 2 4 2 2 2 2 2 2 2 3 2 2 2 2 2 2" xfId="21793"/>
    <cellStyle name="Comma 2 4 2 2 2 2 2 2 2 3 2 2 2 2 2 2 2" xfId="56842"/>
    <cellStyle name="Comma 2 4 2 2 2 2 2 2 2 3 2 2 2 2 2 2 2 2" xfId="57119"/>
    <cellStyle name="Comma 2 4 2 2 2 2 2 2 2 3 2 2 2 2 2 3" xfId="35296"/>
    <cellStyle name="Comma 2 4 2 2 2 2 2 2 2 3 2 2 2 2 3" xfId="35019"/>
    <cellStyle name="Comma 2 4 2 2 2 2 2 2 2 3 2 2 2 2 3 2" xfId="43668"/>
    <cellStyle name="Comma 2 4 2 2 2 2 2 2 2 3 2 2 2 3" xfId="13466"/>
    <cellStyle name="Comma 2 4 2 2 2 2 2 2 2 3 2 2 2 3 2" xfId="43391"/>
    <cellStyle name="Comma 2 4 2 2 2 2 2 2 2 3 2 2 2 3 2 2" xfId="48812"/>
    <cellStyle name="Comma 2 4 2 2 2 2 2 2 2 3 2 2 2 4" xfId="26951"/>
    <cellStyle name="Comma 2 4 2 2 2 2 2 2 2 3 2 2 3" xfId="13189"/>
    <cellStyle name="Comma 2 4 2 2 2 2 2 2 2 3 2 2 3 2" xfId="16683"/>
    <cellStyle name="Comma 2 4 2 2 2 2 2 2 2 3 2 2 3 2 2" xfId="48535"/>
    <cellStyle name="Comma 2 4 2 2 2 2 2 2 2 3 2 2 3 2 2 2" xfId="52011"/>
    <cellStyle name="Comma 2 4 2 2 2 2 2 2 2 3 2 2 3 3" xfId="30185"/>
    <cellStyle name="Comma 2 4 2 2 2 2 2 2 2 3 2 2 4" xfId="26673"/>
    <cellStyle name="Comma 2 4 2 2 2 2 2 2 2 3 2 2 4 2" xfId="38495"/>
    <cellStyle name="Comma 2 4 2 2 2 2 2 2 2 3 2 3" xfId="5062"/>
    <cellStyle name="Comma 2 4 2 2 2 2 2 2 2 3 2 3 2" xfId="16404"/>
    <cellStyle name="Comma 2 4 2 2 2 2 2 2 2 3 2 3 2 2" xfId="18635"/>
    <cellStyle name="Comma 2 4 2 2 2 2 2 2 2 3 2 3 2 2 2" xfId="51734"/>
    <cellStyle name="Comma 2 4 2 2 2 2 2 2 2 3 2 3 2 2 2 2" xfId="53961"/>
    <cellStyle name="Comma 2 4 2 2 2 2 2 2 2 3 2 3 2 3" xfId="32136"/>
    <cellStyle name="Comma 2 4 2 2 2 2 2 2 2 3 2 3 3" xfId="29908"/>
    <cellStyle name="Comma 2 4 2 2 2 2 2 2 2 3 2 3 3 2" xfId="40499"/>
    <cellStyle name="Comma 2 4 2 2 2 2 2 2 2 3 2 4" xfId="10265"/>
    <cellStyle name="Comma 2 4 2 2 2 2 2 2 2 3 2 4 2" xfId="38218"/>
    <cellStyle name="Comma 2 4 2 2 2 2 2 2 2 3 2 4 2 2" xfId="45628"/>
    <cellStyle name="Comma 2 4 2 2 2 2 2 2 2 3 2 5" xfId="23751"/>
    <cellStyle name="Comma 2 4 2 2 2 2 2 2 2 3 3" xfId="4781"/>
    <cellStyle name="Comma 2 4 2 2 2 2 2 2 2 3 3 2" xfId="6299"/>
    <cellStyle name="Comma 2 4 2 2 2 2 2 2 2 3 3 2 2" xfId="18358"/>
    <cellStyle name="Comma 2 4 2 2 2 2 2 2 2 3 3 2 2 2" xfId="19856"/>
    <cellStyle name="Comma 2 4 2 2 2 2 2 2 2 3 3 2 2 2 2" xfId="53684"/>
    <cellStyle name="Comma 2 4 2 2 2 2 2 2 2 3 3 2 2 2 2 2" xfId="55182"/>
    <cellStyle name="Comma 2 4 2 2 2 2 2 2 2 3 3 2 2 3" xfId="33358"/>
    <cellStyle name="Comma 2 4 2 2 2 2 2 2 2 3 3 2 3" xfId="31859"/>
    <cellStyle name="Comma 2 4 2 2 2 2 2 2 2 3 3 2 3 2" xfId="41728"/>
    <cellStyle name="Comma 2 4 2 2 2 2 2 2 2 3 3 3" xfId="11524"/>
    <cellStyle name="Comma 2 4 2 2 2 2 2 2 2 3 3 3 2" xfId="40219"/>
    <cellStyle name="Comma 2 4 2 2 2 2 2 2 2 3 3 3 2 2" xfId="46873"/>
    <cellStyle name="Comma 2 4 2 2 2 2 2 2 2 3 3 4" xfId="25010"/>
    <cellStyle name="Comma 2 4 2 2 2 2 2 2 2 3 4" xfId="9984"/>
    <cellStyle name="Comma 2 4 2 2 2 2 2 2 2 3 4 2" xfId="14682"/>
    <cellStyle name="Comma 2 4 2 2 2 2 2 2 2 3 4 2 2" xfId="45351"/>
    <cellStyle name="Comma 2 4 2 2 2 2 2 2 2 3 4 2 2 2" xfId="50021"/>
    <cellStyle name="Comma 2 4 2 2 2 2 2 2 2 3 4 3" xfId="28193"/>
    <cellStyle name="Comma 2 4 2 2 2 2 2 2 2 3 5" xfId="23474"/>
    <cellStyle name="Comma 2 4 2 2 2 2 2 2 2 3 5 2" xfId="36490"/>
    <cellStyle name="Comma 2 4 2 2 2 2 2 2 2 4" xfId="1784"/>
    <cellStyle name="Comma 2 4 2 2 2 2 2 2 2 4 2" xfId="5986"/>
    <cellStyle name="Comma 2 4 2 2 2 2 2 2 2 4 2 2" xfId="7037"/>
    <cellStyle name="Comma 2 4 2 2 2 2 2 2 2 4 2 2 2" xfId="19553"/>
    <cellStyle name="Comma 2 4 2 2 2 2 2 2 2 4 2 2 2 2" xfId="20590"/>
    <cellStyle name="Comma 2 4 2 2 2 2 2 2 2 4 2 2 2 2 2" xfId="54879"/>
    <cellStyle name="Comma 2 4 2 2 2 2 2 2 2 4 2 2 2 2 2 2" xfId="55916"/>
    <cellStyle name="Comma 2 4 2 2 2 2 2 2 2 4 2 2 2 3" xfId="34092"/>
    <cellStyle name="Comma 2 4 2 2 2 2 2 2 2 4 2 2 3" xfId="33054"/>
    <cellStyle name="Comma 2 4 2 2 2 2 2 2 2 4 2 2 3 2" xfId="42465"/>
    <cellStyle name="Comma 2 4 2 2 2 2 2 2 2 4 2 3" xfId="12261"/>
    <cellStyle name="Comma 2 4 2 2 2 2 2 2 2 4 2 3 2" xfId="41420"/>
    <cellStyle name="Comma 2 4 2 2 2 2 2 2 2 4 2 3 2 2" xfId="47608"/>
    <cellStyle name="Comma 2 4 2 2 2 2 2 2 2 4 2 4" xfId="25746"/>
    <cellStyle name="Comma 2 4 2 2 2 2 2 2 2 4 3" xfId="11211"/>
    <cellStyle name="Comma 2 4 2 2 2 2 2 2 2 4 3 2" xfId="15456"/>
    <cellStyle name="Comma 2 4 2 2 2 2 2 2 2 4 3 2 2" xfId="46569"/>
    <cellStyle name="Comma 2 4 2 2 2 2 2 2 2 4 3 2 2 2" xfId="50789"/>
    <cellStyle name="Comma 2 4 2 2 2 2 2 2 2 4 3 3" xfId="28963"/>
    <cellStyle name="Comma 2 4 2 2 2 2 2 2 2 4 4" xfId="24704"/>
    <cellStyle name="Comma 2 4 2 2 2 2 2 2 2 4 4 2" xfId="37266"/>
    <cellStyle name="Comma 2 4 2 2 2 2 2 2 2 5" xfId="3790"/>
    <cellStyle name="Comma 2 4 2 2 2 2 2 2 2 5 2" xfId="14370"/>
    <cellStyle name="Comma 2 4 2 2 2 2 2 2 2 5 2 2" xfId="17406"/>
    <cellStyle name="Comma 2 4 2 2 2 2 2 2 2 5 2 2 2" xfId="49715"/>
    <cellStyle name="Comma 2 4 2 2 2 2 2 2 2 5 2 2 2 2" xfId="52733"/>
    <cellStyle name="Comma 2 4 2 2 2 2 2 2 2 5 2 3" xfId="30907"/>
    <cellStyle name="Comma 2 4 2 2 2 2 2 2 2 5 3" xfId="27880"/>
    <cellStyle name="Comma 2 4 2 2 2 2 2 2 2 5 3 2" xfId="39241"/>
    <cellStyle name="Comma 2 4 2 2 2 2 2 2 2 6" xfId="8980"/>
    <cellStyle name="Comma 2 4 2 2 2 2 2 2 2 6 2" xfId="36182"/>
    <cellStyle name="Comma 2 4 2 2 2 2 2 2 2 6 2 2" xfId="44379"/>
    <cellStyle name="Comma 2 4 2 2 2 2 2 2 2 7" xfId="22487"/>
    <cellStyle name="Comma 2 4 2 2 2 2 2 2 3" xfId="983"/>
    <cellStyle name="Comma 2 4 2 2 2 2 2 2 3 2" xfId="1192"/>
    <cellStyle name="Comma 2 4 2 2 2 2 2 2 3 2 2" xfId="3021"/>
    <cellStyle name="Comma 2 4 2 2 2 2 2 2 3 2 2 2" xfId="3212"/>
    <cellStyle name="Comma 2 4 2 2 2 2 2 2 3 2 2 2 2" xfId="8236"/>
    <cellStyle name="Comma 2 4 2 2 2 2 2 2 3 2 2 2 2 2" xfId="8427"/>
    <cellStyle name="Comma 2 4 2 2 2 2 2 2 3 2 2 2 2 2 2" xfId="21788"/>
    <cellStyle name="Comma 2 4 2 2 2 2 2 2 3 2 2 2 2 2 2 2" xfId="21979"/>
    <cellStyle name="Comma 2 4 2 2 2 2 2 2 3 2 2 2 2 2 2 2 2" xfId="57114"/>
    <cellStyle name="Comma 2 4 2 2 2 2 2 2 3 2 2 2 2 2 2 2 2 2" xfId="57305"/>
    <cellStyle name="Comma 2 4 2 2 2 2 2 2 3 2 2 2 2 2 2 3" xfId="35482"/>
    <cellStyle name="Comma 2 4 2 2 2 2 2 2 3 2 2 2 2 2 3" xfId="35291"/>
    <cellStyle name="Comma 2 4 2 2 2 2 2 2 3 2 2 2 2 2 3 2" xfId="43854"/>
    <cellStyle name="Comma 2 4 2 2 2 2 2 2 3 2 2 2 2 3" xfId="13652"/>
    <cellStyle name="Comma 2 4 2 2 2 2 2 2 3 2 2 2 2 3 2" xfId="43663"/>
    <cellStyle name="Comma 2 4 2 2 2 2 2 2 3 2 2 2 2 3 2 2" xfId="48998"/>
    <cellStyle name="Comma 2 4 2 2 2 2 2 2 3 2 2 2 2 4" xfId="27137"/>
    <cellStyle name="Comma 2 4 2 2 2 2 2 2 3 2 2 2 3" xfId="13461"/>
    <cellStyle name="Comma 2 4 2 2 2 2 2 2 3 2 2 2 3 2" xfId="16869"/>
    <cellStyle name="Comma 2 4 2 2 2 2 2 2 3 2 2 2 3 2 2" xfId="48807"/>
    <cellStyle name="Comma 2 4 2 2 2 2 2 2 3 2 2 2 3 2 2 2" xfId="52197"/>
    <cellStyle name="Comma 2 4 2 2 2 2 2 2 3 2 2 2 3 3" xfId="30371"/>
    <cellStyle name="Comma 2 4 2 2 2 2 2 2 3 2 2 2 4" xfId="26946"/>
    <cellStyle name="Comma 2 4 2 2 2 2 2 2 3 2 2 2 4 2" xfId="38681"/>
    <cellStyle name="Comma 2 4 2 2 2 2 2 2 3 2 2 3" xfId="5249"/>
    <cellStyle name="Comma 2 4 2 2 2 2 2 2 3 2 2 3 2" xfId="16678"/>
    <cellStyle name="Comma 2 4 2 2 2 2 2 2 3 2 2 3 2 2" xfId="18822"/>
    <cellStyle name="Comma 2 4 2 2 2 2 2 2 3 2 2 3 2 2 2" xfId="52006"/>
    <cellStyle name="Comma 2 4 2 2 2 2 2 2 3 2 2 3 2 2 2 2" xfId="54148"/>
    <cellStyle name="Comma 2 4 2 2 2 2 2 2 3 2 2 3 2 3" xfId="32323"/>
    <cellStyle name="Comma 2 4 2 2 2 2 2 2 3 2 2 3 3" xfId="30180"/>
    <cellStyle name="Comma 2 4 2 2 2 2 2 2 3 2 2 3 3 2" xfId="40686"/>
    <cellStyle name="Comma 2 4 2 2 2 2 2 2 3 2 2 4" xfId="10452"/>
    <cellStyle name="Comma 2 4 2 2 2 2 2 2 3 2 2 4 2" xfId="38490"/>
    <cellStyle name="Comma 2 4 2 2 2 2 2 2 3 2 2 4 2 2" xfId="45815"/>
    <cellStyle name="Comma 2 4 2 2 2 2 2 2 3 2 2 5" xfId="23938"/>
    <cellStyle name="Comma 2 4 2 2 2 2 2 2 3 2 3" xfId="5057"/>
    <cellStyle name="Comma 2 4 2 2 2 2 2 2 3 2 3 2" xfId="6500"/>
    <cellStyle name="Comma 2 4 2 2 2 2 2 2 3 2 3 2 2" xfId="18630"/>
    <cellStyle name="Comma 2 4 2 2 2 2 2 2 3 2 3 2 2 2" xfId="20054"/>
    <cellStyle name="Comma 2 4 2 2 2 2 2 2 3 2 3 2 2 2 2" xfId="53956"/>
    <cellStyle name="Comma 2 4 2 2 2 2 2 2 3 2 3 2 2 2 2 2" xfId="55380"/>
    <cellStyle name="Comma 2 4 2 2 2 2 2 2 3 2 3 2 2 3" xfId="33556"/>
    <cellStyle name="Comma 2 4 2 2 2 2 2 2 3 2 3 2 3" xfId="32131"/>
    <cellStyle name="Comma 2 4 2 2 2 2 2 2 3 2 3 2 3 2" xfId="41928"/>
    <cellStyle name="Comma 2 4 2 2 2 2 2 2 3 2 3 3" xfId="11724"/>
    <cellStyle name="Comma 2 4 2 2 2 2 2 2 3 2 3 3 2" xfId="40494"/>
    <cellStyle name="Comma 2 4 2 2 2 2 2 2 3 2 3 3 2 2" xfId="47072"/>
    <cellStyle name="Comma 2 4 2 2 2 2 2 2 3 2 3 4" xfId="25209"/>
    <cellStyle name="Comma 2 4 2 2 2 2 2 2 3 2 4" xfId="10260"/>
    <cellStyle name="Comma 2 4 2 2 2 2 2 2 3 2 4 2" xfId="14882"/>
    <cellStyle name="Comma 2 4 2 2 2 2 2 2 3 2 4 2 2" xfId="45623"/>
    <cellStyle name="Comma 2 4 2 2 2 2 2 2 3 2 4 2 2 2" xfId="50221"/>
    <cellStyle name="Comma 2 4 2 2 2 2 2 2 3 2 4 3" xfId="28395"/>
    <cellStyle name="Comma 2 4 2 2 2 2 2 2 3 2 5" xfId="23746"/>
    <cellStyle name="Comma 2 4 2 2 2 2 2 2 3 2 5 2" xfId="36690"/>
    <cellStyle name="Comma 2 4 2 2 2 2 2 2 3 3" xfId="2000"/>
    <cellStyle name="Comma 2 4 2 2 2 2 2 2 3 3 2" xfId="6294"/>
    <cellStyle name="Comma 2 4 2 2 2 2 2 2 3 3 2 2" xfId="7234"/>
    <cellStyle name="Comma 2 4 2 2 2 2 2 2 3 3 2 2 2" xfId="19851"/>
    <cellStyle name="Comma 2 4 2 2 2 2 2 2 3 3 2 2 2 2" xfId="20786"/>
    <cellStyle name="Comma 2 4 2 2 2 2 2 2 3 3 2 2 2 2 2" xfId="55177"/>
    <cellStyle name="Comma 2 4 2 2 2 2 2 2 3 3 2 2 2 2 2 2" xfId="56112"/>
    <cellStyle name="Comma 2 4 2 2 2 2 2 2 3 3 2 2 2 3" xfId="34289"/>
    <cellStyle name="Comma 2 4 2 2 2 2 2 2 3 3 2 2 3" xfId="33353"/>
    <cellStyle name="Comma 2 4 2 2 2 2 2 2 3 3 2 2 3 2" xfId="42661"/>
    <cellStyle name="Comma 2 4 2 2 2 2 2 2 3 3 2 3" xfId="12459"/>
    <cellStyle name="Comma 2 4 2 2 2 2 2 2 3 3 2 3 2" xfId="41723"/>
    <cellStyle name="Comma 2 4 2 2 2 2 2 2 3 3 2 3 2 2" xfId="47805"/>
    <cellStyle name="Comma 2 4 2 2 2 2 2 2 3 3 2 4" xfId="25943"/>
    <cellStyle name="Comma 2 4 2 2 2 2 2 2 3 3 3" xfId="11519"/>
    <cellStyle name="Comma 2 4 2 2 2 2 2 2 3 3 3 2" xfId="15664"/>
    <cellStyle name="Comma 2 4 2 2 2 2 2 2 3 3 3 2 2" xfId="46868"/>
    <cellStyle name="Comma 2 4 2 2 2 2 2 2 3 3 3 2 2 2" xfId="50996"/>
    <cellStyle name="Comma 2 4 2 2 2 2 2 2 3 3 3 3" xfId="29170"/>
    <cellStyle name="Comma 2 4 2 2 2 2 2 2 3 3 4" xfId="25005"/>
    <cellStyle name="Comma 2 4 2 2 2 2 2 2 3 3 4 2" xfId="37478"/>
    <cellStyle name="Comma 2 4 2 2 2 2 2 2 3 4" xfId="4014"/>
    <cellStyle name="Comma 2 4 2 2 2 2 2 2 3 4 2" xfId="14677"/>
    <cellStyle name="Comma 2 4 2 2 2 2 2 2 3 4 2 2" xfId="17609"/>
    <cellStyle name="Comma 2 4 2 2 2 2 2 2 3 4 2 2 2" xfId="50016"/>
    <cellStyle name="Comma 2 4 2 2 2 2 2 2 3 4 2 2 2 2" xfId="52936"/>
    <cellStyle name="Comma 2 4 2 2 2 2 2 2 3 4 2 3" xfId="31111"/>
    <cellStyle name="Comma 2 4 2 2 2 2 2 2 3 4 3" xfId="28188"/>
    <cellStyle name="Comma 2 4 2 2 2 2 2 2 3 4 3 2" xfId="39458"/>
    <cellStyle name="Comma 2 4 2 2 2 2 2 2 3 5" xfId="9206"/>
    <cellStyle name="Comma 2 4 2 2 2 2 2 2 3 5 2" xfId="36485"/>
    <cellStyle name="Comma 2 4 2 2 2 2 2 2 3 5 2 2" xfId="44589"/>
    <cellStyle name="Comma 2 4 2 2 2 2 2 2 3 6" xfId="22703"/>
    <cellStyle name="Comma 2 4 2 2 2 2 2 2 4" xfId="1779"/>
    <cellStyle name="Comma 2 4 2 2 2 2 2 2 4 2" xfId="2445"/>
    <cellStyle name="Comma 2 4 2 2 2 2 2 2 4 2 2" xfId="7032"/>
    <cellStyle name="Comma 2 4 2 2 2 2 2 2 4 2 2 2" xfId="7677"/>
    <cellStyle name="Comma 2 4 2 2 2 2 2 2 4 2 2 2 2" xfId="20585"/>
    <cellStyle name="Comma 2 4 2 2 2 2 2 2 4 2 2 2 2 2" xfId="21229"/>
    <cellStyle name="Comma 2 4 2 2 2 2 2 2 4 2 2 2 2 2 2" xfId="55911"/>
    <cellStyle name="Comma 2 4 2 2 2 2 2 2 4 2 2 2 2 2 2 2" xfId="56555"/>
    <cellStyle name="Comma 2 4 2 2 2 2 2 2 4 2 2 2 2 3" xfId="34732"/>
    <cellStyle name="Comma 2 4 2 2 2 2 2 2 4 2 2 2 3" xfId="34087"/>
    <cellStyle name="Comma 2 4 2 2 2 2 2 2 4 2 2 2 3 2" xfId="43104"/>
    <cellStyle name="Comma 2 4 2 2 2 2 2 2 4 2 2 3" xfId="12902"/>
    <cellStyle name="Comma 2 4 2 2 2 2 2 2 4 2 2 3 2" xfId="42460"/>
    <cellStyle name="Comma 2 4 2 2 2 2 2 2 4 2 2 3 2 2" xfId="48248"/>
    <cellStyle name="Comma 2 4 2 2 2 2 2 2 4 2 2 4" xfId="26386"/>
    <cellStyle name="Comma 2 4 2 2 2 2 2 2 4 2 3" xfId="12256"/>
    <cellStyle name="Comma 2 4 2 2 2 2 2 2 4 2 3 2" xfId="16108"/>
    <cellStyle name="Comma 2 4 2 2 2 2 2 2 4 2 3 2 2" xfId="47603"/>
    <cellStyle name="Comma 2 4 2 2 2 2 2 2 4 2 3 2 2 2" xfId="51440"/>
    <cellStyle name="Comma 2 4 2 2 2 2 2 2 4 2 3 3" xfId="29614"/>
    <cellStyle name="Comma 2 4 2 2 2 2 2 2 4 2 4" xfId="25741"/>
    <cellStyle name="Comma 2 4 2 2 2 2 2 2 4 2 4 2" xfId="37923"/>
    <cellStyle name="Comma 2 4 2 2 2 2 2 2 4 3" xfId="4480"/>
    <cellStyle name="Comma 2 4 2 2 2 2 2 2 4 3 2" xfId="15451"/>
    <cellStyle name="Comma 2 4 2 2 2 2 2 2 4 3 2 2" xfId="18070"/>
    <cellStyle name="Comma 2 4 2 2 2 2 2 2 4 3 2 2 2" xfId="50784"/>
    <cellStyle name="Comma 2 4 2 2 2 2 2 2 4 3 2 2 2 2" xfId="53396"/>
    <cellStyle name="Comma 2 4 2 2 2 2 2 2 4 3 2 3" xfId="31571"/>
    <cellStyle name="Comma 2 4 2 2 2 2 2 2 4 3 3" xfId="28958"/>
    <cellStyle name="Comma 2 4 2 2 2 2 2 2 4 3 3 2" xfId="39922"/>
    <cellStyle name="Comma 2 4 2 2 2 2 2 2 4 4" xfId="9685"/>
    <cellStyle name="Comma 2 4 2 2 2 2 2 2 4 4 2" xfId="37261"/>
    <cellStyle name="Comma 2 4 2 2 2 2 2 2 4 4 2 2" xfId="45063"/>
    <cellStyle name="Comma 2 4 2 2 2 2 2 2 4 5" xfId="23186"/>
    <cellStyle name="Comma 2 4 2 2 2 2 2 2 5" xfId="3785"/>
    <cellStyle name="Comma 2 4 2 2 2 2 2 2 5 2" xfId="5687"/>
    <cellStyle name="Comma 2 4 2 2 2 2 2 2 5 2 2" xfId="17401"/>
    <cellStyle name="Comma 2 4 2 2 2 2 2 2 5 2 2 2" xfId="19259"/>
    <cellStyle name="Comma 2 4 2 2 2 2 2 2 5 2 2 2 2" xfId="52728"/>
    <cellStyle name="Comma 2 4 2 2 2 2 2 2 5 2 2 2 2 2" xfId="54585"/>
    <cellStyle name="Comma 2 4 2 2 2 2 2 2 5 2 2 3" xfId="32760"/>
    <cellStyle name="Comma 2 4 2 2 2 2 2 2 5 2 3" xfId="30902"/>
    <cellStyle name="Comma 2 4 2 2 2 2 2 2 5 2 3 2" xfId="41123"/>
    <cellStyle name="Comma 2 4 2 2 2 2 2 2 5 3" xfId="10905"/>
    <cellStyle name="Comma 2 4 2 2 2 2 2 2 5 3 2" xfId="39236"/>
    <cellStyle name="Comma 2 4 2 2 2 2 2 2 5 3 2 2" xfId="46267"/>
    <cellStyle name="Comma 2 4 2 2 2 2 2 2 5 4" xfId="24398"/>
    <cellStyle name="Comma 2 4 2 2 2 2 2 2 6" xfId="8975"/>
    <cellStyle name="Comma 2 4 2 2 2 2 2 2 6 2" xfId="14071"/>
    <cellStyle name="Comma 2 4 2 2 2 2 2 2 6 2 2" xfId="44374"/>
    <cellStyle name="Comma 2 4 2 2 2 2 2 2 6 2 2 2" xfId="49417"/>
    <cellStyle name="Comma 2 4 2 2 2 2 2 2 6 3" xfId="27570"/>
    <cellStyle name="Comma 2 4 2 2 2 2 2 2 7" xfId="22482"/>
    <cellStyle name="Comma 2 4 2 2 2 2 2 2 7 2" xfId="35883"/>
    <cellStyle name="Comma 2 4 2 2 2 2 2 3" xfId="477"/>
    <cellStyle name="Comma 2 4 2 2 2 2 2 3 2" xfId="1187"/>
    <cellStyle name="Comma 2 4 2 2 2 2 2 3 2 2" xfId="1292"/>
    <cellStyle name="Comma 2 4 2 2 2 2 2 3 2 2 2" xfId="3207"/>
    <cellStyle name="Comma 2 4 2 2 2 2 2 3 2 2 2 2" xfId="3310"/>
    <cellStyle name="Comma 2 4 2 2 2 2 2 3 2 2 2 2 2" xfId="8422"/>
    <cellStyle name="Comma 2 4 2 2 2 2 2 3 2 2 2 2 2 2" xfId="8525"/>
    <cellStyle name="Comma 2 4 2 2 2 2 2 3 2 2 2 2 2 2 2" xfId="21974"/>
    <cellStyle name="Comma 2 4 2 2 2 2 2 3 2 2 2 2 2 2 2 2" xfId="22077"/>
    <cellStyle name="Comma 2 4 2 2 2 2 2 3 2 2 2 2 2 2 2 2 2" xfId="57300"/>
    <cellStyle name="Comma 2 4 2 2 2 2 2 3 2 2 2 2 2 2 2 2 2 2" xfId="57403"/>
    <cellStyle name="Comma 2 4 2 2 2 2 2 3 2 2 2 2 2 2 2 3" xfId="35580"/>
    <cellStyle name="Comma 2 4 2 2 2 2 2 3 2 2 2 2 2 2 3" xfId="35477"/>
    <cellStyle name="Comma 2 4 2 2 2 2 2 3 2 2 2 2 2 2 3 2" xfId="43952"/>
    <cellStyle name="Comma 2 4 2 2 2 2 2 3 2 2 2 2 2 3" xfId="13750"/>
    <cellStyle name="Comma 2 4 2 2 2 2 2 3 2 2 2 2 2 3 2" xfId="43849"/>
    <cellStyle name="Comma 2 4 2 2 2 2 2 3 2 2 2 2 2 3 2 2" xfId="49096"/>
    <cellStyle name="Comma 2 4 2 2 2 2 2 3 2 2 2 2 2 4" xfId="27235"/>
    <cellStyle name="Comma 2 4 2 2 2 2 2 3 2 2 2 2 3" xfId="13647"/>
    <cellStyle name="Comma 2 4 2 2 2 2 2 3 2 2 2 2 3 2" xfId="16967"/>
    <cellStyle name="Comma 2 4 2 2 2 2 2 3 2 2 2 2 3 2 2" xfId="48993"/>
    <cellStyle name="Comma 2 4 2 2 2 2 2 3 2 2 2 2 3 2 2 2" xfId="52295"/>
    <cellStyle name="Comma 2 4 2 2 2 2 2 3 2 2 2 2 3 3" xfId="30469"/>
    <cellStyle name="Comma 2 4 2 2 2 2 2 3 2 2 2 2 4" xfId="27132"/>
    <cellStyle name="Comma 2 4 2 2 2 2 2 3 2 2 2 2 4 2" xfId="38779"/>
    <cellStyle name="Comma 2 4 2 2 2 2 2 3 2 2 2 3" xfId="5347"/>
    <cellStyle name="Comma 2 4 2 2 2 2 2 3 2 2 2 3 2" xfId="16864"/>
    <cellStyle name="Comma 2 4 2 2 2 2 2 3 2 2 2 3 2 2" xfId="18920"/>
    <cellStyle name="Comma 2 4 2 2 2 2 2 3 2 2 2 3 2 2 2" xfId="52192"/>
    <cellStyle name="Comma 2 4 2 2 2 2 2 3 2 2 2 3 2 2 2 2" xfId="54246"/>
    <cellStyle name="Comma 2 4 2 2 2 2 2 3 2 2 2 3 2 3" xfId="32421"/>
    <cellStyle name="Comma 2 4 2 2 2 2 2 3 2 2 2 3 3" xfId="30366"/>
    <cellStyle name="Comma 2 4 2 2 2 2 2 3 2 2 2 3 3 2" xfId="40784"/>
    <cellStyle name="Comma 2 4 2 2 2 2 2 3 2 2 2 4" xfId="10550"/>
    <cellStyle name="Comma 2 4 2 2 2 2 2 3 2 2 2 4 2" xfId="38676"/>
    <cellStyle name="Comma 2 4 2 2 2 2 2 3 2 2 2 4 2 2" xfId="45913"/>
    <cellStyle name="Comma 2 4 2 2 2 2 2 3 2 2 2 5" xfId="24036"/>
    <cellStyle name="Comma 2 4 2 2 2 2 2 3 2 2 3" xfId="5244"/>
    <cellStyle name="Comma 2 4 2 2 2 2 2 3 2 2 3 2" xfId="6600"/>
    <cellStyle name="Comma 2 4 2 2 2 2 2 3 2 2 3 2 2" xfId="18817"/>
    <cellStyle name="Comma 2 4 2 2 2 2 2 3 2 2 3 2 2 2" xfId="20153"/>
    <cellStyle name="Comma 2 4 2 2 2 2 2 3 2 2 3 2 2 2 2" xfId="54143"/>
    <cellStyle name="Comma 2 4 2 2 2 2 2 3 2 2 3 2 2 2 2 2" xfId="55479"/>
    <cellStyle name="Comma 2 4 2 2 2 2 2 3 2 2 3 2 2 3" xfId="33655"/>
    <cellStyle name="Comma 2 4 2 2 2 2 2 3 2 2 3 2 3" xfId="32318"/>
    <cellStyle name="Comma 2 4 2 2 2 2 2 3 2 2 3 2 3 2" xfId="42028"/>
    <cellStyle name="Comma 2 4 2 2 2 2 2 3 2 2 3 3" xfId="11823"/>
    <cellStyle name="Comma 2 4 2 2 2 2 2 3 2 2 3 3 2" xfId="40681"/>
    <cellStyle name="Comma 2 4 2 2 2 2 2 3 2 2 3 3 2 2" xfId="47171"/>
    <cellStyle name="Comma 2 4 2 2 2 2 2 3 2 2 3 4" xfId="25308"/>
    <cellStyle name="Comma 2 4 2 2 2 2 2 3 2 2 4" xfId="10447"/>
    <cellStyle name="Comma 2 4 2 2 2 2 2 3 2 2 4 2" xfId="14981"/>
    <cellStyle name="Comma 2 4 2 2 2 2 2 3 2 2 4 2 2" xfId="45810"/>
    <cellStyle name="Comma 2 4 2 2 2 2 2 3 2 2 4 2 2 2" xfId="50320"/>
    <cellStyle name="Comma 2 4 2 2 2 2 2 3 2 2 4 3" xfId="28494"/>
    <cellStyle name="Comma 2 4 2 2 2 2 2 3 2 2 5" xfId="23933"/>
    <cellStyle name="Comma 2 4 2 2 2 2 2 3 2 2 5 2" xfId="36789"/>
    <cellStyle name="Comma 2 4 2 2 2 2 2 3 2 3" xfId="2098"/>
    <cellStyle name="Comma 2 4 2 2 2 2 2 3 2 3 2" xfId="6495"/>
    <cellStyle name="Comma 2 4 2 2 2 2 2 3 2 3 2 2" xfId="7332"/>
    <cellStyle name="Comma 2 4 2 2 2 2 2 3 2 3 2 2 2" xfId="20049"/>
    <cellStyle name="Comma 2 4 2 2 2 2 2 3 2 3 2 2 2 2" xfId="20884"/>
    <cellStyle name="Comma 2 4 2 2 2 2 2 3 2 3 2 2 2 2 2" xfId="55375"/>
    <cellStyle name="Comma 2 4 2 2 2 2 2 3 2 3 2 2 2 2 2 2" xfId="56210"/>
    <cellStyle name="Comma 2 4 2 2 2 2 2 3 2 3 2 2 2 3" xfId="34387"/>
    <cellStyle name="Comma 2 4 2 2 2 2 2 3 2 3 2 2 3" xfId="33551"/>
    <cellStyle name="Comma 2 4 2 2 2 2 2 3 2 3 2 2 3 2" xfId="42759"/>
    <cellStyle name="Comma 2 4 2 2 2 2 2 3 2 3 2 3" xfId="12557"/>
    <cellStyle name="Comma 2 4 2 2 2 2 2 3 2 3 2 3 2" xfId="41923"/>
    <cellStyle name="Comma 2 4 2 2 2 2 2 3 2 3 2 3 2 2" xfId="47903"/>
    <cellStyle name="Comma 2 4 2 2 2 2 2 3 2 3 2 4" xfId="26041"/>
    <cellStyle name="Comma 2 4 2 2 2 2 2 3 2 3 3" xfId="11719"/>
    <cellStyle name="Comma 2 4 2 2 2 2 2 3 2 3 3 2" xfId="15762"/>
    <cellStyle name="Comma 2 4 2 2 2 2 2 3 2 3 3 2 2" xfId="47067"/>
    <cellStyle name="Comma 2 4 2 2 2 2 2 3 2 3 3 2 2 2" xfId="51094"/>
    <cellStyle name="Comma 2 4 2 2 2 2 2 3 2 3 3 3" xfId="29268"/>
    <cellStyle name="Comma 2 4 2 2 2 2 2 3 2 3 4" xfId="25204"/>
    <cellStyle name="Comma 2 4 2 2 2 2 2 3 2 3 4 2" xfId="37576"/>
    <cellStyle name="Comma 2 4 2 2 2 2 2 3 2 4" xfId="4114"/>
    <cellStyle name="Comma 2 4 2 2 2 2 2 3 2 4 2" xfId="14877"/>
    <cellStyle name="Comma 2 4 2 2 2 2 2 3 2 4 2 2" xfId="17707"/>
    <cellStyle name="Comma 2 4 2 2 2 2 2 3 2 4 2 2 2" xfId="50216"/>
    <cellStyle name="Comma 2 4 2 2 2 2 2 3 2 4 2 2 2 2" xfId="53034"/>
    <cellStyle name="Comma 2 4 2 2 2 2 2 3 2 4 2 3" xfId="31209"/>
    <cellStyle name="Comma 2 4 2 2 2 2 2 3 2 4 3" xfId="28390"/>
    <cellStyle name="Comma 2 4 2 2 2 2 2 3 2 4 3 2" xfId="39557"/>
    <cellStyle name="Comma 2 4 2 2 2 2 2 3 2 5" xfId="9305"/>
    <cellStyle name="Comma 2 4 2 2 2 2 2 3 2 5 2" xfId="36685"/>
    <cellStyle name="Comma 2 4 2 2 2 2 2 3 2 5 2 2" xfId="44687"/>
    <cellStyle name="Comma 2 4 2 2 2 2 2 3 2 6" xfId="22801"/>
    <cellStyle name="Comma 2 4 2 2 2 2 2 3 3" xfId="1995"/>
    <cellStyle name="Comma 2 4 2 2 2 2 2 3 3 2" xfId="2576"/>
    <cellStyle name="Comma 2 4 2 2 2 2 2 3 3 2 2" xfId="7229"/>
    <cellStyle name="Comma 2 4 2 2 2 2 2 3 3 2 2 2" xfId="7797"/>
    <cellStyle name="Comma 2 4 2 2 2 2 2 3 3 2 2 2 2" xfId="20781"/>
    <cellStyle name="Comma 2 4 2 2 2 2 2 3 3 2 2 2 2 2" xfId="21349"/>
    <cellStyle name="Comma 2 4 2 2 2 2 2 3 3 2 2 2 2 2 2" xfId="56107"/>
    <cellStyle name="Comma 2 4 2 2 2 2 2 3 3 2 2 2 2 2 2 2" xfId="56675"/>
    <cellStyle name="Comma 2 4 2 2 2 2 2 3 3 2 2 2 2 3" xfId="34852"/>
    <cellStyle name="Comma 2 4 2 2 2 2 2 3 3 2 2 2 3" xfId="34284"/>
    <cellStyle name="Comma 2 4 2 2 2 2 2 3 3 2 2 2 3 2" xfId="43224"/>
    <cellStyle name="Comma 2 4 2 2 2 2 2 3 3 2 2 3" xfId="13022"/>
    <cellStyle name="Comma 2 4 2 2 2 2 2 3 3 2 2 3 2" xfId="42656"/>
    <cellStyle name="Comma 2 4 2 2 2 2 2 3 3 2 2 3 2 2" xfId="48368"/>
    <cellStyle name="Comma 2 4 2 2 2 2 2 3 3 2 2 4" xfId="26506"/>
    <cellStyle name="Comma 2 4 2 2 2 2 2 3 3 2 3" xfId="12454"/>
    <cellStyle name="Comma 2 4 2 2 2 2 2 3 3 2 3 2" xfId="16235"/>
    <cellStyle name="Comma 2 4 2 2 2 2 2 3 3 2 3 2 2" xfId="47800"/>
    <cellStyle name="Comma 2 4 2 2 2 2 2 3 3 2 3 2 2 2" xfId="51565"/>
    <cellStyle name="Comma 2 4 2 2 2 2 2 3 3 2 3 3" xfId="29739"/>
    <cellStyle name="Comma 2 4 2 2 2 2 2 3 3 2 4" xfId="25938"/>
    <cellStyle name="Comma 2 4 2 2 2 2 2 3 3 2 4 2" xfId="38049"/>
    <cellStyle name="Comma 2 4 2 2 2 2 2 3 3 3" xfId="4609"/>
    <cellStyle name="Comma 2 4 2 2 2 2 2 3 3 3 2" xfId="15659"/>
    <cellStyle name="Comma 2 4 2 2 2 2 2 3 3 3 2 2" xfId="18190"/>
    <cellStyle name="Comma 2 4 2 2 2 2 2 3 3 3 2 2 2" xfId="50991"/>
    <cellStyle name="Comma 2 4 2 2 2 2 2 3 3 3 2 2 2 2" xfId="53516"/>
    <cellStyle name="Comma 2 4 2 2 2 2 2 3 3 3 2 3" xfId="31691"/>
    <cellStyle name="Comma 2 4 2 2 2 2 2 3 3 3 3" xfId="29165"/>
    <cellStyle name="Comma 2 4 2 2 2 2 2 3 3 3 3 2" xfId="40048"/>
    <cellStyle name="Comma 2 4 2 2 2 2 2 3 3 4" xfId="9813"/>
    <cellStyle name="Comma 2 4 2 2 2 2 2 3 3 4 2" xfId="37473"/>
    <cellStyle name="Comma 2 4 2 2 2 2 2 3 3 4 2 2" xfId="45183"/>
    <cellStyle name="Comma 2 4 2 2 2 2 2 3 3 5" xfId="23306"/>
    <cellStyle name="Comma 2 4 2 2 2 2 2 3 4" xfId="4009"/>
    <cellStyle name="Comma 2 4 2 2 2 2 2 3 4 2" xfId="5815"/>
    <cellStyle name="Comma 2 4 2 2 2 2 2 3 4 2 2" xfId="17604"/>
    <cellStyle name="Comma 2 4 2 2 2 2 2 3 4 2 2 2" xfId="19383"/>
    <cellStyle name="Comma 2 4 2 2 2 2 2 3 4 2 2 2 2" xfId="52931"/>
    <cellStyle name="Comma 2 4 2 2 2 2 2 3 4 2 2 2 2 2" xfId="54709"/>
    <cellStyle name="Comma 2 4 2 2 2 2 2 3 4 2 2 3" xfId="32884"/>
    <cellStyle name="Comma 2 4 2 2 2 2 2 3 4 2 3" xfId="31106"/>
    <cellStyle name="Comma 2 4 2 2 2 2 2 3 4 2 3 2" xfId="41250"/>
    <cellStyle name="Comma 2 4 2 2 2 2 2 3 4 3" xfId="11037"/>
    <cellStyle name="Comma 2 4 2 2 2 2 2 3 4 3 2" xfId="39453"/>
    <cellStyle name="Comma 2 4 2 2 2 2 2 3 4 3 2 2" xfId="46396"/>
    <cellStyle name="Comma 2 4 2 2 2 2 2 3 4 4" xfId="24531"/>
    <cellStyle name="Comma 2 4 2 2 2 2 2 3 5" xfId="9201"/>
    <cellStyle name="Comma 2 4 2 2 2 2 2 3 5 2" xfId="14198"/>
    <cellStyle name="Comma 2 4 2 2 2 2 2 3 5 2 2" xfId="44584"/>
    <cellStyle name="Comma 2 4 2 2 2 2 2 3 5 2 2 2" xfId="49543"/>
    <cellStyle name="Comma 2 4 2 2 2 2 2 3 5 3" xfId="27704"/>
    <cellStyle name="Comma 2 4 2 2 2 2 2 3 6" xfId="22698"/>
    <cellStyle name="Comma 2 4 2 2 2 2 2 3 6 2" xfId="36010"/>
    <cellStyle name="Comma 2 4 2 2 2 2 2 4" xfId="798"/>
    <cellStyle name="Comma 2 4 2 2 2 2 2 4 2" xfId="2440"/>
    <cellStyle name="Comma 2 4 2 2 2 2 2 4 2 2" xfId="2854"/>
    <cellStyle name="Comma 2 4 2 2 2 2 2 4 2 2 2" xfId="7672"/>
    <cellStyle name="Comma 2 4 2 2 2 2 2 4 2 2 2 2" xfId="8070"/>
    <cellStyle name="Comma 2 4 2 2 2 2 2 4 2 2 2 2 2" xfId="21224"/>
    <cellStyle name="Comma 2 4 2 2 2 2 2 4 2 2 2 2 2 2" xfId="21622"/>
    <cellStyle name="Comma 2 4 2 2 2 2 2 4 2 2 2 2 2 2 2" xfId="56550"/>
    <cellStyle name="Comma 2 4 2 2 2 2 2 4 2 2 2 2 2 2 2 2" xfId="56948"/>
    <cellStyle name="Comma 2 4 2 2 2 2 2 4 2 2 2 2 2 3" xfId="35125"/>
    <cellStyle name="Comma 2 4 2 2 2 2 2 4 2 2 2 2 3" xfId="34727"/>
    <cellStyle name="Comma 2 4 2 2 2 2 2 4 2 2 2 2 3 2" xfId="43497"/>
    <cellStyle name="Comma 2 4 2 2 2 2 2 4 2 2 2 3" xfId="13295"/>
    <cellStyle name="Comma 2 4 2 2 2 2 2 4 2 2 2 3 2" xfId="43099"/>
    <cellStyle name="Comma 2 4 2 2 2 2 2 4 2 2 2 3 2 2" xfId="48641"/>
    <cellStyle name="Comma 2 4 2 2 2 2 2 4 2 2 2 4" xfId="26779"/>
    <cellStyle name="Comma 2 4 2 2 2 2 2 4 2 2 3" xfId="12897"/>
    <cellStyle name="Comma 2 4 2 2 2 2 2 4 2 2 3 2" xfId="16512"/>
    <cellStyle name="Comma 2 4 2 2 2 2 2 4 2 2 3 2 2" xfId="48243"/>
    <cellStyle name="Comma 2 4 2 2 2 2 2 4 2 2 3 2 2 2" xfId="51840"/>
    <cellStyle name="Comma 2 4 2 2 2 2 2 4 2 2 3 3" xfId="30014"/>
    <cellStyle name="Comma 2 4 2 2 2 2 2 4 2 2 4" xfId="26381"/>
    <cellStyle name="Comma 2 4 2 2 2 2 2 4 2 2 4 2" xfId="38324"/>
    <cellStyle name="Comma 2 4 2 2 2 2 2 4 2 3" xfId="4890"/>
    <cellStyle name="Comma 2 4 2 2 2 2 2 4 2 3 2" xfId="16103"/>
    <cellStyle name="Comma 2 4 2 2 2 2 2 4 2 3 2 2" xfId="18464"/>
    <cellStyle name="Comma 2 4 2 2 2 2 2 4 2 3 2 2 2" xfId="51435"/>
    <cellStyle name="Comma 2 4 2 2 2 2 2 4 2 3 2 2 2 2" xfId="53790"/>
    <cellStyle name="Comma 2 4 2 2 2 2 2 4 2 3 2 3" xfId="31965"/>
    <cellStyle name="Comma 2 4 2 2 2 2 2 4 2 3 3" xfId="29609"/>
    <cellStyle name="Comma 2 4 2 2 2 2 2 4 2 3 3 2" xfId="40327"/>
    <cellStyle name="Comma 2 4 2 2 2 2 2 4 2 4" xfId="10093"/>
    <cellStyle name="Comma 2 4 2 2 2 2 2 4 2 4 2" xfId="37918"/>
    <cellStyle name="Comma 2 4 2 2 2 2 2 4 2 4 2 2" xfId="45457"/>
    <cellStyle name="Comma 2 4 2 2 2 2 2 4 2 5" xfId="23580"/>
    <cellStyle name="Comma 2 4 2 2 2 2 2 4 3" xfId="4475"/>
    <cellStyle name="Comma 2 4 2 2 2 2 2 4 3 2" xfId="6114"/>
    <cellStyle name="Comma 2 4 2 2 2 2 2 4 3 2 2" xfId="18065"/>
    <cellStyle name="Comma 2 4 2 2 2 2 2 4 3 2 2 2" xfId="19676"/>
    <cellStyle name="Comma 2 4 2 2 2 2 2 4 3 2 2 2 2" xfId="53391"/>
    <cellStyle name="Comma 2 4 2 2 2 2 2 4 3 2 2 2 2 2" xfId="55002"/>
    <cellStyle name="Comma 2 4 2 2 2 2 2 4 3 2 2 3" xfId="33177"/>
    <cellStyle name="Comma 2 4 2 2 2 2 2 4 3 2 3" xfId="31566"/>
    <cellStyle name="Comma 2 4 2 2 2 2 2 4 3 2 3 2" xfId="41547"/>
    <cellStyle name="Comma 2 4 2 2 2 2 2 4 3 3" xfId="11340"/>
    <cellStyle name="Comma 2 4 2 2 2 2 2 4 3 3 2" xfId="39917"/>
    <cellStyle name="Comma 2 4 2 2 2 2 2 4 3 3 2 2" xfId="46693"/>
    <cellStyle name="Comma 2 4 2 2 2 2 2 4 3 4" xfId="24830"/>
    <cellStyle name="Comma 2 4 2 2 2 2 2 4 4" xfId="9680"/>
    <cellStyle name="Comma 2 4 2 2 2 2 2 4 4 2" xfId="14498"/>
    <cellStyle name="Comma 2 4 2 2 2 2 2 4 4 2 2" xfId="45058"/>
    <cellStyle name="Comma 2 4 2 2 2 2 2 4 4 2 2 2" xfId="49840"/>
    <cellStyle name="Comma 2 4 2 2 2 2 2 4 4 3" xfId="28009"/>
    <cellStyle name="Comma 2 4 2 2 2 2 2 4 5" xfId="23181"/>
    <cellStyle name="Comma 2 4 2 2 2 2 2 4 5 2" xfId="36308"/>
    <cellStyle name="Comma 2 4 2 2 2 2 2 5" xfId="1585"/>
    <cellStyle name="Comma 2 4 2 2 2 2 2 5 2" xfId="5682"/>
    <cellStyle name="Comma 2 4 2 2 2 2 2 5 2 2" xfId="6857"/>
    <cellStyle name="Comma 2 4 2 2 2 2 2 5 2 2 2" xfId="19254"/>
    <cellStyle name="Comma 2 4 2 2 2 2 2 5 2 2 2 2" xfId="20410"/>
    <cellStyle name="Comma 2 4 2 2 2 2 2 5 2 2 2 2 2" xfId="54580"/>
    <cellStyle name="Comma 2 4 2 2 2 2 2 5 2 2 2 2 2 2" xfId="55736"/>
    <cellStyle name="Comma 2 4 2 2 2 2 2 5 2 2 2 3" xfId="33912"/>
    <cellStyle name="Comma 2 4 2 2 2 2 2 5 2 2 3" xfId="32755"/>
    <cellStyle name="Comma 2 4 2 2 2 2 2 5 2 2 3 2" xfId="42285"/>
    <cellStyle name="Comma 2 4 2 2 2 2 2 5 2 3" xfId="12081"/>
    <cellStyle name="Comma 2 4 2 2 2 2 2 5 2 3 2" xfId="41118"/>
    <cellStyle name="Comma 2 4 2 2 2 2 2 5 2 3 2 2" xfId="47428"/>
    <cellStyle name="Comma 2 4 2 2 2 2 2 5 2 4" xfId="25566"/>
    <cellStyle name="Comma 2 4 2 2 2 2 2 5 3" xfId="10900"/>
    <cellStyle name="Comma 2 4 2 2 2 2 2 5 3 2" xfId="15261"/>
    <cellStyle name="Comma 2 4 2 2 2 2 2 5 3 2 2" xfId="46262"/>
    <cellStyle name="Comma 2 4 2 2 2 2 2 5 3 2 2 2" xfId="50598"/>
    <cellStyle name="Comma 2 4 2 2 2 2 2 5 3 3" xfId="28772"/>
    <cellStyle name="Comma 2 4 2 2 2 2 2 5 4" xfId="24393"/>
    <cellStyle name="Comma 2 4 2 2 2 2 2 5 4 2" xfId="37073"/>
    <cellStyle name="Comma 2 4 2 2 2 2 2 6" xfId="3586"/>
    <cellStyle name="Comma 2 4 2 2 2 2 2 6 2" xfId="14066"/>
    <cellStyle name="Comma 2 4 2 2 2 2 2 6 2 2" xfId="17222"/>
    <cellStyle name="Comma 2 4 2 2 2 2 2 6 2 2 2" xfId="49412"/>
    <cellStyle name="Comma 2 4 2 2 2 2 2 6 2 2 2 2" xfId="52549"/>
    <cellStyle name="Comma 2 4 2 2 2 2 2 6 2 3" xfId="30723"/>
    <cellStyle name="Comma 2 4 2 2 2 2 2 6 3" xfId="27565"/>
    <cellStyle name="Comma 2 4 2 2 2 2 2 6 3 2" xfId="39043"/>
    <cellStyle name="Comma 2 4 2 2 2 2 2 7" xfId="8777"/>
    <cellStyle name="Comma 2 4 2 2 2 2 2 7 2" xfId="35878"/>
    <cellStyle name="Comma 2 4 2 2 2 2 2 7 2 2" xfId="44190"/>
    <cellStyle name="Comma 2 4 2 2 2 2 2 8" xfId="22294"/>
    <cellStyle name="Comma 2 4 2 2 2 2 3" xfId="472"/>
    <cellStyle name="Comma 2 4 2 2 2 2 3 2" xfId="563"/>
    <cellStyle name="Comma 2 4 2 2 2 2 3 2 2" xfId="1287"/>
    <cellStyle name="Comma 2 4 2 2 2 2 3 2 2 2" xfId="1361"/>
    <cellStyle name="Comma 2 4 2 2 2 2 3 2 2 2 2" xfId="3305"/>
    <cellStyle name="Comma 2 4 2 2 2 2 3 2 2 2 2 2" xfId="3379"/>
    <cellStyle name="Comma 2 4 2 2 2 2 3 2 2 2 2 2 2" xfId="8520"/>
    <cellStyle name="Comma 2 4 2 2 2 2 3 2 2 2 2 2 2 2" xfId="8594"/>
    <cellStyle name="Comma 2 4 2 2 2 2 3 2 2 2 2 2 2 2 2" xfId="22072"/>
    <cellStyle name="Comma 2 4 2 2 2 2 3 2 2 2 2 2 2 2 2 2" xfId="22146"/>
    <cellStyle name="Comma 2 4 2 2 2 2 3 2 2 2 2 2 2 2 2 2 2" xfId="57398"/>
    <cellStyle name="Comma 2 4 2 2 2 2 3 2 2 2 2 2 2 2 2 2 2 2" xfId="57472"/>
    <cellStyle name="Comma 2 4 2 2 2 2 3 2 2 2 2 2 2 2 2 3" xfId="35649"/>
    <cellStyle name="Comma 2 4 2 2 2 2 3 2 2 2 2 2 2 2 3" xfId="35575"/>
    <cellStyle name="Comma 2 4 2 2 2 2 3 2 2 2 2 2 2 2 3 2" xfId="44021"/>
    <cellStyle name="Comma 2 4 2 2 2 2 3 2 2 2 2 2 2 3" xfId="13819"/>
    <cellStyle name="Comma 2 4 2 2 2 2 3 2 2 2 2 2 2 3 2" xfId="43947"/>
    <cellStyle name="Comma 2 4 2 2 2 2 3 2 2 2 2 2 2 3 2 2" xfId="49165"/>
    <cellStyle name="Comma 2 4 2 2 2 2 3 2 2 2 2 2 2 4" xfId="27304"/>
    <cellStyle name="Comma 2 4 2 2 2 2 3 2 2 2 2 2 3" xfId="13745"/>
    <cellStyle name="Comma 2 4 2 2 2 2 3 2 2 2 2 2 3 2" xfId="17036"/>
    <cellStyle name="Comma 2 4 2 2 2 2 3 2 2 2 2 2 3 2 2" xfId="49091"/>
    <cellStyle name="Comma 2 4 2 2 2 2 3 2 2 2 2 2 3 2 2 2" xfId="52364"/>
    <cellStyle name="Comma 2 4 2 2 2 2 3 2 2 2 2 2 3 3" xfId="30538"/>
    <cellStyle name="Comma 2 4 2 2 2 2 3 2 2 2 2 2 4" xfId="27230"/>
    <cellStyle name="Comma 2 4 2 2 2 2 3 2 2 2 2 2 4 2" xfId="38848"/>
    <cellStyle name="Comma 2 4 2 2 2 2 3 2 2 2 2 3" xfId="5416"/>
    <cellStyle name="Comma 2 4 2 2 2 2 3 2 2 2 2 3 2" xfId="16962"/>
    <cellStyle name="Comma 2 4 2 2 2 2 3 2 2 2 2 3 2 2" xfId="18989"/>
    <cellStyle name="Comma 2 4 2 2 2 2 3 2 2 2 2 3 2 2 2" xfId="52290"/>
    <cellStyle name="Comma 2 4 2 2 2 2 3 2 2 2 2 3 2 2 2 2" xfId="54315"/>
    <cellStyle name="Comma 2 4 2 2 2 2 3 2 2 2 2 3 2 3" xfId="32490"/>
    <cellStyle name="Comma 2 4 2 2 2 2 3 2 2 2 2 3 3" xfId="30464"/>
    <cellStyle name="Comma 2 4 2 2 2 2 3 2 2 2 2 3 3 2" xfId="40853"/>
    <cellStyle name="Comma 2 4 2 2 2 2 3 2 2 2 2 4" xfId="10619"/>
    <cellStyle name="Comma 2 4 2 2 2 2 3 2 2 2 2 4 2" xfId="38774"/>
    <cellStyle name="Comma 2 4 2 2 2 2 3 2 2 2 2 4 2 2" xfId="45982"/>
    <cellStyle name="Comma 2 4 2 2 2 2 3 2 2 2 2 5" xfId="24105"/>
    <cellStyle name="Comma 2 4 2 2 2 2 3 2 2 2 3" xfId="5342"/>
    <cellStyle name="Comma 2 4 2 2 2 2 3 2 2 2 3 2" xfId="6669"/>
    <cellStyle name="Comma 2 4 2 2 2 2 3 2 2 2 3 2 2" xfId="18915"/>
    <cellStyle name="Comma 2 4 2 2 2 2 3 2 2 2 3 2 2 2" xfId="20222"/>
    <cellStyle name="Comma 2 4 2 2 2 2 3 2 2 2 3 2 2 2 2" xfId="54241"/>
    <cellStyle name="Comma 2 4 2 2 2 2 3 2 2 2 3 2 2 2 2 2" xfId="55548"/>
    <cellStyle name="Comma 2 4 2 2 2 2 3 2 2 2 3 2 2 3" xfId="33724"/>
    <cellStyle name="Comma 2 4 2 2 2 2 3 2 2 2 3 2 3" xfId="32416"/>
    <cellStyle name="Comma 2 4 2 2 2 2 3 2 2 2 3 2 3 2" xfId="42097"/>
    <cellStyle name="Comma 2 4 2 2 2 2 3 2 2 2 3 3" xfId="11892"/>
    <cellStyle name="Comma 2 4 2 2 2 2 3 2 2 2 3 3 2" xfId="40779"/>
    <cellStyle name="Comma 2 4 2 2 2 2 3 2 2 2 3 3 2 2" xfId="47240"/>
    <cellStyle name="Comma 2 4 2 2 2 2 3 2 2 2 3 4" xfId="25377"/>
    <cellStyle name="Comma 2 4 2 2 2 2 3 2 2 2 4" xfId="10545"/>
    <cellStyle name="Comma 2 4 2 2 2 2 3 2 2 2 4 2" xfId="15050"/>
    <cellStyle name="Comma 2 4 2 2 2 2 3 2 2 2 4 2 2" xfId="45908"/>
    <cellStyle name="Comma 2 4 2 2 2 2 3 2 2 2 4 2 2 2" xfId="50389"/>
    <cellStyle name="Comma 2 4 2 2 2 2 3 2 2 2 4 3" xfId="28563"/>
    <cellStyle name="Comma 2 4 2 2 2 2 3 2 2 2 5" xfId="24031"/>
    <cellStyle name="Comma 2 4 2 2 2 2 3 2 2 2 5 2" xfId="36858"/>
    <cellStyle name="Comma 2 4 2 2 2 2 3 2 2 3" xfId="2168"/>
    <cellStyle name="Comma 2 4 2 2 2 2 3 2 2 3 2" xfId="6595"/>
    <cellStyle name="Comma 2 4 2 2 2 2 3 2 2 3 2 2" xfId="7402"/>
    <cellStyle name="Comma 2 4 2 2 2 2 3 2 2 3 2 2 2" xfId="20148"/>
    <cellStyle name="Comma 2 4 2 2 2 2 3 2 2 3 2 2 2 2" xfId="20954"/>
    <cellStyle name="Comma 2 4 2 2 2 2 3 2 2 3 2 2 2 2 2" xfId="55474"/>
    <cellStyle name="Comma 2 4 2 2 2 2 3 2 2 3 2 2 2 2 2 2" xfId="56280"/>
    <cellStyle name="Comma 2 4 2 2 2 2 3 2 2 3 2 2 2 3" xfId="34457"/>
    <cellStyle name="Comma 2 4 2 2 2 2 3 2 2 3 2 2 3" xfId="33650"/>
    <cellStyle name="Comma 2 4 2 2 2 2 3 2 2 3 2 2 3 2" xfId="42829"/>
    <cellStyle name="Comma 2 4 2 2 2 2 3 2 2 3 2 3" xfId="12627"/>
    <cellStyle name="Comma 2 4 2 2 2 2 3 2 2 3 2 3 2" xfId="42023"/>
    <cellStyle name="Comma 2 4 2 2 2 2 3 2 2 3 2 3 2 2" xfId="47973"/>
    <cellStyle name="Comma 2 4 2 2 2 2 3 2 2 3 2 4" xfId="26111"/>
    <cellStyle name="Comma 2 4 2 2 2 2 3 2 2 3 3" xfId="11818"/>
    <cellStyle name="Comma 2 4 2 2 2 2 3 2 2 3 3 2" xfId="15832"/>
    <cellStyle name="Comma 2 4 2 2 2 2 3 2 2 3 3 2 2" xfId="47166"/>
    <cellStyle name="Comma 2 4 2 2 2 2 3 2 2 3 3 2 2 2" xfId="51164"/>
    <cellStyle name="Comma 2 4 2 2 2 2 3 2 2 3 3 3" xfId="29338"/>
    <cellStyle name="Comma 2 4 2 2 2 2 3 2 2 3 4" xfId="25303"/>
    <cellStyle name="Comma 2 4 2 2 2 2 3 2 2 3 4 2" xfId="37646"/>
    <cellStyle name="Comma 2 4 2 2 2 2 3 2 2 4" xfId="4184"/>
    <cellStyle name="Comma 2 4 2 2 2 2 3 2 2 4 2" xfId="14976"/>
    <cellStyle name="Comma 2 4 2 2 2 2 3 2 2 4 2 2" xfId="17777"/>
    <cellStyle name="Comma 2 4 2 2 2 2 3 2 2 4 2 2 2" xfId="50315"/>
    <cellStyle name="Comma 2 4 2 2 2 2 3 2 2 4 2 2 2 2" xfId="53104"/>
    <cellStyle name="Comma 2 4 2 2 2 2 3 2 2 4 2 3" xfId="31279"/>
    <cellStyle name="Comma 2 4 2 2 2 2 3 2 2 4 3" xfId="28489"/>
    <cellStyle name="Comma 2 4 2 2 2 2 3 2 2 4 3 2" xfId="39627"/>
    <cellStyle name="Comma 2 4 2 2 2 2 3 2 2 5" xfId="9375"/>
    <cellStyle name="Comma 2 4 2 2 2 2 3 2 2 5 2" xfId="36784"/>
    <cellStyle name="Comma 2 4 2 2 2 2 3 2 2 5 2 2" xfId="44757"/>
    <cellStyle name="Comma 2 4 2 2 2 2 3 2 2 6" xfId="22871"/>
    <cellStyle name="Comma 2 4 2 2 2 2 3 2 3" xfId="2093"/>
    <cellStyle name="Comma 2 4 2 2 2 2 3 2 3 2" xfId="2654"/>
    <cellStyle name="Comma 2 4 2 2 2 2 3 2 3 2 2" xfId="7327"/>
    <cellStyle name="Comma 2 4 2 2 2 2 3 2 3 2 2 2" xfId="7873"/>
    <cellStyle name="Comma 2 4 2 2 2 2 3 2 3 2 2 2 2" xfId="20879"/>
    <cellStyle name="Comma 2 4 2 2 2 2 3 2 3 2 2 2 2 2" xfId="21425"/>
    <cellStyle name="Comma 2 4 2 2 2 2 3 2 3 2 2 2 2 2 2" xfId="56205"/>
    <cellStyle name="Comma 2 4 2 2 2 2 3 2 3 2 2 2 2 2 2 2" xfId="56751"/>
    <cellStyle name="Comma 2 4 2 2 2 2 3 2 3 2 2 2 2 3" xfId="34928"/>
    <cellStyle name="Comma 2 4 2 2 2 2 3 2 3 2 2 2 3" xfId="34382"/>
    <cellStyle name="Comma 2 4 2 2 2 2 3 2 3 2 2 2 3 2" xfId="43300"/>
    <cellStyle name="Comma 2 4 2 2 2 2 3 2 3 2 2 3" xfId="13098"/>
    <cellStyle name="Comma 2 4 2 2 2 2 3 2 3 2 2 3 2" xfId="42754"/>
    <cellStyle name="Comma 2 4 2 2 2 2 3 2 3 2 2 3 2 2" xfId="48444"/>
    <cellStyle name="Comma 2 4 2 2 2 2 3 2 3 2 2 4" xfId="26582"/>
    <cellStyle name="Comma 2 4 2 2 2 2 3 2 3 2 3" xfId="12552"/>
    <cellStyle name="Comma 2 4 2 2 2 2 3 2 3 2 3 2" xfId="16313"/>
    <cellStyle name="Comma 2 4 2 2 2 2 3 2 3 2 3 2 2" xfId="47898"/>
    <cellStyle name="Comma 2 4 2 2 2 2 3 2 3 2 3 2 2 2" xfId="51643"/>
    <cellStyle name="Comma 2 4 2 2 2 2 3 2 3 2 3 3" xfId="29817"/>
    <cellStyle name="Comma 2 4 2 2 2 2 3 2 3 2 4" xfId="26036"/>
    <cellStyle name="Comma 2 4 2 2 2 2 3 2 3 2 4 2" xfId="38127"/>
    <cellStyle name="Comma 2 4 2 2 2 2 3 2 3 3" xfId="4689"/>
    <cellStyle name="Comma 2 4 2 2 2 2 3 2 3 3 2" xfId="15757"/>
    <cellStyle name="Comma 2 4 2 2 2 2 3 2 3 3 2 2" xfId="18267"/>
    <cellStyle name="Comma 2 4 2 2 2 2 3 2 3 3 2 2 2" xfId="51089"/>
    <cellStyle name="Comma 2 4 2 2 2 2 3 2 3 3 2 2 2 2" xfId="53593"/>
    <cellStyle name="Comma 2 4 2 2 2 2 3 2 3 3 2 3" xfId="31768"/>
    <cellStyle name="Comma 2 4 2 2 2 2 3 2 3 3 3" xfId="29263"/>
    <cellStyle name="Comma 2 4 2 2 2 2 3 2 3 3 3 2" xfId="40128"/>
    <cellStyle name="Comma 2 4 2 2 2 2 3 2 3 4" xfId="9892"/>
    <cellStyle name="Comma 2 4 2 2 2 2 3 2 3 4 2" xfId="37571"/>
    <cellStyle name="Comma 2 4 2 2 2 2 3 2 3 4 2 2" xfId="45260"/>
    <cellStyle name="Comma 2 4 2 2 2 2 3 2 3 5" xfId="23383"/>
    <cellStyle name="Comma 2 4 2 2 2 2 3 2 4" xfId="4109"/>
    <cellStyle name="Comma 2 4 2 2 2 2 3 2 4 2" xfId="5895"/>
    <cellStyle name="Comma 2 4 2 2 2 2 3 2 4 2 2" xfId="17702"/>
    <cellStyle name="Comma 2 4 2 2 2 2 3 2 4 2 2 2" xfId="19462"/>
    <cellStyle name="Comma 2 4 2 2 2 2 3 2 4 2 2 2 2" xfId="53029"/>
    <cellStyle name="Comma 2 4 2 2 2 2 3 2 4 2 2 2 2 2" xfId="54788"/>
    <cellStyle name="Comma 2 4 2 2 2 2 3 2 4 2 2 3" xfId="32963"/>
    <cellStyle name="Comma 2 4 2 2 2 2 3 2 4 2 3" xfId="31204"/>
    <cellStyle name="Comma 2 4 2 2 2 2 3 2 4 2 3 2" xfId="41329"/>
    <cellStyle name="Comma 2 4 2 2 2 2 3 2 4 3" xfId="11120"/>
    <cellStyle name="Comma 2 4 2 2 2 2 3 2 4 3 2" xfId="39552"/>
    <cellStyle name="Comma 2 4 2 2 2 2 3 2 4 3 2 2" xfId="46478"/>
    <cellStyle name="Comma 2 4 2 2 2 2 3 2 4 4" xfId="24612"/>
    <cellStyle name="Comma 2 4 2 2 2 2 3 2 5" xfId="9300"/>
    <cellStyle name="Comma 2 4 2 2 2 2 3 2 5 2" xfId="14279"/>
    <cellStyle name="Comma 2 4 2 2 2 2 3 2 5 2 2" xfId="44682"/>
    <cellStyle name="Comma 2 4 2 2 2 2 3 2 5 2 2 2" xfId="49624"/>
    <cellStyle name="Comma 2 4 2 2 2 2 3 2 5 3" xfId="27788"/>
    <cellStyle name="Comma 2 4 2 2 2 2 3 2 6" xfId="22796"/>
    <cellStyle name="Comma 2 4 2 2 2 2 3 2 6 2" xfId="36091"/>
    <cellStyle name="Comma 2 4 2 2 2 2 3 3" xfId="891"/>
    <cellStyle name="Comma 2 4 2 2 2 2 3 3 2" xfId="2571"/>
    <cellStyle name="Comma 2 4 2 2 2 2 3 3 2 2" xfId="2931"/>
    <cellStyle name="Comma 2 4 2 2 2 2 3 3 2 2 2" xfId="7792"/>
    <cellStyle name="Comma 2 4 2 2 2 2 3 3 2 2 2 2" xfId="8146"/>
    <cellStyle name="Comma 2 4 2 2 2 2 3 3 2 2 2 2 2" xfId="21344"/>
    <cellStyle name="Comma 2 4 2 2 2 2 3 3 2 2 2 2 2 2" xfId="21698"/>
    <cellStyle name="Comma 2 4 2 2 2 2 3 3 2 2 2 2 2 2 2" xfId="56670"/>
    <cellStyle name="Comma 2 4 2 2 2 2 3 3 2 2 2 2 2 2 2 2" xfId="57024"/>
    <cellStyle name="Comma 2 4 2 2 2 2 3 3 2 2 2 2 2 3" xfId="35201"/>
    <cellStyle name="Comma 2 4 2 2 2 2 3 3 2 2 2 2 3" xfId="34847"/>
    <cellStyle name="Comma 2 4 2 2 2 2 3 3 2 2 2 2 3 2" xfId="43573"/>
    <cellStyle name="Comma 2 4 2 2 2 2 3 3 2 2 2 3" xfId="13371"/>
    <cellStyle name="Comma 2 4 2 2 2 2 3 3 2 2 2 3 2" xfId="43219"/>
    <cellStyle name="Comma 2 4 2 2 2 2 3 3 2 2 2 3 2 2" xfId="48717"/>
    <cellStyle name="Comma 2 4 2 2 2 2 3 3 2 2 2 4" xfId="26856"/>
    <cellStyle name="Comma 2 4 2 2 2 2 3 3 2 2 3" xfId="13017"/>
    <cellStyle name="Comma 2 4 2 2 2 2 3 3 2 2 3 2" xfId="16588"/>
    <cellStyle name="Comma 2 4 2 2 2 2 3 3 2 2 3 2 2" xfId="48363"/>
    <cellStyle name="Comma 2 4 2 2 2 2 3 3 2 2 3 2 2 2" xfId="51916"/>
    <cellStyle name="Comma 2 4 2 2 2 2 3 3 2 2 3 3" xfId="30090"/>
    <cellStyle name="Comma 2 4 2 2 2 2 3 3 2 2 4" xfId="26501"/>
    <cellStyle name="Comma 2 4 2 2 2 2 3 3 2 2 4 2" xfId="38400"/>
    <cellStyle name="Comma 2 4 2 2 2 2 3 3 2 3" xfId="4967"/>
    <cellStyle name="Comma 2 4 2 2 2 2 3 3 2 3 2" xfId="16230"/>
    <cellStyle name="Comma 2 4 2 2 2 2 3 3 2 3 2 2" xfId="18540"/>
    <cellStyle name="Comma 2 4 2 2 2 2 3 3 2 3 2 2 2" xfId="51560"/>
    <cellStyle name="Comma 2 4 2 2 2 2 3 3 2 3 2 2 2 2" xfId="53866"/>
    <cellStyle name="Comma 2 4 2 2 2 2 3 3 2 3 2 3" xfId="32041"/>
    <cellStyle name="Comma 2 4 2 2 2 2 3 3 2 3 3" xfId="29734"/>
    <cellStyle name="Comma 2 4 2 2 2 2 3 3 2 3 3 2" xfId="40404"/>
    <cellStyle name="Comma 2 4 2 2 2 2 3 3 2 4" xfId="10170"/>
    <cellStyle name="Comma 2 4 2 2 2 2 3 3 2 4 2" xfId="38044"/>
    <cellStyle name="Comma 2 4 2 2 2 2 3 3 2 4 2 2" xfId="45533"/>
    <cellStyle name="Comma 2 4 2 2 2 2 3 3 2 5" xfId="23656"/>
    <cellStyle name="Comma 2 4 2 2 2 2 3 3 3" xfId="4604"/>
    <cellStyle name="Comma 2 4 2 2 2 2 3 3 3 2" xfId="6202"/>
    <cellStyle name="Comma 2 4 2 2 2 2 3 3 3 2 2" xfId="18185"/>
    <cellStyle name="Comma 2 4 2 2 2 2 3 3 3 2 2 2" xfId="19761"/>
    <cellStyle name="Comma 2 4 2 2 2 2 3 3 3 2 2 2 2" xfId="53511"/>
    <cellStyle name="Comma 2 4 2 2 2 2 3 3 3 2 2 2 2 2" xfId="55087"/>
    <cellStyle name="Comma 2 4 2 2 2 2 3 3 3 2 2 3" xfId="33263"/>
    <cellStyle name="Comma 2 4 2 2 2 2 3 3 3 2 3" xfId="31686"/>
    <cellStyle name="Comma 2 4 2 2 2 2 3 3 3 2 3 2" xfId="41632"/>
    <cellStyle name="Comma 2 4 2 2 2 2 3 3 3 3" xfId="11427"/>
    <cellStyle name="Comma 2 4 2 2 2 2 3 3 3 3 2" xfId="40043"/>
    <cellStyle name="Comma 2 4 2 2 2 2 3 3 3 3 2 2" xfId="46778"/>
    <cellStyle name="Comma 2 4 2 2 2 2 3 3 3 4" xfId="24915"/>
    <cellStyle name="Comma 2 4 2 2 2 2 3 3 4" xfId="9808"/>
    <cellStyle name="Comma 2 4 2 2 2 2 3 3 4 2" xfId="14587"/>
    <cellStyle name="Comma 2 4 2 2 2 2 3 3 4 2 2" xfId="45178"/>
    <cellStyle name="Comma 2 4 2 2 2 2 3 3 4 2 2 2" xfId="49926"/>
    <cellStyle name="Comma 2 4 2 2 2 2 3 3 4 3" xfId="28097"/>
    <cellStyle name="Comma 2 4 2 2 2 2 3 3 5" xfId="23301"/>
    <cellStyle name="Comma 2 4 2 2 2 2 3 3 5 2" xfId="36395"/>
    <cellStyle name="Comma 2 4 2 2 2 2 3 4" xfId="1687"/>
    <cellStyle name="Comma 2 4 2 2 2 2 3 4 2" xfId="5810"/>
    <cellStyle name="Comma 2 4 2 2 2 2 3 4 2 2" xfId="6942"/>
    <cellStyle name="Comma 2 4 2 2 2 2 3 4 2 2 2" xfId="19378"/>
    <cellStyle name="Comma 2 4 2 2 2 2 3 4 2 2 2 2" xfId="20495"/>
    <cellStyle name="Comma 2 4 2 2 2 2 3 4 2 2 2 2 2" xfId="54704"/>
    <cellStyle name="Comma 2 4 2 2 2 2 3 4 2 2 2 2 2 2" xfId="55821"/>
    <cellStyle name="Comma 2 4 2 2 2 2 3 4 2 2 2 3" xfId="33997"/>
    <cellStyle name="Comma 2 4 2 2 2 2 3 4 2 2 3" xfId="32879"/>
    <cellStyle name="Comma 2 4 2 2 2 2 3 4 2 2 3 2" xfId="42370"/>
    <cellStyle name="Comma 2 4 2 2 2 2 3 4 2 3" xfId="12166"/>
    <cellStyle name="Comma 2 4 2 2 2 2 3 4 2 3 2" xfId="41245"/>
    <cellStyle name="Comma 2 4 2 2 2 2 3 4 2 3 2 2" xfId="47513"/>
    <cellStyle name="Comma 2 4 2 2 2 2 3 4 2 4" xfId="25651"/>
    <cellStyle name="Comma 2 4 2 2 2 2 3 4 3" xfId="11032"/>
    <cellStyle name="Comma 2 4 2 2 2 2 3 4 3 2" xfId="15359"/>
    <cellStyle name="Comma 2 4 2 2 2 2 3 4 3 2 2" xfId="46391"/>
    <cellStyle name="Comma 2 4 2 2 2 2 3 4 3 2 2 2" xfId="50693"/>
    <cellStyle name="Comma 2 4 2 2 2 2 3 4 3 3" xfId="28867"/>
    <cellStyle name="Comma 2 4 2 2 2 2 3 4 4" xfId="24526"/>
    <cellStyle name="Comma 2 4 2 2 2 2 3 4 4 2" xfId="37170"/>
    <cellStyle name="Comma 2 4 2 2 2 2 3 5" xfId="3692"/>
    <cellStyle name="Comma 2 4 2 2 2 2 3 5 2" xfId="14193"/>
    <cellStyle name="Comma 2 4 2 2 2 2 3 5 2 2" xfId="17310"/>
    <cellStyle name="Comma 2 4 2 2 2 2 3 5 2 2 2" xfId="49538"/>
    <cellStyle name="Comma 2 4 2 2 2 2 3 5 2 2 2 2" xfId="52637"/>
    <cellStyle name="Comma 2 4 2 2 2 2 3 5 2 3" xfId="30811"/>
    <cellStyle name="Comma 2 4 2 2 2 2 3 5 3" xfId="27699"/>
    <cellStyle name="Comma 2 4 2 2 2 2 3 5 3 2" xfId="39143"/>
    <cellStyle name="Comma 2 4 2 2 2 2 3 6" xfId="8881"/>
    <cellStyle name="Comma 2 4 2 2 2 2 3 6 2" xfId="36005"/>
    <cellStyle name="Comma 2 4 2 2 2 2 3 6 2 2" xfId="44282"/>
    <cellStyle name="Comma 2 4 2 2 2 2 3 7" xfId="22390"/>
    <cellStyle name="Comma 2 4 2 2 2 2 4" xfId="793"/>
    <cellStyle name="Comma 2 4 2 2 2 2 4 2" xfId="1059"/>
    <cellStyle name="Comma 2 4 2 2 2 2 4 2 2" xfId="2849"/>
    <cellStyle name="Comma 2 4 2 2 2 2 4 2 2 2" xfId="3095"/>
    <cellStyle name="Comma 2 4 2 2 2 2 4 2 2 2 2" xfId="8065"/>
    <cellStyle name="Comma 2 4 2 2 2 2 4 2 2 2 2 2" xfId="8310"/>
    <cellStyle name="Comma 2 4 2 2 2 2 4 2 2 2 2 2 2" xfId="21617"/>
    <cellStyle name="Comma 2 4 2 2 2 2 4 2 2 2 2 2 2 2" xfId="21862"/>
    <cellStyle name="Comma 2 4 2 2 2 2 4 2 2 2 2 2 2 2 2" xfId="56943"/>
    <cellStyle name="Comma 2 4 2 2 2 2 4 2 2 2 2 2 2 2 2 2" xfId="57188"/>
    <cellStyle name="Comma 2 4 2 2 2 2 4 2 2 2 2 2 2 3" xfId="35365"/>
    <cellStyle name="Comma 2 4 2 2 2 2 4 2 2 2 2 2 3" xfId="35120"/>
    <cellStyle name="Comma 2 4 2 2 2 2 4 2 2 2 2 2 3 2" xfId="43737"/>
    <cellStyle name="Comma 2 4 2 2 2 2 4 2 2 2 2 3" xfId="13535"/>
    <cellStyle name="Comma 2 4 2 2 2 2 4 2 2 2 2 3 2" xfId="43492"/>
    <cellStyle name="Comma 2 4 2 2 2 2 4 2 2 2 2 3 2 2" xfId="48881"/>
    <cellStyle name="Comma 2 4 2 2 2 2 4 2 2 2 2 4" xfId="27020"/>
    <cellStyle name="Comma 2 4 2 2 2 2 4 2 2 2 3" xfId="13290"/>
    <cellStyle name="Comma 2 4 2 2 2 2 4 2 2 2 3 2" xfId="16752"/>
    <cellStyle name="Comma 2 4 2 2 2 2 4 2 2 2 3 2 2" xfId="48636"/>
    <cellStyle name="Comma 2 4 2 2 2 2 4 2 2 2 3 2 2 2" xfId="52080"/>
    <cellStyle name="Comma 2 4 2 2 2 2 4 2 2 2 3 3" xfId="30254"/>
    <cellStyle name="Comma 2 4 2 2 2 2 4 2 2 2 4" xfId="26774"/>
    <cellStyle name="Comma 2 4 2 2 2 2 4 2 2 2 4 2" xfId="38564"/>
    <cellStyle name="Comma 2 4 2 2 2 2 4 2 2 3" xfId="5132"/>
    <cellStyle name="Comma 2 4 2 2 2 2 4 2 2 3 2" xfId="16507"/>
    <cellStyle name="Comma 2 4 2 2 2 2 4 2 2 3 2 2" xfId="18705"/>
    <cellStyle name="Comma 2 4 2 2 2 2 4 2 2 3 2 2 2" xfId="51835"/>
    <cellStyle name="Comma 2 4 2 2 2 2 4 2 2 3 2 2 2 2" xfId="54031"/>
    <cellStyle name="Comma 2 4 2 2 2 2 4 2 2 3 2 3" xfId="32206"/>
    <cellStyle name="Comma 2 4 2 2 2 2 4 2 2 3 3" xfId="30009"/>
    <cellStyle name="Comma 2 4 2 2 2 2 4 2 2 3 3 2" xfId="40569"/>
    <cellStyle name="Comma 2 4 2 2 2 2 4 2 2 4" xfId="10335"/>
    <cellStyle name="Comma 2 4 2 2 2 2 4 2 2 4 2" xfId="38319"/>
    <cellStyle name="Comma 2 4 2 2 2 2 4 2 2 4 2 2" xfId="45698"/>
    <cellStyle name="Comma 2 4 2 2 2 2 4 2 2 5" xfId="23821"/>
    <cellStyle name="Comma 2 4 2 2 2 2 4 2 3" xfId="4885"/>
    <cellStyle name="Comma 2 4 2 2 2 2 4 2 3 2" xfId="6369"/>
    <cellStyle name="Comma 2 4 2 2 2 2 4 2 3 2 2" xfId="18459"/>
    <cellStyle name="Comma 2 4 2 2 2 2 4 2 3 2 2 2" xfId="19926"/>
    <cellStyle name="Comma 2 4 2 2 2 2 4 2 3 2 2 2 2" xfId="53785"/>
    <cellStyle name="Comma 2 4 2 2 2 2 4 2 3 2 2 2 2 2" xfId="55252"/>
    <cellStyle name="Comma 2 4 2 2 2 2 4 2 3 2 2 3" xfId="33428"/>
    <cellStyle name="Comma 2 4 2 2 2 2 4 2 3 2 3" xfId="31960"/>
    <cellStyle name="Comma 2 4 2 2 2 2 4 2 3 2 3 2" xfId="41798"/>
    <cellStyle name="Comma 2 4 2 2 2 2 4 2 3 3" xfId="11595"/>
    <cellStyle name="Comma 2 4 2 2 2 2 4 2 3 3 2" xfId="40322"/>
    <cellStyle name="Comma 2 4 2 2 2 2 4 2 3 3 2 2" xfId="46944"/>
    <cellStyle name="Comma 2 4 2 2 2 2 4 2 3 4" xfId="25081"/>
    <cellStyle name="Comma 2 4 2 2 2 2 4 2 4" xfId="10088"/>
    <cellStyle name="Comma 2 4 2 2 2 2 4 2 4 2" xfId="14752"/>
    <cellStyle name="Comma 2 4 2 2 2 2 4 2 4 2 2" xfId="45452"/>
    <cellStyle name="Comma 2 4 2 2 2 2 4 2 4 2 2 2" xfId="50091"/>
    <cellStyle name="Comma 2 4 2 2 2 2 4 2 4 3" xfId="28264"/>
    <cellStyle name="Comma 2 4 2 2 2 2 4 2 5" xfId="23575"/>
    <cellStyle name="Comma 2 4 2 2 2 2 4 2 5 2" xfId="36560"/>
    <cellStyle name="Comma 2 4 2 2 2 2 4 3" xfId="1867"/>
    <cellStyle name="Comma 2 4 2 2 2 2 4 3 2" xfId="6109"/>
    <cellStyle name="Comma 2 4 2 2 2 2 4 3 2 2" xfId="7117"/>
    <cellStyle name="Comma 2 4 2 2 2 2 4 3 2 2 2" xfId="19671"/>
    <cellStyle name="Comma 2 4 2 2 2 2 4 3 2 2 2 2" xfId="20669"/>
    <cellStyle name="Comma 2 4 2 2 2 2 4 3 2 2 2 2 2" xfId="54997"/>
    <cellStyle name="Comma 2 4 2 2 2 2 4 3 2 2 2 2 2 2" xfId="55995"/>
    <cellStyle name="Comma 2 4 2 2 2 2 4 3 2 2 2 3" xfId="34172"/>
    <cellStyle name="Comma 2 4 2 2 2 2 4 3 2 2 3" xfId="33172"/>
    <cellStyle name="Comma 2 4 2 2 2 2 4 3 2 2 3 2" xfId="42544"/>
    <cellStyle name="Comma 2 4 2 2 2 2 4 3 2 3" xfId="12342"/>
    <cellStyle name="Comma 2 4 2 2 2 2 4 3 2 3 2" xfId="41542"/>
    <cellStyle name="Comma 2 4 2 2 2 2 4 3 2 3 2 2" xfId="47688"/>
    <cellStyle name="Comma 2 4 2 2 2 2 4 3 2 4" xfId="25826"/>
    <cellStyle name="Comma 2 4 2 2 2 2 4 3 3" xfId="11335"/>
    <cellStyle name="Comma 2 4 2 2 2 2 4 3 3 2" xfId="15538"/>
    <cellStyle name="Comma 2 4 2 2 2 2 4 3 3 2 2" xfId="46688"/>
    <cellStyle name="Comma 2 4 2 2 2 2 4 3 3 2 2 2" xfId="50870"/>
    <cellStyle name="Comma 2 4 2 2 2 2 4 3 3 3" xfId="29044"/>
    <cellStyle name="Comma 2 4 2 2 2 2 4 3 4" xfId="24825"/>
    <cellStyle name="Comma 2 4 2 2 2 2 4 3 4 2" xfId="37348"/>
    <cellStyle name="Comma 2 4 2 2 2 2 4 4" xfId="3881"/>
    <cellStyle name="Comma 2 4 2 2 2 2 4 4 2" xfId="14493"/>
    <cellStyle name="Comma 2 4 2 2 2 2 4 4 2 2" xfId="17492"/>
    <cellStyle name="Comma 2 4 2 2 2 2 4 4 2 2 2" xfId="49835"/>
    <cellStyle name="Comma 2 4 2 2 2 2 4 4 2 2 2 2" xfId="52819"/>
    <cellStyle name="Comma 2 4 2 2 2 2 4 4 2 3" xfId="30994"/>
    <cellStyle name="Comma 2 4 2 2 2 2 4 4 3" xfId="28004"/>
    <cellStyle name="Comma 2 4 2 2 2 2 4 4 3 2" xfId="39329"/>
    <cellStyle name="Comma 2 4 2 2 2 2 4 5" xfId="9075"/>
    <cellStyle name="Comma 2 4 2 2 2 2 4 5 2" xfId="36303"/>
    <cellStyle name="Comma 2 4 2 2 2 2 4 5 2 2" xfId="44471"/>
    <cellStyle name="Comma 2 4 2 2 2 2 4 6" xfId="22583"/>
    <cellStyle name="Comma 2 4 2 2 2 2 5" xfId="1580"/>
    <cellStyle name="Comma 2 4 2 2 2 2 5 2" xfId="2322"/>
    <cellStyle name="Comma 2 4 2 2 2 2 5 2 2" xfId="6852"/>
    <cellStyle name="Comma 2 4 2 2 2 2 5 2 2 2" xfId="7556"/>
    <cellStyle name="Comma 2 4 2 2 2 2 5 2 2 2 2" xfId="20405"/>
    <cellStyle name="Comma 2 4 2 2 2 2 5 2 2 2 2 2" xfId="21108"/>
    <cellStyle name="Comma 2 4 2 2 2 2 5 2 2 2 2 2 2" xfId="55731"/>
    <cellStyle name="Comma 2 4 2 2 2 2 5 2 2 2 2 2 2 2" xfId="56434"/>
    <cellStyle name="Comma 2 4 2 2 2 2 5 2 2 2 2 3" xfId="34611"/>
    <cellStyle name="Comma 2 4 2 2 2 2 5 2 2 2 3" xfId="33907"/>
    <cellStyle name="Comma 2 4 2 2 2 2 5 2 2 2 3 2" xfId="42983"/>
    <cellStyle name="Comma 2 4 2 2 2 2 5 2 2 3" xfId="12781"/>
    <cellStyle name="Comma 2 4 2 2 2 2 5 2 2 3 2" xfId="42280"/>
    <cellStyle name="Comma 2 4 2 2 2 2 5 2 2 3 2 2" xfId="48127"/>
    <cellStyle name="Comma 2 4 2 2 2 2 5 2 2 4" xfId="26265"/>
    <cellStyle name="Comma 2 4 2 2 2 2 5 2 3" xfId="12076"/>
    <cellStyle name="Comma 2 4 2 2 2 2 5 2 3 2" xfId="15986"/>
    <cellStyle name="Comma 2 4 2 2 2 2 5 2 3 2 2" xfId="47423"/>
    <cellStyle name="Comma 2 4 2 2 2 2 5 2 3 2 2 2" xfId="51318"/>
    <cellStyle name="Comma 2 4 2 2 2 2 5 2 3 3" xfId="29492"/>
    <cellStyle name="Comma 2 4 2 2 2 2 5 2 4" xfId="25561"/>
    <cellStyle name="Comma 2 4 2 2 2 2 5 2 4 2" xfId="37800"/>
    <cellStyle name="Comma 2 4 2 2 2 2 5 3" xfId="4351"/>
    <cellStyle name="Comma 2 4 2 2 2 2 5 3 2" xfId="15256"/>
    <cellStyle name="Comma 2 4 2 2 2 2 5 3 2 2" xfId="17944"/>
    <cellStyle name="Comma 2 4 2 2 2 2 5 3 2 2 2" xfId="50593"/>
    <cellStyle name="Comma 2 4 2 2 2 2 5 3 2 2 2 2" xfId="53271"/>
    <cellStyle name="Comma 2 4 2 2 2 2 5 3 2 3" xfId="31446"/>
    <cellStyle name="Comma 2 4 2 2 2 2 5 3 3" xfId="28767"/>
    <cellStyle name="Comma 2 4 2 2 2 2 5 3 3 2" xfId="39794"/>
    <cellStyle name="Comma 2 4 2 2 2 2 5 4" xfId="9550"/>
    <cellStyle name="Comma 2 4 2 2 2 2 5 4 2" xfId="37068"/>
    <cellStyle name="Comma 2 4 2 2 2 2 5 4 2 2" xfId="44932"/>
    <cellStyle name="Comma 2 4 2 2 2 2 5 5" xfId="23051"/>
    <cellStyle name="Comma 2 4 2 2 2 2 6" xfId="3581"/>
    <cellStyle name="Comma 2 4 2 2 2 2 6 2" xfId="5562"/>
    <cellStyle name="Comma 2 4 2 2 2 2 6 2 2" xfId="17217"/>
    <cellStyle name="Comma 2 4 2 2 2 2 6 2 2 2" xfId="19135"/>
    <cellStyle name="Comma 2 4 2 2 2 2 6 2 2 2 2" xfId="52544"/>
    <cellStyle name="Comma 2 4 2 2 2 2 6 2 2 2 2 2" xfId="54461"/>
    <cellStyle name="Comma 2 4 2 2 2 2 6 2 2 3" xfId="32636"/>
    <cellStyle name="Comma 2 4 2 2 2 2 6 2 3" xfId="30718"/>
    <cellStyle name="Comma 2 4 2 2 2 2 6 2 3 2" xfId="40999"/>
    <cellStyle name="Comma 2 4 2 2 2 2 6 3" xfId="10772"/>
    <cellStyle name="Comma 2 4 2 2 2 2 6 3 2" xfId="39038"/>
    <cellStyle name="Comma 2 4 2 2 2 2 6 3 2 2" xfId="46134"/>
    <cellStyle name="Comma 2 4 2 2 2 2 6 4" xfId="24260"/>
    <cellStyle name="Comma 2 4 2 2 2 2 7" xfId="8772"/>
    <cellStyle name="Comma 2 4 2 2 2 2 7 2" xfId="13947"/>
    <cellStyle name="Comma 2 4 2 2 2 2 7 2 2" xfId="44185"/>
    <cellStyle name="Comma 2 4 2 2 2 2 7 2 2 2" xfId="49293"/>
    <cellStyle name="Comma 2 4 2 2 2 2 7 3" xfId="27436"/>
    <cellStyle name="Comma 2 4 2 2 2 2 8" xfId="22289"/>
    <cellStyle name="Comma 2 4 2 2 2 2 8 2" xfId="35759"/>
    <cellStyle name="Comma 2 4 2 2 2 3" xfId="255"/>
    <cellStyle name="Comma 2 4 2 2 2 3 2" xfId="558"/>
    <cellStyle name="Comma 2 4 2 2 2 3 2 2" xfId="601"/>
    <cellStyle name="Comma 2 4 2 2 2 3 2 2 2" xfId="1356"/>
    <cellStyle name="Comma 2 4 2 2 2 3 2 2 2 2" xfId="1397"/>
    <cellStyle name="Comma 2 4 2 2 2 3 2 2 2 2 2" xfId="3374"/>
    <cellStyle name="Comma 2 4 2 2 2 3 2 2 2 2 2 2" xfId="3415"/>
    <cellStyle name="Comma 2 4 2 2 2 3 2 2 2 2 2 2 2" xfId="8589"/>
    <cellStyle name="Comma 2 4 2 2 2 3 2 2 2 2 2 2 2 2" xfId="8630"/>
    <cellStyle name="Comma 2 4 2 2 2 3 2 2 2 2 2 2 2 2 2" xfId="22141"/>
    <cellStyle name="Comma 2 4 2 2 2 3 2 2 2 2 2 2 2 2 2 2" xfId="22182"/>
    <cellStyle name="Comma 2 4 2 2 2 3 2 2 2 2 2 2 2 2 2 2 2" xfId="57467"/>
    <cellStyle name="Comma 2 4 2 2 2 3 2 2 2 2 2 2 2 2 2 2 2 2" xfId="57508"/>
    <cellStyle name="Comma 2 4 2 2 2 3 2 2 2 2 2 2 2 2 2 3" xfId="35685"/>
    <cellStyle name="Comma 2 4 2 2 2 3 2 2 2 2 2 2 2 2 3" xfId="35644"/>
    <cellStyle name="Comma 2 4 2 2 2 3 2 2 2 2 2 2 2 2 3 2" xfId="44057"/>
    <cellStyle name="Comma 2 4 2 2 2 3 2 2 2 2 2 2 2 3" xfId="13855"/>
    <cellStyle name="Comma 2 4 2 2 2 3 2 2 2 2 2 2 2 3 2" xfId="44016"/>
    <cellStyle name="Comma 2 4 2 2 2 3 2 2 2 2 2 2 2 3 2 2" xfId="49201"/>
    <cellStyle name="Comma 2 4 2 2 2 3 2 2 2 2 2 2 2 4" xfId="27340"/>
    <cellStyle name="Comma 2 4 2 2 2 3 2 2 2 2 2 2 3" xfId="13814"/>
    <cellStyle name="Comma 2 4 2 2 2 3 2 2 2 2 2 2 3 2" xfId="17072"/>
    <cellStyle name="Comma 2 4 2 2 2 3 2 2 2 2 2 2 3 2 2" xfId="49160"/>
    <cellStyle name="Comma 2 4 2 2 2 3 2 2 2 2 2 2 3 2 2 2" xfId="52400"/>
    <cellStyle name="Comma 2 4 2 2 2 3 2 2 2 2 2 2 3 3" xfId="30574"/>
    <cellStyle name="Comma 2 4 2 2 2 3 2 2 2 2 2 2 4" xfId="27299"/>
    <cellStyle name="Comma 2 4 2 2 2 3 2 2 2 2 2 2 4 2" xfId="38884"/>
    <cellStyle name="Comma 2 4 2 2 2 3 2 2 2 2 2 3" xfId="5452"/>
    <cellStyle name="Comma 2 4 2 2 2 3 2 2 2 2 2 3 2" xfId="17031"/>
    <cellStyle name="Comma 2 4 2 2 2 3 2 2 2 2 2 3 2 2" xfId="19025"/>
    <cellStyle name="Comma 2 4 2 2 2 3 2 2 2 2 2 3 2 2 2" xfId="52359"/>
    <cellStyle name="Comma 2 4 2 2 2 3 2 2 2 2 2 3 2 2 2 2" xfId="54351"/>
    <cellStyle name="Comma 2 4 2 2 2 3 2 2 2 2 2 3 2 3" xfId="32526"/>
    <cellStyle name="Comma 2 4 2 2 2 3 2 2 2 2 2 3 3" xfId="30533"/>
    <cellStyle name="Comma 2 4 2 2 2 3 2 2 2 2 2 3 3 2" xfId="40889"/>
    <cellStyle name="Comma 2 4 2 2 2 3 2 2 2 2 2 4" xfId="10655"/>
    <cellStyle name="Comma 2 4 2 2 2 3 2 2 2 2 2 4 2" xfId="38843"/>
    <cellStyle name="Comma 2 4 2 2 2 3 2 2 2 2 2 4 2 2" xfId="46018"/>
    <cellStyle name="Comma 2 4 2 2 2 3 2 2 2 2 2 5" xfId="24141"/>
    <cellStyle name="Comma 2 4 2 2 2 3 2 2 2 2 3" xfId="5411"/>
    <cellStyle name="Comma 2 4 2 2 2 3 2 2 2 2 3 2" xfId="6705"/>
    <cellStyle name="Comma 2 4 2 2 2 3 2 2 2 2 3 2 2" xfId="18984"/>
    <cellStyle name="Comma 2 4 2 2 2 3 2 2 2 2 3 2 2 2" xfId="20258"/>
    <cellStyle name="Comma 2 4 2 2 2 3 2 2 2 2 3 2 2 2 2" xfId="54310"/>
    <cellStyle name="Comma 2 4 2 2 2 3 2 2 2 2 3 2 2 2 2 2" xfId="55584"/>
    <cellStyle name="Comma 2 4 2 2 2 3 2 2 2 2 3 2 2 3" xfId="33760"/>
    <cellStyle name="Comma 2 4 2 2 2 3 2 2 2 2 3 2 3" xfId="32485"/>
    <cellStyle name="Comma 2 4 2 2 2 3 2 2 2 2 3 2 3 2" xfId="42133"/>
    <cellStyle name="Comma 2 4 2 2 2 3 2 2 2 2 3 3" xfId="11928"/>
    <cellStyle name="Comma 2 4 2 2 2 3 2 2 2 2 3 3 2" xfId="40848"/>
    <cellStyle name="Comma 2 4 2 2 2 3 2 2 2 2 3 3 2 2" xfId="47276"/>
    <cellStyle name="Comma 2 4 2 2 2 3 2 2 2 2 3 4" xfId="25413"/>
    <cellStyle name="Comma 2 4 2 2 2 3 2 2 2 2 4" xfId="10614"/>
    <cellStyle name="Comma 2 4 2 2 2 3 2 2 2 2 4 2" xfId="15086"/>
    <cellStyle name="Comma 2 4 2 2 2 3 2 2 2 2 4 2 2" xfId="45977"/>
    <cellStyle name="Comma 2 4 2 2 2 3 2 2 2 2 4 2 2 2" xfId="50425"/>
    <cellStyle name="Comma 2 4 2 2 2 3 2 2 2 2 4 3" xfId="28599"/>
    <cellStyle name="Comma 2 4 2 2 2 3 2 2 2 2 5" xfId="24100"/>
    <cellStyle name="Comma 2 4 2 2 2 3 2 2 2 2 5 2" xfId="36894"/>
    <cellStyle name="Comma 2 4 2 2 2 3 2 2 2 3" xfId="2204"/>
    <cellStyle name="Comma 2 4 2 2 2 3 2 2 2 3 2" xfId="6664"/>
    <cellStyle name="Comma 2 4 2 2 2 3 2 2 2 3 2 2" xfId="7438"/>
    <cellStyle name="Comma 2 4 2 2 2 3 2 2 2 3 2 2 2" xfId="20217"/>
    <cellStyle name="Comma 2 4 2 2 2 3 2 2 2 3 2 2 2 2" xfId="20990"/>
    <cellStyle name="Comma 2 4 2 2 2 3 2 2 2 3 2 2 2 2 2" xfId="55543"/>
    <cellStyle name="Comma 2 4 2 2 2 3 2 2 2 3 2 2 2 2 2 2" xfId="56316"/>
    <cellStyle name="Comma 2 4 2 2 2 3 2 2 2 3 2 2 2 3" xfId="34493"/>
    <cellStyle name="Comma 2 4 2 2 2 3 2 2 2 3 2 2 3" xfId="33719"/>
    <cellStyle name="Comma 2 4 2 2 2 3 2 2 2 3 2 2 3 2" xfId="42865"/>
    <cellStyle name="Comma 2 4 2 2 2 3 2 2 2 3 2 3" xfId="12663"/>
    <cellStyle name="Comma 2 4 2 2 2 3 2 2 2 3 2 3 2" xfId="42092"/>
    <cellStyle name="Comma 2 4 2 2 2 3 2 2 2 3 2 3 2 2" xfId="48009"/>
    <cellStyle name="Comma 2 4 2 2 2 3 2 2 2 3 2 4" xfId="26147"/>
    <cellStyle name="Comma 2 4 2 2 2 3 2 2 2 3 3" xfId="11887"/>
    <cellStyle name="Comma 2 4 2 2 2 3 2 2 2 3 3 2" xfId="15868"/>
    <cellStyle name="Comma 2 4 2 2 2 3 2 2 2 3 3 2 2" xfId="47235"/>
    <cellStyle name="Comma 2 4 2 2 2 3 2 2 2 3 3 2 2 2" xfId="51200"/>
    <cellStyle name="Comma 2 4 2 2 2 3 2 2 2 3 3 3" xfId="29374"/>
    <cellStyle name="Comma 2 4 2 2 2 3 2 2 2 3 4" xfId="25372"/>
    <cellStyle name="Comma 2 4 2 2 2 3 2 2 2 3 4 2" xfId="37682"/>
    <cellStyle name="Comma 2 4 2 2 2 3 2 2 2 4" xfId="4220"/>
    <cellStyle name="Comma 2 4 2 2 2 3 2 2 2 4 2" xfId="15045"/>
    <cellStyle name="Comma 2 4 2 2 2 3 2 2 2 4 2 2" xfId="17813"/>
    <cellStyle name="Comma 2 4 2 2 2 3 2 2 2 4 2 2 2" xfId="50384"/>
    <cellStyle name="Comma 2 4 2 2 2 3 2 2 2 4 2 2 2 2" xfId="53140"/>
    <cellStyle name="Comma 2 4 2 2 2 3 2 2 2 4 2 3" xfId="31315"/>
    <cellStyle name="Comma 2 4 2 2 2 3 2 2 2 4 3" xfId="28558"/>
    <cellStyle name="Comma 2 4 2 2 2 3 2 2 2 4 3 2" xfId="39663"/>
    <cellStyle name="Comma 2 4 2 2 2 3 2 2 2 5" xfId="9411"/>
    <cellStyle name="Comma 2 4 2 2 2 3 2 2 2 5 2" xfId="36853"/>
    <cellStyle name="Comma 2 4 2 2 2 3 2 2 2 5 2 2" xfId="44793"/>
    <cellStyle name="Comma 2 4 2 2 2 3 2 2 2 6" xfId="22907"/>
    <cellStyle name="Comma 2 4 2 2 2 3 2 2 3" xfId="2163"/>
    <cellStyle name="Comma 2 4 2 2 2 3 2 2 3 2" xfId="2691"/>
    <cellStyle name="Comma 2 4 2 2 2 3 2 2 3 2 2" xfId="7397"/>
    <cellStyle name="Comma 2 4 2 2 2 3 2 2 3 2 2 2" xfId="7910"/>
    <cellStyle name="Comma 2 4 2 2 2 3 2 2 3 2 2 2 2" xfId="20949"/>
    <cellStyle name="Comma 2 4 2 2 2 3 2 2 3 2 2 2 2 2" xfId="21462"/>
    <cellStyle name="Comma 2 4 2 2 2 3 2 2 3 2 2 2 2 2 2" xfId="56275"/>
    <cellStyle name="Comma 2 4 2 2 2 3 2 2 3 2 2 2 2 2 2 2" xfId="56788"/>
    <cellStyle name="Comma 2 4 2 2 2 3 2 2 3 2 2 2 2 3" xfId="34965"/>
    <cellStyle name="Comma 2 4 2 2 2 3 2 2 3 2 2 2 3" xfId="34452"/>
    <cellStyle name="Comma 2 4 2 2 2 3 2 2 3 2 2 2 3 2" xfId="43337"/>
    <cellStyle name="Comma 2 4 2 2 2 3 2 2 3 2 2 3" xfId="13135"/>
    <cellStyle name="Comma 2 4 2 2 2 3 2 2 3 2 2 3 2" xfId="42824"/>
    <cellStyle name="Comma 2 4 2 2 2 3 2 2 3 2 2 3 2 2" xfId="48481"/>
    <cellStyle name="Comma 2 4 2 2 2 3 2 2 3 2 2 4" xfId="26619"/>
    <cellStyle name="Comma 2 4 2 2 2 3 2 2 3 2 3" xfId="12622"/>
    <cellStyle name="Comma 2 4 2 2 2 3 2 2 3 2 3 2" xfId="16350"/>
    <cellStyle name="Comma 2 4 2 2 2 3 2 2 3 2 3 2 2" xfId="47968"/>
    <cellStyle name="Comma 2 4 2 2 2 3 2 2 3 2 3 2 2 2" xfId="51680"/>
    <cellStyle name="Comma 2 4 2 2 2 3 2 2 3 2 3 3" xfId="29854"/>
    <cellStyle name="Comma 2 4 2 2 2 3 2 2 3 2 4" xfId="26106"/>
    <cellStyle name="Comma 2 4 2 2 2 3 2 2 3 2 4 2" xfId="38164"/>
    <cellStyle name="Comma 2 4 2 2 2 3 2 2 3 3" xfId="4727"/>
    <cellStyle name="Comma 2 4 2 2 2 3 2 2 3 3 2" xfId="15827"/>
    <cellStyle name="Comma 2 4 2 2 2 3 2 2 3 3 2 2" xfId="18304"/>
    <cellStyle name="Comma 2 4 2 2 2 3 2 2 3 3 2 2 2" xfId="51159"/>
    <cellStyle name="Comma 2 4 2 2 2 3 2 2 3 3 2 2 2 2" xfId="53630"/>
    <cellStyle name="Comma 2 4 2 2 2 3 2 2 3 3 2 3" xfId="31805"/>
    <cellStyle name="Comma 2 4 2 2 2 3 2 2 3 3 3" xfId="29333"/>
    <cellStyle name="Comma 2 4 2 2 2 3 2 2 3 3 3 2" xfId="40165"/>
    <cellStyle name="Comma 2 4 2 2 2 3 2 2 3 4" xfId="9930"/>
    <cellStyle name="Comma 2 4 2 2 2 3 2 2 3 4 2" xfId="37641"/>
    <cellStyle name="Comma 2 4 2 2 2 3 2 2 3 4 2 2" xfId="45297"/>
    <cellStyle name="Comma 2 4 2 2 2 3 2 2 3 5" xfId="23420"/>
    <cellStyle name="Comma 2 4 2 2 2 3 2 2 4" xfId="4179"/>
    <cellStyle name="Comma 2 4 2 2 2 3 2 2 4 2" xfId="5932"/>
    <cellStyle name="Comma 2 4 2 2 2 3 2 2 4 2 2" xfId="17772"/>
    <cellStyle name="Comma 2 4 2 2 2 3 2 2 4 2 2 2" xfId="19499"/>
    <cellStyle name="Comma 2 4 2 2 2 3 2 2 4 2 2 2 2" xfId="53099"/>
    <cellStyle name="Comma 2 4 2 2 2 3 2 2 4 2 2 2 2 2" xfId="54825"/>
    <cellStyle name="Comma 2 4 2 2 2 3 2 2 4 2 2 3" xfId="33000"/>
    <cellStyle name="Comma 2 4 2 2 2 3 2 2 4 2 3" xfId="31274"/>
    <cellStyle name="Comma 2 4 2 2 2 3 2 2 4 2 3 2" xfId="41366"/>
    <cellStyle name="Comma 2 4 2 2 2 3 2 2 4 3" xfId="11157"/>
    <cellStyle name="Comma 2 4 2 2 2 3 2 2 4 3 2" xfId="39622"/>
    <cellStyle name="Comma 2 4 2 2 2 3 2 2 4 3 2 2" xfId="46515"/>
    <cellStyle name="Comma 2 4 2 2 2 3 2 2 4 4" xfId="24650"/>
    <cellStyle name="Comma 2 4 2 2 2 3 2 2 5" xfId="9370"/>
    <cellStyle name="Comma 2 4 2 2 2 3 2 2 5 2" xfId="14316"/>
    <cellStyle name="Comma 2 4 2 2 2 3 2 2 5 2 2" xfId="44752"/>
    <cellStyle name="Comma 2 4 2 2 2 3 2 2 5 2 2 2" xfId="49661"/>
    <cellStyle name="Comma 2 4 2 2 2 3 2 2 5 3" xfId="27826"/>
    <cellStyle name="Comma 2 4 2 2 2 3 2 2 6" xfId="22866"/>
    <cellStyle name="Comma 2 4 2 2 2 3 2 2 6 2" xfId="36128"/>
    <cellStyle name="Comma 2 4 2 2 2 3 2 3" xfId="929"/>
    <cellStyle name="Comma 2 4 2 2 2 3 2 3 2" xfId="2649"/>
    <cellStyle name="Comma 2 4 2 2 2 3 2 3 2 2" xfId="2967"/>
    <cellStyle name="Comma 2 4 2 2 2 3 2 3 2 2 2" xfId="7868"/>
    <cellStyle name="Comma 2 4 2 2 2 3 2 3 2 2 2 2" xfId="8182"/>
    <cellStyle name="Comma 2 4 2 2 2 3 2 3 2 2 2 2 2" xfId="21420"/>
    <cellStyle name="Comma 2 4 2 2 2 3 2 3 2 2 2 2 2 2" xfId="21734"/>
    <cellStyle name="Comma 2 4 2 2 2 3 2 3 2 2 2 2 2 2 2" xfId="56746"/>
    <cellStyle name="Comma 2 4 2 2 2 3 2 3 2 2 2 2 2 2 2 2" xfId="57060"/>
    <cellStyle name="Comma 2 4 2 2 2 3 2 3 2 2 2 2 2 3" xfId="35237"/>
    <cellStyle name="Comma 2 4 2 2 2 3 2 3 2 2 2 2 3" xfId="34923"/>
    <cellStyle name="Comma 2 4 2 2 2 3 2 3 2 2 2 2 3 2" xfId="43609"/>
    <cellStyle name="Comma 2 4 2 2 2 3 2 3 2 2 2 3" xfId="13407"/>
    <cellStyle name="Comma 2 4 2 2 2 3 2 3 2 2 2 3 2" xfId="43295"/>
    <cellStyle name="Comma 2 4 2 2 2 3 2 3 2 2 2 3 2 2" xfId="48753"/>
    <cellStyle name="Comma 2 4 2 2 2 3 2 3 2 2 2 4" xfId="26892"/>
    <cellStyle name="Comma 2 4 2 2 2 3 2 3 2 2 3" xfId="13093"/>
    <cellStyle name="Comma 2 4 2 2 2 3 2 3 2 2 3 2" xfId="16624"/>
    <cellStyle name="Comma 2 4 2 2 2 3 2 3 2 2 3 2 2" xfId="48439"/>
    <cellStyle name="Comma 2 4 2 2 2 3 2 3 2 2 3 2 2 2" xfId="51952"/>
    <cellStyle name="Comma 2 4 2 2 2 3 2 3 2 2 3 3" xfId="30126"/>
    <cellStyle name="Comma 2 4 2 2 2 3 2 3 2 2 4" xfId="26577"/>
    <cellStyle name="Comma 2 4 2 2 2 3 2 3 2 2 4 2" xfId="38436"/>
    <cellStyle name="Comma 2 4 2 2 2 3 2 3 2 3" xfId="5003"/>
    <cellStyle name="Comma 2 4 2 2 2 3 2 3 2 3 2" xfId="16308"/>
    <cellStyle name="Comma 2 4 2 2 2 3 2 3 2 3 2 2" xfId="18576"/>
    <cellStyle name="Comma 2 4 2 2 2 3 2 3 2 3 2 2 2" xfId="51638"/>
    <cellStyle name="Comma 2 4 2 2 2 3 2 3 2 3 2 2 2 2" xfId="53902"/>
    <cellStyle name="Comma 2 4 2 2 2 3 2 3 2 3 2 3" xfId="32077"/>
    <cellStyle name="Comma 2 4 2 2 2 3 2 3 2 3 3" xfId="29812"/>
    <cellStyle name="Comma 2 4 2 2 2 3 2 3 2 3 3 2" xfId="40440"/>
    <cellStyle name="Comma 2 4 2 2 2 3 2 3 2 4" xfId="10206"/>
    <cellStyle name="Comma 2 4 2 2 2 3 2 3 2 4 2" xfId="38122"/>
    <cellStyle name="Comma 2 4 2 2 2 3 2 3 2 4 2 2" xfId="45569"/>
    <cellStyle name="Comma 2 4 2 2 2 3 2 3 2 5" xfId="23692"/>
    <cellStyle name="Comma 2 4 2 2 2 3 2 3 3" xfId="4684"/>
    <cellStyle name="Comma 2 4 2 2 2 3 2 3 3 2" xfId="6240"/>
    <cellStyle name="Comma 2 4 2 2 2 3 2 3 3 2 2" xfId="18262"/>
    <cellStyle name="Comma 2 4 2 2 2 3 2 3 3 2 2 2" xfId="19797"/>
    <cellStyle name="Comma 2 4 2 2 2 3 2 3 3 2 2 2 2" xfId="53588"/>
    <cellStyle name="Comma 2 4 2 2 2 3 2 3 3 2 2 2 2 2" xfId="55123"/>
    <cellStyle name="Comma 2 4 2 2 2 3 2 3 3 2 2 3" xfId="33299"/>
    <cellStyle name="Comma 2 4 2 2 2 3 2 3 3 2 3" xfId="31763"/>
    <cellStyle name="Comma 2 4 2 2 2 3 2 3 3 2 3 2" xfId="41669"/>
    <cellStyle name="Comma 2 4 2 2 2 3 2 3 3 3" xfId="11465"/>
    <cellStyle name="Comma 2 4 2 2 2 3 2 3 3 3 2" xfId="40123"/>
    <cellStyle name="Comma 2 4 2 2 2 3 2 3 3 3 2 2" xfId="46814"/>
    <cellStyle name="Comma 2 4 2 2 2 3 2 3 3 4" xfId="24951"/>
    <cellStyle name="Comma 2 4 2 2 2 3 2 3 4" xfId="9887"/>
    <cellStyle name="Comma 2 4 2 2 2 3 2 3 4 2" xfId="14623"/>
    <cellStyle name="Comma 2 4 2 2 2 3 2 3 4 2 2" xfId="45255"/>
    <cellStyle name="Comma 2 4 2 2 2 3 2 3 4 2 2 2" xfId="49962"/>
    <cellStyle name="Comma 2 4 2 2 2 3 2 3 4 3" xfId="28134"/>
    <cellStyle name="Comma 2 4 2 2 2 3 2 3 5" xfId="23378"/>
    <cellStyle name="Comma 2 4 2 2 2 3 2 3 5 2" xfId="36431"/>
    <cellStyle name="Comma 2 4 2 2 2 3 2 4" xfId="1725"/>
    <cellStyle name="Comma 2 4 2 2 2 3 2 4 2" xfId="5890"/>
    <cellStyle name="Comma 2 4 2 2 2 3 2 4 2 2" xfId="6978"/>
    <cellStyle name="Comma 2 4 2 2 2 3 2 4 2 2 2" xfId="19457"/>
    <cellStyle name="Comma 2 4 2 2 2 3 2 4 2 2 2 2" xfId="20531"/>
    <cellStyle name="Comma 2 4 2 2 2 3 2 4 2 2 2 2 2" xfId="54783"/>
    <cellStyle name="Comma 2 4 2 2 2 3 2 4 2 2 2 2 2 2" xfId="55857"/>
    <cellStyle name="Comma 2 4 2 2 2 3 2 4 2 2 2 3" xfId="34033"/>
    <cellStyle name="Comma 2 4 2 2 2 3 2 4 2 2 3" xfId="32958"/>
    <cellStyle name="Comma 2 4 2 2 2 3 2 4 2 2 3 2" xfId="42406"/>
    <cellStyle name="Comma 2 4 2 2 2 3 2 4 2 3" xfId="12202"/>
    <cellStyle name="Comma 2 4 2 2 2 3 2 4 2 3 2" xfId="41324"/>
    <cellStyle name="Comma 2 4 2 2 2 3 2 4 2 3 2 2" xfId="47549"/>
    <cellStyle name="Comma 2 4 2 2 2 3 2 4 2 4" xfId="25687"/>
    <cellStyle name="Comma 2 4 2 2 2 3 2 4 3" xfId="11115"/>
    <cellStyle name="Comma 2 4 2 2 2 3 2 4 3 2" xfId="15397"/>
    <cellStyle name="Comma 2 4 2 2 2 3 2 4 3 2 2" xfId="46473"/>
    <cellStyle name="Comma 2 4 2 2 2 3 2 4 3 2 2 2" xfId="50730"/>
    <cellStyle name="Comma 2 4 2 2 2 3 2 4 3 3" xfId="28904"/>
    <cellStyle name="Comma 2 4 2 2 2 3 2 4 4" xfId="24607"/>
    <cellStyle name="Comma 2 4 2 2 2 3 2 4 4 2" xfId="37207"/>
    <cellStyle name="Comma 2 4 2 2 2 3 2 5" xfId="3730"/>
    <cellStyle name="Comma 2 4 2 2 2 3 2 5 2" xfId="14274"/>
    <cellStyle name="Comma 2 4 2 2 2 3 2 5 2 2" xfId="17346"/>
    <cellStyle name="Comma 2 4 2 2 2 3 2 5 2 2 2" xfId="49619"/>
    <cellStyle name="Comma 2 4 2 2 2 3 2 5 2 2 2 2" xfId="52673"/>
    <cellStyle name="Comma 2 4 2 2 2 3 2 5 2 3" xfId="30847"/>
    <cellStyle name="Comma 2 4 2 2 2 3 2 5 3" xfId="27783"/>
    <cellStyle name="Comma 2 4 2 2 2 3 2 5 3 2" xfId="39181"/>
    <cellStyle name="Comma 2 4 2 2 2 3 2 6" xfId="8920"/>
    <cellStyle name="Comma 2 4 2 2 2 3 2 6 2" xfId="36086"/>
    <cellStyle name="Comma 2 4 2 2 2 3 2 6 2 2" xfId="44319"/>
    <cellStyle name="Comma 2 4 2 2 2 3 2 7" xfId="22427"/>
    <cellStyle name="Comma 2 4 2 2 2 3 3" xfId="886"/>
    <cellStyle name="Comma 2 4 2 2 2 3 3 2" xfId="1121"/>
    <cellStyle name="Comma 2 4 2 2 2 3 3 2 2" xfId="2926"/>
    <cellStyle name="Comma 2 4 2 2 2 3 3 2 2 2" xfId="3146"/>
    <cellStyle name="Comma 2 4 2 2 2 3 3 2 2 2 2" xfId="8141"/>
    <cellStyle name="Comma 2 4 2 2 2 3 3 2 2 2 2 2" xfId="8361"/>
    <cellStyle name="Comma 2 4 2 2 2 3 3 2 2 2 2 2 2" xfId="21693"/>
    <cellStyle name="Comma 2 4 2 2 2 3 3 2 2 2 2 2 2 2" xfId="21913"/>
    <cellStyle name="Comma 2 4 2 2 2 3 3 2 2 2 2 2 2 2 2" xfId="57019"/>
    <cellStyle name="Comma 2 4 2 2 2 3 3 2 2 2 2 2 2 2 2 2" xfId="57239"/>
    <cellStyle name="Comma 2 4 2 2 2 3 3 2 2 2 2 2 2 3" xfId="35416"/>
    <cellStyle name="Comma 2 4 2 2 2 3 3 2 2 2 2 2 3" xfId="35196"/>
    <cellStyle name="Comma 2 4 2 2 2 3 3 2 2 2 2 2 3 2" xfId="43788"/>
    <cellStyle name="Comma 2 4 2 2 2 3 3 2 2 2 2 3" xfId="13586"/>
    <cellStyle name="Comma 2 4 2 2 2 3 3 2 2 2 2 3 2" xfId="43568"/>
    <cellStyle name="Comma 2 4 2 2 2 3 3 2 2 2 2 3 2 2" xfId="48932"/>
    <cellStyle name="Comma 2 4 2 2 2 3 3 2 2 2 2 4" xfId="27071"/>
    <cellStyle name="Comma 2 4 2 2 2 3 3 2 2 2 3" xfId="13366"/>
    <cellStyle name="Comma 2 4 2 2 2 3 3 2 2 2 3 2" xfId="16803"/>
    <cellStyle name="Comma 2 4 2 2 2 3 3 2 2 2 3 2 2" xfId="48712"/>
    <cellStyle name="Comma 2 4 2 2 2 3 3 2 2 2 3 2 2 2" xfId="52131"/>
    <cellStyle name="Comma 2 4 2 2 2 3 3 2 2 2 3 3" xfId="30305"/>
    <cellStyle name="Comma 2 4 2 2 2 3 3 2 2 2 4" xfId="26851"/>
    <cellStyle name="Comma 2 4 2 2 2 3 3 2 2 2 4 2" xfId="38615"/>
    <cellStyle name="Comma 2 4 2 2 2 3 3 2 2 3" xfId="5183"/>
    <cellStyle name="Comma 2 4 2 2 2 3 3 2 2 3 2" xfId="16583"/>
    <cellStyle name="Comma 2 4 2 2 2 3 3 2 2 3 2 2" xfId="18756"/>
    <cellStyle name="Comma 2 4 2 2 2 3 3 2 2 3 2 2 2" xfId="51911"/>
    <cellStyle name="Comma 2 4 2 2 2 3 3 2 2 3 2 2 2 2" xfId="54082"/>
    <cellStyle name="Comma 2 4 2 2 2 3 3 2 2 3 2 3" xfId="32257"/>
    <cellStyle name="Comma 2 4 2 2 2 3 3 2 2 3 3" xfId="30085"/>
    <cellStyle name="Comma 2 4 2 2 2 3 3 2 2 3 3 2" xfId="40620"/>
    <cellStyle name="Comma 2 4 2 2 2 3 3 2 2 4" xfId="10386"/>
    <cellStyle name="Comma 2 4 2 2 2 3 3 2 2 4 2" xfId="38395"/>
    <cellStyle name="Comma 2 4 2 2 2 3 3 2 2 4 2 2" xfId="45749"/>
    <cellStyle name="Comma 2 4 2 2 2 3 3 2 2 5" xfId="23872"/>
    <cellStyle name="Comma 2 4 2 2 2 3 3 2 3" xfId="4962"/>
    <cellStyle name="Comma 2 4 2 2 2 3 3 2 3 2" xfId="6429"/>
    <cellStyle name="Comma 2 4 2 2 2 3 3 2 3 2 2" xfId="18535"/>
    <cellStyle name="Comma 2 4 2 2 2 3 3 2 3 2 2 2" xfId="19984"/>
    <cellStyle name="Comma 2 4 2 2 2 3 3 2 3 2 2 2 2" xfId="53861"/>
    <cellStyle name="Comma 2 4 2 2 2 3 3 2 3 2 2 2 2 2" xfId="55310"/>
    <cellStyle name="Comma 2 4 2 2 2 3 3 2 3 2 2 3" xfId="33486"/>
    <cellStyle name="Comma 2 4 2 2 2 3 3 2 3 2 3" xfId="32036"/>
    <cellStyle name="Comma 2 4 2 2 2 3 3 2 3 2 3 2" xfId="41857"/>
    <cellStyle name="Comma 2 4 2 2 2 3 3 2 3 3" xfId="11653"/>
    <cellStyle name="Comma 2 4 2 2 2 3 3 2 3 3 2" xfId="40399"/>
    <cellStyle name="Comma 2 4 2 2 2 3 3 2 3 3 2 2" xfId="47002"/>
    <cellStyle name="Comma 2 4 2 2 2 3 3 2 3 4" xfId="25139"/>
    <cellStyle name="Comma 2 4 2 2 2 3 3 2 4" xfId="10165"/>
    <cellStyle name="Comma 2 4 2 2 2 3 3 2 4 2" xfId="14812"/>
    <cellStyle name="Comma 2 4 2 2 2 3 3 2 4 2 2" xfId="45528"/>
    <cellStyle name="Comma 2 4 2 2 2 3 3 2 4 2 2 2" xfId="50151"/>
    <cellStyle name="Comma 2 4 2 2 2 3 3 2 4 3" xfId="28324"/>
    <cellStyle name="Comma 2 4 2 2 2 3 3 2 5" xfId="23651"/>
    <cellStyle name="Comma 2 4 2 2 2 3 3 2 5 2" xfId="36620"/>
    <cellStyle name="Comma 2 4 2 2 2 3 3 3" xfId="1929"/>
    <cellStyle name="Comma 2 4 2 2 2 3 3 3 2" xfId="6197"/>
    <cellStyle name="Comma 2 4 2 2 2 3 3 3 2 2" xfId="7168"/>
    <cellStyle name="Comma 2 4 2 2 2 3 3 3 2 2 2" xfId="19756"/>
    <cellStyle name="Comma 2 4 2 2 2 3 3 3 2 2 2 2" xfId="20720"/>
    <cellStyle name="Comma 2 4 2 2 2 3 3 3 2 2 2 2 2" xfId="55082"/>
    <cellStyle name="Comma 2 4 2 2 2 3 3 3 2 2 2 2 2 2" xfId="56046"/>
    <cellStyle name="Comma 2 4 2 2 2 3 3 3 2 2 2 3" xfId="34223"/>
    <cellStyle name="Comma 2 4 2 2 2 3 3 3 2 2 3" xfId="33258"/>
    <cellStyle name="Comma 2 4 2 2 2 3 3 3 2 2 3 2" xfId="42595"/>
    <cellStyle name="Comma 2 4 2 2 2 3 3 3 2 3" xfId="12393"/>
    <cellStyle name="Comma 2 4 2 2 2 3 3 3 2 3 2" xfId="41627"/>
    <cellStyle name="Comma 2 4 2 2 2 3 3 3 2 3 2 2" xfId="47739"/>
    <cellStyle name="Comma 2 4 2 2 2 3 3 3 2 4" xfId="25877"/>
    <cellStyle name="Comma 2 4 2 2 2 3 3 3 3" xfId="11422"/>
    <cellStyle name="Comma 2 4 2 2 2 3 3 3 3 2" xfId="15594"/>
    <cellStyle name="Comma 2 4 2 2 2 3 3 3 3 2 2" xfId="46773"/>
    <cellStyle name="Comma 2 4 2 2 2 3 3 3 3 2 2 2" xfId="50926"/>
    <cellStyle name="Comma 2 4 2 2 2 3 3 3 3 3" xfId="29100"/>
    <cellStyle name="Comma 2 4 2 2 2 3 3 3 4" xfId="24910"/>
    <cellStyle name="Comma 2 4 2 2 2 3 3 3 4 2" xfId="37407"/>
    <cellStyle name="Comma 2 4 2 2 2 3 3 4" xfId="3943"/>
    <cellStyle name="Comma 2 4 2 2 2 3 3 4 2" xfId="14582"/>
    <cellStyle name="Comma 2 4 2 2 2 3 3 4 2 2" xfId="17543"/>
    <cellStyle name="Comma 2 4 2 2 2 3 3 4 2 2 2" xfId="49921"/>
    <cellStyle name="Comma 2 4 2 2 2 3 3 4 2 2 2 2" xfId="52870"/>
    <cellStyle name="Comma 2 4 2 2 2 3 3 4 2 3" xfId="31045"/>
    <cellStyle name="Comma 2 4 2 2 2 3 3 4 3" xfId="28092"/>
    <cellStyle name="Comma 2 4 2 2 2 3 3 4 3 2" xfId="39387"/>
    <cellStyle name="Comma 2 4 2 2 2 3 3 5" xfId="9135"/>
    <cellStyle name="Comma 2 4 2 2 2 3 3 5 2" xfId="36390"/>
    <cellStyle name="Comma 2 4 2 2 2 3 3 5 2 2" xfId="44523"/>
    <cellStyle name="Comma 2 4 2 2 2 3 3 6" xfId="22637"/>
    <cellStyle name="Comma 2 4 2 2 2 3 4" xfId="1682"/>
    <cellStyle name="Comma 2 4 2 2 2 3 4 2" xfId="2377"/>
    <cellStyle name="Comma 2 4 2 2 2 3 4 2 2" xfId="6937"/>
    <cellStyle name="Comma 2 4 2 2 2 3 4 2 2 2" xfId="7610"/>
    <cellStyle name="Comma 2 4 2 2 2 3 4 2 2 2 2" xfId="20490"/>
    <cellStyle name="Comma 2 4 2 2 2 3 4 2 2 2 2 2" xfId="21162"/>
    <cellStyle name="Comma 2 4 2 2 2 3 4 2 2 2 2 2 2" xfId="55816"/>
    <cellStyle name="Comma 2 4 2 2 2 3 4 2 2 2 2 2 2 2" xfId="56488"/>
    <cellStyle name="Comma 2 4 2 2 2 3 4 2 2 2 2 3" xfId="34665"/>
    <cellStyle name="Comma 2 4 2 2 2 3 4 2 2 2 3" xfId="33992"/>
    <cellStyle name="Comma 2 4 2 2 2 3 4 2 2 2 3 2" xfId="43037"/>
    <cellStyle name="Comma 2 4 2 2 2 3 4 2 2 3" xfId="12835"/>
    <cellStyle name="Comma 2 4 2 2 2 3 4 2 2 3 2" xfId="42365"/>
    <cellStyle name="Comma 2 4 2 2 2 3 4 2 2 3 2 2" xfId="48181"/>
    <cellStyle name="Comma 2 4 2 2 2 3 4 2 2 4" xfId="26319"/>
    <cellStyle name="Comma 2 4 2 2 2 3 4 2 3" xfId="12161"/>
    <cellStyle name="Comma 2 4 2 2 2 3 4 2 3 2" xfId="16040"/>
    <cellStyle name="Comma 2 4 2 2 2 3 4 2 3 2 2" xfId="47508"/>
    <cellStyle name="Comma 2 4 2 2 2 3 4 2 3 2 2 2" xfId="51372"/>
    <cellStyle name="Comma 2 4 2 2 2 3 4 2 3 3" xfId="29546"/>
    <cellStyle name="Comma 2 4 2 2 2 3 4 2 4" xfId="25646"/>
    <cellStyle name="Comma 2 4 2 2 2 3 4 2 4 2" xfId="37855"/>
    <cellStyle name="Comma 2 4 2 2 2 3 4 3" xfId="4411"/>
    <cellStyle name="Comma 2 4 2 2 2 3 4 3 2" xfId="15354"/>
    <cellStyle name="Comma 2 4 2 2 2 3 4 3 2 2" xfId="18002"/>
    <cellStyle name="Comma 2 4 2 2 2 3 4 3 2 2 2" xfId="50688"/>
    <cellStyle name="Comma 2 4 2 2 2 3 4 3 2 2 2 2" xfId="53328"/>
    <cellStyle name="Comma 2 4 2 2 2 3 4 3 2 3" xfId="31503"/>
    <cellStyle name="Comma 2 4 2 2 2 3 4 3 3" xfId="28862"/>
    <cellStyle name="Comma 2 4 2 2 2 3 4 3 3 2" xfId="39853"/>
    <cellStyle name="Comma 2 4 2 2 2 3 4 4" xfId="9614"/>
    <cellStyle name="Comma 2 4 2 2 2 3 4 4 2" xfId="37165"/>
    <cellStyle name="Comma 2 4 2 2 2 3 4 4 2 2" xfId="44994"/>
    <cellStyle name="Comma 2 4 2 2 2 3 4 5" xfId="23115"/>
    <cellStyle name="Comma 2 4 2 2 2 3 5" xfId="3687"/>
    <cellStyle name="Comma 2 4 2 2 2 3 5 2" xfId="5618"/>
    <cellStyle name="Comma 2 4 2 2 2 3 5 2 2" xfId="17305"/>
    <cellStyle name="Comma 2 4 2 2 2 3 5 2 2 2" xfId="19190"/>
    <cellStyle name="Comma 2 4 2 2 2 3 5 2 2 2 2" xfId="52632"/>
    <cellStyle name="Comma 2 4 2 2 2 3 5 2 2 2 2 2" xfId="54516"/>
    <cellStyle name="Comma 2 4 2 2 2 3 5 2 2 3" xfId="32691"/>
    <cellStyle name="Comma 2 4 2 2 2 3 5 2 3" xfId="30806"/>
    <cellStyle name="Comma 2 4 2 2 2 3 5 2 3 2" xfId="41054"/>
    <cellStyle name="Comma 2 4 2 2 2 3 5 3" xfId="10834"/>
    <cellStyle name="Comma 2 4 2 2 2 3 5 3 2" xfId="39138"/>
    <cellStyle name="Comma 2 4 2 2 2 3 5 3 2 2" xfId="46196"/>
    <cellStyle name="Comma 2 4 2 2 2 3 5 4" xfId="24326"/>
    <cellStyle name="Comma 2 4 2 2 2 3 6" xfId="8876"/>
    <cellStyle name="Comma 2 4 2 2 2 3 6 2" xfId="14002"/>
    <cellStyle name="Comma 2 4 2 2 2 3 6 2 2" xfId="44277"/>
    <cellStyle name="Comma 2 4 2 2 2 3 6 2 2 2" xfId="49348"/>
    <cellStyle name="Comma 2 4 2 2 2 3 6 3" xfId="27496"/>
    <cellStyle name="Comma 2 4 2 2 2 3 7" xfId="22385"/>
    <cellStyle name="Comma 2 4 2 2 2 3 7 2" xfId="35814"/>
    <cellStyle name="Comma 2 4 2 2 2 4" xfId="396"/>
    <cellStyle name="Comma 2 4 2 2 2 4 2" xfId="1054"/>
    <cellStyle name="Comma 2 4 2 2 2 4 2 2" xfId="1227"/>
    <cellStyle name="Comma 2 4 2 2 2 4 2 2 2" xfId="3090"/>
    <cellStyle name="Comma 2 4 2 2 2 4 2 2 2 2" xfId="3245"/>
    <cellStyle name="Comma 2 4 2 2 2 4 2 2 2 2 2" xfId="8305"/>
    <cellStyle name="Comma 2 4 2 2 2 4 2 2 2 2 2 2" xfId="8460"/>
    <cellStyle name="Comma 2 4 2 2 2 4 2 2 2 2 2 2 2" xfId="21857"/>
    <cellStyle name="Comma 2 4 2 2 2 4 2 2 2 2 2 2 2 2" xfId="22012"/>
    <cellStyle name="Comma 2 4 2 2 2 4 2 2 2 2 2 2 2 2 2" xfId="57183"/>
    <cellStyle name="Comma 2 4 2 2 2 4 2 2 2 2 2 2 2 2 2 2" xfId="57338"/>
    <cellStyle name="Comma 2 4 2 2 2 4 2 2 2 2 2 2 2 3" xfId="35515"/>
    <cellStyle name="Comma 2 4 2 2 2 4 2 2 2 2 2 2 3" xfId="35360"/>
    <cellStyle name="Comma 2 4 2 2 2 4 2 2 2 2 2 2 3 2" xfId="43887"/>
    <cellStyle name="Comma 2 4 2 2 2 4 2 2 2 2 2 3" xfId="13685"/>
    <cellStyle name="Comma 2 4 2 2 2 4 2 2 2 2 2 3 2" xfId="43732"/>
    <cellStyle name="Comma 2 4 2 2 2 4 2 2 2 2 2 3 2 2" xfId="49031"/>
    <cellStyle name="Comma 2 4 2 2 2 4 2 2 2 2 2 4" xfId="27170"/>
    <cellStyle name="Comma 2 4 2 2 2 4 2 2 2 2 3" xfId="13530"/>
    <cellStyle name="Comma 2 4 2 2 2 4 2 2 2 2 3 2" xfId="16902"/>
    <cellStyle name="Comma 2 4 2 2 2 4 2 2 2 2 3 2 2" xfId="48876"/>
    <cellStyle name="Comma 2 4 2 2 2 4 2 2 2 2 3 2 2 2" xfId="52230"/>
    <cellStyle name="Comma 2 4 2 2 2 4 2 2 2 2 3 3" xfId="30404"/>
    <cellStyle name="Comma 2 4 2 2 2 4 2 2 2 2 4" xfId="27015"/>
    <cellStyle name="Comma 2 4 2 2 2 4 2 2 2 2 4 2" xfId="38714"/>
    <cellStyle name="Comma 2 4 2 2 2 4 2 2 2 3" xfId="5282"/>
    <cellStyle name="Comma 2 4 2 2 2 4 2 2 2 3 2" xfId="16747"/>
    <cellStyle name="Comma 2 4 2 2 2 4 2 2 2 3 2 2" xfId="18855"/>
    <cellStyle name="Comma 2 4 2 2 2 4 2 2 2 3 2 2 2" xfId="52075"/>
    <cellStyle name="Comma 2 4 2 2 2 4 2 2 2 3 2 2 2 2" xfId="54181"/>
    <cellStyle name="Comma 2 4 2 2 2 4 2 2 2 3 2 3" xfId="32356"/>
    <cellStyle name="Comma 2 4 2 2 2 4 2 2 2 3 3" xfId="30249"/>
    <cellStyle name="Comma 2 4 2 2 2 4 2 2 2 3 3 2" xfId="40719"/>
    <cellStyle name="Comma 2 4 2 2 2 4 2 2 2 4" xfId="10485"/>
    <cellStyle name="Comma 2 4 2 2 2 4 2 2 2 4 2" xfId="38559"/>
    <cellStyle name="Comma 2 4 2 2 2 4 2 2 2 4 2 2" xfId="45848"/>
    <cellStyle name="Comma 2 4 2 2 2 4 2 2 2 5" xfId="23971"/>
    <cellStyle name="Comma 2 4 2 2 2 4 2 2 3" xfId="5127"/>
    <cellStyle name="Comma 2 4 2 2 2 4 2 2 3 2" xfId="6535"/>
    <cellStyle name="Comma 2 4 2 2 2 4 2 2 3 2 2" xfId="18700"/>
    <cellStyle name="Comma 2 4 2 2 2 4 2 2 3 2 2 2" xfId="20088"/>
    <cellStyle name="Comma 2 4 2 2 2 4 2 2 3 2 2 2 2" xfId="54026"/>
    <cellStyle name="Comma 2 4 2 2 2 4 2 2 3 2 2 2 2 2" xfId="55414"/>
    <cellStyle name="Comma 2 4 2 2 2 4 2 2 3 2 2 3" xfId="33590"/>
    <cellStyle name="Comma 2 4 2 2 2 4 2 2 3 2 3" xfId="32201"/>
    <cellStyle name="Comma 2 4 2 2 2 4 2 2 3 2 3 2" xfId="41963"/>
    <cellStyle name="Comma 2 4 2 2 2 4 2 2 3 3" xfId="11758"/>
    <cellStyle name="Comma 2 4 2 2 2 4 2 2 3 3 2" xfId="40564"/>
    <cellStyle name="Comma 2 4 2 2 2 4 2 2 3 3 2 2" xfId="47106"/>
    <cellStyle name="Comma 2 4 2 2 2 4 2 2 3 4" xfId="25243"/>
    <cellStyle name="Comma 2 4 2 2 2 4 2 2 4" xfId="10330"/>
    <cellStyle name="Comma 2 4 2 2 2 4 2 2 4 2" xfId="14916"/>
    <cellStyle name="Comma 2 4 2 2 2 4 2 2 4 2 2" xfId="45693"/>
    <cellStyle name="Comma 2 4 2 2 2 4 2 2 4 2 2 2" xfId="50255"/>
    <cellStyle name="Comma 2 4 2 2 2 4 2 2 4 3" xfId="28429"/>
    <cellStyle name="Comma 2 4 2 2 2 4 2 2 5" xfId="23816"/>
    <cellStyle name="Comma 2 4 2 2 2 4 2 2 5 2" xfId="36724"/>
    <cellStyle name="Comma 2 4 2 2 2 4 2 3" xfId="2033"/>
    <cellStyle name="Comma 2 4 2 2 2 4 2 3 2" xfId="6364"/>
    <cellStyle name="Comma 2 4 2 2 2 4 2 3 2 2" xfId="7267"/>
    <cellStyle name="Comma 2 4 2 2 2 4 2 3 2 2 2" xfId="19921"/>
    <cellStyle name="Comma 2 4 2 2 2 4 2 3 2 2 2 2" xfId="20819"/>
    <cellStyle name="Comma 2 4 2 2 2 4 2 3 2 2 2 2 2" xfId="55247"/>
    <cellStyle name="Comma 2 4 2 2 2 4 2 3 2 2 2 2 2 2" xfId="56145"/>
    <cellStyle name="Comma 2 4 2 2 2 4 2 3 2 2 2 3" xfId="34322"/>
    <cellStyle name="Comma 2 4 2 2 2 4 2 3 2 2 3" xfId="33423"/>
    <cellStyle name="Comma 2 4 2 2 2 4 2 3 2 2 3 2" xfId="42694"/>
    <cellStyle name="Comma 2 4 2 2 2 4 2 3 2 3" xfId="12492"/>
    <cellStyle name="Comma 2 4 2 2 2 4 2 3 2 3 2" xfId="41793"/>
    <cellStyle name="Comma 2 4 2 2 2 4 2 3 2 3 2 2" xfId="47838"/>
    <cellStyle name="Comma 2 4 2 2 2 4 2 3 2 4" xfId="25976"/>
    <cellStyle name="Comma 2 4 2 2 2 4 2 3 3" xfId="11590"/>
    <cellStyle name="Comma 2 4 2 2 2 4 2 3 3 2" xfId="15697"/>
    <cellStyle name="Comma 2 4 2 2 2 4 2 3 3 2 2" xfId="46939"/>
    <cellStyle name="Comma 2 4 2 2 2 4 2 3 3 2 2 2" xfId="51029"/>
    <cellStyle name="Comma 2 4 2 2 2 4 2 3 3 3" xfId="29203"/>
    <cellStyle name="Comma 2 4 2 2 2 4 2 3 4" xfId="25076"/>
    <cellStyle name="Comma 2 4 2 2 2 4 2 3 4 2" xfId="37511"/>
    <cellStyle name="Comma 2 4 2 2 2 4 2 4" xfId="4049"/>
    <cellStyle name="Comma 2 4 2 2 2 4 2 4 2" xfId="14747"/>
    <cellStyle name="Comma 2 4 2 2 2 4 2 4 2 2" xfId="17642"/>
    <cellStyle name="Comma 2 4 2 2 2 4 2 4 2 2 2" xfId="50086"/>
    <cellStyle name="Comma 2 4 2 2 2 4 2 4 2 2 2 2" xfId="52969"/>
    <cellStyle name="Comma 2 4 2 2 2 4 2 4 2 3" xfId="31144"/>
    <cellStyle name="Comma 2 4 2 2 2 4 2 4 3" xfId="28259"/>
    <cellStyle name="Comma 2 4 2 2 2 4 2 4 3 2" xfId="39492"/>
    <cellStyle name="Comma 2 4 2 2 2 4 2 5" xfId="9240"/>
    <cellStyle name="Comma 2 4 2 2 2 4 2 5 2" xfId="36555"/>
    <cellStyle name="Comma 2 4 2 2 2 4 2 5 2 2" xfId="44622"/>
    <cellStyle name="Comma 2 4 2 2 2 4 2 6" xfId="22736"/>
    <cellStyle name="Comma 2 4 2 2 2 4 3" xfId="1862"/>
    <cellStyle name="Comma 2 4 2 2 2 4 3 2" xfId="2498"/>
    <cellStyle name="Comma 2 4 2 2 2 4 3 2 2" xfId="7112"/>
    <cellStyle name="Comma 2 4 2 2 2 4 3 2 2 2" xfId="7723"/>
    <cellStyle name="Comma 2 4 2 2 2 4 3 2 2 2 2" xfId="20664"/>
    <cellStyle name="Comma 2 4 2 2 2 4 3 2 2 2 2 2" xfId="21275"/>
    <cellStyle name="Comma 2 4 2 2 2 4 3 2 2 2 2 2 2" xfId="55990"/>
    <cellStyle name="Comma 2 4 2 2 2 4 3 2 2 2 2 2 2 2" xfId="56601"/>
    <cellStyle name="Comma 2 4 2 2 2 4 3 2 2 2 2 3" xfId="34778"/>
    <cellStyle name="Comma 2 4 2 2 2 4 3 2 2 2 3" xfId="34167"/>
    <cellStyle name="Comma 2 4 2 2 2 4 3 2 2 2 3 2" xfId="43150"/>
    <cellStyle name="Comma 2 4 2 2 2 4 3 2 2 3" xfId="12948"/>
    <cellStyle name="Comma 2 4 2 2 2 4 3 2 2 3 2" xfId="42539"/>
    <cellStyle name="Comma 2 4 2 2 2 4 3 2 2 3 2 2" xfId="48294"/>
    <cellStyle name="Comma 2 4 2 2 2 4 3 2 2 4" xfId="26432"/>
    <cellStyle name="Comma 2 4 2 2 2 4 3 2 3" xfId="12337"/>
    <cellStyle name="Comma 2 4 2 2 2 4 3 2 3 2" xfId="16159"/>
    <cellStyle name="Comma 2 4 2 2 2 4 3 2 3 2 2" xfId="47683"/>
    <cellStyle name="Comma 2 4 2 2 2 4 3 2 3 2 2 2" xfId="51490"/>
    <cellStyle name="Comma 2 4 2 2 2 4 3 2 3 3" xfId="29664"/>
    <cellStyle name="Comma 2 4 2 2 2 4 3 2 4" xfId="25821"/>
    <cellStyle name="Comma 2 4 2 2 2 4 3 2 4 2" xfId="37973"/>
    <cellStyle name="Comma 2 4 2 2 2 4 3 3" xfId="4533"/>
    <cellStyle name="Comma 2 4 2 2 2 4 3 3 2" xfId="15533"/>
    <cellStyle name="Comma 2 4 2 2 2 4 3 3 2 2" xfId="18116"/>
    <cellStyle name="Comma 2 4 2 2 2 4 3 3 2 2 2" xfId="50865"/>
    <cellStyle name="Comma 2 4 2 2 2 4 3 3 2 2 2 2" xfId="53442"/>
    <cellStyle name="Comma 2 4 2 2 2 4 3 3 2 3" xfId="31617"/>
    <cellStyle name="Comma 2 4 2 2 2 4 3 3 3" xfId="29039"/>
    <cellStyle name="Comma 2 4 2 2 2 4 3 3 3 2" xfId="39974"/>
    <cellStyle name="Comma 2 4 2 2 2 4 3 4" xfId="9736"/>
    <cellStyle name="Comma 2 4 2 2 2 4 3 4 2" xfId="37343"/>
    <cellStyle name="Comma 2 4 2 2 2 4 3 4 2 2" xfId="45109"/>
    <cellStyle name="Comma 2 4 2 2 2 4 3 5" xfId="23232"/>
    <cellStyle name="Comma 2 4 2 2 2 4 4" xfId="3876"/>
    <cellStyle name="Comma 2 4 2 2 2 4 4 2" xfId="5739"/>
    <cellStyle name="Comma 2 4 2 2 2 4 4 2 2" xfId="17487"/>
    <cellStyle name="Comma 2 4 2 2 2 4 4 2 2 2" xfId="19308"/>
    <cellStyle name="Comma 2 4 2 2 2 4 4 2 2 2 2" xfId="52814"/>
    <cellStyle name="Comma 2 4 2 2 2 4 4 2 2 2 2 2" xfId="54634"/>
    <cellStyle name="Comma 2 4 2 2 2 4 4 2 2 3" xfId="32809"/>
    <cellStyle name="Comma 2 4 2 2 2 4 4 2 3" xfId="30989"/>
    <cellStyle name="Comma 2 4 2 2 2 4 4 2 3 2" xfId="41174"/>
    <cellStyle name="Comma 2 4 2 2 2 4 4 3" xfId="10960"/>
    <cellStyle name="Comma 2 4 2 2 2 4 4 3 2" xfId="39324"/>
    <cellStyle name="Comma 2 4 2 2 2 4 4 3 2 2" xfId="46319"/>
    <cellStyle name="Comma 2 4 2 2 2 4 4 4" xfId="24453"/>
    <cellStyle name="Comma 2 4 2 2 2 4 5" xfId="9070"/>
    <cellStyle name="Comma 2 4 2 2 2 4 5 2" xfId="14123"/>
    <cellStyle name="Comma 2 4 2 2 2 4 5 2 2" xfId="44466"/>
    <cellStyle name="Comma 2 4 2 2 2 4 5 2 2 2" xfId="49468"/>
    <cellStyle name="Comma 2 4 2 2 2 4 5 3" xfId="27625"/>
    <cellStyle name="Comma 2 4 2 2 2 4 6" xfId="22578"/>
    <cellStyle name="Comma 2 4 2 2 2 4 6 2" xfId="35934"/>
    <cellStyle name="Comma 2 4 2 2 2 5" xfId="710"/>
    <cellStyle name="Comma 2 4 2 2 2 5 2" xfId="2317"/>
    <cellStyle name="Comma 2 4 2 2 2 5 2 2" xfId="2782"/>
    <cellStyle name="Comma 2 4 2 2 2 5 2 2 2" xfId="7551"/>
    <cellStyle name="Comma 2 4 2 2 2 5 2 2 2 2" xfId="7999"/>
    <cellStyle name="Comma 2 4 2 2 2 5 2 2 2 2 2" xfId="21103"/>
    <cellStyle name="Comma 2 4 2 2 2 5 2 2 2 2 2 2" xfId="21551"/>
    <cellStyle name="Comma 2 4 2 2 2 5 2 2 2 2 2 2 2" xfId="56429"/>
    <cellStyle name="Comma 2 4 2 2 2 5 2 2 2 2 2 2 2 2" xfId="56877"/>
    <cellStyle name="Comma 2 4 2 2 2 5 2 2 2 2 2 3" xfId="35054"/>
    <cellStyle name="Comma 2 4 2 2 2 5 2 2 2 2 3" xfId="34606"/>
    <cellStyle name="Comma 2 4 2 2 2 5 2 2 2 2 3 2" xfId="43426"/>
    <cellStyle name="Comma 2 4 2 2 2 5 2 2 2 3" xfId="13224"/>
    <cellStyle name="Comma 2 4 2 2 2 5 2 2 2 3 2" xfId="42978"/>
    <cellStyle name="Comma 2 4 2 2 2 5 2 2 2 3 2 2" xfId="48570"/>
    <cellStyle name="Comma 2 4 2 2 2 5 2 2 2 4" xfId="26708"/>
    <cellStyle name="Comma 2 4 2 2 2 5 2 2 3" xfId="12776"/>
    <cellStyle name="Comma 2 4 2 2 2 5 2 2 3 2" xfId="16441"/>
    <cellStyle name="Comma 2 4 2 2 2 5 2 2 3 2 2" xfId="48122"/>
    <cellStyle name="Comma 2 4 2 2 2 5 2 2 3 2 2 2" xfId="51769"/>
    <cellStyle name="Comma 2 4 2 2 2 5 2 2 3 3" xfId="29943"/>
    <cellStyle name="Comma 2 4 2 2 2 5 2 2 4" xfId="26260"/>
    <cellStyle name="Comma 2 4 2 2 2 5 2 2 4 2" xfId="38253"/>
    <cellStyle name="Comma 2 4 2 2 2 5 2 3" xfId="4818"/>
    <cellStyle name="Comma 2 4 2 2 2 5 2 3 2" xfId="15981"/>
    <cellStyle name="Comma 2 4 2 2 2 5 2 3 2 2" xfId="18393"/>
    <cellStyle name="Comma 2 4 2 2 2 5 2 3 2 2 2" xfId="51313"/>
    <cellStyle name="Comma 2 4 2 2 2 5 2 3 2 2 2 2" xfId="53719"/>
    <cellStyle name="Comma 2 4 2 2 2 5 2 3 2 3" xfId="31894"/>
    <cellStyle name="Comma 2 4 2 2 2 5 2 3 3" xfId="29487"/>
    <cellStyle name="Comma 2 4 2 2 2 5 2 3 3 2" xfId="40255"/>
    <cellStyle name="Comma 2 4 2 2 2 5 2 4" xfId="10021"/>
    <cellStyle name="Comma 2 4 2 2 2 5 2 4 2" xfId="37795"/>
    <cellStyle name="Comma 2 4 2 2 2 5 2 4 2 2" xfId="45386"/>
    <cellStyle name="Comma 2 4 2 2 2 5 2 5" xfId="23509"/>
    <cellStyle name="Comma 2 4 2 2 2 5 3" xfId="4346"/>
    <cellStyle name="Comma 2 4 2 2 2 5 3 2" xfId="6035"/>
    <cellStyle name="Comma 2 4 2 2 2 5 3 2 2" xfId="17939"/>
    <cellStyle name="Comma 2 4 2 2 2 5 3 2 2 2" xfId="19599"/>
    <cellStyle name="Comma 2 4 2 2 2 5 3 2 2 2 2" xfId="53266"/>
    <cellStyle name="Comma 2 4 2 2 2 5 3 2 2 2 2 2" xfId="54925"/>
    <cellStyle name="Comma 2 4 2 2 2 5 3 2 2 3" xfId="33100"/>
    <cellStyle name="Comma 2 4 2 2 2 5 3 2 3" xfId="31441"/>
    <cellStyle name="Comma 2 4 2 2 2 5 3 2 3 2" xfId="41469"/>
    <cellStyle name="Comma 2 4 2 2 2 5 3 3" xfId="11260"/>
    <cellStyle name="Comma 2 4 2 2 2 5 3 3 2" xfId="39789"/>
    <cellStyle name="Comma 2 4 2 2 2 5 3 3 2 2" xfId="46615"/>
    <cellStyle name="Comma 2 4 2 2 2 5 3 4" xfId="24752"/>
    <cellStyle name="Comma 2 4 2 2 2 5 4" xfId="9545"/>
    <cellStyle name="Comma 2 4 2 2 2 5 4 2" xfId="14418"/>
    <cellStyle name="Comma 2 4 2 2 2 5 4 2 2" xfId="44927"/>
    <cellStyle name="Comma 2 4 2 2 2 5 4 2 2 2" xfId="49763"/>
    <cellStyle name="Comma 2 4 2 2 2 5 4 3" xfId="27931"/>
    <cellStyle name="Comma 2 4 2 2 2 5 5" xfId="23046"/>
    <cellStyle name="Comma 2 4 2 2 2 5 5 2" xfId="36231"/>
    <cellStyle name="Comma 2 4 2 2 2 6" xfId="1489"/>
    <cellStyle name="Comma 2 4 2 2 2 6 2" xfId="5557"/>
    <cellStyle name="Comma 2 4 2 2 2 6 2 2" xfId="6780"/>
    <cellStyle name="Comma 2 4 2 2 2 6 2 2 2" xfId="19130"/>
    <cellStyle name="Comma 2 4 2 2 2 6 2 2 2 2" xfId="20333"/>
    <cellStyle name="Comma 2 4 2 2 2 6 2 2 2 2 2" xfId="54456"/>
    <cellStyle name="Comma 2 4 2 2 2 6 2 2 2 2 2 2" xfId="55659"/>
    <cellStyle name="Comma 2 4 2 2 2 6 2 2 2 3" xfId="33835"/>
    <cellStyle name="Comma 2 4 2 2 2 6 2 2 3" xfId="32631"/>
    <cellStyle name="Comma 2 4 2 2 2 6 2 2 3 2" xfId="42208"/>
    <cellStyle name="Comma 2 4 2 2 2 6 2 3" xfId="12003"/>
    <cellStyle name="Comma 2 4 2 2 2 6 2 3 2" xfId="40994"/>
    <cellStyle name="Comma 2 4 2 2 2 6 2 3 2 2" xfId="47351"/>
    <cellStyle name="Comma 2 4 2 2 2 6 2 4" xfId="25488"/>
    <cellStyle name="Comma 2 4 2 2 2 6 3" xfId="10767"/>
    <cellStyle name="Comma 2 4 2 2 2 6 3 2" xfId="15173"/>
    <cellStyle name="Comma 2 4 2 2 2 6 3 2 2" xfId="46129"/>
    <cellStyle name="Comma 2 4 2 2 2 6 3 2 2 2" xfId="50511"/>
    <cellStyle name="Comma 2 4 2 2 2 6 3 3" xfId="28685"/>
    <cellStyle name="Comma 2 4 2 2 2 6 4" xfId="24255"/>
    <cellStyle name="Comma 2 4 2 2 2 6 4 2" xfId="36983"/>
    <cellStyle name="Comma 2 4 2 2 2 7" xfId="3488"/>
    <cellStyle name="Comma 2 4 2 2 2 7 2" xfId="13942"/>
    <cellStyle name="Comma 2 4 2 2 2 7 2 2" xfId="17142"/>
    <cellStyle name="Comma 2 4 2 2 2 7 2 2 2" xfId="49288"/>
    <cellStyle name="Comma 2 4 2 2 2 7 2 2 2 2" xfId="52470"/>
    <cellStyle name="Comma 2 4 2 2 2 7 2 3" xfId="30644"/>
    <cellStyle name="Comma 2 4 2 2 2 7 3" xfId="27431"/>
    <cellStyle name="Comma 2 4 2 2 2 7 3 2" xfId="38955"/>
    <cellStyle name="Comma 2 4 2 2 2 8" xfId="2550"/>
    <cellStyle name="Comma 2 4 2 2 2 8 2" xfId="35754"/>
    <cellStyle name="Comma 2 4 2 2 2 8 2 2" xfId="38023"/>
    <cellStyle name="Comma 2 4 2 2 2 9" xfId="10917"/>
    <cellStyle name="Comma 2 4 2 2 3" xfId="249"/>
    <cellStyle name="Comma 2 4 2 2 3 2" xfId="276"/>
    <cellStyle name="Comma 2 4 2 2 3 2 2" xfId="595"/>
    <cellStyle name="Comma 2 4 2 2 3 2 2 2" xfId="620"/>
    <cellStyle name="Comma 2 4 2 2 3 2 2 2 2" xfId="1391"/>
    <cellStyle name="Comma 2 4 2 2 3 2 2 2 2 2" xfId="1416"/>
    <cellStyle name="Comma 2 4 2 2 3 2 2 2 2 2 2" xfId="3409"/>
    <cellStyle name="Comma 2 4 2 2 3 2 2 2 2 2 2 2" xfId="3434"/>
    <cellStyle name="Comma 2 4 2 2 3 2 2 2 2 2 2 2 2" xfId="8624"/>
    <cellStyle name="Comma 2 4 2 2 3 2 2 2 2 2 2 2 2 2" xfId="8649"/>
    <cellStyle name="Comma 2 4 2 2 3 2 2 2 2 2 2 2 2 2 2" xfId="22176"/>
    <cellStyle name="Comma 2 4 2 2 3 2 2 2 2 2 2 2 2 2 2 2" xfId="22201"/>
    <cellStyle name="Comma 2 4 2 2 3 2 2 2 2 2 2 2 2 2 2 2 2" xfId="57502"/>
    <cellStyle name="Comma 2 4 2 2 3 2 2 2 2 2 2 2 2 2 2 2 2 2" xfId="57527"/>
    <cellStyle name="Comma 2 4 2 2 3 2 2 2 2 2 2 2 2 2 2 3" xfId="35704"/>
    <cellStyle name="Comma 2 4 2 2 3 2 2 2 2 2 2 2 2 2 3" xfId="35679"/>
    <cellStyle name="Comma 2 4 2 2 3 2 2 2 2 2 2 2 2 2 3 2" xfId="44076"/>
    <cellStyle name="Comma 2 4 2 2 3 2 2 2 2 2 2 2 2 3" xfId="13874"/>
    <cellStyle name="Comma 2 4 2 2 3 2 2 2 2 2 2 2 2 3 2" xfId="44051"/>
    <cellStyle name="Comma 2 4 2 2 3 2 2 2 2 2 2 2 2 3 2 2" xfId="49220"/>
    <cellStyle name="Comma 2 4 2 2 3 2 2 2 2 2 2 2 2 4" xfId="27359"/>
    <cellStyle name="Comma 2 4 2 2 3 2 2 2 2 2 2 2 3" xfId="13849"/>
    <cellStyle name="Comma 2 4 2 2 3 2 2 2 2 2 2 2 3 2" xfId="17091"/>
    <cellStyle name="Comma 2 4 2 2 3 2 2 2 2 2 2 2 3 2 2" xfId="49195"/>
    <cellStyle name="Comma 2 4 2 2 3 2 2 2 2 2 2 2 3 2 2 2" xfId="52419"/>
    <cellStyle name="Comma 2 4 2 2 3 2 2 2 2 2 2 2 3 3" xfId="30593"/>
    <cellStyle name="Comma 2 4 2 2 3 2 2 2 2 2 2 2 4" xfId="27334"/>
    <cellStyle name="Comma 2 4 2 2 3 2 2 2 2 2 2 2 4 2" xfId="38903"/>
    <cellStyle name="Comma 2 4 2 2 3 2 2 2 2 2 2 3" xfId="5471"/>
    <cellStyle name="Comma 2 4 2 2 3 2 2 2 2 2 2 3 2" xfId="17066"/>
    <cellStyle name="Comma 2 4 2 2 3 2 2 2 2 2 2 3 2 2" xfId="19044"/>
    <cellStyle name="Comma 2 4 2 2 3 2 2 2 2 2 2 3 2 2 2" xfId="52394"/>
    <cellStyle name="Comma 2 4 2 2 3 2 2 2 2 2 2 3 2 2 2 2" xfId="54370"/>
    <cellStyle name="Comma 2 4 2 2 3 2 2 2 2 2 2 3 2 3" xfId="32545"/>
    <cellStyle name="Comma 2 4 2 2 3 2 2 2 2 2 2 3 3" xfId="30568"/>
    <cellStyle name="Comma 2 4 2 2 3 2 2 2 2 2 2 3 3 2" xfId="40908"/>
    <cellStyle name="Comma 2 4 2 2 3 2 2 2 2 2 2 4" xfId="10674"/>
    <cellStyle name="Comma 2 4 2 2 3 2 2 2 2 2 2 4 2" xfId="38878"/>
    <cellStyle name="Comma 2 4 2 2 3 2 2 2 2 2 2 4 2 2" xfId="46037"/>
    <cellStyle name="Comma 2 4 2 2 3 2 2 2 2 2 2 5" xfId="24160"/>
    <cellStyle name="Comma 2 4 2 2 3 2 2 2 2 2 3" xfId="5446"/>
    <cellStyle name="Comma 2 4 2 2 3 2 2 2 2 2 3 2" xfId="6724"/>
    <cellStyle name="Comma 2 4 2 2 3 2 2 2 2 2 3 2 2" xfId="19019"/>
    <cellStyle name="Comma 2 4 2 2 3 2 2 2 2 2 3 2 2 2" xfId="20277"/>
    <cellStyle name="Comma 2 4 2 2 3 2 2 2 2 2 3 2 2 2 2" xfId="54345"/>
    <cellStyle name="Comma 2 4 2 2 3 2 2 2 2 2 3 2 2 2 2 2" xfId="55603"/>
    <cellStyle name="Comma 2 4 2 2 3 2 2 2 2 2 3 2 2 3" xfId="33779"/>
    <cellStyle name="Comma 2 4 2 2 3 2 2 2 2 2 3 2 3" xfId="32520"/>
    <cellStyle name="Comma 2 4 2 2 3 2 2 2 2 2 3 2 3 2" xfId="42152"/>
    <cellStyle name="Comma 2 4 2 2 3 2 2 2 2 2 3 3" xfId="11947"/>
    <cellStyle name="Comma 2 4 2 2 3 2 2 2 2 2 3 3 2" xfId="40883"/>
    <cellStyle name="Comma 2 4 2 2 3 2 2 2 2 2 3 3 2 2" xfId="47295"/>
    <cellStyle name="Comma 2 4 2 2 3 2 2 2 2 2 3 4" xfId="25432"/>
    <cellStyle name="Comma 2 4 2 2 3 2 2 2 2 2 4" xfId="10649"/>
    <cellStyle name="Comma 2 4 2 2 3 2 2 2 2 2 4 2" xfId="15105"/>
    <cellStyle name="Comma 2 4 2 2 3 2 2 2 2 2 4 2 2" xfId="46012"/>
    <cellStyle name="Comma 2 4 2 2 3 2 2 2 2 2 4 2 2 2" xfId="50444"/>
    <cellStyle name="Comma 2 4 2 2 3 2 2 2 2 2 4 3" xfId="28618"/>
    <cellStyle name="Comma 2 4 2 2 3 2 2 2 2 2 5" xfId="24135"/>
    <cellStyle name="Comma 2 4 2 2 3 2 2 2 2 2 5 2" xfId="36913"/>
    <cellStyle name="Comma 2 4 2 2 3 2 2 2 2 3" xfId="2223"/>
    <cellStyle name="Comma 2 4 2 2 3 2 2 2 2 3 2" xfId="6699"/>
    <cellStyle name="Comma 2 4 2 2 3 2 2 2 2 3 2 2" xfId="7457"/>
    <cellStyle name="Comma 2 4 2 2 3 2 2 2 2 3 2 2 2" xfId="20252"/>
    <cellStyle name="Comma 2 4 2 2 3 2 2 2 2 3 2 2 2 2" xfId="21009"/>
    <cellStyle name="Comma 2 4 2 2 3 2 2 2 2 3 2 2 2 2 2" xfId="55578"/>
    <cellStyle name="Comma 2 4 2 2 3 2 2 2 2 3 2 2 2 2 2 2" xfId="56335"/>
    <cellStyle name="Comma 2 4 2 2 3 2 2 2 2 3 2 2 2 3" xfId="34512"/>
    <cellStyle name="Comma 2 4 2 2 3 2 2 2 2 3 2 2 3" xfId="33754"/>
    <cellStyle name="Comma 2 4 2 2 3 2 2 2 2 3 2 2 3 2" xfId="42884"/>
    <cellStyle name="Comma 2 4 2 2 3 2 2 2 2 3 2 3" xfId="12682"/>
    <cellStyle name="Comma 2 4 2 2 3 2 2 2 2 3 2 3 2" xfId="42127"/>
    <cellStyle name="Comma 2 4 2 2 3 2 2 2 2 3 2 3 2 2" xfId="48028"/>
    <cellStyle name="Comma 2 4 2 2 3 2 2 2 2 3 2 4" xfId="26166"/>
    <cellStyle name="Comma 2 4 2 2 3 2 2 2 2 3 3" xfId="11922"/>
    <cellStyle name="Comma 2 4 2 2 3 2 2 2 2 3 3 2" xfId="15887"/>
    <cellStyle name="Comma 2 4 2 2 3 2 2 2 2 3 3 2 2" xfId="47270"/>
    <cellStyle name="Comma 2 4 2 2 3 2 2 2 2 3 3 2 2 2" xfId="51219"/>
    <cellStyle name="Comma 2 4 2 2 3 2 2 2 2 3 3 3" xfId="29393"/>
    <cellStyle name="Comma 2 4 2 2 3 2 2 2 2 3 4" xfId="25407"/>
    <cellStyle name="Comma 2 4 2 2 3 2 2 2 2 3 4 2" xfId="37701"/>
    <cellStyle name="Comma 2 4 2 2 3 2 2 2 2 4" xfId="4239"/>
    <cellStyle name="Comma 2 4 2 2 3 2 2 2 2 4 2" xfId="15080"/>
    <cellStyle name="Comma 2 4 2 2 3 2 2 2 2 4 2 2" xfId="17832"/>
    <cellStyle name="Comma 2 4 2 2 3 2 2 2 2 4 2 2 2" xfId="50419"/>
    <cellStyle name="Comma 2 4 2 2 3 2 2 2 2 4 2 2 2 2" xfId="53159"/>
    <cellStyle name="Comma 2 4 2 2 3 2 2 2 2 4 2 3" xfId="31334"/>
    <cellStyle name="Comma 2 4 2 2 3 2 2 2 2 4 3" xfId="28593"/>
    <cellStyle name="Comma 2 4 2 2 3 2 2 2 2 4 3 2" xfId="39682"/>
    <cellStyle name="Comma 2 4 2 2 3 2 2 2 2 5" xfId="9430"/>
    <cellStyle name="Comma 2 4 2 2 3 2 2 2 2 5 2" xfId="36888"/>
    <cellStyle name="Comma 2 4 2 2 3 2 2 2 2 5 2 2" xfId="44812"/>
    <cellStyle name="Comma 2 4 2 2 3 2 2 2 2 6" xfId="22926"/>
    <cellStyle name="Comma 2 4 2 2 3 2 2 2 3" xfId="2198"/>
    <cellStyle name="Comma 2 4 2 2 3 2 2 2 3 2" xfId="2710"/>
    <cellStyle name="Comma 2 4 2 2 3 2 2 2 3 2 2" xfId="7432"/>
    <cellStyle name="Comma 2 4 2 2 3 2 2 2 3 2 2 2" xfId="7929"/>
    <cellStyle name="Comma 2 4 2 2 3 2 2 2 3 2 2 2 2" xfId="20984"/>
    <cellStyle name="Comma 2 4 2 2 3 2 2 2 3 2 2 2 2 2" xfId="21481"/>
    <cellStyle name="Comma 2 4 2 2 3 2 2 2 3 2 2 2 2 2 2" xfId="56310"/>
    <cellStyle name="Comma 2 4 2 2 3 2 2 2 3 2 2 2 2 2 2 2" xfId="56807"/>
    <cellStyle name="Comma 2 4 2 2 3 2 2 2 3 2 2 2 2 3" xfId="34984"/>
    <cellStyle name="Comma 2 4 2 2 3 2 2 2 3 2 2 2 3" xfId="34487"/>
    <cellStyle name="Comma 2 4 2 2 3 2 2 2 3 2 2 2 3 2" xfId="43356"/>
    <cellStyle name="Comma 2 4 2 2 3 2 2 2 3 2 2 3" xfId="13154"/>
    <cellStyle name="Comma 2 4 2 2 3 2 2 2 3 2 2 3 2" xfId="42859"/>
    <cellStyle name="Comma 2 4 2 2 3 2 2 2 3 2 2 3 2 2" xfId="48500"/>
    <cellStyle name="Comma 2 4 2 2 3 2 2 2 3 2 2 4" xfId="26638"/>
    <cellStyle name="Comma 2 4 2 2 3 2 2 2 3 2 3" xfId="12657"/>
    <cellStyle name="Comma 2 4 2 2 3 2 2 2 3 2 3 2" xfId="16369"/>
    <cellStyle name="Comma 2 4 2 2 3 2 2 2 3 2 3 2 2" xfId="48003"/>
    <cellStyle name="Comma 2 4 2 2 3 2 2 2 3 2 3 2 2 2" xfId="51699"/>
    <cellStyle name="Comma 2 4 2 2 3 2 2 2 3 2 3 3" xfId="29873"/>
    <cellStyle name="Comma 2 4 2 2 3 2 2 2 3 2 4" xfId="26141"/>
    <cellStyle name="Comma 2 4 2 2 3 2 2 2 3 2 4 2" xfId="38183"/>
    <cellStyle name="Comma 2 4 2 2 3 2 2 2 3 3" xfId="4746"/>
    <cellStyle name="Comma 2 4 2 2 3 2 2 2 3 3 2" xfId="15862"/>
    <cellStyle name="Comma 2 4 2 2 3 2 2 2 3 3 2 2" xfId="18323"/>
    <cellStyle name="Comma 2 4 2 2 3 2 2 2 3 3 2 2 2" xfId="51194"/>
    <cellStyle name="Comma 2 4 2 2 3 2 2 2 3 3 2 2 2 2" xfId="53649"/>
    <cellStyle name="Comma 2 4 2 2 3 2 2 2 3 3 2 3" xfId="31824"/>
    <cellStyle name="Comma 2 4 2 2 3 2 2 2 3 3 3" xfId="29368"/>
    <cellStyle name="Comma 2 4 2 2 3 2 2 2 3 3 3 2" xfId="40184"/>
    <cellStyle name="Comma 2 4 2 2 3 2 2 2 3 4" xfId="9949"/>
    <cellStyle name="Comma 2 4 2 2 3 2 2 2 3 4 2" xfId="37676"/>
    <cellStyle name="Comma 2 4 2 2 3 2 2 2 3 4 2 2" xfId="45316"/>
    <cellStyle name="Comma 2 4 2 2 3 2 2 2 3 5" xfId="23439"/>
    <cellStyle name="Comma 2 4 2 2 3 2 2 2 4" xfId="4214"/>
    <cellStyle name="Comma 2 4 2 2 3 2 2 2 4 2" xfId="5951"/>
    <cellStyle name="Comma 2 4 2 2 3 2 2 2 4 2 2" xfId="17807"/>
    <cellStyle name="Comma 2 4 2 2 3 2 2 2 4 2 2 2" xfId="19518"/>
    <cellStyle name="Comma 2 4 2 2 3 2 2 2 4 2 2 2 2" xfId="53134"/>
    <cellStyle name="Comma 2 4 2 2 3 2 2 2 4 2 2 2 2 2" xfId="54844"/>
    <cellStyle name="Comma 2 4 2 2 3 2 2 2 4 2 2 3" xfId="33019"/>
    <cellStyle name="Comma 2 4 2 2 3 2 2 2 4 2 3" xfId="31309"/>
    <cellStyle name="Comma 2 4 2 2 3 2 2 2 4 2 3 2" xfId="41385"/>
    <cellStyle name="Comma 2 4 2 2 3 2 2 2 4 3" xfId="11176"/>
    <cellStyle name="Comma 2 4 2 2 3 2 2 2 4 3 2" xfId="39657"/>
    <cellStyle name="Comma 2 4 2 2 3 2 2 2 4 3 2 2" xfId="46534"/>
    <cellStyle name="Comma 2 4 2 2 3 2 2 2 4 4" xfId="24669"/>
    <cellStyle name="Comma 2 4 2 2 3 2 2 2 5" xfId="9405"/>
    <cellStyle name="Comma 2 4 2 2 3 2 2 2 5 2" xfId="14335"/>
    <cellStyle name="Comma 2 4 2 2 3 2 2 2 5 2 2" xfId="44787"/>
    <cellStyle name="Comma 2 4 2 2 3 2 2 2 5 2 2 2" xfId="49680"/>
    <cellStyle name="Comma 2 4 2 2 3 2 2 2 5 3" xfId="27845"/>
    <cellStyle name="Comma 2 4 2 2 3 2 2 2 6" xfId="22901"/>
    <cellStyle name="Comma 2 4 2 2 3 2 2 2 6 2" xfId="36147"/>
    <cellStyle name="Comma 2 4 2 2 3 2 2 3" xfId="948"/>
    <cellStyle name="Comma 2 4 2 2 3 2 2 3 2" xfId="2685"/>
    <cellStyle name="Comma 2 4 2 2 3 2 2 3 2 2" xfId="2986"/>
    <cellStyle name="Comma 2 4 2 2 3 2 2 3 2 2 2" xfId="7904"/>
    <cellStyle name="Comma 2 4 2 2 3 2 2 3 2 2 2 2" xfId="8201"/>
    <cellStyle name="Comma 2 4 2 2 3 2 2 3 2 2 2 2 2" xfId="21456"/>
    <cellStyle name="Comma 2 4 2 2 3 2 2 3 2 2 2 2 2 2" xfId="21753"/>
    <cellStyle name="Comma 2 4 2 2 3 2 2 3 2 2 2 2 2 2 2" xfId="56782"/>
    <cellStyle name="Comma 2 4 2 2 3 2 2 3 2 2 2 2 2 2 2 2" xfId="57079"/>
    <cellStyle name="Comma 2 4 2 2 3 2 2 3 2 2 2 2 2 3" xfId="35256"/>
    <cellStyle name="Comma 2 4 2 2 3 2 2 3 2 2 2 2 3" xfId="34959"/>
    <cellStyle name="Comma 2 4 2 2 3 2 2 3 2 2 2 2 3 2" xfId="43628"/>
    <cellStyle name="Comma 2 4 2 2 3 2 2 3 2 2 2 3" xfId="13426"/>
    <cellStyle name="Comma 2 4 2 2 3 2 2 3 2 2 2 3 2" xfId="43331"/>
    <cellStyle name="Comma 2 4 2 2 3 2 2 3 2 2 2 3 2 2" xfId="48772"/>
    <cellStyle name="Comma 2 4 2 2 3 2 2 3 2 2 2 4" xfId="26911"/>
    <cellStyle name="Comma 2 4 2 2 3 2 2 3 2 2 3" xfId="13129"/>
    <cellStyle name="Comma 2 4 2 2 3 2 2 3 2 2 3 2" xfId="16643"/>
    <cellStyle name="Comma 2 4 2 2 3 2 2 3 2 2 3 2 2" xfId="48475"/>
    <cellStyle name="Comma 2 4 2 2 3 2 2 3 2 2 3 2 2 2" xfId="51971"/>
    <cellStyle name="Comma 2 4 2 2 3 2 2 3 2 2 3 3" xfId="30145"/>
    <cellStyle name="Comma 2 4 2 2 3 2 2 3 2 2 4" xfId="26613"/>
    <cellStyle name="Comma 2 4 2 2 3 2 2 3 2 2 4 2" xfId="38455"/>
    <cellStyle name="Comma 2 4 2 2 3 2 2 3 2 3" xfId="5022"/>
    <cellStyle name="Comma 2 4 2 2 3 2 2 3 2 3 2" xfId="16344"/>
    <cellStyle name="Comma 2 4 2 2 3 2 2 3 2 3 2 2" xfId="18595"/>
    <cellStyle name="Comma 2 4 2 2 3 2 2 3 2 3 2 2 2" xfId="51674"/>
    <cellStyle name="Comma 2 4 2 2 3 2 2 3 2 3 2 2 2 2" xfId="53921"/>
    <cellStyle name="Comma 2 4 2 2 3 2 2 3 2 3 2 3" xfId="32096"/>
    <cellStyle name="Comma 2 4 2 2 3 2 2 3 2 3 3" xfId="29848"/>
    <cellStyle name="Comma 2 4 2 2 3 2 2 3 2 3 3 2" xfId="40459"/>
    <cellStyle name="Comma 2 4 2 2 3 2 2 3 2 4" xfId="10225"/>
    <cellStyle name="Comma 2 4 2 2 3 2 2 3 2 4 2" xfId="38158"/>
    <cellStyle name="Comma 2 4 2 2 3 2 2 3 2 4 2 2" xfId="45588"/>
    <cellStyle name="Comma 2 4 2 2 3 2 2 3 2 5" xfId="23711"/>
    <cellStyle name="Comma 2 4 2 2 3 2 2 3 3" xfId="4721"/>
    <cellStyle name="Comma 2 4 2 2 3 2 2 3 3 2" xfId="6259"/>
    <cellStyle name="Comma 2 4 2 2 3 2 2 3 3 2 2" xfId="18298"/>
    <cellStyle name="Comma 2 4 2 2 3 2 2 3 3 2 2 2" xfId="19816"/>
    <cellStyle name="Comma 2 4 2 2 3 2 2 3 3 2 2 2 2" xfId="53624"/>
    <cellStyle name="Comma 2 4 2 2 3 2 2 3 3 2 2 2 2 2" xfId="55142"/>
    <cellStyle name="Comma 2 4 2 2 3 2 2 3 3 2 2 3" xfId="33318"/>
    <cellStyle name="Comma 2 4 2 2 3 2 2 3 3 2 3" xfId="31799"/>
    <cellStyle name="Comma 2 4 2 2 3 2 2 3 3 2 3 2" xfId="41688"/>
    <cellStyle name="Comma 2 4 2 2 3 2 2 3 3 3" xfId="11484"/>
    <cellStyle name="Comma 2 4 2 2 3 2 2 3 3 3 2" xfId="40159"/>
    <cellStyle name="Comma 2 4 2 2 3 2 2 3 3 3 2 2" xfId="46833"/>
    <cellStyle name="Comma 2 4 2 2 3 2 2 3 3 4" xfId="24970"/>
    <cellStyle name="Comma 2 4 2 2 3 2 2 3 4" xfId="9924"/>
    <cellStyle name="Comma 2 4 2 2 3 2 2 3 4 2" xfId="14642"/>
    <cellStyle name="Comma 2 4 2 2 3 2 2 3 4 2 2" xfId="45291"/>
    <cellStyle name="Comma 2 4 2 2 3 2 2 3 4 2 2 2" xfId="49981"/>
    <cellStyle name="Comma 2 4 2 2 3 2 2 3 4 3" xfId="28153"/>
    <cellStyle name="Comma 2 4 2 2 3 2 2 3 5" xfId="23414"/>
    <cellStyle name="Comma 2 4 2 2 3 2 2 3 5 2" xfId="36450"/>
    <cellStyle name="Comma 2 4 2 2 3 2 2 4" xfId="1744"/>
    <cellStyle name="Comma 2 4 2 2 3 2 2 4 2" xfId="5926"/>
    <cellStyle name="Comma 2 4 2 2 3 2 2 4 2 2" xfId="6997"/>
    <cellStyle name="Comma 2 4 2 2 3 2 2 4 2 2 2" xfId="19493"/>
    <cellStyle name="Comma 2 4 2 2 3 2 2 4 2 2 2 2" xfId="20550"/>
    <cellStyle name="Comma 2 4 2 2 3 2 2 4 2 2 2 2 2" xfId="54819"/>
    <cellStyle name="Comma 2 4 2 2 3 2 2 4 2 2 2 2 2 2" xfId="55876"/>
    <cellStyle name="Comma 2 4 2 2 3 2 2 4 2 2 2 3" xfId="34052"/>
    <cellStyle name="Comma 2 4 2 2 3 2 2 4 2 2 3" xfId="32994"/>
    <cellStyle name="Comma 2 4 2 2 3 2 2 4 2 2 3 2" xfId="42425"/>
    <cellStyle name="Comma 2 4 2 2 3 2 2 4 2 3" xfId="12221"/>
    <cellStyle name="Comma 2 4 2 2 3 2 2 4 2 3 2" xfId="41360"/>
    <cellStyle name="Comma 2 4 2 2 3 2 2 4 2 3 2 2" xfId="47568"/>
    <cellStyle name="Comma 2 4 2 2 3 2 2 4 2 4" xfId="25706"/>
    <cellStyle name="Comma 2 4 2 2 3 2 2 4 3" xfId="11151"/>
    <cellStyle name="Comma 2 4 2 2 3 2 2 4 3 2" xfId="15416"/>
    <cellStyle name="Comma 2 4 2 2 3 2 2 4 3 2 2" xfId="46509"/>
    <cellStyle name="Comma 2 4 2 2 3 2 2 4 3 2 2 2" xfId="50749"/>
    <cellStyle name="Comma 2 4 2 2 3 2 2 4 3 3" xfId="28923"/>
    <cellStyle name="Comma 2 4 2 2 3 2 2 4 4" xfId="24644"/>
    <cellStyle name="Comma 2 4 2 2 3 2 2 4 4 2" xfId="37226"/>
    <cellStyle name="Comma 2 4 2 2 3 2 2 5" xfId="3750"/>
    <cellStyle name="Comma 2 4 2 2 3 2 2 5 2" xfId="14310"/>
    <cellStyle name="Comma 2 4 2 2 3 2 2 5 2 2" xfId="17366"/>
    <cellStyle name="Comma 2 4 2 2 3 2 2 5 2 2 2" xfId="49655"/>
    <cellStyle name="Comma 2 4 2 2 3 2 2 5 2 2 2 2" xfId="52693"/>
    <cellStyle name="Comma 2 4 2 2 3 2 2 5 2 3" xfId="30867"/>
    <cellStyle name="Comma 2 4 2 2 3 2 2 5 3" xfId="27820"/>
    <cellStyle name="Comma 2 4 2 2 3 2 2 5 3 2" xfId="39201"/>
    <cellStyle name="Comma 2 4 2 2 3 2 2 6" xfId="8940"/>
    <cellStyle name="Comma 2 4 2 2 3 2 2 6 2" xfId="36122"/>
    <cellStyle name="Comma 2 4 2 2 3 2 2 6 2 2" xfId="44339"/>
    <cellStyle name="Comma 2 4 2 2 3 2 2 7" xfId="22447"/>
    <cellStyle name="Comma 2 4 2 2 3 2 3" xfId="923"/>
    <cellStyle name="Comma 2 4 2 2 3 2 3 2" xfId="1141"/>
    <cellStyle name="Comma 2 4 2 2 3 2 3 2 2" xfId="2961"/>
    <cellStyle name="Comma 2 4 2 2 3 2 3 2 2 2" xfId="3166"/>
    <cellStyle name="Comma 2 4 2 2 3 2 3 2 2 2 2" xfId="8176"/>
    <cellStyle name="Comma 2 4 2 2 3 2 3 2 2 2 2 2" xfId="8381"/>
    <cellStyle name="Comma 2 4 2 2 3 2 3 2 2 2 2 2 2" xfId="21728"/>
    <cellStyle name="Comma 2 4 2 2 3 2 3 2 2 2 2 2 2 2" xfId="21933"/>
    <cellStyle name="Comma 2 4 2 2 3 2 3 2 2 2 2 2 2 2 2" xfId="57054"/>
    <cellStyle name="Comma 2 4 2 2 3 2 3 2 2 2 2 2 2 2 2 2" xfId="57259"/>
    <cellStyle name="Comma 2 4 2 2 3 2 3 2 2 2 2 2 2 3" xfId="35436"/>
    <cellStyle name="Comma 2 4 2 2 3 2 3 2 2 2 2 2 3" xfId="35231"/>
    <cellStyle name="Comma 2 4 2 2 3 2 3 2 2 2 2 2 3 2" xfId="43808"/>
    <cellStyle name="Comma 2 4 2 2 3 2 3 2 2 2 2 3" xfId="13606"/>
    <cellStyle name="Comma 2 4 2 2 3 2 3 2 2 2 2 3 2" xfId="43603"/>
    <cellStyle name="Comma 2 4 2 2 3 2 3 2 2 2 2 3 2 2" xfId="48952"/>
    <cellStyle name="Comma 2 4 2 2 3 2 3 2 2 2 2 4" xfId="27091"/>
    <cellStyle name="Comma 2 4 2 2 3 2 3 2 2 2 3" xfId="13401"/>
    <cellStyle name="Comma 2 4 2 2 3 2 3 2 2 2 3 2" xfId="16823"/>
    <cellStyle name="Comma 2 4 2 2 3 2 3 2 2 2 3 2 2" xfId="48747"/>
    <cellStyle name="Comma 2 4 2 2 3 2 3 2 2 2 3 2 2 2" xfId="52151"/>
    <cellStyle name="Comma 2 4 2 2 3 2 3 2 2 2 3 3" xfId="30325"/>
    <cellStyle name="Comma 2 4 2 2 3 2 3 2 2 2 4" xfId="26886"/>
    <cellStyle name="Comma 2 4 2 2 3 2 3 2 2 2 4 2" xfId="38635"/>
    <cellStyle name="Comma 2 4 2 2 3 2 3 2 2 3" xfId="5203"/>
    <cellStyle name="Comma 2 4 2 2 3 2 3 2 2 3 2" xfId="16618"/>
    <cellStyle name="Comma 2 4 2 2 3 2 3 2 2 3 2 2" xfId="18776"/>
    <cellStyle name="Comma 2 4 2 2 3 2 3 2 2 3 2 2 2" xfId="51946"/>
    <cellStyle name="Comma 2 4 2 2 3 2 3 2 2 3 2 2 2 2" xfId="54102"/>
    <cellStyle name="Comma 2 4 2 2 3 2 3 2 2 3 2 3" xfId="32277"/>
    <cellStyle name="Comma 2 4 2 2 3 2 3 2 2 3 3" xfId="30120"/>
    <cellStyle name="Comma 2 4 2 2 3 2 3 2 2 3 3 2" xfId="40640"/>
    <cellStyle name="Comma 2 4 2 2 3 2 3 2 2 4" xfId="10406"/>
    <cellStyle name="Comma 2 4 2 2 3 2 3 2 2 4 2" xfId="38430"/>
    <cellStyle name="Comma 2 4 2 2 3 2 3 2 2 4 2 2" xfId="45769"/>
    <cellStyle name="Comma 2 4 2 2 3 2 3 2 2 5" xfId="23892"/>
    <cellStyle name="Comma 2 4 2 2 3 2 3 2 3" xfId="4997"/>
    <cellStyle name="Comma 2 4 2 2 3 2 3 2 3 2" xfId="6449"/>
    <cellStyle name="Comma 2 4 2 2 3 2 3 2 3 2 2" xfId="18570"/>
    <cellStyle name="Comma 2 4 2 2 3 2 3 2 3 2 2 2" xfId="20004"/>
    <cellStyle name="Comma 2 4 2 2 3 2 3 2 3 2 2 2 2" xfId="53896"/>
    <cellStyle name="Comma 2 4 2 2 3 2 3 2 3 2 2 2 2 2" xfId="55330"/>
    <cellStyle name="Comma 2 4 2 2 3 2 3 2 3 2 2 3" xfId="33506"/>
    <cellStyle name="Comma 2 4 2 2 3 2 3 2 3 2 3" xfId="32071"/>
    <cellStyle name="Comma 2 4 2 2 3 2 3 2 3 2 3 2" xfId="41877"/>
    <cellStyle name="Comma 2 4 2 2 3 2 3 2 3 3" xfId="11673"/>
    <cellStyle name="Comma 2 4 2 2 3 2 3 2 3 3 2" xfId="40434"/>
    <cellStyle name="Comma 2 4 2 2 3 2 3 2 3 3 2 2" xfId="47022"/>
    <cellStyle name="Comma 2 4 2 2 3 2 3 2 3 4" xfId="25159"/>
    <cellStyle name="Comma 2 4 2 2 3 2 3 2 4" xfId="10200"/>
    <cellStyle name="Comma 2 4 2 2 3 2 3 2 4 2" xfId="14832"/>
    <cellStyle name="Comma 2 4 2 2 3 2 3 2 4 2 2" xfId="45563"/>
    <cellStyle name="Comma 2 4 2 2 3 2 3 2 4 2 2 2" xfId="50171"/>
    <cellStyle name="Comma 2 4 2 2 3 2 3 2 4 3" xfId="28344"/>
    <cellStyle name="Comma 2 4 2 2 3 2 3 2 5" xfId="23686"/>
    <cellStyle name="Comma 2 4 2 2 3 2 3 2 5 2" xfId="36640"/>
    <cellStyle name="Comma 2 4 2 2 3 2 3 3" xfId="1949"/>
    <cellStyle name="Comma 2 4 2 2 3 2 3 3 2" xfId="6234"/>
    <cellStyle name="Comma 2 4 2 2 3 2 3 3 2 2" xfId="7188"/>
    <cellStyle name="Comma 2 4 2 2 3 2 3 3 2 2 2" xfId="19791"/>
    <cellStyle name="Comma 2 4 2 2 3 2 3 3 2 2 2 2" xfId="20740"/>
    <cellStyle name="Comma 2 4 2 2 3 2 3 3 2 2 2 2 2" xfId="55117"/>
    <cellStyle name="Comma 2 4 2 2 3 2 3 3 2 2 2 2 2 2" xfId="56066"/>
    <cellStyle name="Comma 2 4 2 2 3 2 3 3 2 2 2 3" xfId="34243"/>
    <cellStyle name="Comma 2 4 2 2 3 2 3 3 2 2 3" xfId="33293"/>
    <cellStyle name="Comma 2 4 2 2 3 2 3 3 2 2 3 2" xfId="42615"/>
    <cellStyle name="Comma 2 4 2 2 3 2 3 3 2 3" xfId="12413"/>
    <cellStyle name="Comma 2 4 2 2 3 2 3 3 2 3 2" xfId="41663"/>
    <cellStyle name="Comma 2 4 2 2 3 2 3 3 2 3 2 2" xfId="47759"/>
    <cellStyle name="Comma 2 4 2 2 3 2 3 3 2 4" xfId="25897"/>
    <cellStyle name="Comma 2 4 2 2 3 2 3 3 3" xfId="11459"/>
    <cellStyle name="Comma 2 4 2 2 3 2 3 3 3 2" xfId="15614"/>
    <cellStyle name="Comma 2 4 2 2 3 2 3 3 3 2 2" xfId="46808"/>
    <cellStyle name="Comma 2 4 2 2 3 2 3 3 3 2 2 2" xfId="50946"/>
    <cellStyle name="Comma 2 4 2 2 3 2 3 3 3 3" xfId="29120"/>
    <cellStyle name="Comma 2 4 2 2 3 2 3 3 4" xfId="24945"/>
    <cellStyle name="Comma 2 4 2 2 3 2 3 3 4 2" xfId="37427"/>
    <cellStyle name="Comma 2 4 2 2 3 2 3 4" xfId="3963"/>
    <cellStyle name="Comma 2 4 2 2 3 2 3 4 2" xfId="14617"/>
    <cellStyle name="Comma 2 4 2 2 3 2 3 4 2 2" xfId="17563"/>
    <cellStyle name="Comma 2 4 2 2 3 2 3 4 2 2 2" xfId="49956"/>
    <cellStyle name="Comma 2 4 2 2 3 2 3 4 2 2 2 2" xfId="52890"/>
    <cellStyle name="Comma 2 4 2 2 3 2 3 4 2 3" xfId="31065"/>
    <cellStyle name="Comma 2 4 2 2 3 2 3 4 3" xfId="28128"/>
    <cellStyle name="Comma 2 4 2 2 3 2 3 4 3 2" xfId="39407"/>
    <cellStyle name="Comma 2 4 2 2 3 2 3 5" xfId="9156"/>
    <cellStyle name="Comma 2 4 2 2 3 2 3 5 2" xfId="36425"/>
    <cellStyle name="Comma 2 4 2 2 3 2 3 5 2 2" xfId="44543"/>
    <cellStyle name="Comma 2 4 2 2 3 2 3 6" xfId="22657"/>
    <cellStyle name="Comma 2 4 2 2 3 2 4" xfId="1719"/>
    <cellStyle name="Comma 2 4 2 2 3 2 4 2" xfId="2397"/>
    <cellStyle name="Comma 2 4 2 2 3 2 4 2 2" xfId="6972"/>
    <cellStyle name="Comma 2 4 2 2 3 2 4 2 2 2" xfId="7630"/>
    <cellStyle name="Comma 2 4 2 2 3 2 4 2 2 2 2" xfId="20525"/>
    <cellStyle name="Comma 2 4 2 2 3 2 4 2 2 2 2 2" xfId="21182"/>
    <cellStyle name="Comma 2 4 2 2 3 2 4 2 2 2 2 2 2" xfId="55851"/>
    <cellStyle name="Comma 2 4 2 2 3 2 4 2 2 2 2 2 2 2" xfId="56508"/>
    <cellStyle name="Comma 2 4 2 2 3 2 4 2 2 2 2 3" xfId="34685"/>
    <cellStyle name="Comma 2 4 2 2 3 2 4 2 2 2 3" xfId="34027"/>
    <cellStyle name="Comma 2 4 2 2 3 2 4 2 2 2 3 2" xfId="43057"/>
    <cellStyle name="Comma 2 4 2 2 3 2 4 2 2 3" xfId="12855"/>
    <cellStyle name="Comma 2 4 2 2 3 2 4 2 2 3 2" xfId="42400"/>
    <cellStyle name="Comma 2 4 2 2 3 2 4 2 2 3 2 2" xfId="48201"/>
    <cellStyle name="Comma 2 4 2 2 3 2 4 2 2 4" xfId="26339"/>
    <cellStyle name="Comma 2 4 2 2 3 2 4 2 3" xfId="12196"/>
    <cellStyle name="Comma 2 4 2 2 3 2 4 2 3 2" xfId="16060"/>
    <cellStyle name="Comma 2 4 2 2 3 2 4 2 3 2 2" xfId="47543"/>
    <cellStyle name="Comma 2 4 2 2 3 2 4 2 3 2 2 2" xfId="51392"/>
    <cellStyle name="Comma 2 4 2 2 3 2 4 2 3 3" xfId="29566"/>
    <cellStyle name="Comma 2 4 2 2 3 2 4 2 4" xfId="25681"/>
    <cellStyle name="Comma 2 4 2 2 3 2 4 2 4 2" xfId="37875"/>
    <cellStyle name="Comma 2 4 2 2 3 2 4 3" xfId="4432"/>
    <cellStyle name="Comma 2 4 2 2 3 2 4 3 2" xfId="15391"/>
    <cellStyle name="Comma 2 4 2 2 3 2 4 3 2 2" xfId="18023"/>
    <cellStyle name="Comma 2 4 2 2 3 2 4 3 2 2 2" xfId="50724"/>
    <cellStyle name="Comma 2 4 2 2 3 2 4 3 2 2 2 2" xfId="53349"/>
    <cellStyle name="Comma 2 4 2 2 3 2 4 3 2 3" xfId="31524"/>
    <cellStyle name="Comma 2 4 2 2 3 2 4 3 3" xfId="28898"/>
    <cellStyle name="Comma 2 4 2 2 3 2 4 3 3 2" xfId="39874"/>
    <cellStyle name="Comma 2 4 2 2 3 2 4 4" xfId="9635"/>
    <cellStyle name="Comma 2 4 2 2 3 2 4 4 2" xfId="37201"/>
    <cellStyle name="Comma 2 4 2 2 3 2 4 4 2 2" xfId="45015"/>
    <cellStyle name="Comma 2 4 2 2 3 2 4 5" xfId="23136"/>
    <cellStyle name="Comma 2 4 2 2 3 2 5" xfId="3724"/>
    <cellStyle name="Comma 2 4 2 2 3 2 5 2" xfId="5638"/>
    <cellStyle name="Comma 2 4 2 2 3 2 5 2 2" xfId="17340"/>
    <cellStyle name="Comma 2 4 2 2 3 2 5 2 2 2" xfId="19210"/>
    <cellStyle name="Comma 2 4 2 2 3 2 5 2 2 2 2" xfId="52667"/>
    <cellStyle name="Comma 2 4 2 2 3 2 5 2 2 2 2 2" xfId="54536"/>
    <cellStyle name="Comma 2 4 2 2 3 2 5 2 2 3" xfId="32711"/>
    <cellStyle name="Comma 2 4 2 2 3 2 5 2 3" xfId="30841"/>
    <cellStyle name="Comma 2 4 2 2 3 2 5 2 3 2" xfId="41074"/>
    <cellStyle name="Comma 2 4 2 2 3 2 5 3" xfId="10854"/>
    <cellStyle name="Comma 2 4 2 2 3 2 5 3 2" xfId="39175"/>
    <cellStyle name="Comma 2 4 2 2 3 2 5 3 2 2" xfId="46216"/>
    <cellStyle name="Comma 2 4 2 2 3 2 5 4" xfId="24346"/>
    <cellStyle name="Comma 2 4 2 2 3 2 6" xfId="8914"/>
    <cellStyle name="Comma 2 4 2 2 3 2 6 2" xfId="14022"/>
    <cellStyle name="Comma 2 4 2 2 3 2 6 2 2" xfId="44313"/>
    <cellStyle name="Comma 2 4 2 2 3 2 6 2 2 2" xfId="49368"/>
    <cellStyle name="Comma 2 4 2 2 3 2 6 3" xfId="27517"/>
    <cellStyle name="Comma 2 4 2 2 3 2 7" xfId="22421"/>
    <cellStyle name="Comma 2 4 2 2 3 2 7 2" xfId="35834"/>
    <cellStyle name="Comma 2 4 2 2 3 3" xfId="422"/>
    <cellStyle name="Comma 2 4 2 2 3 3 2" xfId="1115"/>
    <cellStyle name="Comma 2 4 2 2 3 3 2 2" xfId="1251"/>
    <cellStyle name="Comma 2 4 2 2 3 3 2 2 2" xfId="3140"/>
    <cellStyle name="Comma 2 4 2 2 3 3 2 2 2 2" xfId="3269"/>
    <cellStyle name="Comma 2 4 2 2 3 3 2 2 2 2 2" xfId="8355"/>
    <cellStyle name="Comma 2 4 2 2 3 3 2 2 2 2 2 2" xfId="8484"/>
    <cellStyle name="Comma 2 4 2 2 3 3 2 2 2 2 2 2 2" xfId="21907"/>
    <cellStyle name="Comma 2 4 2 2 3 3 2 2 2 2 2 2 2 2" xfId="22036"/>
    <cellStyle name="Comma 2 4 2 2 3 3 2 2 2 2 2 2 2 2 2" xfId="57233"/>
    <cellStyle name="Comma 2 4 2 2 3 3 2 2 2 2 2 2 2 2 2 2" xfId="57362"/>
    <cellStyle name="Comma 2 4 2 2 3 3 2 2 2 2 2 2 2 3" xfId="35539"/>
    <cellStyle name="Comma 2 4 2 2 3 3 2 2 2 2 2 2 3" xfId="35410"/>
    <cellStyle name="Comma 2 4 2 2 3 3 2 2 2 2 2 2 3 2" xfId="43911"/>
    <cellStyle name="Comma 2 4 2 2 3 3 2 2 2 2 2 3" xfId="13709"/>
    <cellStyle name="Comma 2 4 2 2 3 3 2 2 2 2 2 3 2" xfId="43782"/>
    <cellStyle name="Comma 2 4 2 2 3 3 2 2 2 2 2 3 2 2" xfId="49055"/>
    <cellStyle name="Comma 2 4 2 2 3 3 2 2 2 2 2 4" xfId="27194"/>
    <cellStyle name="Comma 2 4 2 2 3 3 2 2 2 2 3" xfId="13580"/>
    <cellStyle name="Comma 2 4 2 2 3 3 2 2 2 2 3 2" xfId="16926"/>
    <cellStyle name="Comma 2 4 2 2 3 3 2 2 2 2 3 2 2" xfId="48926"/>
    <cellStyle name="Comma 2 4 2 2 3 3 2 2 2 2 3 2 2 2" xfId="52254"/>
    <cellStyle name="Comma 2 4 2 2 3 3 2 2 2 2 3 3" xfId="30428"/>
    <cellStyle name="Comma 2 4 2 2 3 3 2 2 2 2 4" xfId="27065"/>
    <cellStyle name="Comma 2 4 2 2 3 3 2 2 2 2 4 2" xfId="38738"/>
    <cellStyle name="Comma 2 4 2 2 3 3 2 2 2 3" xfId="5306"/>
    <cellStyle name="Comma 2 4 2 2 3 3 2 2 2 3 2" xfId="16797"/>
    <cellStyle name="Comma 2 4 2 2 3 3 2 2 2 3 2 2" xfId="18879"/>
    <cellStyle name="Comma 2 4 2 2 3 3 2 2 2 3 2 2 2" xfId="52125"/>
    <cellStyle name="Comma 2 4 2 2 3 3 2 2 2 3 2 2 2 2" xfId="54205"/>
    <cellStyle name="Comma 2 4 2 2 3 3 2 2 2 3 2 3" xfId="32380"/>
    <cellStyle name="Comma 2 4 2 2 3 3 2 2 2 3 3" xfId="30299"/>
    <cellStyle name="Comma 2 4 2 2 3 3 2 2 2 3 3 2" xfId="40743"/>
    <cellStyle name="Comma 2 4 2 2 3 3 2 2 2 4" xfId="10509"/>
    <cellStyle name="Comma 2 4 2 2 3 3 2 2 2 4 2" xfId="38609"/>
    <cellStyle name="Comma 2 4 2 2 3 3 2 2 2 4 2 2" xfId="45872"/>
    <cellStyle name="Comma 2 4 2 2 3 3 2 2 2 5" xfId="23995"/>
    <cellStyle name="Comma 2 4 2 2 3 3 2 2 3" xfId="5177"/>
    <cellStyle name="Comma 2 4 2 2 3 3 2 2 3 2" xfId="6559"/>
    <cellStyle name="Comma 2 4 2 2 3 3 2 2 3 2 2" xfId="18750"/>
    <cellStyle name="Comma 2 4 2 2 3 3 2 2 3 2 2 2" xfId="20112"/>
    <cellStyle name="Comma 2 4 2 2 3 3 2 2 3 2 2 2 2" xfId="54076"/>
    <cellStyle name="Comma 2 4 2 2 3 3 2 2 3 2 2 2 2 2" xfId="55438"/>
    <cellStyle name="Comma 2 4 2 2 3 3 2 2 3 2 2 3" xfId="33614"/>
    <cellStyle name="Comma 2 4 2 2 3 3 2 2 3 2 3" xfId="32251"/>
    <cellStyle name="Comma 2 4 2 2 3 3 2 2 3 2 3 2" xfId="41987"/>
    <cellStyle name="Comma 2 4 2 2 3 3 2 2 3 3" xfId="11782"/>
    <cellStyle name="Comma 2 4 2 2 3 3 2 2 3 3 2" xfId="40614"/>
    <cellStyle name="Comma 2 4 2 2 3 3 2 2 3 3 2 2" xfId="47130"/>
    <cellStyle name="Comma 2 4 2 2 3 3 2 2 3 4" xfId="25267"/>
    <cellStyle name="Comma 2 4 2 2 3 3 2 2 4" xfId="10380"/>
    <cellStyle name="Comma 2 4 2 2 3 3 2 2 4 2" xfId="14940"/>
    <cellStyle name="Comma 2 4 2 2 3 3 2 2 4 2 2" xfId="45743"/>
    <cellStyle name="Comma 2 4 2 2 3 3 2 2 4 2 2 2" xfId="50279"/>
    <cellStyle name="Comma 2 4 2 2 3 3 2 2 4 3" xfId="28453"/>
    <cellStyle name="Comma 2 4 2 2 3 3 2 2 5" xfId="23866"/>
    <cellStyle name="Comma 2 4 2 2 3 3 2 2 5 2" xfId="36748"/>
    <cellStyle name="Comma 2 4 2 2 3 3 2 3" xfId="2057"/>
    <cellStyle name="Comma 2 4 2 2 3 3 2 3 2" xfId="6423"/>
    <cellStyle name="Comma 2 4 2 2 3 3 2 3 2 2" xfId="7291"/>
    <cellStyle name="Comma 2 4 2 2 3 3 2 3 2 2 2" xfId="19978"/>
    <cellStyle name="Comma 2 4 2 2 3 3 2 3 2 2 2 2" xfId="20843"/>
    <cellStyle name="Comma 2 4 2 2 3 3 2 3 2 2 2 2 2" xfId="55304"/>
    <cellStyle name="Comma 2 4 2 2 3 3 2 3 2 2 2 2 2 2" xfId="56169"/>
    <cellStyle name="Comma 2 4 2 2 3 3 2 3 2 2 2 3" xfId="34346"/>
    <cellStyle name="Comma 2 4 2 2 3 3 2 3 2 2 3" xfId="33480"/>
    <cellStyle name="Comma 2 4 2 2 3 3 2 3 2 2 3 2" xfId="42718"/>
    <cellStyle name="Comma 2 4 2 2 3 3 2 3 2 3" xfId="12516"/>
    <cellStyle name="Comma 2 4 2 2 3 3 2 3 2 3 2" xfId="41851"/>
    <cellStyle name="Comma 2 4 2 2 3 3 2 3 2 3 2 2" xfId="47862"/>
    <cellStyle name="Comma 2 4 2 2 3 3 2 3 2 4" xfId="26000"/>
    <cellStyle name="Comma 2 4 2 2 3 3 2 3 3" xfId="11647"/>
    <cellStyle name="Comma 2 4 2 2 3 3 2 3 3 2" xfId="15721"/>
    <cellStyle name="Comma 2 4 2 2 3 3 2 3 3 2 2" xfId="46996"/>
    <cellStyle name="Comma 2 4 2 2 3 3 2 3 3 2 2 2" xfId="51053"/>
    <cellStyle name="Comma 2 4 2 2 3 3 2 3 3 3" xfId="29227"/>
    <cellStyle name="Comma 2 4 2 2 3 3 2 3 4" xfId="25133"/>
    <cellStyle name="Comma 2 4 2 2 3 3 2 3 4 2" xfId="37535"/>
    <cellStyle name="Comma 2 4 2 2 3 3 2 4" xfId="4073"/>
    <cellStyle name="Comma 2 4 2 2 3 3 2 4 2" xfId="14806"/>
    <cellStyle name="Comma 2 4 2 2 3 3 2 4 2 2" xfId="17666"/>
    <cellStyle name="Comma 2 4 2 2 3 3 2 4 2 2 2" xfId="50145"/>
    <cellStyle name="Comma 2 4 2 2 3 3 2 4 2 2 2 2" xfId="52993"/>
    <cellStyle name="Comma 2 4 2 2 3 3 2 4 2 3" xfId="31168"/>
    <cellStyle name="Comma 2 4 2 2 3 3 2 4 3" xfId="28318"/>
    <cellStyle name="Comma 2 4 2 2 3 3 2 4 3 2" xfId="39516"/>
    <cellStyle name="Comma 2 4 2 2 3 3 2 5" xfId="9264"/>
    <cellStyle name="Comma 2 4 2 2 3 3 2 5 2" xfId="36614"/>
    <cellStyle name="Comma 2 4 2 2 3 3 2 5 2 2" xfId="44646"/>
    <cellStyle name="Comma 2 4 2 2 3 3 2 6" xfId="22760"/>
    <cellStyle name="Comma 2 4 2 2 3 3 3" xfId="1923"/>
    <cellStyle name="Comma 2 4 2 2 3 3 3 2" xfId="2524"/>
    <cellStyle name="Comma 2 4 2 2 3 3 3 2 2" xfId="7162"/>
    <cellStyle name="Comma 2 4 2 2 3 3 3 2 2 2" xfId="7749"/>
    <cellStyle name="Comma 2 4 2 2 3 3 3 2 2 2 2" xfId="20714"/>
    <cellStyle name="Comma 2 4 2 2 3 3 3 2 2 2 2 2" xfId="21301"/>
    <cellStyle name="Comma 2 4 2 2 3 3 3 2 2 2 2 2 2" xfId="56040"/>
    <cellStyle name="Comma 2 4 2 2 3 3 3 2 2 2 2 2 2 2" xfId="56627"/>
    <cellStyle name="Comma 2 4 2 2 3 3 3 2 2 2 2 3" xfId="34804"/>
    <cellStyle name="Comma 2 4 2 2 3 3 3 2 2 2 3" xfId="34217"/>
    <cellStyle name="Comma 2 4 2 2 3 3 3 2 2 2 3 2" xfId="43176"/>
    <cellStyle name="Comma 2 4 2 2 3 3 3 2 2 3" xfId="12974"/>
    <cellStyle name="Comma 2 4 2 2 3 3 3 2 2 3 2" xfId="42589"/>
    <cellStyle name="Comma 2 4 2 2 3 3 3 2 2 3 2 2" xfId="48320"/>
    <cellStyle name="Comma 2 4 2 2 3 3 3 2 2 4" xfId="26458"/>
    <cellStyle name="Comma 2 4 2 2 3 3 3 2 3" xfId="12387"/>
    <cellStyle name="Comma 2 4 2 2 3 3 3 2 3 2" xfId="16185"/>
    <cellStyle name="Comma 2 4 2 2 3 3 3 2 3 2 2" xfId="47733"/>
    <cellStyle name="Comma 2 4 2 2 3 3 3 2 3 2 2 2" xfId="51516"/>
    <cellStyle name="Comma 2 4 2 2 3 3 3 2 3 3" xfId="29690"/>
    <cellStyle name="Comma 2 4 2 2 3 3 3 2 4" xfId="25871"/>
    <cellStyle name="Comma 2 4 2 2 3 3 3 2 4 2" xfId="37999"/>
    <cellStyle name="Comma 2 4 2 2 3 3 3 3" xfId="4559"/>
    <cellStyle name="Comma 2 4 2 2 3 3 3 3 2" xfId="15588"/>
    <cellStyle name="Comma 2 4 2 2 3 3 3 3 2 2" xfId="18142"/>
    <cellStyle name="Comma 2 4 2 2 3 3 3 3 2 2 2" xfId="50920"/>
    <cellStyle name="Comma 2 4 2 2 3 3 3 3 2 2 2 2" xfId="53468"/>
    <cellStyle name="Comma 2 4 2 2 3 3 3 3 2 3" xfId="31643"/>
    <cellStyle name="Comma 2 4 2 2 3 3 3 3 3" xfId="29094"/>
    <cellStyle name="Comma 2 4 2 2 3 3 3 3 3 2" xfId="40000"/>
    <cellStyle name="Comma 2 4 2 2 3 3 3 4" xfId="9762"/>
    <cellStyle name="Comma 2 4 2 2 3 3 3 4 2" xfId="37401"/>
    <cellStyle name="Comma 2 4 2 2 3 3 3 4 2 2" xfId="45135"/>
    <cellStyle name="Comma 2 4 2 2 3 3 3 5" xfId="23258"/>
    <cellStyle name="Comma 2 4 2 2 3 3 4" xfId="3937"/>
    <cellStyle name="Comma 2 4 2 2 3 3 4 2" xfId="5765"/>
    <cellStyle name="Comma 2 4 2 2 3 3 4 2 2" xfId="17537"/>
    <cellStyle name="Comma 2 4 2 2 3 3 4 2 2 2" xfId="19334"/>
    <cellStyle name="Comma 2 4 2 2 3 3 4 2 2 2 2" xfId="52864"/>
    <cellStyle name="Comma 2 4 2 2 3 3 4 2 2 2 2 2" xfId="54660"/>
    <cellStyle name="Comma 2 4 2 2 3 3 4 2 2 3" xfId="32835"/>
    <cellStyle name="Comma 2 4 2 2 3 3 4 2 3" xfId="31039"/>
    <cellStyle name="Comma 2 4 2 2 3 3 4 2 3 2" xfId="41200"/>
    <cellStyle name="Comma 2 4 2 2 3 3 4 3" xfId="10986"/>
    <cellStyle name="Comma 2 4 2 2 3 3 4 3 2" xfId="39381"/>
    <cellStyle name="Comma 2 4 2 2 3 3 4 3 2 2" xfId="46345"/>
    <cellStyle name="Comma 2 4 2 2 3 3 4 4" xfId="24479"/>
    <cellStyle name="Comma 2 4 2 2 3 3 5" xfId="9129"/>
    <cellStyle name="Comma 2 4 2 2 3 3 5 2" xfId="14149"/>
    <cellStyle name="Comma 2 4 2 2 3 3 5 2 2" xfId="44517"/>
    <cellStyle name="Comma 2 4 2 2 3 3 5 2 2 2" xfId="49494"/>
    <cellStyle name="Comma 2 4 2 2 3 3 5 3" xfId="27651"/>
    <cellStyle name="Comma 2 4 2 2 3 3 6" xfId="22631"/>
    <cellStyle name="Comma 2 4 2 2 3 3 6 2" xfId="35960"/>
    <cellStyle name="Comma 2 4 2 2 3 4" xfId="743"/>
    <cellStyle name="Comma 2 4 2 2 3 4 2" xfId="2371"/>
    <cellStyle name="Comma 2 4 2 2 3 4 2 2" xfId="2813"/>
    <cellStyle name="Comma 2 4 2 2 3 4 2 2 2" xfId="7604"/>
    <cellStyle name="Comma 2 4 2 2 3 4 2 2 2 2" xfId="8029"/>
    <cellStyle name="Comma 2 4 2 2 3 4 2 2 2 2 2" xfId="21156"/>
    <cellStyle name="Comma 2 4 2 2 3 4 2 2 2 2 2 2" xfId="21581"/>
    <cellStyle name="Comma 2 4 2 2 3 4 2 2 2 2 2 2 2" xfId="56482"/>
    <cellStyle name="Comma 2 4 2 2 3 4 2 2 2 2 2 2 2 2" xfId="56907"/>
    <cellStyle name="Comma 2 4 2 2 3 4 2 2 2 2 2 3" xfId="35084"/>
    <cellStyle name="Comma 2 4 2 2 3 4 2 2 2 2 3" xfId="34659"/>
    <cellStyle name="Comma 2 4 2 2 3 4 2 2 2 2 3 2" xfId="43456"/>
    <cellStyle name="Comma 2 4 2 2 3 4 2 2 2 3" xfId="13254"/>
    <cellStyle name="Comma 2 4 2 2 3 4 2 2 2 3 2" xfId="43031"/>
    <cellStyle name="Comma 2 4 2 2 3 4 2 2 2 3 2 2" xfId="48600"/>
    <cellStyle name="Comma 2 4 2 2 3 4 2 2 2 4" xfId="26738"/>
    <cellStyle name="Comma 2 4 2 2 3 4 2 2 3" xfId="12829"/>
    <cellStyle name="Comma 2 4 2 2 3 4 2 2 3 2" xfId="16471"/>
    <cellStyle name="Comma 2 4 2 2 3 4 2 2 3 2 2" xfId="48175"/>
    <cellStyle name="Comma 2 4 2 2 3 4 2 2 3 2 2 2" xfId="51799"/>
    <cellStyle name="Comma 2 4 2 2 3 4 2 2 3 3" xfId="29973"/>
    <cellStyle name="Comma 2 4 2 2 3 4 2 2 4" xfId="26313"/>
    <cellStyle name="Comma 2 4 2 2 3 4 2 2 4 2" xfId="38283"/>
    <cellStyle name="Comma 2 4 2 2 3 4 2 3" xfId="4849"/>
    <cellStyle name="Comma 2 4 2 2 3 4 2 3 2" xfId="16034"/>
    <cellStyle name="Comma 2 4 2 2 3 4 2 3 2 2" xfId="18423"/>
    <cellStyle name="Comma 2 4 2 2 3 4 2 3 2 2 2" xfId="51366"/>
    <cellStyle name="Comma 2 4 2 2 3 4 2 3 2 2 2 2" xfId="53749"/>
    <cellStyle name="Comma 2 4 2 2 3 4 2 3 2 3" xfId="31924"/>
    <cellStyle name="Comma 2 4 2 2 3 4 2 3 3" xfId="29540"/>
    <cellStyle name="Comma 2 4 2 2 3 4 2 3 3 2" xfId="40286"/>
    <cellStyle name="Comma 2 4 2 2 3 4 2 4" xfId="10052"/>
    <cellStyle name="Comma 2 4 2 2 3 4 2 4 2" xfId="37849"/>
    <cellStyle name="Comma 2 4 2 2 3 4 2 4 2 2" xfId="45416"/>
    <cellStyle name="Comma 2 4 2 2 3 4 2 5" xfId="23539"/>
    <cellStyle name="Comma 2 4 2 2 3 4 3" xfId="4405"/>
    <cellStyle name="Comma 2 4 2 2 3 4 3 2" xfId="6065"/>
    <cellStyle name="Comma 2 4 2 2 3 4 3 2 2" xfId="17996"/>
    <cellStyle name="Comma 2 4 2 2 3 4 3 2 2 2" xfId="19629"/>
    <cellStyle name="Comma 2 4 2 2 3 4 3 2 2 2 2" xfId="53322"/>
    <cellStyle name="Comma 2 4 2 2 3 4 3 2 2 2 2 2" xfId="54955"/>
    <cellStyle name="Comma 2 4 2 2 3 4 3 2 2 3" xfId="33130"/>
    <cellStyle name="Comma 2 4 2 2 3 4 3 2 3" xfId="31497"/>
    <cellStyle name="Comma 2 4 2 2 3 4 3 2 3 2" xfId="41499"/>
    <cellStyle name="Comma 2 4 2 2 3 4 3 3" xfId="11291"/>
    <cellStyle name="Comma 2 4 2 2 3 4 3 3 2" xfId="39847"/>
    <cellStyle name="Comma 2 4 2 2 3 4 3 3 2 2" xfId="46646"/>
    <cellStyle name="Comma 2 4 2 2 3 4 3 4" xfId="24783"/>
    <cellStyle name="Comma 2 4 2 2 3 4 4" xfId="9608"/>
    <cellStyle name="Comma 2 4 2 2 3 4 4 2" xfId="14449"/>
    <cellStyle name="Comma 2 4 2 2 3 4 4 2 2" xfId="44988"/>
    <cellStyle name="Comma 2 4 2 2 3 4 4 2 2 2" xfId="49793"/>
    <cellStyle name="Comma 2 4 2 2 3 4 4 3" xfId="27961"/>
    <cellStyle name="Comma 2 4 2 2 3 4 5" xfId="23109"/>
    <cellStyle name="Comma 2 4 2 2 3 4 5 2" xfId="36261"/>
    <cellStyle name="Comma 2 4 2 2 3 5" xfId="1528"/>
    <cellStyle name="Comma 2 4 2 2 3 5 2" xfId="5612"/>
    <cellStyle name="Comma 2 4 2 2 3 5 2 2" xfId="6815"/>
    <cellStyle name="Comma 2 4 2 2 3 5 2 2 2" xfId="19184"/>
    <cellStyle name="Comma 2 4 2 2 3 5 2 2 2 2" xfId="20368"/>
    <cellStyle name="Comma 2 4 2 2 3 5 2 2 2 2 2" xfId="54510"/>
    <cellStyle name="Comma 2 4 2 2 3 5 2 2 2 2 2 2" xfId="55694"/>
    <cellStyle name="Comma 2 4 2 2 3 5 2 2 2 3" xfId="33870"/>
    <cellStyle name="Comma 2 4 2 2 3 5 2 2 3" xfId="32685"/>
    <cellStyle name="Comma 2 4 2 2 3 5 2 2 3 2" xfId="42243"/>
    <cellStyle name="Comma 2 4 2 2 3 5 2 3" xfId="12039"/>
    <cellStyle name="Comma 2 4 2 2 3 5 2 3 2" xfId="41048"/>
    <cellStyle name="Comma 2 4 2 2 3 5 2 3 2 2" xfId="47386"/>
    <cellStyle name="Comma 2 4 2 2 3 5 2 4" xfId="25524"/>
    <cellStyle name="Comma 2 4 2 2 3 5 3" xfId="10828"/>
    <cellStyle name="Comma 2 4 2 2 3 5 3 2" xfId="15208"/>
    <cellStyle name="Comma 2 4 2 2 3 5 3 2 2" xfId="46190"/>
    <cellStyle name="Comma 2 4 2 2 3 5 3 2 2 2" xfId="50546"/>
    <cellStyle name="Comma 2 4 2 2 3 5 3 3" xfId="28720"/>
    <cellStyle name="Comma 2 4 2 2 3 5 4" xfId="24320"/>
    <cellStyle name="Comma 2 4 2 2 3 5 4 2" xfId="37018"/>
    <cellStyle name="Comma 2 4 2 2 3 6" xfId="3529"/>
    <cellStyle name="Comma 2 4 2 2 3 6 2" xfId="13996"/>
    <cellStyle name="Comma 2 4 2 2 3 6 2 2" xfId="17180"/>
    <cellStyle name="Comma 2 4 2 2 3 6 2 2 2" xfId="49342"/>
    <cellStyle name="Comma 2 4 2 2 3 6 2 2 2 2" xfId="52507"/>
    <cellStyle name="Comma 2 4 2 2 3 6 2 3" xfId="30681"/>
    <cellStyle name="Comma 2 4 2 2 3 6 3" xfId="27490"/>
    <cellStyle name="Comma 2 4 2 2 3 6 3 2" xfId="38993"/>
    <cellStyle name="Comma 2 4 2 2 3 7" xfId="8723"/>
    <cellStyle name="Comma 2 4 2 2 3 7 2" xfId="35808"/>
    <cellStyle name="Comma 2 4 2 2 3 7 2 2" xfId="44148"/>
    <cellStyle name="Comma 2 4 2 2 3 8" xfId="22252"/>
    <cellStyle name="Comma 2 4 2 2 4" xfId="390"/>
    <cellStyle name="Comma 2 4 2 2 4 2" xfId="494"/>
    <cellStyle name="Comma 2 4 2 2 4 2 2" xfId="1221"/>
    <cellStyle name="Comma 2 4 2 2 4 2 2 2" xfId="1307"/>
    <cellStyle name="Comma 2 4 2 2 4 2 2 2 2" xfId="3239"/>
    <cellStyle name="Comma 2 4 2 2 4 2 2 2 2 2" xfId="3325"/>
    <cellStyle name="Comma 2 4 2 2 4 2 2 2 2 2 2" xfId="8454"/>
    <cellStyle name="Comma 2 4 2 2 4 2 2 2 2 2 2 2" xfId="8540"/>
    <cellStyle name="Comma 2 4 2 2 4 2 2 2 2 2 2 2 2" xfId="22006"/>
    <cellStyle name="Comma 2 4 2 2 4 2 2 2 2 2 2 2 2 2" xfId="22092"/>
    <cellStyle name="Comma 2 4 2 2 4 2 2 2 2 2 2 2 2 2 2" xfId="57332"/>
    <cellStyle name="Comma 2 4 2 2 4 2 2 2 2 2 2 2 2 2 2 2" xfId="57418"/>
    <cellStyle name="Comma 2 4 2 2 4 2 2 2 2 2 2 2 2 3" xfId="35595"/>
    <cellStyle name="Comma 2 4 2 2 4 2 2 2 2 2 2 2 3" xfId="35509"/>
    <cellStyle name="Comma 2 4 2 2 4 2 2 2 2 2 2 2 3 2" xfId="43967"/>
    <cellStyle name="Comma 2 4 2 2 4 2 2 2 2 2 2 3" xfId="13765"/>
    <cellStyle name="Comma 2 4 2 2 4 2 2 2 2 2 2 3 2" xfId="43881"/>
    <cellStyle name="Comma 2 4 2 2 4 2 2 2 2 2 2 3 2 2" xfId="49111"/>
    <cellStyle name="Comma 2 4 2 2 4 2 2 2 2 2 2 4" xfId="27250"/>
    <cellStyle name="Comma 2 4 2 2 4 2 2 2 2 2 3" xfId="13679"/>
    <cellStyle name="Comma 2 4 2 2 4 2 2 2 2 2 3 2" xfId="16982"/>
    <cellStyle name="Comma 2 4 2 2 4 2 2 2 2 2 3 2 2" xfId="49025"/>
    <cellStyle name="Comma 2 4 2 2 4 2 2 2 2 2 3 2 2 2" xfId="52310"/>
    <cellStyle name="Comma 2 4 2 2 4 2 2 2 2 2 3 3" xfId="30484"/>
    <cellStyle name="Comma 2 4 2 2 4 2 2 2 2 2 4" xfId="27164"/>
    <cellStyle name="Comma 2 4 2 2 4 2 2 2 2 2 4 2" xfId="38794"/>
    <cellStyle name="Comma 2 4 2 2 4 2 2 2 2 3" xfId="5362"/>
    <cellStyle name="Comma 2 4 2 2 4 2 2 2 2 3 2" xfId="16896"/>
    <cellStyle name="Comma 2 4 2 2 4 2 2 2 2 3 2 2" xfId="18935"/>
    <cellStyle name="Comma 2 4 2 2 4 2 2 2 2 3 2 2 2" xfId="52224"/>
    <cellStyle name="Comma 2 4 2 2 4 2 2 2 2 3 2 2 2 2" xfId="54261"/>
    <cellStyle name="Comma 2 4 2 2 4 2 2 2 2 3 2 3" xfId="32436"/>
    <cellStyle name="Comma 2 4 2 2 4 2 2 2 2 3 3" xfId="30398"/>
    <cellStyle name="Comma 2 4 2 2 4 2 2 2 2 3 3 2" xfId="40799"/>
    <cellStyle name="Comma 2 4 2 2 4 2 2 2 2 4" xfId="10565"/>
    <cellStyle name="Comma 2 4 2 2 4 2 2 2 2 4 2" xfId="38708"/>
    <cellStyle name="Comma 2 4 2 2 4 2 2 2 2 4 2 2" xfId="45928"/>
    <cellStyle name="Comma 2 4 2 2 4 2 2 2 2 5" xfId="24051"/>
    <cellStyle name="Comma 2 4 2 2 4 2 2 2 3" xfId="5276"/>
    <cellStyle name="Comma 2 4 2 2 4 2 2 2 3 2" xfId="6615"/>
    <cellStyle name="Comma 2 4 2 2 4 2 2 2 3 2 2" xfId="18849"/>
    <cellStyle name="Comma 2 4 2 2 4 2 2 2 3 2 2 2" xfId="20168"/>
    <cellStyle name="Comma 2 4 2 2 4 2 2 2 3 2 2 2 2" xfId="54175"/>
    <cellStyle name="Comma 2 4 2 2 4 2 2 2 3 2 2 2 2 2" xfId="55494"/>
    <cellStyle name="Comma 2 4 2 2 4 2 2 2 3 2 2 3" xfId="33670"/>
    <cellStyle name="Comma 2 4 2 2 4 2 2 2 3 2 3" xfId="32350"/>
    <cellStyle name="Comma 2 4 2 2 4 2 2 2 3 2 3 2" xfId="42043"/>
    <cellStyle name="Comma 2 4 2 2 4 2 2 2 3 3" xfId="11838"/>
    <cellStyle name="Comma 2 4 2 2 4 2 2 2 3 3 2" xfId="40713"/>
    <cellStyle name="Comma 2 4 2 2 4 2 2 2 3 3 2 2" xfId="47186"/>
    <cellStyle name="Comma 2 4 2 2 4 2 2 2 3 4" xfId="25323"/>
    <cellStyle name="Comma 2 4 2 2 4 2 2 2 4" xfId="10479"/>
    <cellStyle name="Comma 2 4 2 2 4 2 2 2 4 2" xfId="14996"/>
    <cellStyle name="Comma 2 4 2 2 4 2 2 2 4 2 2" xfId="45842"/>
    <cellStyle name="Comma 2 4 2 2 4 2 2 2 4 2 2 2" xfId="50335"/>
    <cellStyle name="Comma 2 4 2 2 4 2 2 2 4 3" xfId="28509"/>
    <cellStyle name="Comma 2 4 2 2 4 2 2 2 5" xfId="23965"/>
    <cellStyle name="Comma 2 4 2 2 4 2 2 2 5 2" xfId="36804"/>
    <cellStyle name="Comma 2 4 2 2 4 2 2 3" xfId="2114"/>
    <cellStyle name="Comma 2 4 2 2 4 2 2 3 2" xfId="6529"/>
    <cellStyle name="Comma 2 4 2 2 4 2 2 3 2 2" xfId="7348"/>
    <cellStyle name="Comma 2 4 2 2 4 2 2 3 2 2 2" xfId="20082"/>
    <cellStyle name="Comma 2 4 2 2 4 2 2 3 2 2 2 2" xfId="20900"/>
    <cellStyle name="Comma 2 4 2 2 4 2 2 3 2 2 2 2 2" xfId="55408"/>
    <cellStyle name="Comma 2 4 2 2 4 2 2 3 2 2 2 2 2 2" xfId="56226"/>
    <cellStyle name="Comma 2 4 2 2 4 2 2 3 2 2 2 3" xfId="34403"/>
    <cellStyle name="Comma 2 4 2 2 4 2 2 3 2 2 3" xfId="33584"/>
    <cellStyle name="Comma 2 4 2 2 4 2 2 3 2 2 3 2" xfId="42775"/>
    <cellStyle name="Comma 2 4 2 2 4 2 2 3 2 3" xfId="12573"/>
    <cellStyle name="Comma 2 4 2 2 4 2 2 3 2 3 2" xfId="41957"/>
    <cellStyle name="Comma 2 4 2 2 4 2 2 3 2 3 2 2" xfId="47919"/>
    <cellStyle name="Comma 2 4 2 2 4 2 2 3 2 4" xfId="26057"/>
    <cellStyle name="Comma 2 4 2 2 4 2 2 3 3" xfId="11752"/>
    <cellStyle name="Comma 2 4 2 2 4 2 2 3 3 2" xfId="15778"/>
    <cellStyle name="Comma 2 4 2 2 4 2 2 3 3 2 2" xfId="47100"/>
    <cellStyle name="Comma 2 4 2 2 4 2 2 3 3 2 2 2" xfId="51110"/>
    <cellStyle name="Comma 2 4 2 2 4 2 2 3 3 3" xfId="29284"/>
    <cellStyle name="Comma 2 4 2 2 4 2 2 3 4" xfId="25237"/>
    <cellStyle name="Comma 2 4 2 2 4 2 2 3 4 2" xfId="37592"/>
    <cellStyle name="Comma 2 4 2 2 4 2 2 4" xfId="4130"/>
    <cellStyle name="Comma 2 4 2 2 4 2 2 4 2" xfId="14910"/>
    <cellStyle name="Comma 2 4 2 2 4 2 2 4 2 2" xfId="17723"/>
    <cellStyle name="Comma 2 4 2 2 4 2 2 4 2 2 2" xfId="50249"/>
    <cellStyle name="Comma 2 4 2 2 4 2 2 4 2 2 2 2" xfId="53050"/>
    <cellStyle name="Comma 2 4 2 2 4 2 2 4 2 3" xfId="31225"/>
    <cellStyle name="Comma 2 4 2 2 4 2 2 4 3" xfId="28423"/>
    <cellStyle name="Comma 2 4 2 2 4 2 2 4 3 2" xfId="39573"/>
    <cellStyle name="Comma 2 4 2 2 4 2 2 5" xfId="9321"/>
    <cellStyle name="Comma 2 4 2 2 4 2 2 5 2" xfId="36718"/>
    <cellStyle name="Comma 2 4 2 2 4 2 2 5 2 2" xfId="44703"/>
    <cellStyle name="Comma 2 4 2 2 4 2 2 6" xfId="22817"/>
    <cellStyle name="Comma 2 4 2 2 4 2 3" xfId="2027"/>
    <cellStyle name="Comma 2 4 2 2 4 2 3 2" xfId="2591"/>
    <cellStyle name="Comma 2 4 2 2 4 2 3 2 2" xfId="7261"/>
    <cellStyle name="Comma 2 4 2 2 4 2 3 2 2 2" xfId="7812"/>
    <cellStyle name="Comma 2 4 2 2 4 2 3 2 2 2 2" xfId="20813"/>
    <cellStyle name="Comma 2 4 2 2 4 2 3 2 2 2 2 2" xfId="21364"/>
    <cellStyle name="Comma 2 4 2 2 4 2 3 2 2 2 2 2 2" xfId="56139"/>
    <cellStyle name="Comma 2 4 2 2 4 2 3 2 2 2 2 2 2 2" xfId="56690"/>
    <cellStyle name="Comma 2 4 2 2 4 2 3 2 2 2 2 3" xfId="34867"/>
    <cellStyle name="Comma 2 4 2 2 4 2 3 2 2 2 3" xfId="34316"/>
    <cellStyle name="Comma 2 4 2 2 4 2 3 2 2 2 3 2" xfId="43239"/>
    <cellStyle name="Comma 2 4 2 2 4 2 3 2 2 3" xfId="13037"/>
    <cellStyle name="Comma 2 4 2 2 4 2 3 2 2 3 2" xfId="42688"/>
    <cellStyle name="Comma 2 4 2 2 4 2 3 2 2 3 2 2" xfId="48383"/>
    <cellStyle name="Comma 2 4 2 2 4 2 3 2 2 4" xfId="26521"/>
    <cellStyle name="Comma 2 4 2 2 4 2 3 2 3" xfId="12486"/>
    <cellStyle name="Comma 2 4 2 2 4 2 3 2 3 2" xfId="16250"/>
    <cellStyle name="Comma 2 4 2 2 4 2 3 2 3 2 2" xfId="47832"/>
    <cellStyle name="Comma 2 4 2 2 4 2 3 2 3 2 2 2" xfId="51580"/>
    <cellStyle name="Comma 2 4 2 2 4 2 3 2 3 3" xfId="29754"/>
    <cellStyle name="Comma 2 4 2 2 4 2 3 2 4" xfId="25970"/>
    <cellStyle name="Comma 2 4 2 2 4 2 3 2 4 2" xfId="38064"/>
    <cellStyle name="Comma 2 4 2 2 4 2 3 3" xfId="4625"/>
    <cellStyle name="Comma 2 4 2 2 4 2 3 3 2" xfId="15691"/>
    <cellStyle name="Comma 2 4 2 2 4 2 3 3 2 2" xfId="18206"/>
    <cellStyle name="Comma 2 4 2 2 4 2 3 3 2 2 2" xfId="51023"/>
    <cellStyle name="Comma 2 4 2 2 4 2 3 3 2 2 2 2" xfId="53532"/>
    <cellStyle name="Comma 2 4 2 2 4 2 3 3 2 3" xfId="31707"/>
    <cellStyle name="Comma 2 4 2 2 4 2 3 3 3" xfId="29197"/>
    <cellStyle name="Comma 2 4 2 2 4 2 3 3 3 2" xfId="40064"/>
    <cellStyle name="Comma 2 4 2 2 4 2 3 4" xfId="9829"/>
    <cellStyle name="Comma 2 4 2 2 4 2 3 4 2" xfId="37505"/>
    <cellStyle name="Comma 2 4 2 2 4 2 3 4 2 2" xfId="45199"/>
    <cellStyle name="Comma 2 4 2 2 4 2 3 5" xfId="23322"/>
    <cellStyle name="Comma 2 4 2 2 4 2 4" xfId="4043"/>
    <cellStyle name="Comma 2 4 2 2 4 2 4 2" xfId="5830"/>
    <cellStyle name="Comma 2 4 2 2 4 2 4 2 2" xfId="17636"/>
    <cellStyle name="Comma 2 4 2 2 4 2 4 2 2 2" xfId="19398"/>
    <cellStyle name="Comma 2 4 2 2 4 2 4 2 2 2 2" xfId="52963"/>
    <cellStyle name="Comma 2 4 2 2 4 2 4 2 2 2 2 2" xfId="54724"/>
    <cellStyle name="Comma 2 4 2 2 4 2 4 2 2 3" xfId="32899"/>
    <cellStyle name="Comma 2 4 2 2 4 2 4 2 3" xfId="31138"/>
    <cellStyle name="Comma 2 4 2 2 4 2 4 2 3 2" xfId="41265"/>
    <cellStyle name="Comma 2 4 2 2 4 2 4 3" xfId="11053"/>
    <cellStyle name="Comma 2 4 2 2 4 2 4 3 2" xfId="39486"/>
    <cellStyle name="Comma 2 4 2 2 4 2 4 3 2 2" xfId="46412"/>
    <cellStyle name="Comma 2 4 2 2 4 2 4 4" xfId="24547"/>
    <cellStyle name="Comma 2 4 2 2 4 2 5" xfId="9234"/>
    <cellStyle name="Comma 2 4 2 2 4 2 5 2" xfId="14214"/>
    <cellStyle name="Comma 2 4 2 2 4 2 5 2 2" xfId="44616"/>
    <cellStyle name="Comma 2 4 2 2 4 2 5 2 2 2" xfId="49559"/>
    <cellStyle name="Comma 2 4 2 2 4 2 5 3" xfId="27721"/>
    <cellStyle name="Comma 2 4 2 2 4 2 6" xfId="22730"/>
    <cellStyle name="Comma 2 4 2 2 4 2 6 2" xfId="36026"/>
    <cellStyle name="Comma 2 4 2 2 4 3" xfId="820"/>
    <cellStyle name="Comma 2 4 2 2 4 3 2" xfId="2492"/>
    <cellStyle name="Comma 2 4 2 2 4 3 2 2" xfId="2874"/>
    <cellStyle name="Comma 2 4 2 2 4 3 2 2 2" xfId="7717"/>
    <cellStyle name="Comma 2 4 2 2 4 3 2 2 2 2" xfId="8090"/>
    <cellStyle name="Comma 2 4 2 2 4 3 2 2 2 2 2" xfId="21269"/>
    <cellStyle name="Comma 2 4 2 2 4 3 2 2 2 2 2 2" xfId="21642"/>
    <cellStyle name="Comma 2 4 2 2 4 3 2 2 2 2 2 2 2" xfId="56595"/>
    <cellStyle name="Comma 2 4 2 2 4 3 2 2 2 2 2 2 2 2" xfId="56968"/>
    <cellStyle name="Comma 2 4 2 2 4 3 2 2 2 2 2 3" xfId="35145"/>
    <cellStyle name="Comma 2 4 2 2 4 3 2 2 2 2 3" xfId="34772"/>
    <cellStyle name="Comma 2 4 2 2 4 3 2 2 2 2 3 2" xfId="43517"/>
    <cellStyle name="Comma 2 4 2 2 4 3 2 2 2 3" xfId="13315"/>
    <cellStyle name="Comma 2 4 2 2 4 3 2 2 2 3 2" xfId="43144"/>
    <cellStyle name="Comma 2 4 2 2 4 3 2 2 2 3 2 2" xfId="48661"/>
    <cellStyle name="Comma 2 4 2 2 4 3 2 2 2 4" xfId="26799"/>
    <cellStyle name="Comma 2 4 2 2 4 3 2 2 3" xfId="12942"/>
    <cellStyle name="Comma 2 4 2 2 4 3 2 2 3 2" xfId="16532"/>
    <cellStyle name="Comma 2 4 2 2 4 3 2 2 3 2 2" xfId="48288"/>
    <cellStyle name="Comma 2 4 2 2 4 3 2 2 3 2 2 2" xfId="51860"/>
    <cellStyle name="Comma 2 4 2 2 4 3 2 2 3 3" xfId="30034"/>
    <cellStyle name="Comma 2 4 2 2 4 3 2 2 4" xfId="26426"/>
    <cellStyle name="Comma 2 4 2 2 4 3 2 2 4 2" xfId="38344"/>
    <cellStyle name="Comma 2 4 2 2 4 3 2 3" xfId="4910"/>
    <cellStyle name="Comma 2 4 2 2 4 3 2 3 2" xfId="16153"/>
    <cellStyle name="Comma 2 4 2 2 4 3 2 3 2 2" xfId="18484"/>
    <cellStyle name="Comma 2 4 2 2 4 3 2 3 2 2 2" xfId="51484"/>
    <cellStyle name="Comma 2 4 2 2 4 3 2 3 2 2 2 2" xfId="53810"/>
    <cellStyle name="Comma 2 4 2 2 4 3 2 3 2 3" xfId="31985"/>
    <cellStyle name="Comma 2 4 2 2 4 3 2 3 3" xfId="29658"/>
    <cellStyle name="Comma 2 4 2 2 4 3 2 3 3 2" xfId="40347"/>
    <cellStyle name="Comma 2 4 2 2 4 3 2 4" xfId="10113"/>
    <cellStyle name="Comma 2 4 2 2 4 3 2 4 2" xfId="37967"/>
    <cellStyle name="Comma 2 4 2 2 4 3 2 4 2 2" xfId="45477"/>
    <cellStyle name="Comma 2 4 2 2 4 3 2 5" xfId="23600"/>
    <cellStyle name="Comma 2 4 2 2 4 3 3" xfId="4527"/>
    <cellStyle name="Comma 2 4 2 2 4 3 3 2" xfId="6135"/>
    <cellStyle name="Comma 2 4 2 2 4 3 3 2 2" xfId="18110"/>
    <cellStyle name="Comma 2 4 2 2 4 3 3 2 2 2" xfId="19696"/>
    <cellStyle name="Comma 2 4 2 2 4 3 3 2 2 2 2" xfId="53436"/>
    <cellStyle name="Comma 2 4 2 2 4 3 3 2 2 2 2 2" xfId="55022"/>
    <cellStyle name="Comma 2 4 2 2 4 3 3 2 2 3" xfId="33197"/>
    <cellStyle name="Comma 2 4 2 2 4 3 3 2 3" xfId="31611"/>
    <cellStyle name="Comma 2 4 2 2 4 3 3 2 3 2" xfId="41567"/>
    <cellStyle name="Comma 2 4 2 2 4 3 3 3" xfId="11361"/>
    <cellStyle name="Comma 2 4 2 2 4 3 3 3 2" xfId="39968"/>
    <cellStyle name="Comma 2 4 2 2 4 3 3 3 2 2" xfId="46713"/>
    <cellStyle name="Comma 2 4 2 2 4 3 3 4" xfId="24850"/>
    <cellStyle name="Comma 2 4 2 2 4 3 4" xfId="9730"/>
    <cellStyle name="Comma 2 4 2 2 4 3 4 2" xfId="14518"/>
    <cellStyle name="Comma 2 4 2 2 4 3 4 2 2" xfId="45103"/>
    <cellStyle name="Comma 2 4 2 2 4 3 4 2 2 2" xfId="49860"/>
    <cellStyle name="Comma 2 4 2 2 4 3 4 3" xfId="28030"/>
    <cellStyle name="Comma 2 4 2 2 4 3 5" xfId="23226"/>
    <cellStyle name="Comma 2 4 2 2 4 3 5 2" xfId="36328"/>
    <cellStyle name="Comma 2 4 2 2 4 4" xfId="1610"/>
    <cellStyle name="Comma 2 4 2 2 4 4 2" xfId="5733"/>
    <cellStyle name="Comma 2 4 2 2 4 4 2 2" xfId="6880"/>
    <cellStyle name="Comma 2 4 2 2 4 4 2 2 2" xfId="19302"/>
    <cellStyle name="Comma 2 4 2 2 4 4 2 2 2 2" xfId="20433"/>
    <cellStyle name="Comma 2 4 2 2 4 4 2 2 2 2 2" xfId="54628"/>
    <cellStyle name="Comma 2 4 2 2 4 4 2 2 2 2 2 2" xfId="55759"/>
    <cellStyle name="Comma 2 4 2 2 4 4 2 2 2 3" xfId="33935"/>
    <cellStyle name="Comma 2 4 2 2 4 4 2 2 3" xfId="32803"/>
    <cellStyle name="Comma 2 4 2 2 4 4 2 2 3 2" xfId="42308"/>
    <cellStyle name="Comma 2 4 2 2 4 4 2 3" xfId="12104"/>
    <cellStyle name="Comma 2 4 2 2 4 4 2 3 2" xfId="41168"/>
    <cellStyle name="Comma 2 4 2 2 4 4 2 3 2 2" xfId="47451"/>
    <cellStyle name="Comma 2 4 2 2 4 4 2 4" xfId="25589"/>
    <cellStyle name="Comma 2 4 2 2 4 4 3" xfId="10954"/>
    <cellStyle name="Comma 2 4 2 2 4 4 3 2" xfId="15286"/>
    <cellStyle name="Comma 2 4 2 2 4 4 3 2 2" xfId="46313"/>
    <cellStyle name="Comma 2 4 2 2 4 4 3 2 2 2" xfId="50621"/>
    <cellStyle name="Comma 2 4 2 2 4 4 3 3" xfId="28795"/>
    <cellStyle name="Comma 2 4 2 2 4 4 4" xfId="24447"/>
    <cellStyle name="Comma 2 4 2 2 4 4 4 2" xfId="37096"/>
    <cellStyle name="Comma 2 4 2 2 4 5" xfId="3613"/>
    <cellStyle name="Comma 2 4 2 2 4 5 2" xfId="14117"/>
    <cellStyle name="Comma 2 4 2 2 4 5 2 2" xfId="17248"/>
    <cellStyle name="Comma 2 4 2 2 4 5 2 2 2" xfId="49462"/>
    <cellStyle name="Comma 2 4 2 2 4 5 2 2 2 2" xfId="52575"/>
    <cellStyle name="Comma 2 4 2 2 4 5 2 3" xfId="30749"/>
    <cellStyle name="Comma 2 4 2 2 4 5 3" xfId="27619"/>
    <cellStyle name="Comma 2 4 2 2 4 5 3 2" xfId="39069"/>
    <cellStyle name="Comma 2 4 2 2 4 6" xfId="8807"/>
    <cellStyle name="Comma 2 4 2 2 4 6 2" xfId="35928"/>
    <cellStyle name="Comma 2 4 2 2 4 6 2 2" xfId="44218"/>
    <cellStyle name="Comma 2 4 2 2 4 7" xfId="22324"/>
    <cellStyle name="Comma 2 4 2 2 5" xfId="704"/>
    <cellStyle name="Comma 2 4 2 2 5 2" xfId="1000"/>
    <cellStyle name="Comma 2 4 2 2 5 2 2" xfId="2776"/>
    <cellStyle name="Comma 2 4 2 2 5 2 2 2" xfId="3037"/>
    <cellStyle name="Comma 2 4 2 2 5 2 2 2 2" xfId="7993"/>
    <cellStyle name="Comma 2 4 2 2 5 2 2 2 2 2" xfId="8252"/>
    <cellStyle name="Comma 2 4 2 2 5 2 2 2 2 2 2" xfId="21545"/>
    <cellStyle name="Comma 2 4 2 2 5 2 2 2 2 2 2 2" xfId="21804"/>
    <cellStyle name="Comma 2 4 2 2 5 2 2 2 2 2 2 2 2" xfId="56871"/>
    <cellStyle name="Comma 2 4 2 2 5 2 2 2 2 2 2 2 2 2" xfId="57130"/>
    <cellStyle name="Comma 2 4 2 2 5 2 2 2 2 2 2 3" xfId="35307"/>
    <cellStyle name="Comma 2 4 2 2 5 2 2 2 2 2 3" xfId="35048"/>
    <cellStyle name="Comma 2 4 2 2 5 2 2 2 2 2 3 2" xfId="43679"/>
    <cellStyle name="Comma 2 4 2 2 5 2 2 2 2 3" xfId="13477"/>
    <cellStyle name="Comma 2 4 2 2 5 2 2 2 2 3 2" xfId="43420"/>
    <cellStyle name="Comma 2 4 2 2 5 2 2 2 2 3 2 2" xfId="48823"/>
    <cellStyle name="Comma 2 4 2 2 5 2 2 2 2 4" xfId="26962"/>
    <cellStyle name="Comma 2 4 2 2 5 2 2 2 3" xfId="13218"/>
    <cellStyle name="Comma 2 4 2 2 5 2 2 2 3 2" xfId="16694"/>
    <cellStyle name="Comma 2 4 2 2 5 2 2 2 3 2 2" xfId="48564"/>
    <cellStyle name="Comma 2 4 2 2 5 2 2 2 3 2 2 2" xfId="52022"/>
    <cellStyle name="Comma 2 4 2 2 5 2 2 2 3 3" xfId="30196"/>
    <cellStyle name="Comma 2 4 2 2 5 2 2 2 4" xfId="26702"/>
    <cellStyle name="Comma 2 4 2 2 5 2 2 2 4 2" xfId="38506"/>
    <cellStyle name="Comma 2 4 2 2 5 2 2 3" xfId="5074"/>
    <cellStyle name="Comma 2 4 2 2 5 2 2 3 2" xfId="16435"/>
    <cellStyle name="Comma 2 4 2 2 5 2 2 3 2 2" xfId="18647"/>
    <cellStyle name="Comma 2 4 2 2 5 2 2 3 2 2 2" xfId="51763"/>
    <cellStyle name="Comma 2 4 2 2 5 2 2 3 2 2 2 2" xfId="53973"/>
    <cellStyle name="Comma 2 4 2 2 5 2 2 3 2 3" xfId="32148"/>
    <cellStyle name="Comma 2 4 2 2 5 2 2 3 3" xfId="29937"/>
    <cellStyle name="Comma 2 4 2 2 5 2 2 3 3 2" xfId="40511"/>
    <cellStyle name="Comma 2 4 2 2 5 2 2 4" xfId="10277"/>
    <cellStyle name="Comma 2 4 2 2 5 2 2 4 2" xfId="38247"/>
    <cellStyle name="Comma 2 4 2 2 5 2 2 4 2 2" xfId="45640"/>
    <cellStyle name="Comma 2 4 2 2 5 2 2 5" xfId="23763"/>
    <cellStyle name="Comma 2 4 2 2 5 2 3" xfId="4812"/>
    <cellStyle name="Comma 2 4 2 2 5 2 3 2" xfId="6310"/>
    <cellStyle name="Comma 2 4 2 2 5 2 3 2 2" xfId="18387"/>
    <cellStyle name="Comma 2 4 2 2 5 2 3 2 2 2" xfId="19867"/>
    <cellStyle name="Comma 2 4 2 2 5 2 3 2 2 2 2" xfId="53713"/>
    <cellStyle name="Comma 2 4 2 2 5 2 3 2 2 2 2 2" xfId="55193"/>
    <cellStyle name="Comma 2 4 2 2 5 2 3 2 2 3" xfId="33369"/>
    <cellStyle name="Comma 2 4 2 2 5 2 3 2 3" xfId="31888"/>
    <cellStyle name="Comma 2 4 2 2 5 2 3 2 3 2" xfId="41739"/>
    <cellStyle name="Comma 2 4 2 2 5 2 3 3" xfId="11536"/>
    <cellStyle name="Comma 2 4 2 2 5 2 3 3 2" xfId="40249"/>
    <cellStyle name="Comma 2 4 2 2 5 2 3 3 2 2" xfId="46885"/>
    <cellStyle name="Comma 2 4 2 2 5 2 3 4" xfId="25022"/>
    <cellStyle name="Comma 2 4 2 2 5 2 4" xfId="10015"/>
    <cellStyle name="Comma 2 4 2 2 5 2 4 2" xfId="14693"/>
    <cellStyle name="Comma 2 4 2 2 5 2 4 2 2" xfId="45380"/>
    <cellStyle name="Comma 2 4 2 2 5 2 4 2 2 2" xfId="50032"/>
    <cellStyle name="Comma 2 4 2 2 5 2 4 3" xfId="28205"/>
    <cellStyle name="Comma 2 4 2 2 5 2 5" xfId="23503"/>
    <cellStyle name="Comma 2 4 2 2 5 2 5 2" xfId="36501"/>
    <cellStyle name="Comma 2 4 2 2 5 3" xfId="1797"/>
    <cellStyle name="Comma 2 4 2 2 5 3 2" xfId="6029"/>
    <cellStyle name="Comma 2 4 2 2 5 3 2 2" xfId="7049"/>
    <cellStyle name="Comma 2 4 2 2 5 3 2 2 2" xfId="19593"/>
    <cellStyle name="Comma 2 4 2 2 5 3 2 2 2 2" xfId="20602"/>
    <cellStyle name="Comma 2 4 2 2 5 3 2 2 2 2 2" xfId="54919"/>
    <cellStyle name="Comma 2 4 2 2 5 3 2 2 2 2 2 2" xfId="55928"/>
    <cellStyle name="Comma 2 4 2 2 5 3 2 2 2 3" xfId="34104"/>
    <cellStyle name="Comma 2 4 2 2 5 3 2 2 3" xfId="33094"/>
    <cellStyle name="Comma 2 4 2 2 5 3 2 2 3 2" xfId="42477"/>
    <cellStyle name="Comma 2 4 2 2 5 3 2 3" xfId="12273"/>
    <cellStyle name="Comma 2 4 2 2 5 3 2 3 2" xfId="41463"/>
    <cellStyle name="Comma 2 4 2 2 5 3 2 3 2 2" xfId="47620"/>
    <cellStyle name="Comma 2 4 2 2 5 3 2 4" xfId="25758"/>
    <cellStyle name="Comma 2 4 2 2 5 3 3" xfId="11254"/>
    <cellStyle name="Comma 2 4 2 2 5 3 3 2" xfId="15469"/>
    <cellStyle name="Comma 2 4 2 2 5 3 3 2 2" xfId="46609"/>
    <cellStyle name="Comma 2 4 2 2 5 3 3 2 2 2" xfId="50802"/>
    <cellStyle name="Comma 2 4 2 2 5 3 3 3" xfId="28976"/>
    <cellStyle name="Comma 2 4 2 2 5 3 4" xfId="24746"/>
    <cellStyle name="Comma 2 4 2 2 5 3 4 2" xfId="37279"/>
    <cellStyle name="Comma 2 4 2 2 5 4" xfId="3804"/>
    <cellStyle name="Comma 2 4 2 2 5 4 2" xfId="14412"/>
    <cellStyle name="Comma 2 4 2 2 5 4 2 2" xfId="17419"/>
    <cellStyle name="Comma 2 4 2 2 5 4 2 2 2" xfId="49757"/>
    <cellStyle name="Comma 2 4 2 2 5 4 2 2 2 2" xfId="52746"/>
    <cellStyle name="Comma 2 4 2 2 5 4 2 3" xfId="30920"/>
    <cellStyle name="Comma 2 4 2 2 5 4 3" xfId="27925"/>
    <cellStyle name="Comma 2 4 2 2 5 4 3 2" xfId="39254"/>
    <cellStyle name="Comma 2 4 2 2 5 5" xfId="8994"/>
    <cellStyle name="Comma 2 4 2 2 5 5 2" xfId="36225"/>
    <cellStyle name="Comma 2 4 2 2 5 5 2 2" xfId="44392"/>
    <cellStyle name="Comma 2 4 2 2 5 6" xfId="22500"/>
    <cellStyle name="Comma 2 4 2 2 6" xfId="1483"/>
    <cellStyle name="Comma 2 4 2 2 6 2" xfId="1507"/>
    <cellStyle name="Comma 2 4 2 2 6 2 2" xfId="6774"/>
    <cellStyle name="Comma 2 4 2 2 6 2 2 2" xfId="6797"/>
    <cellStyle name="Comma 2 4 2 2 6 2 2 2 2" xfId="20327"/>
    <cellStyle name="Comma 2 4 2 2 6 2 2 2 2 2" xfId="20350"/>
    <cellStyle name="Comma 2 4 2 2 6 2 2 2 2 2 2" xfId="55653"/>
    <cellStyle name="Comma 2 4 2 2 6 2 2 2 2 2 2 2" xfId="55676"/>
    <cellStyle name="Comma 2 4 2 2 6 2 2 2 2 3" xfId="33852"/>
    <cellStyle name="Comma 2 4 2 2 6 2 2 2 3" xfId="33829"/>
    <cellStyle name="Comma 2 4 2 2 6 2 2 2 3 2" xfId="42225"/>
    <cellStyle name="Comma 2 4 2 2 6 2 2 3" xfId="12021"/>
    <cellStyle name="Comma 2 4 2 2 6 2 2 3 2" xfId="42202"/>
    <cellStyle name="Comma 2 4 2 2 6 2 2 3 2 2" xfId="47368"/>
    <cellStyle name="Comma 2 4 2 2 6 2 2 4" xfId="25505"/>
    <cellStyle name="Comma 2 4 2 2 6 2 3" xfId="11997"/>
    <cellStyle name="Comma 2 4 2 2 6 2 3 2" xfId="15190"/>
    <cellStyle name="Comma 2 4 2 2 6 2 3 2 2" xfId="47345"/>
    <cellStyle name="Comma 2 4 2 2 6 2 3 2 2 2" xfId="50528"/>
    <cellStyle name="Comma 2 4 2 2 6 2 3 3" xfId="28702"/>
    <cellStyle name="Comma 2 4 2 2 6 2 4" xfId="25482"/>
    <cellStyle name="Comma 2 4 2 2 6 2 4 2" xfId="37000"/>
    <cellStyle name="Comma 2 4 2 2 6 3" xfId="3507"/>
    <cellStyle name="Comma 2 4 2 2 6 3 2" xfId="15167"/>
    <cellStyle name="Comma 2 4 2 2 6 3 2 2" xfId="17161"/>
    <cellStyle name="Comma 2 4 2 2 6 3 2 2 2" xfId="50505"/>
    <cellStyle name="Comma 2 4 2 2 6 3 2 2 2 2" xfId="52488"/>
    <cellStyle name="Comma 2 4 2 2 6 3 2 3" xfId="30662"/>
    <cellStyle name="Comma 2 4 2 2 6 3 3" xfId="28679"/>
    <cellStyle name="Comma 2 4 2 2 6 3 3 2" xfId="38973"/>
    <cellStyle name="Comma 2 4 2 2 6 4" xfId="8701"/>
    <cellStyle name="Comma 2 4 2 2 6 4 2" xfId="36977"/>
    <cellStyle name="Comma 2 4 2 2 6 4 2 2" xfId="44128"/>
    <cellStyle name="Comma 2 4 2 2 6 5" xfId="14579"/>
    <cellStyle name="Comma 2 4 2 2 7" xfId="3482"/>
    <cellStyle name="Comma 2 4 2 2 7 2" xfId="5068"/>
    <cellStyle name="Comma 2 4 2 2 7 2 2" xfId="17136"/>
    <cellStyle name="Comma 2 4 2 2 7 2 2 2" xfId="18641"/>
    <cellStyle name="Comma 2 4 2 2 7 2 2 2 2" xfId="52464"/>
    <cellStyle name="Comma 2 4 2 2 7 2 2 2 2 2" xfId="53967"/>
    <cellStyle name="Comma 2 4 2 2 7 2 2 3" xfId="32142"/>
    <cellStyle name="Comma 2 4 2 2 7 2 3" xfId="30638"/>
    <cellStyle name="Comma 2 4 2 2 7 2 3 2" xfId="40505"/>
    <cellStyle name="Comma 2 4 2 2 7 3" xfId="10271"/>
    <cellStyle name="Comma 2 4 2 2 7 3 2" xfId="38949"/>
    <cellStyle name="Comma 2 4 2 2 7 3 2 2" xfId="45634"/>
    <cellStyle name="Comma 2 4 2 2 7 4" xfId="23757"/>
    <cellStyle name="Comma 2 4 2 2 8" xfId="5996"/>
    <cellStyle name="Comma 2 4 2 2 8 2" xfId="9536"/>
    <cellStyle name="Comma 2 4 2 2 8 2 2" xfId="41430"/>
    <cellStyle name="Comma 2 4 2 2 8 2 2 2" xfId="44918"/>
    <cellStyle name="Comma 2 4 2 2 8 3" xfId="23034"/>
    <cellStyle name="Comma 2 4 2 2 9" xfId="8988"/>
    <cellStyle name="Comma 2 4 2 2 9 2" xfId="23073"/>
    <cellStyle name="Comma 2 4 2 3" xfId="128"/>
    <cellStyle name="Comma 2 4 2 3 2" xfId="271"/>
    <cellStyle name="Comma 2 4 2 3 2 2" xfId="308"/>
    <cellStyle name="Comma 2 4 2 3 2 2 2" xfId="615"/>
    <cellStyle name="Comma 2 4 2 3 2 2 2 2" xfId="637"/>
    <cellStyle name="Comma 2 4 2 3 2 2 2 2 2" xfId="1411"/>
    <cellStyle name="Comma 2 4 2 3 2 2 2 2 2 2" xfId="1433"/>
    <cellStyle name="Comma 2 4 2 3 2 2 2 2 2 2 2" xfId="3429"/>
    <cellStyle name="Comma 2 4 2 3 2 2 2 2 2 2 2 2" xfId="3451"/>
    <cellStyle name="Comma 2 4 2 3 2 2 2 2 2 2 2 2 2" xfId="8644"/>
    <cellStyle name="Comma 2 4 2 3 2 2 2 2 2 2 2 2 2 2" xfId="8666"/>
    <cellStyle name="Comma 2 4 2 3 2 2 2 2 2 2 2 2 2 2 2" xfId="22196"/>
    <cellStyle name="Comma 2 4 2 3 2 2 2 2 2 2 2 2 2 2 2 2" xfId="22218"/>
    <cellStyle name="Comma 2 4 2 3 2 2 2 2 2 2 2 2 2 2 2 2 2" xfId="57522"/>
    <cellStyle name="Comma 2 4 2 3 2 2 2 2 2 2 2 2 2 2 2 2 2 2" xfId="57544"/>
    <cellStyle name="Comma 2 4 2 3 2 2 2 2 2 2 2 2 2 2 2 3" xfId="35721"/>
    <cellStyle name="Comma 2 4 2 3 2 2 2 2 2 2 2 2 2 2 3" xfId="35699"/>
    <cellStyle name="Comma 2 4 2 3 2 2 2 2 2 2 2 2 2 2 3 2" xfId="44093"/>
    <cellStyle name="Comma 2 4 2 3 2 2 2 2 2 2 2 2 2 3" xfId="13891"/>
    <cellStyle name="Comma 2 4 2 3 2 2 2 2 2 2 2 2 2 3 2" xfId="44071"/>
    <cellStyle name="Comma 2 4 2 3 2 2 2 2 2 2 2 2 2 3 2 2" xfId="49237"/>
    <cellStyle name="Comma 2 4 2 3 2 2 2 2 2 2 2 2 2 4" xfId="27376"/>
    <cellStyle name="Comma 2 4 2 3 2 2 2 2 2 2 2 2 3" xfId="13869"/>
    <cellStyle name="Comma 2 4 2 3 2 2 2 2 2 2 2 2 3 2" xfId="17108"/>
    <cellStyle name="Comma 2 4 2 3 2 2 2 2 2 2 2 2 3 2 2" xfId="49215"/>
    <cellStyle name="Comma 2 4 2 3 2 2 2 2 2 2 2 2 3 2 2 2" xfId="52436"/>
    <cellStyle name="Comma 2 4 2 3 2 2 2 2 2 2 2 2 3 3" xfId="30610"/>
    <cellStyle name="Comma 2 4 2 3 2 2 2 2 2 2 2 2 4" xfId="27354"/>
    <cellStyle name="Comma 2 4 2 3 2 2 2 2 2 2 2 2 4 2" xfId="38920"/>
    <cellStyle name="Comma 2 4 2 3 2 2 2 2 2 2 2 3" xfId="5488"/>
    <cellStyle name="Comma 2 4 2 3 2 2 2 2 2 2 2 3 2" xfId="17086"/>
    <cellStyle name="Comma 2 4 2 3 2 2 2 2 2 2 2 3 2 2" xfId="19061"/>
    <cellStyle name="Comma 2 4 2 3 2 2 2 2 2 2 2 3 2 2 2" xfId="52414"/>
    <cellStyle name="Comma 2 4 2 3 2 2 2 2 2 2 2 3 2 2 2 2" xfId="54387"/>
    <cellStyle name="Comma 2 4 2 3 2 2 2 2 2 2 2 3 2 3" xfId="32562"/>
    <cellStyle name="Comma 2 4 2 3 2 2 2 2 2 2 2 3 3" xfId="30588"/>
    <cellStyle name="Comma 2 4 2 3 2 2 2 2 2 2 2 3 3 2" xfId="40925"/>
    <cellStyle name="Comma 2 4 2 3 2 2 2 2 2 2 2 4" xfId="10691"/>
    <cellStyle name="Comma 2 4 2 3 2 2 2 2 2 2 2 4 2" xfId="38898"/>
    <cellStyle name="Comma 2 4 2 3 2 2 2 2 2 2 2 4 2 2" xfId="46054"/>
    <cellStyle name="Comma 2 4 2 3 2 2 2 2 2 2 2 5" xfId="24177"/>
    <cellStyle name="Comma 2 4 2 3 2 2 2 2 2 2 3" xfId="5466"/>
    <cellStyle name="Comma 2 4 2 3 2 2 2 2 2 2 3 2" xfId="6741"/>
    <cellStyle name="Comma 2 4 2 3 2 2 2 2 2 2 3 2 2" xfId="19039"/>
    <cellStyle name="Comma 2 4 2 3 2 2 2 2 2 2 3 2 2 2" xfId="20294"/>
    <cellStyle name="Comma 2 4 2 3 2 2 2 2 2 2 3 2 2 2 2" xfId="54365"/>
    <cellStyle name="Comma 2 4 2 3 2 2 2 2 2 2 3 2 2 2 2 2" xfId="55620"/>
    <cellStyle name="Comma 2 4 2 3 2 2 2 2 2 2 3 2 2 3" xfId="33796"/>
    <cellStyle name="Comma 2 4 2 3 2 2 2 2 2 2 3 2 3" xfId="32540"/>
    <cellStyle name="Comma 2 4 2 3 2 2 2 2 2 2 3 2 3 2" xfId="42169"/>
    <cellStyle name="Comma 2 4 2 3 2 2 2 2 2 2 3 3" xfId="11964"/>
    <cellStyle name="Comma 2 4 2 3 2 2 2 2 2 2 3 3 2" xfId="40903"/>
    <cellStyle name="Comma 2 4 2 3 2 2 2 2 2 2 3 3 2 2" xfId="47312"/>
    <cellStyle name="Comma 2 4 2 3 2 2 2 2 2 2 3 4" xfId="25449"/>
    <cellStyle name="Comma 2 4 2 3 2 2 2 2 2 2 4" xfId="10669"/>
    <cellStyle name="Comma 2 4 2 3 2 2 2 2 2 2 4 2" xfId="15122"/>
    <cellStyle name="Comma 2 4 2 3 2 2 2 2 2 2 4 2 2" xfId="46032"/>
    <cellStyle name="Comma 2 4 2 3 2 2 2 2 2 2 4 2 2 2" xfId="50461"/>
    <cellStyle name="Comma 2 4 2 3 2 2 2 2 2 2 4 3" xfId="28635"/>
    <cellStyle name="Comma 2 4 2 3 2 2 2 2 2 2 5" xfId="24155"/>
    <cellStyle name="Comma 2 4 2 3 2 2 2 2 2 2 5 2" xfId="36930"/>
    <cellStyle name="Comma 2 4 2 3 2 2 2 2 2 3" xfId="2240"/>
    <cellStyle name="Comma 2 4 2 3 2 2 2 2 2 3 2" xfId="6719"/>
    <cellStyle name="Comma 2 4 2 3 2 2 2 2 2 3 2 2" xfId="7474"/>
    <cellStyle name="Comma 2 4 2 3 2 2 2 2 2 3 2 2 2" xfId="20272"/>
    <cellStyle name="Comma 2 4 2 3 2 2 2 2 2 3 2 2 2 2" xfId="21026"/>
    <cellStyle name="Comma 2 4 2 3 2 2 2 2 2 3 2 2 2 2 2" xfId="55598"/>
    <cellStyle name="Comma 2 4 2 3 2 2 2 2 2 3 2 2 2 2 2 2" xfId="56352"/>
    <cellStyle name="Comma 2 4 2 3 2 2 2 2 2 3 2 2 2 3" xfId="34529"/>
    <cellStyle name="Comma 2 4 2 3 2 2 2 2 2 3 2 2 3" xfId="33774"/>
    <cellStyle name="Comma 2 4 2 3 2 2 2 2 2 3 2 2 3 2" xfId="42901"/>
    <cellStyle name="Comma 2 4 2 3 2 2 2 2 2 3 2 3" xfId="12699"/>
    <cellStyle name="Comma 2 4 2 3 2 2 2 2 2 3 2 3 2" xfId="42147"/>
    <cellStyle name="Comma 2 4 2 3 2 2 2 2 2 3 2 3 2 2" xfId="48045"/>
    <cellStyle name="Comma 2 4 2 3 2 2 2 2 2 3 2 4" xfId="26183"/>
    <cellStyle name="Comma 2 4 2 3 2 2 2 2 2 3 3" xfId="11942"/>
    <cellStyle name="Comma 2 4 2 3 2 2 2 2 2 3 3 2" xfId="15904"/>
    <cellStyle name="Comma 2 4 2 3 2 2 2 2 2 3 3 2 2" xfId="47290"/>
    <cellStyle name="Comma 2 4 2 3 2 2 2 2 2 3 3 2 2 2" xfId="51236"/>
    <cellStyle name="Comma 2 4 2 3 2 2 2 2 2 3 3 3" xfId="29410"/>
    <cellStyle name="Comma 2 4 2 3 2 2 2 2 2 3 4" xfId="25427"/>
    <cellStyle name="Comma 2 4 2 3 2 2 2 2 2 3 4 2" xfId="37718"/>
    <cellStyle name="Comma 2 4 2 3 2 2 2 2 2 4" xfId="4256"/>
    <cellStyle name="Comma 2 4 2 3 2 2 2 2 2 4 2" xfId="15100"/>
    <cellStyle name="Comma 2 4 2 3 2 2 2 2 2 4 2 2" xfId="17849"/>
    <cellStyle name="Comma 2 4 2 3 2 2 2 2 2 4 2 2 2" xfId="50439"/>
    <cellStyle name="Comma 2 4 2 3 2 2 2 2 2 4 2 2 2 2" xfId="53176"/>
    <cellStyle name="Comma 2 4 2 3 2 2 2 2 2 4 2 3" xfId="31351"/>
    <cellStyle name="Comma 2 4 2 3 2 2 2 2 2 4 3" xfId="28613"/>
    <cellStyle name="Comma 2 4 2 3 2 2 2 2 2 4 3 2" xfId="39699"/>
    <cellStyle name="Comma 2 4 2 3 2 2 2 2 2 5" xfId="9447"/>
    <cellStyle name="Comma 2 4 2 3 2 2 2 2 2 5 2" xfId="36908"/>
    <cellStyle name="Comma 2 4 2 3 2 2 2 2 2 5 2 2" xfId="44829"/>
    <cellStyle name="Comma 2 4 2 3 2 2 2 2 2 6" xfId="22943"/>
    <cellStyle name="Comma 2 4 2 3 2 2 2 2 3" xfId="2218"/>
    <cellStyle name="Comma 2 4 2 3 2 2 2 2 3 2" xfId="2727"/>
    <cellStyle name="Comma 2 4 2 3 2 2 2 2 3 2 2" xfId="7452"/>
    <cellStyle name="Comma 2 4 2 3 2 2 2 2 3 2 2 2" xfId="7946"/>
    <cellStyle name="Comma 2 4 2 3 2 2 2 2 3 2 2 2 2" xfId="21004"/>
    <cellStyle name="Comma 2 4 2 3 2 2 2 2 3 2 2 2 2 2" xfId="21498"/>
    <cellStyle name="Comma 2 4 2 3 2 2 2 2 3 2 2 2 2 2 2" xfId="56330"/>
    <cellStyle name="Comma 2 4 2 3 2 2 2 2 3 2 2 2 2 2 2 2" xfId="56824"/>
    <cellStyle name="Comma 2 4 2 3 2 2 2 2 3 2 2 2 2 3" xfId="35001"/>
    <cellStyle name="Comma 2 4 2 3 2 2 2 2 3 2 2 2 3" xfId="34507"/>
    <cellStyle name="Comma 2 4 2 3 2 2 2 2 3 2 2 2 3 2" xfId="43373"/>
    <cellStyle name="Comma 2 4 2 3 2 2 2 2 3 2 2 3" xfId="13171"/>
    <cellStyle name="Comma 2 4 2 3 2 2 2 2 3 2 2 3 2" xfId="42879"/>
    <cellStyle name="Comma 2 4 2 3 2 2 2 2 3 2 2 3 2 2" xfId="48517"/>
    <cellStyle name="Comma 2 4 2 3 2 2 2 2 3 2 2 4" xfId="26655"/>
    <cellStyle name="Comma 2 4 2 3 2 2 2 2 3 2 3" xfId="12677"/>
    <cellStyle name="Comma 2 4 2 3 2 2 2 2 3 2 3 2" xfId="16386"/>
    <cellStyle name="Comma 2 4 2 3 2 2 2 2 3 2 3 2 2" xfId="48023"/>
    <cellStyle name="Comma 2 4 2 3 2 2 2 2 3 2 3 2 2 2" xfId="51716"/>
    <cellStyle name="Comma 2 4 2 3 2 2 2 2 3 2 3 3" xfId="29890"/>
    <cellStyle name="Comma 2 4 2 3 2 2 2 2 3 2 4" xfId="26161"/>
    <cellStyle name="Comma 2 4 2 3 2 2 2 2 3 2 4 2" xfId="38200"/>
    <cellStyle name="Comma 2 4 2 3 2 2 2 2 3 3" xfId="4763"/>
    <cellStyle name="Comma 2 4 2 3 2 2 2 2 3 3 2" xfId="15882"/>
    <cellStyle name="Comma 2 4 2 3 2 2 2 2 3 3 2 2" xfId="18340"/>
    <cellStyle name="Comma 2 4 2 3 2 2 2 2 3 3 2 2 2" xfId="51214"/>
    <cellStyle name="Comma 2 4 2 3 2 2 2 2 3 3 2 2 2 2" xfId="53666"/>
    <cellStyle name="Comma 2 4 2 3 2 2 2 2 3 3 2 3" xfId="31841"/>
    <cellStyle name="Comma 2 4 2 3 2 2 2 2 3 3 3" xfId="29388"/>
    <cellStyle name="Comma 2 4 2 3 2 2 2 2 3 3 3 2" xfId="40201"/>
    <cellStyle name="Comma 2 4 2 3 2 2 2 2 3 4" xfId="9966"/>
    <cellStyle name="Comma 2 4 2 3 2 2 2 2 3 4 2" xfId="37696"/>
    <cellStyle name="Comma 2 4 2 3 2 2 2 2 3 4 2 2" xfId="45333"/>
    <cellStyle name="Comma 2 4 2 3 2 2 2 2 3 5" xfId="23456"/>
    <cellStyle name="Comma 2 4 2 3 2 2 2 2 4" xfId="4234"/>
    <cellStyle name="Comma 2 4 2 3 2 2 2 2 4 2" xfId="5968"/>
    <cellStyle name="Comma 2 4 2 3 2 2 2 2 4 2 2" xfId="17827"/>
    <cellStyle name="Comma 2 4 2 3 2 2 2 2 4 2 2 2" xfId="19535"/>
    <cellStyle name="Comma 2 4 2 3 2 2 2 2 4 2 2 2 2" xfId="53154"/>
    <cellStyle name="Comma 2 4 2 3 2 2 2 2 4 2 2 2 2 2" xfId="54861"/>
    <cellStyle name="Comma 2 4 2 3 2 2 2 2 4 2 2 3" xfId="33036"/>
    <cellStyle name="Comma 2 4 2 3 2 2 2 2 4 2 3" xfId="31329"/>
    <cellStyle name="Comma 2 4 2 3 2 2 2 2 4 2 3 2" xfId="41402"/>
    <cellStyle name="Comma 2 4 2 3 2 2 2 2 4 3" xfId="11193"/>
    <cellStyle name="Comma 2 4 2 3 2 2 2 2 4 3 2" xfId="39677"/>
    <cellStyle name="Comma 2 4 2 3 2 2 2 2 4 3 2 2" xfId="46551"/>
    <cellStyle name="Comma 2 4 2 3 2 2 2 2 4 4" xfId="24686"/>
    <cellStyle name="Comma 2 4 2 3 2 2 2 2 5" xfId="9425"/>
    <cellStyle name="Comma 2 4 2 3 2 2 2 2 5 2" xfId="14352"/>
    <cellStyle name="Comma 2 4 2 3 2 2 2 2 5 2 2" xfId="44807"/>
    <cellStyle name="Comma 2 4 2 3 2 2 2 2 5 2 2 2" xfId="49697"/>
    <cellStyle name="Comma 2 4 2 3 2 2 2 2 5 3" xfId="27862"/>
    <cellStyle name="Comma 2 4 2 3 2 2 2 2 6" xfId="22921"/>
    <cellStyle name="Comma 2 4 2 3 2 2 2 2 6 2" xfId="36164"/>
    <cellStyle name="Comma 2 4 2 3 2 2 2 3" xfId="965"/>
    <cellStyle name="Comma 2 4 2 3 2 2 2 3 2" xfId="2705"/>
    <cellStyle name="Comma 2 4 2 3 2 2 2 3 2 2" xfId="3003"/>
    <cellStyle name="Comma 2 4 2 3 2 2 2 3 2 2 2" xfId="7924"/>
    <cellStyle name="Comma 2 4 2 3 2 2 2 3 2 2 2 2" xfId="8218"/>
    <cellStyle name="Comma 2 4 2 3 2 2 2 3 2 2 2 2 2" xfId="21476"/>
    <cellStyle name="Comma 2 4 2 3 2 2 2 3 2 2 2 2 2 2" xfId="21770"/>
    <cellStyle name="Comma 2 4 2 3 2 2 2 3 2 2 2 2 2 2 2" xfId="56802"/>
    <cellStyle name="Comma 2 4 2 3 2 2 2 3 2 2 2 2 2 2 2 2" xfId="57096"/>
    <cellStyle name="Comma 2 4 2 3 2 2 2 3 2 2 2 2 2 3" xfId="35273"/>
    <cellStyle name="Comma 2 4 2 3 2 2 2 3 2 2 2 2 3" xfId="34979"/>
    <cellStyle name="Comma 2 4 2 3 2 2 2 3 2 2 2 2 3 2" xfId="43645"/>
    <cellStyle name="Comma 2 4 2 3 2 2 2 3 2 2 2 3" xfId="13443"/>
    <cellStyle name="Comma 2 4 2 3 2 2 2 3 2 2 2 3 2" xfId="43351"/>
    <cellStyle name="Comma 2 4 2 3 2 2 2 3 2 2 2 3 2 2" xfId="48789"/>
    <cellStyle name="Comma 2 4 2 3 2 2 2 3 2 2 2 4" xfId="26928"/>
    <cellStyle name="Comma 2 4 2 3 2 2 2 3 2 2 3" xfId="13149"/>
    <cellStyle name="Comma 2 4 2 3 2 2 2 3 2 2 3 2" xfId="16660"/>
    <cellStyle name="Comma 2 4 2 3 2 2 2 3 2 2 3 2 2" xfId="48495"/>
    <cellStyle name="Comma 2 4 2 3 2 2 2 3 2 2 3 2 2 2" xfId="51988"/>
    <cellStyle name="Comma 2 4 2 3 2 2 2 3 2 2 3 3" xfId="30162"/>
    <cellStyle name="Comma 2 4 2 3 2 2 2 3 2 2 4" xfId="26633"/>
    <cellStyle name="Comma 2 4 2 3 2 2 2 3 2 2 4 2" xfId="38472"/>
    <cellStyle name="Comma 2 4 2 3 2 2 2 3 2 3" xfId="5039"/>
    <cellStyle name="Comma 2 4 2 3 2 2 2 3 2 3 2" xfId="16364"/>
    <cellStyle name="Comma 2 4 2 3 2 2 2 3 2 3 2 2" xfId="18612"/>
    <cellStyle name="Comma 2 4 2 3 2 2 2 3 2 3 2 2 2" xfId="51694"/>
    <cellStyle name="Comma 2 4 2 3 2 2 2 3 2 3 2 2 2 2" xfId="53938"/>
    <cellStyle name="Comma 2 4 2 3 2 2 2 3 2 3 2 3" xfId="32113"/>
    <cellStyle name="Comma 2 4 2 3 2 2 2 3 2 3 3" xfId="29868"/>
    <cellStyle name="Comma 2 4 2 3 2 2 2 3 2 3 3 2" xfId="40476"/>
    <cellStyle name="Comma 2 4 2 3 2 2 2 3 2 4" xfId="10242"/>
    <cellStyle name="Comma 2 4 2 3 2 2 2 3 2 4 2" xfId="38178"/>
    <cellStyle name="Comma 2 4 2 3 2 2 2 3 2 4 2 2" xfId="45605"/>
    <cellStyle name="Comma 2 4 2 3 2 2 2 3 2 5" xfId="23728"/>
    <cellStyle name="Comma 2 4 2 3 2 2 2 3 3" xfId="4741"/>
    <cellStyle name="Comma 2 4 2 3 2 2 2 3 3 2" xfId="6276"/>
    <cellStyle name="Comma 2 4 2 3 2 2 2 3 3 2 2" xfId="18318"/>
    <cellStyle name="Comma 2 4 2 3 2 2 2 3 3 2 2 2" xfId="19833"/>
    <cellStyle name="Comma 2 4 2 3 2 2 2 3 3 2 2 2 2" xfId="53644"/>
    <cellStyle name="Comma 2 4 2 3 2 2 2 3 3 2 2 2 2 2" xfId="55159"/>
    <cellStyle name="Comma 2 4 2 3 2 2 2 3 3 2 2 3" xfId="33335"/>
    <cellStyle name="Comma 2 4 2 3 2 2 2 3 3 2 3" xfId="31819"/>
    <cellStyle name="Comma 2 4 2 3 2 2 2 3 3 2 3 2" xfId="41705"/>
    <cellStyle name="Comma 2 4 2 3 2 2 2 3 3 3" xfId="11501"/>
    <cellStyle name="Comma 2 4 2 3 2 2 2 3 3 3 2" xfId="40179"/>
    <cellStyle name="Comma 2 4 2 3 2 2 2 3 3 3 2 2" xfId="46850"/>
    <cellStyle name="Comma 2 4 2 3 2 2 2 3 3 4" xfId="24987"/>
    <cellStyle name="Comma 2 4 2 3 2 2 2 3 4" xfId="9944"/>
    <cellStyle name="Comma 2 4 2 3 2 2 2 3 4 2" xfId="14659"/>
    <cellStyle name="Comma 2 4 2 3 2 2 2 3 4 2 2" xfId="45311"/>
    <cellStyle name="Comma 2 4 2 3 2 2 2 3 4 2 2 2" xfId="49998"/>
    <cellStyle name="Comma 2 4 2 3 2 2 2 3 4 3" xfId="28170"/>
    <cellStyle name="Comma 2 4 2 3 2 2 2 3 5" xfId="23434"/>
    <cellStyle name="Comma 2 4 2 3 2 2 2 3 5 2" xfId="36467"/>
    <cellStyle name="Comma 2 4 2 3 2 2 2 4" xfId="1761"/>
    <cellStyle name="Comma 2 4 2 3 2 2 2 4 2" xfId="5946"/>
    <cellStyle name="Comma 2 4 2 3 2 2 2 4 2 2" xfId="7014"/>
    <cellStyle name="Comma 2 4 2 3 2 2 2 4 2 2 2" xfId="19513"/>
    <cellStyle name="Comma 2 4 2 3 2 2 2 4 2 2 2 2" xfId="20567"/>
    <cellStyle name="Comma 2 4 2 3 2 2 2 4 2 2 2 2 2" xfId="54839"/>
    <cellStyle name="Comma 2 4 2 3 2 2 2 4 2 2 2 2 2 2" xfId="55893"/>
    <cellStyle name="Comma 2 4 2 3 2 2 2 4 2 2 2 3" xfId="34069"/>
    <cellStyle name="Comma 2 4 2 3 2 2 2 4 2 2 3" xfId="33014"/>
    <cellStyle name="Comma 2 4 2 3 2 2 2 4 2 2 3 2" xfId="42442"/>
    <cellStyle name="Comma 2 4 2 3 2 2 2 4 2 3" xfId="12238"/>
    <cellStyle name="Comma 2 4 2 3 2 2 2 4 2 3 2" xfId="41380"/>
    <cellStyle name="Comma 2 4 2 3 2 2 2 4 2 3 2 2" xfId="47585"/>
    <cellStyle name="Comma 2 4 2 3 2 2 2 4 2 4" xfId="25723"/>
    <cellStyle name="Comma 2 4 2 3 2 2 2 4 3" xfId="11171"/>
    <cellStyle name="Comma 2 4 2 3 2 2 2 4 3 2" xfId="15433"/>
    <cellStyle name="Comma 2 4 2 3 2 2 2 4 3 2 2" xfId="46529"/>
    <cellStyle name="Comma 2 4 2 3 2 2 2 4 3 2 2 2" xfId="50766"/>
    <cellStyle name="Comma 2 4 2 3 2 2 2 4 3 3" xfId="28940"/>
    <cellStyle name="Comma 2 4 2 3 2 2 2 4 4" xfId="24664"/>
    <cellStyle name="Comma 2 4 2 3 2 2 2 4 4 2" xfId="37243"/>
    <cellStyle name="Comma 2 4 2 3 2 2 2 5" xfId="3767"/>
    <cellStyle name="Comma 2 4 2 3 2 2 2 5 2" xfId="14330"/>
    <cellStyle name="Comma 2 4 2 3 2 2 2 5 2 2" xfId="17383"/>
    <cellStyle name="Comma 2 4 2 3 2 2 2 5 2 2 2" xfId="49675"/>
    <cellStyle name="Comma 2 4 2 3 2 2 2 5 2 2 2 2" xfId="52710"/>
    <cellStyle name="Comma 2 4 2 3 2 2 2 5 2 3" xfId="30884"/>
    <cellStyle name="Comma 2 4 2 3 2 2 2 5 3" xfId="27840"/>
    <cellStyle name="Comma 2 4 2 3 2 2 2 5 3 2" xfId="39218"/>
    <cellStyle name="Comma 2 4 2 3 2 2 2 6" xfId="8957"/>
    <cellStyle name="Comma 2 4 2 3 2 2 2 6 2" xfId="36142"/>
    <cellStyle name="Comma 2 4 2 3 2 2 2 6 2 2" xfId="44356"/>
    <cellStyle name="Comma 2 4 2 3 2 2 2 7" xfId="22464"/>
    <cellStyle name="Comma 2 4 2 3 2 2 3" xfId="943"/>
    <cellStyle name="Comma 2 4 2 3 2 2 3 2" xfId="1169"/>
    <cellStyle name="Comma 2 4 2 3 2 2 3 2 2" xfId="2981"/>
    <cellStyle name="Comma 2 4 2 3 2 2 3 2 2 2" xfId="3189"/>
    <cellStyle name="Comma 2 4 2 3 2 2 3 2 2 2 2" xfId="8196"/>
    <cellStyle name="Comma 2 4 2 3 2 2 3 2 2 2 2 2" xfId="8404"/>
    <cellStyle name="Comma 2 4 2 3 2 2 3 2 2 2 2 2 2" xfId="21748"/>
    <cellStyle name="Comma 2 4 2 3 2 2 3 2 2 2 2 2 2 2" xfId="21956"/>
    <cellStyle name="Comma 2 4 2 3 2 2 3 2 2 2 2 2 2 2 2" xfId="57074"/>
    <cellStyle name="Comma 2 4 2 3 2 2 3 2 2 2 2 2 2 2 2 2" xfId="57282"/>
    <cellStyle name="Comma 2 4 2 3 2 2 3 2 2 2 2 2 2 3" xfId="35459"/>
    <cellStyle name="Comma 2 4 2 3 2 2 3 2 2 2 2 2 3" xfId="35251"/>
    <cellStyle name="Comma 2 4 2 3 2 2 3 2 2 2 2 2 3 2" xfId="43831"/>
    <cellStyle name="Comma 2 4 2 3 2 2 3 2 2 2 2 3" xfId="13629"/>
    <cellStyle name="Comma 2 4 2 3 2 2 3 2 2 2 2 3 2" xfId="43623"/>
    <cellStyle name="Comma 2 4 2 3 2 2 3 2 2 2 2 3 2 2" xfId="48975"/>
    <cellStyle name="Comma 2 4 2 3 2 2 3 2 2 2 2 4" xfId="27114"/>
    <cellStyle name="Comma 2 4 2 3 2 2 3 2 2 2 3" xfId="13421"/>
    <cellStyle name="Comma 2 4 2 3 2 2 3 2 2 2 3 2" xfId="16846"/>
    <cellStyle name="Comma 2 4 2 3 2 2 3 2 2 2 3 2 2" xfId="48767"/>
    <cellStyle name="Comma 2 4 2 3 2 2 3 2 2 2 3 2 2 2" xfId="52174"/>
    <cellStyle name="Comma 2 4 2 3 2 2 3 2 2 2 3 3" xfId="30348"/>
    <cellStyle name="Comma 2 4 2 3 2 2 3 2 2 2 4" xfId="26906"/>
    <cellStyle name="Comma 2 4 2 3 2 2 3 2 2 2 4 2" xfId="38658"/>
    <cellStyle name="Comma 2 4 2 3 2 2 3 2 2 3" xfId="5226"/>
    <cellStyle name="Comma 2 4 2 3 2 2 3 2 2 3 2" xfId="16638"/>
    <cellStyle name="Comma 2 4 2 3 2 2 3 2 2 3 2 2" xfId="18799"/>
    <cellStyle name="Comma 2 4 2 3 2 2 3 2 2 3 2 2 2" xfId="51966"/>
    <cellStyle name="Comma 2 4 2 3 2 2 3 2 2 3 2 2 2 2" xfId="54125"/>
    <cellStyle name="Comma 2 4 2 3 2 2 3 2 2 3 2 3" xfId="32300"/>
    <cellStyle name="Comma 2 4 2 3 2 2 3 2 2 3 3" xfId="30140"/>
    <cellStyle name="Comma 2 4 2 3 2 2 3 2 2 3 3 2" xfId="40663"/>
    <cellStyle name="Comma 2 4 2 3 2 2 3 2 2 4" xfId="10429"/>
    <cellStyle name="Comma 2 4 2 3 2 2 3 2 2 4 2" xfId="38450"/>
    <cellStyle name="Comma 2 4 2 3 2 2 3 2 2 4 2 2" xfId="45792"/>
    <cellStyle name="Comma 2 4 2 3 2 2 3 2 2 5" xfId="23915"/>
    <cellStyle name="Comma 2 4 2 3 2 2 3 2 3" xfId="5017"/>
    <cellStyle name="Comma 2 4 2 3 2 2 3 2 3 2" xfId="6477"/>
    <cellStyle name="Comma 2 4 2 3 2 2 3 2 3 2 2" xfId="18590"/>
    <cellStyle name="Comma 2 4 2 3 2 2 3 2 3 2 2 2" xfId="20031"/>
    <cellStyle name="Comma 2 4 2 3 2 2 3 2 3 2 2 2 2" xfId="53916"/>
    <cellStyle name="Comma 2 4 2 3 2 2 3 2 3 2 2 2 2 2" xfId="55357"/>
    <cellStyle name="Comma 2 4 2 3 2 2 3 2 3 2 2 3" xfId="33533"/>
    <cellStyle name="Comma 2 4 2 3 2 2 3 2 3 2 3" xfId="32091"/>
    <cellStyle name="Comma 2 4 2 3 2 2 3 2 3 2 3 2" xfId="41905"/>
    <cellStyle name="Comma 2 4 2 3 2 2 3 2 3 3" xfId="11701"/>
    <cellStyle name="Comma 2 4 2 3 2 2 3 2 3 3 2" xfId="40454"/>
    <cellStyle name="Comma 2 4 2 3 2 2 3 2 3 3 2 2" xfId="47049"/>
    <cellStyle name="Comma 2 4 2 3 2 2 3 2 3 4" xfId="25186"/>
    <cellStyle name="Comma 2 4 2 3 2 2 3 2 4" xfId="10220"/>
    <cellStyle name="Comma 2 4 2 3 2 2 3 2 4 2" xfId="14859"/>
    <cellStyle name="Comma 2 4 2 3 2 2 3 2 4 2 2" xfId="45583"/>
    <cellStyle name="Comma 2 4 2 3 2 2 3 2 4 2 2 2" xfId="50198"/>
    <cellStyle name="Comma 2 4 2 3 2 2 3 2 4 3" xfId="28372"/>
    <cellStyle name="Comma 2 4 2 3 2 2 3 2 5" xfId="23706"/>
    <cellStyle name="Comma 2 4 2 3 2 2 3 2 5 2" xfId="36667"/>
    <cellStyle name="Comma 2 4 2 3 2 2 3 3" xfId="1977"/>
    <cellStyle name="Comma 2 4 2 3 2 2 3 3 2" xfId="6254"/>
    <cellStyle name="Comma 2 4 2 3 2 2 3 3 2 2" xfId="7211"/>
    <cellStyle name="Comma 2 4 2 3 2 2 3 3 2 2 2" xfId="19811"/>
    <cellStyle name="Comma 2 4 2 3 2 2 3 3 2 2 2 2" xfId="20763"/>
    <cellStyle name="Comma 2 4 2 3 2 2 3 3 2 2 2 2 2" xfId="55137"/>
    <cellStyle name="Comma 2 4 2 3 2 2 3 3 2 2 2 2 2 2" xfId="56089"/>
    <cellStyle name="Comma 2 4 2 3 2 2 3 3 2 2 2 3" xfId="34266"/>
    <cellStyle name="Comma 2 4 2 3 2 2 3 3 2 2 3" xfId="33313"/>
    <cellStyle name="Comma 2 4 2 3 2 2 3 3 2 2 3 2" xfId="42638"/>
    <cellStyle name="Comma 2 4 2 3 2 2 3 3 2 3" xfId="12436"/>
    <cellStyle name="Comma 2 4 2 3 2 2 3 3 2 3 2" xfId="41683"/>
    <cellStyle name="Comma 2 4 2 3 2 2 3 3 2 3 2 2" xfId="47782"/>
    <cellStyle name="Comma 2 4 2 3 2 2 3 3 2 4" xfId="25920"/>
    <cellStyle name="Comma 2 4 2 3 2 2 3 3 3" xfId="11479"/>
    <cellStyle name="Comma 2 4 2 3 2 2 3 3 3 2" xfId="15641"/>
    <cellStyle name="Comma 2 4 2 3 2 2 3 3 3 2 2" xfId="46828"/>
    <cellStyle name="Comma 2 4 2 3 2 2 3 3 3 2 2 2" xfId="50973"/>
    <cellStyle name="Comma 2 4 2 3 2 2 3 3 3 3" xfId="29147"/>
    <cellStyle name="Comma 2 4 2 3 2 2 3 3 4" xfId="24965"/>
    <cellStyle name="Comma 2 4 2 3 2 2 3 3 4 2" xfId="37455"/>
    <cellStyle name="Comma 2 4 2 3 2 2 3 4" xfId="3991"/>
    <cellStyle name="Comma 2 4 2 3 2 2 3 4 2" xfId="14637"/>
    <cellStyle name="Comma 2 4 2 3 2 2 3 4 2 2" xfId="17586"/>
    <cellStyle name="Comma 2 4 2 3 2 2 3 4 2 2 2" xfId="49976"/>
    <cellStyle name="Comma 2 4 2 3 2 2 3 4 2 2 2 2" xfId="52913"/>
    <cellStyle name="Comma 2 4 2 3 2 2 3 4 2 3" xfId="31088"/>
    <cellStyle name="Comma 2 4 2 3 2 2 3 4 3" xfId="28148"/>
    <cellStyle name="Comma 2 4 2 3 2 2 3 4 3 2" xfId="39435"/>
    <cellStyle name="Comma 2 4 2 3 2 2 3 5" xfId="9183"/>
    <cellStyle name="Comma 2 4 2 3 2 2 3 5 2" xfId="36445"/>
    <cellStyle name="Comma 2 4 2 3 2 2 3 5 2 2" xfId="44566"/>
    <cellStyle name="Comma 2 4 2 3 2 2 3 6" xfId="22680"/>
    <cellStyle name="Comma 2 4 2 3 2 2 4" xfId="1739"/>
    <cellStyle name="Comma 2 4 2 3 2 2 4 2" xfId="2422"/>
    <cellStyle name="Comma 2 4 2 3 2 2 4 2 2" xfId="6992"/>
    <cellStyle name="Comma 2 4 2 3 2 2 4 2 2 2" xfId="7654"/>
    <cellStyle name="Comma 2 4 2 3 2 2 4 2 2 2 2" xfId="20545"/>
    <cellStyle name="Comma 2 4 2 3 2 2 4 2 2 2 2 2" xfId="21206"/>
    <cellStyle name="Comma 2 4 2 3 2 2 4 2 2 2 2 2 2" xfId="55871"/>
    <cellStyle name="Comma 2 4 2 3 2 2 4 2 2 2 2 2 2 2" xfId="56532"/>
    <cellStyle name="Comma 2 4 2 3 2 2 4 2 2 2 2 3" xfId="34709"/>
    <cellStyle name="Comma 2 4 2 3 2 2 4 2 2 2 3" xfId="34047"/>
    <cellStyle name="Comma 2 4 2 3 2 2 4 2 2 2 3 2" xfId="43081"/>
    <cellStyle name="Comma 2 4 2 3 2 2 4 2 2 3" xfId="12879"/>
    <cellStyle name="Comma 2 4 2 3 2 2 4 2 2 3 2" xfId="42420"/>
    <cellStyle name="Comma 2 4 2 3 2 2 4 2 2 3 2 2" xfId="48225"/>
    <cellStyle name="Comma 2 4 2 3 2 2 4 2 2 4" xfId="26363"/>
    <cellStyle name="Comma 2 4 2 3 2 2 4 2 3" xfId="12216"/>
    <cellStyle name="Comma 2 4 2 3 2 2 4 2 3 2" xfId="16085"/>
    <cellStyle name="Comma 2 4 2 3 2 2 4 2 3 2 2" xfId="47563"/>
    <cellStyle name="Comma 2 4 2 3 2 2 4 2 3 2 2 2" xfId="51417"/>
    <cellStyle name="Comma 2 4 2 3 2 2 4 2 3 3" xfId="29591"/>
    <cellStyle name="Comma 2 4 2 3 2 2 4 2 4" xfId="25701"/>
    <cellStyle name="Comma 2 4 2 3 2 2 4 2 4 2" xfId="37900"/>
    <cellStyle name="Comma 2 4 2 3 2 2 4 3" xfId="4457"/>
    <cellStyle name="Comma 2 4 2 3 2 2 4 3 2" xfId="15411"/>
    <cellStyle name="Comma 2 4 2 3 2 2 4 3 2 2" xfId="18047"/>
    <cellStyle name="Comma 2 4 2 3 2 2 4 3 2 2 2" xfId="50744"/>
    <cellStyle name="Comma 2 4 2 3 2 2 4 3 2 2 2 2" xfId="53373"/>
    <cellStyle name="Comma 2 4 2 3 2 2 4 3 2 3" xfId="31548"/>
    <cellStyle name="Comma 2 4 2 3 2 2 4 3 3" xfId="28918"/>
    <cellStyle name="Comma 2 4 2 3 2 2 4 3 3 2" xfId="39899"/>
    <cellStyle name="Comma 2 4 2 3 2 2 4 4" xfId="9662"/>
    <cellStyle name="Comma 2 4 2 3 2 2 4 4 2" xfId="37221"/>
    <cellStyle name="Comma 2 4 2 3 2 2 4 4 2 2" xfId="45040"/>
    <cellStyle name="Comma 2 4 2 3 2 2 4 5" xfId="23163"/>
    <cellStyle name="Comma 2 4 2 3 2 2 5" xfId="3745"/>
    <cellStyle name="Comma 2 4 2 3 2 2 5 2" xfId="5664"/>
    <cellStyle name="Comma 2 4 2 3 2 2 5 2 2" xfId="17361"/>
    <cellStyle name="Comma 2 4 2 3 2 2 5 2 2 2" xfId="19236"/>
    <cellStyle name="Comma 2 4 2 3 2 2 5 2 2 2 2" xfId="52688"/>
    <cellStyle name="Comma 2 4 2 3 2 2 5 2 2 2 2 2" xfId="54562"/>
    <cellStyle name="Comma 2 4 2 3 2 2 5 2 2 3" xfId="32737"/>
    <cellStyle name="Comma 2 4 2 3 2 2 5 2 3" xfId="30862"/>
    <cellStyle name="Comma 2 4 2 3 2 2 5 2 3 2" xfId="41100"/>
    <cellStyle name="Comma 2 4 2 3 2 2 5 3" xfId="10882"/>
    <cellStyle name="Comma 2 4 2 3 2 2 5 3 2" xfId="39196"/>
    <cellStyle name="Comma 2 4 2 3 2 2 5 3 2 2" xfId="46244"/>
    <cellStyle name="Comma 2 4 2 3 2 2 5 4" xfId="24375"/>
    <cellStyle name="Comma 2 4 2 3 2 2 6" xfId="8935"/>
    <cellStyle name="Comma 2 4 2 3 2 2 6 2" xfId="14048"/>
    <cellStyle name="Comma 2 4 2 3 2 2 6 2 2" xfId="44334"/>
    <cellStyle name="Comma 2 4 2 3 2 2 6 2 2 2" xfId="49394"/>
    <cellStyle name="Comma 2 4 2 3 2 2 6 3" xfId="27547"/>
    <cellStyle name="Comma 2 4 2 3 2 2 7" xfId="22442"/>
    <cellStyle name="Comma 2 4 2 3 2 2 7 2" xfId="35860"/>
    <cellStyle name="Comma 2 4 2 3 2 3" xfId="453"/>
    <cellStyle name="Comma 2 4 2 3 2 3 2" xfId="1136"/>
    <cellStyle name="Comma 2 4 2 3 2 3 2 2" xfId="1268"/>
    <cellStyle name="Comma 2 4 2 3 2 3 2 2 2" xfId="3161"/>
    <cellStyle name="Comma 2 4 2 3 2 3 2 2 2 2" xfId="3286"/>
    <cellStyle name="Comma 2 4 2 3 2 3 2 2 2 2 2" xfId="8376"/>
    <cellStyle name="Comma 2 4 2 3 2 3 2 2 2 2 2 2" xfId="8501"/>
    <cellStyle name="Comma 2 4 2 3 2 3 2 2 2 2 2 2 2" xfId="21928"/>
    <cellStyle name="Comma 2 4 2 3 2 3 2 2 2 2 2 2 2 2" xfId="22053"/>
    <cellStyle name="Comma 2 4 2 3 2 3 2 2 2 2 2 2 2 2 2" xfId="57254"/>
    <cellStyle name="Comma 2 4 2 3 2 3 2 2 2 2 2 2 2 2 2 2" xfId="57379"/>
    <cellStyle name="Comma 2 4 2 3 2 3 2 2 2 2 2 2 2 3" xfId="35556"/>
    <cellStyle name="Comma 2 4 2 3 2 3 2 2 2 2 2 2 3" xfId="35431"/>
    <cellStyle name="Comma 2 4 2 3 2 3 2 2 2 2 2 2 3 2" xfId="43928"/>
    <cellStyle name="Comma 2 4 2 3 2 3 2 2 2 2 2 3" xfId="13726"/>
    <cellStyle name="Comma 2 4 2 3 2 3 2 2 2 2 2 3 2" xfId="43803"/>
    <cellStyle name="Comma 2 4 2 3 2 3 2 2 2 2 2 3 2 2" xfId="49072"/>
    <cellStyle name="Comma 2 4 2 3 2 3 2 2 2 2 2 4" xfId="27211"/>
    <cellStyle name="Comma 2 4 2 3 2 3 2 2 2 2 3" xfId="13601"/>
    <cellStyle name="Comma 2 4 2 3 2 3 2 2 2 2 3 2" xfId="16943"/>
    <cellStyle name="Comma 2 4 2 3 2 3 2 2 2 2 3 2 2" xfId="48947"/>
    <cellStyle name="Comma 2 4 2 3 2 3 2 2 2 2 3 2 2 2" xfId="52271"/>
    <cellStyle name="Comma 2 4 2 3 2 3 2 2 2 2 3 3" xfId="30445"/>
    <cellStyle name="Comma 2 4 2 3 2 3 2 2 2 2 4" xfId="27086"/>
    <cellStyle name="Comma 2 4 2 3 2 3 2 2 2 2 4 2" xfId="38755"/>
    <cellStyle name="Comma 2 4 2 3 2 3 2 2 2 3" xfId="5323"/>
    <cellStyle name="Comma 2 4 2 3 2 3 2 2 2 3 2" xfId="16818"/>
    <cellStyle name="Comma 2 4 2 3 2 3 2 2 2 3 2 2" xfId="18896"/>
    <cellStyle name="Comma 2 4 2 3 2 3 2 2 2 3 2 2 2" xfId="52146"/>
    <cellStyle name="Comma 2 4 2 3 2 3 2 2 2 3 2 2 2 2" xfId="54222"/>
    <cellStyle name="Comma 2 4 2 3 2 3 2 2 2 3 2 3" xfId="32397"/>
    <cellStyle name="Comma 2 4 2 3 2 3 2 2 2 3 3" xfId="30320"/>
    <cellStyle name="Comma 2 4 2 3 2 3 2 2 2 3 3 2" xfId="40760"/>
    <cellStyle name="Comma 2 4 2 3 2 3 2 2 2 4" xfId="10526"/>
    <cellStyle name="Comma 2 4 2 3 2 3 2 2 2 4 2" xfId="38630"/>
    <cellStyle name="Comma 2 4 2 3 2 3 2 2 2 4 2 2" xfId="45889"/>
    <cellStyle name="Comma 2 4 2 3 2 3 2 2 2 5" xfId="24012"/>
    <cellStyle name="Comma 2 4 2 3 2 3 2 2 3" xfId="5198"/>
    <cellStyle name="Comma 2 4 2 3 2 3 2 2 3 2" xfId="6576"/>
    <cellStyle name="Comma 2 4 2 3 2 3 2 2 3 2 2" xfId="18771"/>
    <cellStyle name="Comma 2 4 2 3 2 3 2 2 3 2 2 2" xfId="20129"/>
    <cellStyle name="Comma 2 4 2 3 2 3 2 2 3 2 2 2 2" xfId="54097"/>
    <cellStyle name="Comma 2 4 2 3 2 3 2 2 3 2 2 2 2 2" xfId="55455"/>
    <cellStyle name="Comma 2 4 2 3 2 3 2 2 3 2 2 3" xfId="33631"/>
    <cellStyle name="Comma 2 4 2 3 2 3 2 2 3 2 3" xfId="32272"/>
    <cellStyle name="Comma 2 4 2 3 2 3 2 2 3 2 3 2" xfId="42004"/>
    <cellStyle name="Comma 2 4 2 3 2 3 2 2 3 3" xfId="11799"/>
    <cellStyle name="Comma 2 4 2 3 2 3 2 2 3 3 2" xfId="40635"/>
    <cellStyle name="Comma 2 4 2 3 2 3 2 2 3 3 2 2" xfId="47147"/>
    <cellStyle name="Comma 2 4 2 3 2 3 2 2 3 4" xfId="25284"/>
    <cellStyle name="Comma 2 4 2 3 2 3 2 2 4" xfId="10401"/>
    <cellStyle name="Comma 2 4 2 3 2 3 2 2 4 2" xfId="14957"/>
    <cellStyle name="Comma 2 4 2 3 2 3 2 2 4 2 2" xfId="45764"/>
    <cellStyle name="Comma 2 4 2 3 2 3 2 2 4 2 2 2" xfId="50296"/>
    <cellStyle name="Comma 2 4 2 3 2 3 2 2 4 3" xfId="28470"/>
    <cellStyle name="Comma 2 4 2 3 2 3 2 2 5" xfId="23887"/>
    <cellStyle name="Comma 2 4 2 3 2 3 2 2 5 2" xfId="36765"/>
    <cellStyle name="Comma 2 4 2 3 2 3 2 3" xfId="2074"/>
    <cellStyle name="Comma 2 4 2 3 2 3 2 3 2" xfId="6444"/>
    <cellStyle name="Comma 2 4 2 3 2 3 2 3 2 2" xfId="7308"/>
    <cellStyle name="Comma 2 4 2 3 2 3 2 3 2 2 2" xfId="19999"/>
    <cellStyle name="Comma 2 4 2 3 2 3 2 3 2 2 2 2" xfId="20860"/>
    <cellStyle name="Comma 2 4 2 3 2 3 2 3 2 2 2 2 2" xfId="55325"/>
    <cellStyle name="Comma 2 4 2 3 2 3 2 3 2 2 2 2 2 2" xfId="56186"/>
    <cellStyle name="Comma 2 4 2 3 2 3 2 3 2 2 2 3" xfId="34363"/>
    <cellStyle name="Comma 2 4 2 3 2 3 2 3 2 2 3" xfId="33501"/>
    <cellStyle name="Comma 2 4 2 3 2 3 2 3 2 2 3 2" xfId="42735"/>
    <cellStyle name="Comma 2 4 2 3 2 3 2 3 2 3" xfId="12533"/>
    <cellStyle name="Comma 2 4 2 3 2 3 2 3 2 3 2" xfId="41872"/>
    <cellStyle name="Comma 2 4 2 3 2 3 2 3 2 3 2 2" xfId="47879"/>
    <cellStyle name="Comma 2 4 2 3 2 3 2 3 2 4" xfId="26017"/>
    <cellStyle name="Comma 2 4 2 3 2 3 2 3 3" xfId="11668"/>
    <cellStyle name="Comma 2 4 2 3 2 3 2 3 3 2" xfId="15738"/>
    <cellStyle name="Comma 2 4 2 3 2 3 2 3 3 2 2" xfId="47017"/>
    <cellStyle name="Comma 2 4 2 3 2 3 2 3 3 2 2 2" xfId="51070"/>
    <cellStyle name="Comma 2 4 2 3 2 3 2 3 3 3" xfId="29244"/>
    <cellStyle name="Comma 2 4 2 3 2 3 2 3 4" xfId="25154"/>
    <cellStyle name="Comma 2 4 2 3 2 3 2 3 4 2" xfId="37552"/>
    <cellStyle name="Comma 2 4 2 3 2 3 2 4" xfId="4090"/>
    <cellStyle name="Comma 2 4 2 3 2 3 2 4 2" xfId="14827"/>
    <cellStyle name="Comma 2 4 2 3 2 3 2 4 2 2" xfId="17683"/>
    <cellStyle name="Comma 2 4 2 3 2 3 2 4 2 2 2" xfId="50166"/>
    <cellStyle name="Comma 2 4 2 3 2 3 2 4 2 2 2 2" xfId="53010"/>
    <cellStyle name="Comma 2 4 2 3 2 3 2 4 2 3" xfId="31185"/>
    <cellStyle name="Comma 2 4 2 3 2 3 2 4 3" xfId="28339"/>
    <cellStyle name="Comma 2 4 2 3 2 3 2 4 3 2" xfId="39533"/>
    <cellStyle name="Comma 2 4 2 3 2 3 2 5" xfId="9281"/>
    <cellStyle name="Comma 2 4 2 3 2 3 2 5 2" xfId="36635"/>
    <cellStyle name="Comma 2 4 2 3 2 3 2 5 2 2" xfId="44663"/>
    <cellStyle name="Comma 2 4 2 3 2 3 2 6" xfId="22777"/>
    <cellStyle name="Comma 2 4 2 3 2 3 3" xfId="1944"/>
    <cellStyle name="Comma 2 4 2 3 2 3 3 2" xfId="2552"/>
    <cellStyle name="Comma 2 4 2 3 2 3 3 2 2" xfId="7183"/>
    <cellStyle name="Comma 2 4 2 3 2 3 3 2 2 2" xfId="7773"/>
    <cellStyle name="Comma 2 4 2 3 2 3 3 2 2 2 2" xfId="20735"/>
    <cellStyle name="Comma 2 4 2 3 2 3 3 2 2 2 2 2" xfId="21325"/>
    <cellStyle name="Comma 2 4 2 3 2 3 3 2 2 2 2 2 2" xfId="56061"/>
    <cellStyle name="Comma 2 4 2 3 2 3 3 2 2 2 2 2 2 2" xfId="56651"/>
    <cellStyle name="Comma 2 4 2 3 2 3 3 2 2 2 2 3" xfId="34828"/>
    <cellStyle name="Comma 2 4 2 3 2 3 3 2 2 2 3" xfId="34238"/>
    <cellStyle name="Comma 2 4 2 3 2 3 3 2 2 2 3 2" xfId="43200"/>
    <cellStyle name="Comma 2 4 2 3 2 3 3 2 2 3" xfId="12998"/>
    <cellStyle name="Comma 2 4 2 3 2 3 3 2 2 3 2" xfId="42610"/>
    <cellStyle name="Comma 2 4 2 3 2 3 3 2 2 3 2 2" xfId="48344"/>
    <cellStyle name="Comma 2 4 2 3 2 3 3 2 2 4" xfId="26482"/>
    <cellStyle name="Comma 2 4 2 3 2 3 3 2 3" xfId="12408"/>
    <cellStyle name="Comma 2 4 2 3 2 3 3 2 3 2" xfId="16211"/>
    <cellStyle name="Comma 2 4 2 3 2 3 3 2 3 2 2" xfId="47754"/>
    <cellStyle name="Comma 2 4 2 3 2 3 3 2 3 2 2 2" xfId="51541"/>
    <cellStyle name="Comma 2 4 2 3 2 3 3 2 3 3" xfId="29715"/>
    <cellStyle name="Comma 2 4 2 3 2 3 3 2 4" xfId="25892"/>
    <cellStyle name="Comma 2 4 2 3 2 3 3 2 4 2" xfId="38025"/>
    <cellStyle name="Comma 2 4 2 3 2 3 3 3" xfId="4585"/>
    <cellStyle name="Comma 2 4 2 3 2 3 3 3 2" xfId="15609"/>
    <cellStyle name="Comma 2 4 2 3 2 3 3 3 2 2" xfId="18166"/>
    <cellStyle name="Comma 2 4 2 3 2 3 3 3 2 2 2" xfId="50941"/>
    <cellStyle name="Comma 2 4 2 3 2 3 3 3 2 2 2 2" xfId="53492"/>
    <cellStyle name="Comma 2 4 2 3 2 3 3 3 2 3" xfId="31667"/>
    <cellStyle name="Comma 2 4 2 3 2 3 3 3 3" xfId="29115"/>
    <cellStyle name="Comma 2 4 2 3 2 3 3 3 3 2" xfId="40024"/>
    <cellStyle name="Comma 2 4 2 3 2 3 3 4" xfId="9789"/>
    <cellStyle name="Comma 2 4 2 3 2 3 3 4 2" xfId="37422"/>
    <cellStyle name="Comma 2 4 2 3 2 3 3 4 2 2" xfId="45159"/>
    <cellStyle name="Comma 2 4 2 3 2 3 3 5" xfId="23282"/>
    <cellStyle name="Comma 2 4 2 3 2 3 4" xfId="3958"/>
    <cellStyle name="Comma 2 4 2 3 2 3 4 2" xfId="5791"/>
    <cellStyle name="Comma 2 4 2 3 2 3 4 2 2" xfId="17558"/>
    <cellStyle name="Comma 2 4 2 3 2 3 4 2 2 2" xfId="19359"/>
    <cellStyle name="Comma 2 4 2 3 2 3 4 2 2 2 2" xfId="52885"/>
    <cellStyle name="Comma 2 4 2 3 2 3 4 2 2 2 2 2" xfId="54685"/>
    <cellStyle name="Comma 2 4 2 3 2 3 4 2 2 3" xfId="32860"/>
    <cellStyle name="Comma 2 4 2 3 2 3 4 2 3" xfId="31060"/>
    <cellStyle name="Comma 2 4 2 3 2 3 4 2 3 2" xfId="41226"/>
    <cellStyle name="Comma 2 4 2 3 2 3 4 3" xfId="11013"/>
    <cellStyle name="Comma 2 4 2 3 2 3 4 3 2" xfId="39402"/>
    <cellStyle name="Comma 2 4 2 3 2 3 4 3 2 2" xfId="46372"/>
    <cellStyle name="Comma 2 4 2 3 2 3 4 4" xfId="24507"/>
    <cellStyle name="Comma 2 4 2 3 2 3 5" xfId="9151"/>
    <cellStyle name="Comma 2 4 2 3 2 3 5 2" xfId="14174"/>
    <cellStyle name="Comma 2 4 2 3 2 3 5 2 2" xfId="44538"/>
    <cellStyle name="Comma 2 4 2 3 2 3 5 2 2 2" xfId="49519"/>
    <cellStyle name="Comma 2 4 2 3 2 3 5 3" xfId="27680"/>
    <cellStyle name="Comma 2 4 2 3 2 3 6" xfId="22652"/>
    <cellStyle name="Comma 2 4 2 3 2 3 6 2" xfId="35986"/>
    <cellStyle name="Comma 2 4 2 3 2 4" xfId="774"/>
    <cellStyle name="Comma 2 4 2 3 2 4 2" xfId="2392"/>
    <cellStyle name="Comma 2 4 2 3 2 4 2 2" xfId="2830"/>
    <cellStyle name="Comma 2 4 2 3 2 4 2 2 2" xfId="7625"/>
    <cellStyle name="Comma 2 4 2 3 2 4 2 2 2 2" xfId="8046"/>
    <cellStyle name="Comma 2 4 2 3 2 4 2 2 2 2 2" xfId="21177"/>
    <cellStyle name="Comma 2 4 2 3 2 4 2 2 2 2 2 2" xfId="21598"/>
    <cellStyle name="Comma 2 4 2 3 2 4 2 2 2 2 2 2 2" xfId="56503"/>
    <cellStyle name="Comma 2 4 2 3 2 4 2 2 2 2 2 2 2 2" xfId="56924"/>
    <cellStyle name="Comma 2 4 2 3 2 4 2 2 2 2 2 3" xfId="35101"/>
    <cellStyle name="Comma 2 4 2 3 2 4 2 2 2 2 3" xfId="34680"/>
    <cellStyle name="Comma 2 4 2 3 2 4 2 2 2 2 3 2" xfId="43473"/>
    <cellStyle name="Comma 2 4 2 3 2 4 2 2 2 3" xfId="13271"/>
    <cellStyle name="Comma 2 4 2 3 2 4 2 2 2 3 2" xfId="43052"/>
    <cellStyle name="Comma 2 4 2 3 2 4 2 2 2 3 2 2" xfId="48617"/>
    <cellStyle name="Comma 2 4 2 3 2 4 2 2 2 4" xfId="26755"/>
    <cellStyle name="Comma 2 4 2 3 2 4 2 2 3" xfId="12850"/>
    <cellStyle name="Comma 2 4 2 3 2 4 2 2 3 2" xfId="16488"/>
    <cellStyle name="Comma 2 4 2 3 2 4 2 2 3 2 2" xfId="48196"/>
    <cellStyle name="Comma 2 4 2 3 2 4 2 2 3 2 2 2" xfId="51816"/>
    <cellStyle name="Comma 2 4 2 3 2 4 2 2 3 3" xfId="29990"/>
    <cellStyle name="Comma 2 4 2 3 2 4 2 2 4" xfId="26334"/>
    <cellStyle name="Comma 2 4 2 3 2 4 2 2 4 2" xfId="38300"/>
    <cellStyle name="Comma 2 4 2 3 2 4 2 3" xfId="4866"/>
    <cellStyle name="Comma 2 4 2 3 2 4 2 3 2" xfId="16055"/>
    <cellStyle name="Comma 2 4 2 3 2 4 2 3 2 2" xfId="18440"/>
    <cellStyle name="Comma 2 4 2 3 2 4 2 3 2 2 2" xfId="51387"/>
    <cellStyle name="Comma 2 4 2 3 2 4 2 3 2 2 2 2" xfId="53766"/>
    <cellStyle name="Comma 2 4 2 3 2 4 2 3 2 3" xfId="31941"/>
    <cellStyle name="Comma 2 4 2 3 2 4 2 3 3" xfId="29561"/>
    <cellStyle name="Comma 2 4 2 3 2 4 2 3 3 2" xfId="40303"/>
    <cellStyle name="Comma 2 4 2 3 2 4 2 4" xfId="10069"/>
    <cellStyle name="Comma 2 4 2 3 2 4 2 4 2" xfId="37870"/>
    <cellStyle name="Comma 2 4 2 3 2 4 2 4 2 2" xfId="45433"/>
    <cellStyle name="Comma 2 4 2 3 2 4 2 5" xfId="23556"/>
    <cellStyle name="Comma 2 4 2 3 2 4 3" xfId="4427"/>
    <cellStyle name="Comma 2 4 2 3 2 4 3 2" xfId="6090"/>
    <cellStyle name="Comma 2 4 2 3 2 4 3 2 2" xfId="18018"/>
    <cellStyle name="Comma 2 4 2 3 2 4 3 2 2 2" xfId="19652"/>
    <cellStyle name="Comma 2 4 2 3 2 4 3 2 2 2 2" xfId="53344"/>
    <cellStyle name="Comma 2 4 2 3 2 4 3 2 2 2 2 2" xfId="54978"/>
    <cellStyle name="Comma 2 4 2 3 2 4 3 2 2 3" xfId="33153"/>
    <cellStyle name="Comma 2 4 2 3 2 4 3 2 3" xfId="31519"/>
    <cellStyle name="Comma 2 4 2 3 2 4 3 2 3 2" xfId="41523"/>
    <cellStyle name="Comma 2 4 2 3 2 4 3 3" xfId="11316"/>
    <cellStyle name="Comma 2 4 2 3 2 4 3 3 2" xfId="39869"/>
    <cellStyle name="Comma 2 4 2 3 2 4 3 3 2 2" xfId="46669"/>
    <cellStyle name="Comma 2 4 2 3 2 4 3 4" xfId="24806"/>
    <cellStyle name="Comma 2 4 2 3 2 4 4" xfId="9630"/>
    <cellStyle name="Comma 2 4 2 3 2 4 4 2" xfId="14474"/>
    <cellStyle name="Comma 2 4 2 3 2 4 4 2 2" xfId="45010"/>
    <cellStyle name="Comma 2 4 2 3 2 4 4 2 2 2" xfId="49816"/>
    <cellStyle name="Comma 2 4 2 3 2 4 4 3" xfId="27985"/>
    <cellStyle name="Comma 2 4 2 3 2 4 5" xfId="23131"/>
    <cellStyle name="Comma 2 4 2 3 2 4 5 2" xfId="36284"/>
    <cellStyle name="Comma 2 4 2 3 2 5" xfId="1560"/>
    <cellStyle name="Comma 2 4 2 3 2 5 2" xfId="5633"/>
    <cellStyle name="Comma 2 4 2 3 2 5 2 2" xfId="6832"/>
    <cellStyle name="Comma 2 4 2 3 2 5 2 2 2" xfId="19205"/>
    <cellStyle name="Comma 2 4 2 3 2 5 2 2 2 2" xfId="20385"/>
    <cellStyle name="Comma 2 4 2 3 2 5 2 2 2 2 2" xfId="54531"/>
    <cellStyle name="Comma 2 4 2 3 2 5 2 2 2 2 2 2" xfId="55711"/>
    <cellStyle name="Comma 2 4 2 3 2 5 2 2 2 3" xfId="33887"/>
    <cellStyle name="Comma 2 4 2 3 2 5 2 2 3" xfId="32706"/>
    <cellStyle name="Comma 2 4 2 3 2 5 2 2 3 2" xfId="42260"/>
    <cellStyle name="Comma 2 4 2 3 2 5 2 3" xfId="12056"/>
    <cellStyle name="Comma 2 4 2 3 2 5 2 3 2" xfId="41069"/>
    <cellStyle name="Comma 2 4 2 3 2 5 2 3 2 2" xfId="47403"/>
    <cellStyle name="Comma 2 4 2 3 2 5 2 4" xfId="25541"/>
    <cellStyle name="Comma 2 4 2 3 2 5 3" xfId="10849"/>
    <cellStyle name="Comma 2 4 2 3 2 5 3 2" xfId="15236"/>
    <cellStyle name="Comma 2 4 2 3 2 5 3 2 2" xfId="46211"/>
    <cellStyle name="Comma 2 4 2 3 2 5 3 2 2 2" xfId="50573"/>
    <cellStyle name="Comma 2 4 2 3 2 5 3 3" xfId="28747"/>
    <cellStyle name="Comma 2 4 2 3 2 5 4" xfId="24341"/>
    <cellStyle name="Comma 2 4 2 3 2 5 4 2" xfId="37048"/>
    <cellStyle name="Comma 2 4 2 3 2 6" xfId="3561"/>
    <cellStyle name="Comma 2 4 2 3 2 6 2" xfId="14017"/>
    <cellStyle name="Comma 2 4 2 3 2 6 2 2" xfId="17197"/>
    <cellStyle name="Comma 2 4 2 3 2 6 2 2 2" xfId="49363"/>
    <cellStyle name="Comma 2 4 2 3 2 6 2 2 2 2" xfId="52524"/>
    <cellStyle name="Comma 2 4 2 3 2 6 2 3" xfId="30698"/>
    <cellStyle name="Comma 2 4 2 3 2 6 3" xfId="27512"/>
    <cellStyle name="Comma 2 4 2 3 2 6 3 2" xfId="39018"/>
    <cellStyle name="Comma 2 4 2 3 2 7" xfId="8752"/>
    <cellStyle name="Comma 2 4 2 3 2 7 2" xfId="35829"/>
    <cellStyle name="Comma 2 4 2 3 2 7 2 2" xfId="44165"/>
    <cellStyle name="Comma 2 4 2 3 2 8" xfId="22269"/>
    <cellStyle name="Comma 2 4 2 3 3" xfId="417"/>
    <cellStyle name="Comma 2 4 2 3 3 2" xfId="517"/>
    <cellStyle name="Comma 2 4 2 3 3 2 2" xfId="1246"/>
    <cellStyle name="Comma 2 4 2 3 3 2 2 2" xfId="1327"/>
    <cellStyle name="Comma 2 4 2 3 3 2 2 2 2" xfId="3264"/>
    <cellStyle name="Comma 2 4 2 3 3 2 2 2 2 2" xfId="3345"/>
    <cellStyle name="Comma 2 4 2 3 3 2 2 2 2 2 2" xfId="8479"/>
    <cellStyle name="Comma 2 4 2 3 3 2 2 2 2 2 2 2" xfId="8560"/>
    <cellStyle name="Comma 2 4 2 3 3 2 2 2 2 2 2 2 2" xfId="22031"/>
    <cellStyle name="Comma 2 4 2 3 3 2 2 2 2 2 2 2 2 2" xfId="22112"/>
    <cellStyle name="Comma 2 4 2 3 3 2 2 2 2 2 2 2 2 2 2" xfId="57357"/>
    <cellStyle name="Comma 2 4 2 3 3 2 2 2 2 2 2 2 2 2 2 2" xfId="57438"/>
    <cellStyle name="Comma 2 4 2 3 3 2 2 2 2 2 2 2 2 3" xfId="35615"/>
    <cellStyle name="Comma 2 4 2 3 3 2 2 2 2 2 2 2 3" xfId="35534"/>
    <cellStyle name="Comma 2 4 2 3 3 2 2 2 2 2 2 2 3 2" xfId="43987"/>
    <cellStyle name="Comma 2 4 2 3 3 2 2 2 2 2 2 3" xfId="13785"/>
    <cellStyle name="Comma 2 4 2 3 3 2 2 2 2 2 2 3 2" xfId="43906"/>
    <cellStyle name="Comma 2 4 2 3 3 2 2 2 2 2 2 3 2 2" xfId="49131"/>
    <cellStyle name="Comma 2 4 2 3 3 2 2 2 2 2 2 4" xfId="27270"/>
    <cellStyle name="Comma 2 4 2 3 3 2 2 2 2 2 3" xfId="13704"/>
    <cellStyle name="Comma 2 4 2 3 3 2 2 2 2 2 3 2" xfId="17002"/>
    <cellStyle name="Comma 2 4 2 3 3 2 2 2 2 2 3 2 2" xfId="49050"/>
    <cellStyle name="Comma 2 4 2 3 3 2 2 2 2 2 3 2 2 2" xfId="52330"/>
    <cellStyle name="Comma 2 4 2 3 3 2 2 2 2 2 3 3" xfId="30504"/>
    <cellStyle name="Comma 2 4 2 3 3 2 2 2 2 2 4" xfId="27189"/>
    <cellStyle name="Comma 2 4 2 3 3 2 2 2 2 2 4 2" xfId="38814"/>
    <cellStyle name="Comma 2 4 2 3 3 2 2 2 2 3" xfId="5382"/>
    <cellStyle name="Comma 2 4 2 3 3 2 2 2 2 3 2" xfId="16921"/>
    <cellStyle name="Comma 2 4 2 3 3 2 2 2 2 3 2 2" xfId="18955"/>
    <cellStyle name="Comma 2 4 2 3 3 2 2 2 2 3 2 2 2" xfId="52249"/>
    <cellStyle name="Comma 2 4 2 3 3 2 2 2 2 3 2 2 2 2" xfId="54281"/>
    <cellStyle name="Comma 2 4 2 3 3 2 2 2 2 3 2 3" xfId="32456"/>
    <cellStyle name="Comma 2 4 2 3 3 2 2 2 2 3 3" xfId="30423"/>
    <cellStyle name="Comma 2 4 2 3 3 2 2 2 2 3 3 2" xfId="40819"/>
    <cellStyle name="Comma 2 4 2 3 3 2 2 2 2 4" xfId="10585"/>
    <cellStyle name="Comma 2 4 2 3 3 2 2 2 2 4 2" xfId="38733"/>
    <cellStyle name="Comma 2 4 2 3 3 2 2 2 2 4 2 2" xfId="45948"/>
    <cellStyle name="Comma 2 4 2 3 3 2 2 2 2 5" xfId="24071"/>
    <cellStyle name="Comma 2 4 2 3 3 2 2 2 3" xfId="5301"/>
    <cellStyle name="Comma 2 4 2 3 3 2 2 2 3 2" xfId="6635"/>
    <cellStyle name="Comma 2 4 2 3 3 2 2 2 3 2 2" xfId="18874"/>
    <cellStyle name="Comma 2 4 2 3 3 2 2 2 3 2 2 2" xfId="20188"/>
    <cellStyle name="Comma 2 4 2 3 3 2 2 2 3 2 2 2 2" xfId="54200"/>
    <cellStyle name="Comma 2 4 2 3 3 2 2 2 3 2 2 2 2 2" xfId="55514"/>
    <cellStyle name="Comma 2 4 2 3 3 2 2 2 3 2 2 3" xfId="33690"/>
    <cellStyle name="Comma 2 4 2 3 3 2 2 2 3 2 3" xfId="32375"/>
    <cellStyle name="Comma 2 4 2 3 3 2 2 2 3 2 3 2" xfId="42063"/>
    <cellStyle name="Comma 2 4 2 3 3 2 2 2 3 3" xfId="11858"/>
    <cellStyle name="Comma 2 4 2 3 3 2 2 2 3 3 2" xfId="40738"/>
    <cellStyle name="Comma 2 4 2 3 3 2 2 2 3 3 2 2" xfId="47206"/>
    <cellStyle name="Comma 2 4 2 3 3 2 2 2 3 4" xfId="25343"/>
    <cellStyle name="Comma 2 4 2 3 3 2 2 2 4" xfId="10504"/>
    <cellStyle name="Comma 2 4 2 3 3 2 2 2 4 2" xfId="15016"/>
    <cellStyle name="Comma 2 4 2 3 3 2 2 2 4 2 2" xfId="45867"/>
    <cellStyle name="Comma 2 4 2 3 3 2 2 2 4 2 2 2" xfId="50355"/>
    <cellStyle name="Comma 2 4 2 3 3 2 2 2 4 3" xfId="28529"/>
    <cellStyle name="Comma 2 4 2 3 3 2 2 2 5" xfId="23990"/>
    <cellStyle name="Comma 2 4 2 3 3 2 2 2 5 2" xfId="36824"/>
    <cellStyle name="Comma 2 4 2 3 3 2 2 3" xfId="2134"/>
    <cellStyle name="Comma 2 4 2 3 3 2 2 3 2" xfId="6554"/>
    <cellStyle name="Comma 2 4 2 3 3 2 2 3 2 2" xfId="7368"/>
    <cellStyle name="Comma 2 4 2 3 3 2 2 3 2 2 2" xfId="20107"/>
    <cellStyle name="Comma 2 4 2 3 3 2 2 3 2 2 2 2" xfId="20920"/>
    <cellStyle name="Comma 2 4 2 3 3 2 2 3 2 2 2 2 2" xfId="55433"/>
    <cellStyle name="Comma 2 4 2 3 3 2 2 3 2 2 2 2 2 2" xfId="56246"/>
    <cellStyle name="Comma 2 4 2 3 3 2 2 3 2 2 2 3" xfId="34423"/>
    <cellStyle name="Comma 2 4 2 3 3 2 2 3 2 2 3" xfId="33609"/>
    <cellStyle name="Comma 2 4 2 3 3 2 2 3 2 2 3 2" xfId="42795"/>
    <cellStyle name="Comma 2 4 2 3 3 2 2 3 2 3" xfId="12593"/>
    <cellStyle name="Comma 2 4 2 3 3 2 2 3 2 3 2" xfId="41982"/>
    <cellStyle name="Comma 2 4 2 3 3 2 2 3 2 3 2 2" xfId="47939"/>
    <cellStyle name="Comma 2 4 2 3 3 2 2 3 2 4" xfId="26077"/>
    <cellStyle name="Comma 2 4 2 3 3 2 2 3 3" xfId="11777"/>
    <cellStyle name="Comma 2 4 2 3 3 2 2 3 3 2" xfId="15798"/>
    <cellStyle name="Comma 2 4 2 3 3 2 2 3 3 2 2" xfId="47125"/>
    <cellStyle name="Comma 2 4 2 3 3 2 2 3 3 2 2 2" xfId="51130"/>
    <cellStyle name="Comma 2 4 2 3 3 2 2 3 3 3" xfId="29304"/>
    <cellStyle name="Comma 2 4 2 3 3 2 2 3 4" xfId="25262"/>
    <cellStyle name="Comma 2 4 2 3 3 2 2 3 4 2" xfId="37612"/>
    <cellStyle name="Comma 2 4 2 3 3 2 2 4" xfId="4150"/>
    <cellStyle name="Comma 2 4 2 3 3 2 2 4 2" xfId="14935"/>
    <cellStyle name="Comma 2 4 2 3 3 2 2 4 2 2" xfId="17743"/>
    <cellStyle name="Comma 2 4 2 3 3 2 2 4 2 2 2" xfId="50274"/>
    <cellStyle name="Comma 2 4 2 3 3 2 2 4 2 2 2 2" xfId="53070"/>
    <cellStyle name="Comma 2 4 2 3 3 2 2 4 2 3" xfId="31245"/>
    <cellStyle name="Comma 2 4 2 3 3 2 2 4 3" xfId="28448"/>
    <cellStyle name="Comma 2 4 2 3 3 2 2 4 3 2" xfId="39593"/>
    <cellStyle name="Comma 2 4 2 3 3 2 2 5" xfId="9341"/>
    <cellStyle name="Comma 2 4 2 3 3 2 2 5 2" xfId="36743"/>
    <cellStyle name="Comma 2 4 2 3 3 2 2 5 2 2" xfId="44723"/>
    <cellStyle name="Comma 2 4 2 3 3 2 2 6" xfId="22837"/>
    <cellStyle name="Comma 2 4 2 3 3 2 3" xfId="2052"/>
    <cellStyle name="Comma 2 4 2 3 3 2 3 2" xfId="2613"/>
    <cellStyle name="Comma 2 4 2 3 3 2 3 2 2" xfId="7286"/>
    <cellStyle name="Comma 2 4 2 3 3 2 3 2 2 2" xfId="7833"/>
    <cellStyle name="Comma 2 4 2 3 3 2 3 2 2 2 2" xfId="20838"/>
    <cellStyle name="Comma 2 4 2 3 3 2 3 2 2 2 2 2" xfId="21385"/>
    <cellStyle name="Comma 2 4 2 3 3 2 3 2 2 2 2 2 2" xfId="56164"/>
    <cellStyle name="Comma 2 4 2 3 3 2 3 2 2 2 2 2 2 2" xfId="56711"/>
    <cellStyle name="Comma 2 4 2 3 3 2 3 2 2 2 2 3" xfId="34888"/>
    <cellStyle name="Comma 2 4 2 3 3 2 3 2 2 2 3" xfId="34341"/>
    <cellStyle name="Comma 2 4 2 3 3 2 3 2 2 2 3 2" xfId="43260"/>
    <cellStyle name="Comma 2 4 2 3 3 2 3 2 2 3" xfId="13058"/>
    <cellStyle name="Comma 2 4 2 3 3 2 3 2 2 3 2" xfId="42713"/>
    <cellStyle name="Comma 2 4 2 3 3 2 3 2 2 3 2 2" xfId="48404"/>
    <cellStyle name="Comma 2 4 2 3 3 2 3 2 2 4" xfId="26542"/>
    <cellStyle name="Comma 2 4 2 3 3 2 3 2 3" xfId="12511"/>
    <cellStyle name="Comma 2 4 2 3 3 2 3 2 3 2" xfId="16272"/>
    <cellStyle name="Comma 2 4 2 3 3 2 3 2 3 2 2" xfId="47857"/>
    <cellStyle name="Comma 2 4 2 3 3 2 3 2 3 2 2 2" xfId="51602"/>
    <cellStyle name="Comma 2 4 2 3 3 2 3 2 3 3" xfId="29776"/>
    <cellStyle name="Comma 2 4 2 3 3 2 3 2 4" xfId="25995"/>
    <cellStyle name="Comma 2 4 2 3 3 2 3 2 4 2" xfId="38086"/>
    <cellStyle name="Comma 2 4 2 3 3 2 3 3" xfId="4647"/>
    <cellStyle name="Comma 2 4 2 3 3 2 3 3 2" xfId="15716"/>
    <cellStyle name="Comma 2 4 2 3 3 2 3 3 2 2" xfId="18227"/>
    <cellStyle name="Comma 2 4 2 3 3 2 3 3 2 2 2" xfId="51048"/>
    <cellStyle name="Comma 2 4 2 3 3 2 3 3 2 2 2 2" xfId="53553"/>
    <cellStyle name="Comma 2 4 2 3 3 2 3 3 2 3" xfId="31728"/>
    <cellStyle name="Comma 2 4 2 3 3 2 3 3 3" xfId="29222"/>
    <cellStyle name="Comma 2 4 2 3 3 2 3 3 3 2" xfId="40086"/>
    <cellStyle name="Comma 2 4 2 3 3 2 3 4" xfId="9850"/>
    <cellStyle name="Comma 2 4 2 3 3 2 3 4 2" xfId="37530"/>
    <cellStyle name="Comma 2 4 2 3 3 2 3 4 2 2" xfId="45220"/>
    <cellStyle name="Comma 2 4 2 3 3 2 3 5" xfId="23343"/>
    <cellStyle name="Comma 2 4 2 3 3 2 4" xfId="4068"/>
    <cellStyle name="Comma 2 4 2 3 3 2 4 2" xfId="5852"/>
    <cellStyle name="Comma 2 4 2 3 3 2 4 2 2" xfId="17661"/>
    <cellStyle name="Comma 2 4 2 3 3 2 4 2 2 2" xfId="19420"/>
    <cellStyle name="Comma 2 4 2 3 3 2 4 2 2 2 2" xfId="52988"/>
    <cellStyle name="Comma 2 4 2 3 3 2 4 2 2 2 2 2" xfId="54746"/>
    <cellStyle name="Comma 2 4 2 3 3 2 4 2 2 3" xfId="32921"/>
    <cellStyle name="Comma 2 4 2 3 3 2 4 2 3" xfId="31163"/>
    <cellStyle name="Comma 2 4 2 3 3 2 4 2 3 2" xfId="41287"/>
    <cellStyle name="Comma 2 4 2 3 3 2 4 3" xfId="11075"/>
    <cellStyle name="Comma 2 4 2 3 3 2 4 3 2" xfId="39511"/>
    <cellStyle name="Comma 2 4 2 3 3 2 4 3 2 2" xfId="46434"/>
    <cellStyle name="Comma 2 4 2 3 3 2 4 4" xfId="24569"/>
    <cellStyle name="Comma 2 4 2 3 3 2 5" xfId="9259"/>
    <cellStyle name="Comma 2 4 2 3 3 2 5 2" xfId="14236"/>
    <cellStyle name="Comma 2 4 2 3 3 2 5 2 2" xfId="44641"/>
    <cellStyle name="Comma 2 4 2 3 3 2 5 2 2 2" xfId="49581"/>
    <cellStyle name="Comma 2 4 2 3 3 2 5 3" xfId="27743"/>
    <cellStyle name="Comma 2 4 2 3 3 2 6" xfId="22755"/>
    <cellStyle name="Comma 2 4 2 3 3 2 6 2" xfId="36048"/>
    <cellStyle name="Comma 2 4 2 3 3 3" xfId="845"/>
    <cellStyle name="Comma 2 4 2 3 3 3 2" xfId="2519"/>
    <cellStyle name="Comma 2 4 2 3 3 3 2 2" xfId="2897"/>
    <cellStyle name="Comma 2 4 2 3 3 3 2 2 2" xfId="7744"/>
    <cellStyle name="Comma 2 4 2 3 3 3 2 2 2 2" xfId="8112"/>
    <cellStyle name="Comma 2 4 2 3 3 3 2 2 2 2 2" xfId="21296"/>
    <cellStyle name="Comma 2 4 2 3 3 3 2 2 2 2 2 2" xfId="21664"/>
    <cellStyle name="Comma 2 4 2 3 3 3 2 2 2 2 2 2 2" xfId="56622"/>
    <cellStyle name="Comma 2 4 2 3 3 3 2 2 2 2 2 2 2 2" xfId="56990"/>
    <cellStyle name="Comma 2 4 2 3 3 3 2 2 2 2 2 3" xfId="35167"/>
    <cellStyle name="Comma 2 4 2 3 3 3 2 2 2 2 3" xfId="34799"/>
    <cellStyle name="Comma 2 4 2 3 3 3 2 2 2 2 3 2" xfId="43539"/>
    <cellStyle name="Comma 2 4 2 3 3 3 2 2 2 3" xfId="13337"/>
    <cellStyle name="Comma 2 4 2 3 3 3 2 2 2 3 2" xfId="43171"/>
    <cellStyle name="Comma 2 4 2 3 3 3 2 2 2 3 2 2" xfId="48683"/>
    <cellStyle name="Comma 2 4 2 3 3 3 2 2 2 4" xfId="26822"/>
    <cellStyle name="Comma 2 4 2 3 3 3 2 2 3" xfId="12969"/>
    <cellStyle name="Comma 2 4 2 3 3 3 2 2 3 2" xfId="16554"/>
    <cellStyle name="Comma 2 4 2 3 3 3 2 2 3 2 2" xfId="48315"/>
    <cellStyle name="Comma 2 4 2 3 3 3 2 2 3 2 2 2" xfId="51882"/>
    <cellStyle name="Comma 2 4 2 3 3 3 2 2 3 3" xfId="30056"/>
    <cellStyle name="Comma 2 4 2 3 3 3 2 2 4" xfId="26453"/>
    <cellStyle name="Comma 2 4 2 3 3 3 2 2 4 2" xfId="38366"/>
    <cellStyle name="Comma 2 4 2 3 3 3 2 3" xfId="4933"/>
    <cellStyle name="Comma 2 4 2 3 3 3 2 3 2" xfId="16180"/>
    <cellStyle name="Comma 2 4 2 3 3 3 2 3 2 2" xfId="18506"/>
    <cellStyle name="Comma 2 4 2 3 3 3 2 3 2 2 2" xfId="51511"/>
    <cellStyle name="Comma 2 4 2 3 3 3 2 3 2 2 2 2" xfId="53832"/>
    <cellStyle name="Comma 2 4 2 3 3 3 2 3 2 3" xfId="32007"/>
    <cellStyle name="Comma 2 4 2 3 3 3 2 3 3" xfId="29685"/>
    <cellStyle name="Comma 2 4 2 3 3 3 2 3 3 2" xfId="40370"/>
    <cellStyle name="Comma 2 4 2 3 3 3 2 4" xfId="10136"/>
    <cellStyle name="Comma 2 4 2 3 3 3 2 4 2" xfId="37994"/>
    <cellStyle name="Comma 2 4 2 3 3 3 2 4 2 2" xfId="45499"/>
    <cellStyle name="Comma 2 4 2 3 3 3 2 5" xfId="23622"/>
    <cellStyle name="Comma 2 4 2 3 3 3 3" xfId="4554"/>
    <cellStyle name="Comma 2 4 2 3 3 3 3 2" xfId="6160"/>
    <cellStyle name="Comma 2 4 2 3 3 3 3 2 2" xfId="18137"/>
    <cellStyle name="Comma 2 4 2 3 3 3 3 2 2 2" xfId="19720"/>
    <cellStyle name="Comma 2 4 2 3 3 3 3 2 2 2 2" xfId="53463"/>
    <cellStyle name="Comma 2 4 2 3 3 3 3 2 2 2 2 2" xfId="55046"/>
    <cellStyle name="Comma 2 4 2 3 3 3 3 2 2 3" xfId="33222"/>
    <cellStyle name="Comma 2 4 2 3 3 3 3 2 3" xfId="31638"/>
    <cellStyle name="Comma 2 4 2 3 3 3 3 2 3 2" xfId="41591"/>
    <cellStyle name="Comma 2 4 2 3 3 3 3 3" xfId="11386"/>
    <cellStyle name="Comma 2 4 2 3 3 3 3 3 2" xfId="39995"/>
    <cellStyle name="Comma 2 4 2 3 3 3 3 3 2 2" xfId="46737"/>
    <cellStyle name="Comma 2 4 2 3 3 3 3 4" xfId="24874"/>
    <cellStyle name="Comma 2 4 2 3 3 3 4" xfId="9757"/>
    <cellStyle name="Comma 2 4 2 3 3 3 4 2" xfId="14543"/>
    <cellStyle name="Comma 2 4 2 3 3 3 4 2 2" xfId="45130"/>
    <cellStyle name="Comma 2 4 2 3 3 3 4 2 2 2" xfId="49884"/>
    <cellStyle name="Comma 2 4 2 3 3 3 4 3" xfId="28054"/>
    <cellStyle name="Comma 2 4 2 3 3 3 5" xfId="23253"/>
    <cellStyle name="Comma 2 4 2 3 3 3 5 2" xfId="36353"/>
    <cellStyle name="Comma 2 4 2 3 3 4" xfId="1640"/>
    <cellStyle name="Comma 2 4 2 3 3 4 2" xfId="5760"/>
    <cellStyle name="Comma 2 4 2 3 3 4 2 2" xfId="6906"/>
    <cellStyle name="Comma 2 4 2 3 3 4 2 2 2" xfId="19329"/>
    <cellStyle name="Comma 2 4 2 3 3 4 2 2 2 2" xfId="20459"/>
    <cellStyle name="Comma 2 4 2 3 3 4 2 2 2 2 2" xfId="54655"/>
    <cellStyle name="Comma 2 4 2 3 3 4 2 2 2 2 2 2" xfId="55785"/>
    <cellStyle name="Comma 2 4 2 3 3 4 2 2 2 3" xfId="33961"/>
    <cellStyle name="Comma 2 4 2 3 3 4 2 2 3" xfId="32830"/>
    <cellStyle name="Comma 2 4 2 3 3 4 2 2 3 2" xfId="42334"/>
    <cellStyle name="Comma 2 4 2 3 3 4 2 3" xfId="12130"/>
    <cellStyle name="Comma 2 4 2 3 3 4 2 3 2" xfId="41195"/>
    <cellStyle name="Comma 2 4 2 3 3 4 2 3 2 2" xfId="47477"/>
    <cellStyle name="Comma 2 4 2 3 3 4 2 4" xfId="25615"/>
    <cellStyle name="Comma 2 4 2 3 3 4 3" xfId="10981"/>
    <cellStyle name="Comma 2 4 2 3 3 4 3 2" xfId="15314"/>
    <cellStyle name="Comma 2 4 2 3 3 4 3 2 2" xfId="46340"/>
    <cellStyle name="Comma 2 4 2 3 3 4 3 2 2 2" xfId="50649"/>
    <cellStyle name="Comma 2 4 2 3 3 4 3 3" xfId="28823"/>
    <cellStyle name="Comma 2 4 2 3 3 4 4" xfId="24474"/>
    <cellStyle name="Comma 2 4 2 3 3 4 4 2" xfId="37125"/>
    <cellStyle name="Comma 2 4 2 3 3 5" xfId="3644"/>
    <cellStyle name="Comma 2 4 2 3 3 5 2" xfId="14144"/>
    <cellStyle name="Comma 2 4 2 3 3 5 2 2" xfId="17274"/>
    <cellStyle name="Comma 2 4 2 3 3 5 2 2 2" xfId="49489"/>
    <cellStyle name="Comma 2 4 2 3 3 5 2 2 2 2" xfId="52601"/>
    <cellStyle name="Comma 2 4 2 3 3 5 2 3" xfId="30775"/>
    <cellStyle name="Comma 2 4 2 3 3 5 3" xfId="27646"/>
    <cellStyle name="Comma 2 4 2 3 3 5 3 2" xfId="39099"/>
    <cellStyle name="Comma 2 4 2 3 3 6" xfId="8839"/>
    <cellStyle name="Comma 2 4 2 3 3 6 2" xfId="35955"/>
    <cellStyle name="Comma 2 4 2 3 3 6 2 2" xfId="44246"/>
    <cellStyle name="Comma 2 4 2 3 3 7" xfId="22354"/>
    <cellStyle name="Comma 2 4 2 3 4" xfId="738"/>
    <cellStyle name="Comma 2 4 2 3 4 2" xfId="1020"/>
    <cellStyle name="Comma 2 4 2 3 4 2 2" xfId="2808"/>
    <cellStyle name="Comma 2 4 2 3 4 2 2 2" xfId="3057"/>
    <cellStyle name="Comma 2 4 2 3 4 2 2 2 2" xfId="8024"/>
    <cellStyle name="Comma 2 4 2 3 4 2 2 2 2 2" xfId="8272"/>
    <cellStyle name="Comma 2 4 2 3 4 2 2 2 2 2 2" xfId="21576"/>
    <cellStyle name="Comma 2 4 2 3 4 2 2 2 2 2 2 2" xfId="21824"/>
    <cellStyle name="Comma 2 4 2 3 4 2 2 2 2 2 2 2 2" xfId="56902"/>
    <cellStyle name="Comma 2 4 2 3 4 2 2 2 2 2 2 2 2 2" xfId="57150"/>
    <cellStyle name="Comma 2 4 2 3 4 2 2 2 2 2 2 3" xfId="35327"/>
    <cellStyle name="Comma 2 4 2 3 4 2 2 2 2 2 3" xfId="35079"/>
    <cellStyle name="Comma 2 4 2 3 4 2 2 2 2 2 3 2" xfId="43699"/>
    <cellStyle name="Comma 2 4 2 3 4 2 2 2 2 3" xfId="13497"/>
    <cellStyle name="Comma 2 4 2 3 4 2 2 2 2 3 2" xfId="43451"/>
    <cellStyle name="Comma 2 4 2 3 4 2 2 2 2 3 2 2" xfId="48843"/>
    <cellStyle name="Comma 2 4 2 3 4 2 2 2 2 4" xfId="26982"/>
    <cellStyle name="Comma 2 4 2 3 4 2 2 2 3" xfId="13249"/>
    <cellStyle name="Comma 2 4 2 3 4 2 2 2 3 2" xfId="16714"/>
    <cellStyle name="Comma 2 4 2 3 4 2 2 2 3 2 2" xfId="48595"/>
    <cellStyle name="Comma 2 4 2 3 4 2 2 2 3 2 2 2" xfId="52042"/>
    <cellStyle name="Comma 2 4 2 3 4 2 2 2 3 3" xfId="30216"/>
    <cellStyle name="Comma 2 4 2 3 4 2 2 2 4" xfId="26733"/>
    <cellStyle name="Comma 2 4 2 3 4 2 2 2 4 2" xfId="38526"/>
    <cellStyle name="Comma 2 4 2 3 4 2 2 3" xfId="5094"/>
    <cellStyle name="Comma 2 4 2 3 4 2 2 3 2" xfId="16466"/>
    <cellStyle name="Comma 2 4 2 3 4 2 2 3 2 2" xfId="18667"/>
    <cellStyle name="Comma 2 4 2 3 4 2 2 3 2 2 2" xfId="51794"/>
    <cellStyle name="Comma 2 4 2 3 4 2 2 3 2 2 2 2" xfId="53993"/>
    <cellStyle name="Comma 2 4 2 3 4 2 2 3 2 3" xfId="32168"/>
    <cellStyle name="Comma 2 4 2 3 4 2 2 3 3" xfId="29968"/>
    <cellStyle name="Comma 2 4 2 3 4 2 2 3 3 2" xfId="40531"/>
    <cellStyle name="Comma 2 4 2 3 4 2 2 4" xfId="10297"/>
    <cellStyle name="Comma 2 4 2 3 4 2 2 4 2" xfId="38278"/>
    <cellStyle name="Comma 2 4 2 3 4 2 2 4 2 2" xfId="45660"/>
    <cellStyle name="Comma 2 4 2 3 4 2 2 5" xfId="23783"/>
    <cellStyle name="Comma 2 4 2 3 4 2 3" xfId="4844"/>
    <cellStyle name="Comma 2 4 2 3 4 2 3 2" xfId="6330"/>
    <cellStyle name="Comma 2 4 2 3 4 2 3 2 2" xfId="18418"/>
    <cellStyle name="Comma 2 4 2 3 4 2 3 2 2 2" xfId="19887"/>
    <cellStyle name="Comma 2 4 2 3 4 2 3 2 2 2 2" xfId="53744"/>
    <cellStyle name="Comma 2 4 2 3 4 2 3 2 2 2 2 2" xfId="55213"/>
    <cellStyle name="Comma 2 4 2 3 4 2 3 2 2 3" xfId="33389"/>
    <cellStyle name="Comma 2 4 2 3 4 2 3 2 3" xfId="31919"/>
    <cellStyle name="Comma 2 4 2 3 4 2 3 2 3 2" xfId="41759"/>
    <cellStyle name="Comma 2 4 2 3 4 2 3 3" xfId="11556"/>
    <cellStyle name="Comma 2 4 2 3 4 2 3 3 2" xfId="40281"/>
    <cellStyle name="Comma 2 4 2 3 4 2 3 3 2 2" xfId="46905"/>
    <cellStyle name="Comma 2 4 2 3 4 2 3 4" xfId="25042"/>
    <cellStyle name="Comma 2 4 2 3 4 2 4" xfId="10047"/>
    <cellStyle name="Comma 2 4 2 3 4 2 4 2" xfId="14713"/>
    <cellStyle name="Comma 2 4 2 3 4 2 4 2 2" xfId="45411"/>
    <cellStyle name="Comma 2 4 2 3 4 2 4 2 2 2" xfId="50052"/>
    <cellStyle name="Comma 2 4 2 3 4 2 4 3" xfId="28225"/>
    <cellStyle name="Comma 2 4 2 3 4 2 5" xfId="23534"/>
    <cellStyle name="Comma 2 4 2 3 4 2 5 2" xfId="36521"/>
    <cellStyle name="Comma 2 4 2 3 4 3" xfId="1823"/>
    <cellStyle name="Comma 2 4 2 3 4 3 2" xfId="6060"/>
    <cellStyle name="Comma 2 4 2 3 4 3 2 2" xfId="7075"/>
    <cellStyle name="Comma 2 4 2 3 4 3 2 2 2" xfId="19624"/>
    <cellStyle name="Comma 2 4 2 3 4 3 2 2 2 2" xfId="20628"/>
    <cellStyle name="Comma 2 4 2 3 4 3 2 2 2 2 2" xfId="54950"/>
    <cellStyle name="Comma 2 4 2 3 4 3 2 2 2 2 2 2" xfId="55954"/>
    <cellStyle name="Comma 2 4 2 3 4 3 2 2 2 3" xfId="34130"/>
    <cellStyle name="Comma 2 4 2 3 4 3 2 2 3" xfId="33125"/>
    <cellStyle name="Comma 2 4 2 3 4 3 2 2 3 2" xfId="42503"/>
    <cellStyle name="Comma 2 4 2 3 4 3 2 3" xfId="12299"/>
    <cellStyle name="Comma 2 4 2 3 4 3 2 3 2" xfId="41494"/>
    <cellStyle name="Comma 2 4 2 3 4 3 2 3 2 2" xfId="47646"/>
    <cellStyle name="Comma 2 4 2 3 4 3 2 4" xfId="25784"/>
    <cellStyle name="Comma 2 4 2 3 4 3 3" xfId="11286"/>
    <cellStyle name="Comma 2 4 2 3 4 3 3 2" xfId="15495"/>
    <cellStyle name="Comma 2 4 2 3 4 3 3 2 2" xfId="46641"/>
    <cellStyle name="Comma 2 4 2 3 4 3 3 2 2 2" xfId="50828"/>
    <cellStyle name="Comma 2 4 2 3 4 3 3 3" xfId="29002"/>
    <cellStyle name="Comma 2 4 2 3 4 3 4" xfId="24778"/>
    <cellStyle name="Comma 2 4 2 3 4 3 4 2" xfId="37305"/>
    <cellStyle name="Comma 2 4 2 3 4 4" xfId="3834"/>
    <cellStyle name="Comma 2 4 2 3 4 4 2" xfId="14444"/>
    <cellStyle name="Comma 2 4 2 3 4 4 2 2" xfId="17449"/>
    <cellStyle name="Comma 2 4 2 3 4 4 2 2 2" xfId="49788"/>
    <cellStyle name="Comma 2 4 2 3 4 4 2 2 2 2" xfId="52776"/>
    <cellStyle name="Comma 2 4 2 3 4 4 2 3" xfId="30950"/>
    <cellStyle name="Comma 2 4 2 3 4 4 3" xfId="27956"/>
    <cellStyle name="Comma 2 4 2 3 4 4 3 2" xfId="39284"/>
    <cellStyle name="Comma 2 4 2 3 4 5" xfId="9026"/>
    <cellStyle name="Comma 2 4 2 3 4 5 2" xfId="36256"/>
    <cellStyle name="Comma 2 4 2 3 4 5 2 2" xfId="44424"/>
    <cellStyle name="Comma 2 4 2 3 4 6" xfId="22535"/>
    <cellStyle name="Comma 2 4 2 3 5" xfId="1522"/>
    <cellStyle name="Comma 2 4 2 3 5 2" xfId="2284"/>
    <cellStyle name="Comma 2 4 2 3 5 2 2" xfId="6810"/>
    <cellStyle name="Comma 2 4 2 3 5 2 2 2" xfId="7518"/>
    <cellStyle name="Comma 2 4 2 3 5 2 2 2 2" xfId="20363"/>
    <cellStyle name="Comma 2 4 2 3 5 2 2 2 2 2" xfId="21070"/>
    <cellStyle name="Comma 2 4 2 3 5 2 2 2 2 2 2" xfId="55689"/>
    <cellStyle name="Comma 2 4 2 3 5 2 2 2 2 2 2 2" xfId="56396"/>
    <cellStyle name="Comma 2 4 2 3 5 2 2 2 2 3" xfId="34573"/>
    <cellStyle name="Comma 2 4 2 3 5 2 2 2 3" xfId="33865"/>
    <cellStyle name="Comma 2 4 2 3 5 2 2 2 3 2" xfId="42945"/>
    <cellStyle name="Comma 2 4 2 3 5 2 2 3" xfId="12743"/>
    <cellStyle name="Comma 2 4 2 3 5 2 2 3 2" xfId="42238"/>
    <cellStyle name="Comma 2 4 2 3 5 2 2 3 2 2" xfId="48089"/>
    <cellStyle name="Comma 2 4 2 3 5 2 2 4" xfId="26227"/>
    <cellStyle name="Comma 2 4 2 3 5 2 3" xfId="12034"/>
    <cellStyle name="Comma 2 4 2 3 5 2 3 2" xfId="15948"/>
    <cellStyle name="Comma 2 4 2 3 5 2 3 2 2" xfId="47381"/>
    <cellStyle name="Comma 2 4 2 3 5 2 3 2 2 2" xfId="51280"/>
    <cellStyle name="Comma 2 4 2 3 5 2 3 3" xfId="29454"/>
    <cellStyle name="Comma 2 4 2 3 5 2 4" xfId="25518"/>
    <cellStyle name="Comma 2 4 2 3 5 2 4 2" xfId="37762"/>
    <cellStyle name="Comma 2 4 2 3 5 3" xfId="4308"/>
    <cellStyle name="Comma 2 4 2 3 5 3 2" xfId="15203"/>
    <cellStyle name="Comma 2 4 2 3 5 3 2 2" xfId="17901"/>
    <cellStyle name="Comma 2 4 2 3 5 3 2 2 2" xfId="50541"/>
    <cellStyle name="Comma 2 4 2 3 5 3 2 2 2 2" xfId="53228"/>
    <cellStyle name="Comma 2 4 2 3 5 3 2 3" xfId="31403"/>
    <cellStyle name="Comma 2 4 2 3 5 3 3" xfId="28715"/>
    <cellStyle name="Comma 2 4 2 3 5 3 3 2" xfId="39751"/>
    <cellStyle name="Comma 2 4 2 3 5 4" xfId="9502"/>
    <cellStyle name="Comma 2 4 2 3 5 4 2" xfId="37013"/>
    <cellStyle name="Comma 2 4 2 3 5 4 2 2" xfId="44884"/>
    <cellStyle name="Comma 2 4 2 3 5 5" xfId="23000"/>
    <cellStyle name="Comma 2 4 2 3 6" xfId="3523"/>
    <cellStyle name="Comma 2 4 2 3 6 2" xfId="5523"/>
    <cellStyle name="Comma 2 4 2 3 6 2 2" xfId="17175"/>
    <cellStyle name="Comma 2 4 2 3 6 2 2 2" xfId="19096"/>
    <cellStyle name="Comma 2 4 2 3 6 2 2 2 2" xfId="52502"/>
    <cellStyle name="Comma 2 4 2 3 6 2 2 2 2 2" xfId="54422"/>
    <cellStyle name="Comma 2 4 2 3 6 2 2 3" xfId="32597"/>
    <cellStyle name="Comma 2 4 2 3 6 2 3" xfId="30676"/>
    <cellStyle name="Comma 2 4 2 3 6 2 3 2" xfId="40960"/>
    <cellStyle name="Comma 2 4 2 3 6 3" xfId="10726"/>
    <cellStyle name="Comma 2 4 2 3 6 3 2" xfId="38988"/>
    <cellStyle name="Comma 2 4 2 3 6 3 2 2" xfId="46089"/>
    <cellStyle name="Comma 2 4 2 3 6 4" xfId="24213"/>
    <cellStyle name="Comma 2 4 2 3 7" xfId="8717"/>
    <cellStyle name="Comma 2 4 2 3 7 2" xfId="10739"/>
    <cellStyle name="Comma 2 4 2 3 7 2 2" xfId="44143"/>
    <cellStyle name="Comma 2 4 2 3 7 2 2 2" xfId="46101"/>
    <cellStyle name="Comma 2 4 2 3 7 3" xfId="24225"/>
    <cellStyle name="Comma 2 4 2 3 8" xfId="22247"/>
    <cellStyle name="Comma 2 4 2 3 8 2" xfId="27715"/>
    <cellStyle name="Comma 2 4 2 4" xfId="193"/>
    <cellStyle name="Comma 2 4 2 4 2" xfId="489"/>
    <cellStyle name="Comma 2 4 2 4 2 2" xfId="572"/>
    <cellStyle name="Comma 2 4 2 4 2 2 2" xfId="1302"/>
    <cellStyle name="Comma 2 4 2 4 2 2 2 2" xfId="1369"/>
    <cellStyle name="Comma 2 4 2 4 2 2 2 2 2" xfId="3320"/>
    <cellStyle name="Comma 2 4 2 4 2 2 2 2 2 2" xfId="3387"/>
    <cellStyle name="Comma 2 4 2 4 2 2 2 2 2 2 2" xfId="8535"/>
    <cellStyle name="Comma 2 4 2 4 2 2 2 2 2 2 2 2" xfId="8602"/>
    <cellStyle name="Comma 2 4 2 4 2 2 2 2 2 2 2 2 2" xfId="22087"/>
    <cellStyle name="Comma 2 4 2 4 2 2 2 2 2 2 2 2 2 2" xfId="22154"/>
    <cellStyle name="Comma 2 4 2 4 2 2 2 2 2 2 2 2 2 2 2" xfId="57413"/>
    <cellStyle name="Comma 2 4 2 4 2 2 2 2 2 2 2 2 2 2 2 2" xfId="57480"/>
    <cellStyle name="Comma 2 4 2 4 2 2 2 2 2 2 2 2 2 3" xfId="35657"/>
    <cellStyle name="Comma 2 4 2 4 2 2 2 2 2 2 2 2 3" xfId="35590"/>
    <cellStyle name="Comma 2 4 2 4 2 2 2 2 2 2 2 2 3 2" xfId="44029"/>
    <cellStyle name="Comma 2 4 2 4 2 2 2 2 2 2 2 3" xfId="13827"/>
    <cellStyle name="Comma 2 4 2 4 2 2 2 2 2 2 2 3 2" xfId="43962"/>
    <cellStyle name="Comma 2 4 2 4 2 2 2 2 2 2 2 3 2 2" xfId="49173"/>
    <cellStyle name="Comma 2 4 2 4 2 2 2 2 2 2 2 4" xfId="27312"/>
    <cellStyle name="Comma 2 4 2 4 2 2 2 2 2 2 3" xfId="13760"/>
    <cellStyle name="Comma 2 4 2 4 2 2 2 2 2 2 3 2" xfId="17044"/>
    <cellStyle name="Comma 2 4 2 4 2 2 2 2 2 2 3 2 2" xfId="49106"/>
    <cellStyle name="Comma 2 4 2 4 2 2 2 2 2 2 3 2 2 2" xfId="52372"/>
    <cellStyle name="Comma 2 4 2 4 2 2 2 2 2 2 3 3" xfId="30546"/>
    <cellStyle name="Comma 2 4 2 4 2 2 2 2 2 2 4" xfId="27245"/>
    <cellStyle name="Comma 2 4 2 4 2 2 2 2 2 2 4 2" xfId="38856"/>
    <cellStyle name="Comma 2 4 2 4 2 2 2 2 2 3" xfId="5424"/>
    <cellStyle name="Comma 2 4 2 4 2 2 2 2 2 3 2" xfId="16977"/>
    <cellStyle name="Comma 2 4 2 4 2 2 2 2 2 3 2 2" xfId="18997"/>
    <cellStyle name="Comma 2 4 2 4 2 2 2 2 2 3 2 2 2" xfId="52305"/>
    <cellStyle name="Comma 2 4 2 4 2 2 2 2 2 3 2 2 2 2" xfId="54323"/>
    <cellStyle name="Comma 2 4 2 4 2 2 2 2 2 3 2 3" xfId="32498"/>
    <cellStyle name="Comma 2 4 2 4 2 2 2 2 2 3 3" xfId="30479"/>
    <cellStyle name="Comma 2 4 2 4 2 2 2 2 2 3 3 2" xfId="40861"/>
    <cellStyle name="Comma 2 4 2 4 2 2 2 2 2 4" xfId="10627"/>
    <cellStyle name="Comma 2 4 2 4 2 2 2 2 2 4 2" xfId="38789"/>
    <cellStyle name="Comma 2 4 2 4 2 2 2 2 2 4 2 2" xfId="45990"/>
    <cellStyle name="Comma 2 4 2 4 2 2 2 2 2 5" xfId="24113"/>
    <cellStyle name="Comma 2 4 2 4 2 2 2 2 3" xfId="5357"/>
    <cellStyle name="Comma 2 4 2 4 2 2 2 2 3 2" xfId="6677"/>
    <cellStyle name="Comma 2 4 2 4 2 2 2 2 3 2 2" xfId="18930"/>
    <cellStyle name="Comma 2 4 2 4 2 2 2 2 3 2 2 2" xfId="20230"/>
    <cellStyle name="Comma 2 4 2 4 2 2 2 2 3 2 2 2 2" xfId="54256"/>
    <cellStyle name="Comma 2 4 2 4 2 2 2 2 3 2 2 2 2 2" xfId="55556"/>
    <cellStyle name="Comma 2 4 2 4 2 2 2 2 3 2 2 3" xfId="33732"/>
    <cellStyle name="Comma 2 4 2 4 2 2 2 2 3 2 3" xfId="32431"/>
    <cellStyle name="Comma 2 4 2 4 2 2 2 2 3 2 3 2" xfId="42105"/>
    <cellStyle name="Comma 2 4 2 4 2 2 2 2 3 3" xfId="11900"/>
    <cellStyle name="Comma 2 4 2 4 2 2 2 2 3 3 2" xfId="40794"/>
    <cellStyle name="Comma 2 4 2 4 2 2 2 2 3 3 2 2" xfId="47248"/>
    <cellStyle name="Comma 2 4 2 4 2 2 2 2 3 4" xfId="25385"/>
    <cellStyle name="Comma 2 4 2 4 2 2 2 2 4" xfId="10560"/>
    <cellStyle name="Comma 2 4 2 4 2 2 2 2 4 2" xfId="15058"/>
    <cellStyle name="Comma 2 4 2 4 2 2 2 2 4 2 2" xfId="45923"/>
    <cellStyle name="Comma 2 4 2 4 2 2 2 2 4 2 2 2" xfId="50397"/>
    <cellStyle name="Comma 2 4 2 4 2 2 2 2 4 3" xfId="28571"/>
    <cellStyle name="Comma 2 4 2 4 2 2 2 2 5" xfId="24046"/>
    <cellStyle name="Comma 2 4 2 4 2 2 2 2 5 2" xfId="36866"/>
    <cellStyle name="Comma 2 4 2 4 2 2 2 3" xfId="2176"/>
    <cellStyle name="Comma 2 4 2 4 2 2 2 3 2" xfId="6610"/>
    <cellStyle name="Comma 2 4 2 4 2 2 2 3 2 2" xfId="7410"/>
    <cellStyle name="Comma 2 4 2 4 2 2 2 3 2 2 2" xfId="20163"/>
    <cellStyle name="Comma 2 4 2 4 2 2 2 3 2 2 2 2" xfId="20962"/>
    <cellStyle name="Comma 2 4 2 4 2 2 2 3 2 2 2 2 2" xfId="55489"/>
    <cellStyle name="Comma 2 4 2 4 2 2 2 3 2 2 2 2 2 2" xfId="56288"/>
    <cellStyle name="Comma 2 4 2 4 2 2 2 3 2 2 2 3" xfId="34465"/>
    <cellStyle name="Comma 2 4 2 4 2 2 2 3 2 2 3" xfId="33665"/>
    <cellStyle name="Comma 2 4 2 4 2 2 2 3 2 2 3 2" xfId="42837"/>
    <cellStyle name="Comma 2 4 2 4 2 2 2 3 2 3" xfId="12635"/>
    <cellStyle name="Comma 2 4 2 4 2 2 2 3 2 3 2" xfId="42038"/>
    <cellStyle name="Comma 2 4 2 4 2 2 2 3 2 3 2 2" xfId="47981"/>
    <cellStyle name="Comma 2 4 2 4 2 2 2 3 2 4" xfId="26119"/>
    <cellStyle name="Comma 2 4 2 4 2 2 2 3 3" xfId="11833"/>
    <cellStyle name="Comma 2 4 2 4 2 2 2 3 3 2" xfId="15840"/>
    <cellStyle name="Comma 2 4 2 4 2 2 2 3 3 2 2" xfId="47181"/>
    <cellStyle name="Comma 2 4 2 4 2 2 2 3 3 2 2 2" xfId="51172"/>
    <cellStyle name="Comma 2 4 2 4 2 2 2 3 3 3" xfId="29346"/>
    <cellStyle name="Comma 2 4 2 4 2 2 2 3 4" xfId="25318"/>
    <cellStyle name="Comma 2 4 2 4 2 2 2 3 4 2" xfId="37654"/>
    <cellStyle name="Comma 2 4 2 4 2 2 2 4" xfId="4192"/>
    <cellStyle name="Comma 2 4 2 4 2 2 2 4 2" xfId="14991"/>
    <cellStyle name="Comma 2 4 2 4 2 2 2 4 2 2" xfId="17785"/>
    <cellStyle name="Comma 2 4 2 4 2 2 2 4 2 2 2" xfId="50330"/>
    <cellStyle name="Comma 2 4 2 4 2 2 2 4 2 2 2 2" xfId="53112"/>
    <cellStyle name="Comma 2 4 2 4 2 2 2 4 2 3" xfId="31287"/>
    <cellStyle name="Comma 2 4 2 4 2 2 2 4 3" xfId="28504"/>
    <cellStyle name="Comma 2 4 2 4 2 2 2 4 3 2" xfId="39635"/>
    <cellStyle name="Comma 2 4 2 4 2 2 2 5" xfId="9383"/>
    <cellStyle name="Comma 2 4 2 4 2 2 2 5 2" xfId="36799"/>
    <cellStyle name="Comma 2 4 2 4 2 2 2 5 2 2" xfId="44765"/>
    <cellStyle name="Comma 2 4 2 4 2 2 2 6" xfId="22879"/>
    <cellStyle name="Comma 2 4 2 4 2 2 3" xfId="2109"/>
    <cellStyle name="Comma 2 4 2 4 2 2 3 2" xfId="2662"/>
    <cellStyle name="Comma 2 4 2 4 2 2 3 2 2" xfId="7343"/>
    <cellStyle name="Comma 2 4 2 4 2 2 3 2 2 2" xfId="7881"/>
    <cellStyle name="Comma 2 4 2 4 2 2 3 2 2 2 2" xfId="20895"/>
    <cellStyle name="Comma 2 4 2 4 2 2 3 2 2 2 2 2" xfId="21433"/>
    <cellStyle name="Comma 2 4 2 4 2 2 3 2 2 2 2 2 2" xfId="56221"/>
    <cellStyle name="Comma 2 4 2 4 2 2 3 2 2 2 2 2 2 2" xfId="56759"/>
    <cellStyle name="Comma 2 4 2 4 2 2 3 2 2 2 2 3" xfId="34936"/>
    <cellStyle name="Comma 2 4 2 4 2 2 3 2 2 2 3" xfId="34398"/>
    <cellStyle name="Comma 2 4 2 4 2 2 3 2 2 2 3 2" xfId="43308"/>
    <cellStyle name="Comma 2 4 2 4 2 2 3 2 2 3" xfId="13106"/>
    <cellStyle name="Comma 2 4 2 4 2 2 3 2 2 3 2" xfId="42770"/>
    <cellStyle name="Comma 2 4 2 4 2 2 3 2 2 3 2 2" xfId="48452"/>
    <cellStyle name="Comma 2 4 2 4 2 2 3 2 2 4" xfId="26590"/>
    <cellStyle name="Comma 2 4 2 4 2 2 3 2 3" xfId="12568"/>
    <cellStyle name="Comma 2 4 2 4 2 2 3 2 3 2" xfId="16321"/>
    <cellStyle name="Comma 2 4 2 4 2 2 3 2 3 2 2" xfId="47914"/>
    <cellStyle name="Comma 2 4 2 4 2 2 3 2 3 2 2 2" xfId="51651"/>
    <cellStyle name="Comma 2 4 2 4 2 2 3 2 3 3" xfId="29825"/>
    <cellStyle name="Comma 2 4 2 4 2 2 3 2 4" xfId="26052"/>
    <cellStyle name="Comma 2 4 2 4 2 2 3 2 4 2" xfId="38135"/>
    <cellStyle name="Comma 2 4 2 4 2 2 3 3" xfId="4698"/>
    <cellStyle name="Comma 2 4 2 4 2 2 3 3 2" xfId="15773"/>
    <cellStyle name="Comma 2 4 2 4 2 2 3 3 2 2" xfId="18275"/>
    <cellStyle name="Comma 2 4 2 4 2 2 3 3 2 2 2" xfId="51105"/>
    <cellStyle name="Comma 2 4 2 4 2 2 3 3 2 2 2 2" xfId="53601"/>
    <cellStyle name="Comma 2 4 2 4 2 2 3 3 2 3" xfId="31776"/>
    <cellStyle name="Comma 2 4 2 4 2 2 3 3 3" xfId="29279"/>
    <cellStyle name="Comma 2 4 2 4 2 2 3 3 3 2" xfId="40136"/>
    <cellStyle name="Comma 2 4 2 4 2 2 3 4" xfId="9901"/>
    <cellStyle name="Comma 2 4 2 4 2 2 3 4 2" xfId="37587"/>
    <cellStyle name="Comma 2 4 2 4 2 2 3 4 2 2" xfId="45268"/>
    <cellStyle name="Comma 2 4 2 4 2 2 3 5" xfId="23391"/>
    <cellStyle name="Comma 2 4 2 4 2 2 4" xfId="4125"/>
    <cellStyle name="Comma 2 4 2 4 2 2 4 2" xfId="5903"/>
    <cellStyle name="Comma 2 4 2 4 2 2 4 2 2" xfId="17718"/>
    <cellStyle name="Comma 2 4 2 4 2 2 4 2 2 2" xfId="19470"/>
    <cellStyle name="Comma 2 4 2 4 2 2 4 2 2 2 2" xfId="53045"/>
    <cellStyle name="Comma 2 4 2 4 2 2 4 2 2 2 2 2" xfId="54796"/>
    <cellStyle name="Comma 2 4 2 4 2 2 4 2 2 3" xfId="32971"/>
    <cellStyle name="Comma 2 4 2 4 2 2 4 2 3" xfId="31220"/>
    <cellStyle name="Comma 2 4 2 4 2 2 4 2 3 2" xfId="41337"/>
    <cellStyle name="Comma 2 4 2 4 2 2 4 3" xfId="11128"/>
    <cellStyle name="Comma 2 4 2 4 2 2 4 3 2" xfId="39568"/>
    <cellStyle name="Comma 2 4 2 4 2 2 4 3 2 2" xfId="46486"/>
    <cellStyle name="Comma 2 4 2 4 2 2 4 4" xfId="24621"/>
    <cellStyle name="Comma 2 4 2 4 2 2 5" xfId="9316"/>
    <cellStyle name="Comma 2 4 2 4 2 2 5 2" xfId="14287"/>
    <cellStyle name="Comma 2 4 2 4 2 2 5 2 2" xfId="44698"/>
    <cellStyle name="Comma 2 4 2 4 2 2 5 2 2 2" xfId="49632"/>
    <cellStyle name="Comma 2 4 2 4 2 2 5 3" xfId="27797"/>
    <cellStyle name="Comma 2 4 2 4 2 2 6" xfId="22812"/>
    <cellStyle name="Comma 2 4 2 4 2 2 6 2" xfId="36099"/>
    <cellStyle name="Comma 2 4 2 4 2 3" xfId="900"/>
    <cellStyle name="Comma 2 4 2 4 2 3 2" xfId="2586"/>
    <cellStyle name="Comma 2 4 2 4 2 3 2 2" xfId="2939"/>
    <cellStyle name="Comma 2 4 2 4 2 3 2 2 2" xfId="7807"/>
    <cellStyle name="Comma 2 4 2 4 2 3 2 2 2 2" xfId="8154"/>
    <cellStyle name="Comma 2 4 2 4 2 3 2 2 2 2 2" xfId="21359"/>
    <cellStyle name="Comma 2 4 2 4 2 3 2 2 2 2 2 2" xfId="21706"/>
    <cellStyle name="Comma 2 4 2 4 2 3 2 2 2 2 2 2 2" xfId="56685"/>
    <cellStyle name="Comma 2 4 2 4 2 3 2 2 2 2 2 2 2 2" xfId="57032"/>
    <cellStyle name="Comma 2 4 2 4 2 3 2 2 2 2 2 3" xfId="35209"/>
    <cellStyle name="Comma 2 4 2 4 2 3 2 2 2 2 3" xfId="34862"/>
    <cellStyle name="Comma 2 4 2 4 2 3 2 2 2 2 3 2" xfId="43581"/>
    <cellStyle name="Comma 2 4 2 4 2 3 2 2 2 3" xfId="13379"/>
    <cellStyle name="Comma 2 4 2 4 2 3 2 2 2 3 2" xfId="43234"/>
    <cellStyle name="Comma 2 4 2 4 2 3 2 2 2 3 2 2" xfId="48725"/>
    <cellStyle name="Comma 2 4 2 4 2 3 2 2 2 4" xfId="26864"/>
    <cellStyle name="Comma 2 4 2 4 2 3 2 2 3" xfId="13032"/>
    <cellStyle name="Comma 2 4 2 4 2 3 2 2 3 2" xfId="16596"/>
    <cellStyle name="Comma 2 4 2 4 2 3 2 2 3 2 2" xfId="48378"/>
    <cellStyle name="Comma 2 4 2 4 2 3 2 2 3 2 2 2" xfId="51924"/>
    <cellStyle name="Comma 2 4 2 4 2 3 2 2 3 3" xfId="30098"/>
    <cellStyle name="Comma 2 4 2 4 2 3 2 2 4" xfId="26516"/>
    <cellStyle name="Comma 2 4 2 4 2 3 2 2 4 2" xfId="38408"/>
    <cellStyle name="Comma 2 4 2 4 2 3 2 3" xfId="4975"/>
    <cellStyle name="Comma 2 4 2 4 2 3 2 3 2" xfId="16245"/>
    <cellStyle name="Comma 2 4 2 4 2 3 2 3 2 2" xfId="18548"/>
    <cellStyle name="Comma 2 4 2 4 2 3 2 3 2 2 2" xfId="51575"/>
    <cellStyle name="Comma 2 4 2 4 2 3 2 3 2 2 2 2" xfId="53874"/>
    <cellStyle name="Comma 2 4 2 4 2 3 2 3 2 3" xfId="32049"/>
    <cellStyle name="Comma 2 4 2 4 2 3 2 3 3" xfId="29749"/>
    <cellStyle name="Comma 2 4 2 4 2 3 2 3 3 2" xfId="40412"/>
    <cellStyle name="Comma 2 4 2 4 2 3 2 4" xfId="10178"/>
    <cellStyle name="Comma 2 4 2 4 2 3 2 4 2" xfId="38059"/>
    <cellStyle name="Comma 2 4 2 4 2 3 2 4 2 2" xfId="45541"/>
    <cellStyle name="Comma 2 4 2 4 2 3 2 5" xfId="23664"/>
    <cellStyle name="Comma 2 4 2 4 2 3 3" xfId="4620"/>
    <cellStyle name="Comma 2 4 2 4 2 3 3 2" xfId="6211"/>
    <cellStyle name="Comma 2 4 2 4 2 3 3 2 2" xfId="18201"/>
    <cellStyle name="Comma 2 4 2 4 2 3 3 2 2 2" xfId="19769"/>
    <cellStyle name="Comma 2 4 2 4 2 3 3 2 2 2 2" xfId="53527"/>
    <cellStyle name="Comma 2 4 2 4 2 3 3 2 2 2 2 2" xfId="55095"/>
    <cellStyle name="Comma 2 4 2 4 2 3 3 2 2 3" xfId="33271"/>
    <cellStyle name="Comma 2 4 2 4 2 3 3 2 3" xfId="31702"/>
    <cellStyle name="Comma 2 4 2 4 2 3 3 2 3 2" xfId="41640"/>
    <cellStyle name="Comma 2 4 2 4 2 3 3 3" xfId="11436"/>
    <cellStyle name="Comma 2 4 2 4 2 3 3 3 2" xfId="40059"/>
    <cellStyle name="Comma 2 4 2 4 2 3 3 3 2 2" xfId="46786"/>
    <cellStyle name="Comma 2 4 2 4 2 3 3 4" xfId="24923"/>
    <cellStyle name="Comma 2 4 2 4 2 3 4" xfId="9824"/>
    <cellStyle name="Comma 2 4 2 4 2 3 4 2" xfId="14595"/>
    <cellStyle name="Comma 2 4 2 4 2 3 4 2 2" xfId="45194"/>
    <cellStyle name="Comma 2 4 2 4 2 3 4 2 2 2" xfId="49934"/>
    <cellStyle name="Comma 2 4 2 4 2 3 4 3" xfId="28105"/>
    <cellStyle name="Comma 2 4 2 4 2 3 5" xfId="23317"/>
    <cellStyle name="Comma 2 4 2 4 2 3 5 2" xfId="36403"/>
    <cellStyle name="Comma 2 4 2 4 2 4" xfId="1696"/>
    <cellStyle name="Comma 2 4 2 4 2 4 2" xfId="5825"/>
    <cellStyle name="Comma 2 4 2 4 2 4 2 2" xfId="6950"/>
    <cellStyle name="Comma 2 4 2 4 2 4 2 2 2" xfId="19393"/>
    <cellStyle name="Comma 2 4 2 4 2 4 2 2 2 2" xfId="20503"/>
    <cellStyle name="Comma 2 4 2 4 2 4 2 2 2 2 2" xfId="54719"/>
    <cellStyle name="Comma 2 4 2 4 2 4 2 2 2 2 2 2" xfId="55829"/>
    <cellStyle name="Comma 2 4 2 4 2 4 2 2 2 3" xfId="34005"/>
    <cellStyle name="Comma 2 4 2 4 2 4 2 2 3" xfId="32894"/>
    <cellStyle name="Comma 2 4 2 4 2 4 2 2 3 2" xfId="42378"/>
    <cellStyle name="Comma 2 4 2 4 2 4 2 3" xfId="12174"/>
    <cellStyle name="Comma 2 4 2 4 2 4 2 3 2" xfId="41260"/>
    <cellStyle name="Comma 2 4 2 4 2 4 2 3 2 2" xfId="47521"/>
    <cellStyle name="Comma 2 4 2 4 2 4 2 4" xfId="25659"/>
    <cellStyle name="Comma 2 4 2 4 2 4 3" xfId="11048"/>
    <cellStyle name="Comma 2 4 2 4 2 4 3 2" xfId="15368"/>
    <cellStyle name="Comma 2 4 2 4 2 4 3 2 2" xfId="46407"/>
    <cellStyle name="Comma 2 4 2 4 2 4 3 2 2 2" xfId="50702"/>
    <cellStyle name="Comma 2 4 2 4 2 4 3 3" xfId="28876"/>
    <cellStyle name="Comma 2 4 2 4 2 4 4" xfId="24542"/>
    <cellStyle name="Comma 2 4 2 4 2 4 4 2" xfId="37179"/>
    <cellStyle name="Comma 2 4 2 4 2 5" xfId="3701"/>
    <cellStyle name="Comma 2 4 2 4 2 5 2" xfId="14209"/>
    <cellStyle name="Comma 2 4 2 4 2 5 2 2" xfId="17318"/>
    <cellStyle name="Comma 2 4 2 4 2 5 2 2 2" xfId="49554"/>
    <cellStyle name="Comma 2 4 2 4 2 5 2 2 2 2" xfId="52645"/>
    <cellStyle name="Comma 2 4 2 4 2 5 2 3" xfId="30819"/>
    <cellStyle name="Comma 2 4 2 4 2 5 3" xfId="27716"/>
    <cellStyle name="Comma 2 4 2 4 2 5 3 2" xfId="39152"/>
    <cellStyle name="Comma 2 4 2 4 2 6" xfId="8890"/>
    <cellStyle name="Comma 2 4 2 4 2 6 2" xfId="36021"/>
    <cellStyle name="Comma 2 4 2 4 2 6 2 2" xfId="44290"/>
    <cellStyle name="Comma 2 4 2 4 2 7" xfId="22398"/>
    <cellStyle name="Comma 2 4 2 4 3" xfId="815"/>
    <cellStyle name="Comma 2 4 2 4 3 2" xfId="1068"/>
    <cellStyle name="Comma 2 4 2 4 3 2 2" xfId="2869"/>
    <cellStyle name="Comma 2 4 2 4 3 2 2 2" xfId="3103"/>
    <cellStyle name="Comma 2 4 2 4 3 2 2 2 2" xfId="8085"/>
    <cellStyle name="Comma 2 4 2 4 3 2 2 2 2 2" xfId="8318"/>
    <cellStyle name="Comma 2 4 2 4 3 2 2 2 2 2 2" xfId="21637"/>
    <cellStyle name="Comma 2 4 2 4 3 2 2 2 2 2 2 2" xfId="21870"/>
    <cellStyle name="Comma 2 4 2 4 3 2 2 2 2 2 2 2 2" xfId="56963"/>
    <cellStyle name="Comma 2 4 2 4 3 2 2 2 2 2 2 2 2 2" xfId="57196"/>
    <cellStyle name="Comma 2 4 2 4 3 2 2 2 2 2 2 3" xfId="35373"/>
    <cellStyle name="Comma 2 4 2 4 3 2 2 2 2 2 3" xfId="35140"/>
    <cellStyle name="Comma 2 4 2 4 3 2 2 2 2 2 3 2" xfId="43745"/>
    <cellStyle name="Comma 2 4 2 4 3 2 2 2 2 3" xfId="13543"/>
    <cellStyle name="Comma 2 4 2 4 3 2 2 2 2 3 2" xfId="43512"/>
    <cellStyle name="Comma 2 4 2 4 3 2 2 2 2 3 2 2" xfId="48889"/>
    <cellStyle name="Comma 2 4 2 4 3 2 2 2 2 4" xfId="27028"/>
    <cellStyle name="Comma 2 4 2 4 3 2 2 2 3" xfId="13310"/>
    <cellStyle name="Comma 2 4 2 4 3 2 2 2 3 2" xfId="16760"/>
    <cellStyle name="Comma 2 4 2 4 3 2 2 2 3 2 2" xfId="48656"/>
    <cellStyle name="Comma 2 4 2 4 3 2 2 2 3 2 2 2" xfId="52088"/>
    <cellStyle name="Comma 2 4 2 4 3 2 2 2 3 3" xfId="30262"/>
    <cellStyle name="Comma 2 4 2 4 3 2 2 2 4" xfId="26794"/>
    <cellStyle name="Comma 2 4 2 4 3 2 2 2 4 2" xfId="38572"/>
    <cellStyle name="Comma 2 4 2 4 3 2 2 3" xfId="5140"/>
    <cellStyle name="Comma 2 4 2 4 3 2 2 3 2" xfId="16527"/>
    <cellStyle name="Comma 2 4 2 4 3 2 2 3 2 2" xfId="18713"/>
    <cellStyle name="Comma 2 4 2 4 3 2 2 3 2 2 2" xfId="51855"/>
    <cellStyle name="Comma 2 4 2 4 3 2 2 3 2 2 2 2" xfId="54039"/>
    <cellStyle name="Comma 2 4 2 4 3 2 2 3 2 3" xfId="32214"/>
    <cellStyle name="Comma 2 4 2 4 3 2 2 3 3" xfId="30029"/>
    <cellStyle name="Comma 2 4 2 4 3 2 2 3 3 2" xfId="40577"/>
    <cellStyle name="Comma 2 4 2 4 3 2 2 4" xfId="10343"/>
    <cellStyle name="Comma 2 4 2 4 3 2 2 4 2" xfId="38339"/>
    <cellStyle name="Comma 2 4 2 4 3 2 2 4 2 2" xfId="45706"/>
    <cellStyle name="Comma 2 4 2 4 3 2 2 5" xfId="23829"/>
    <cellStyle name="Comma 2 4 2 4 3 2 3" xfId="4905"/>
    <cellStyle name="Comma 2 4 2 4 3 2 3 2" xfId="6378"/>
    <cellStyle name="Comma 2 4 2 4 3 2 3 2 2" xfId="18479"/>
    <cellStyle name="Comma 2 4 2 4 3 2 3 2 2 2" xfId="19934"/>
    <cellStyle name="Comma 2 4 2 4 3 2 3 2 2 2 2" xfId="53805"/>
    <cellStyle name="Comma 2 4 2 4 3 2 3 2 2 2 2 2" xfId="55260"/>
    <cellStyle name="Comma 2 4 2 4 3 2 3 2 2 3" xfId="33436"/>
    <cellStyle name="Comma 2 4 2 4 3 2 3 2 3" xfId="31980"/>
    <cellStyle name="Comma 2 4 2 4 3 2 3 2 3 2" xfId="41807"/>
    <cellStyle name="Comma 2 4 2 4 3 2 3 3" xfId="11603"/>
    <cellStyle name="Comma 2 4 2 4 3 2 3 3 2" xfId="40342"/>
    <cellStyle name="Comma 2 4 2 4 3 2 3 3 2 2" xfId="46952"/>
    <cellStyle name="Comma 2 4 2 4 3 2 3 4" xfId="25089"/>
    <cellStyle name="Comma 2 4 2 4 3 2 4" xfId="10108"/>
    <cellStyle name="Comma 2 4 2 4 3 2 4 2" xfId="14760"/>
    <cellStyle name="Comma 2 4 2 4 3 2 4 2 2" xfId="45472"/>
    <cellStyle name="Comma 2 4 2 4 3 2 4 2 2 2" xfId="50099"/>
    <cellStyle name="Comma 2 4 2 4 3 2 4 3" xfId="28272"/>
    <cellStyle name="Comma 2 4 2 4 3 2 5" xfId="23595"/>
    <cellStyle name="Comma 2 4 2 4 3 2 5 2" xfId="36568"/>
    <cellStyle name="Comma 2 4 2 4 3 3" xfId="1876"/>
    <cellStyle name="Comma 2 4 2 4 3 3 2" xfId="6130"/>
    <cellStyle name="Comma 2 4 2 4 3 3 2 2" xfId="7125"/>
    <cellStyle name="Comma 2 4 2 4 3 3 2 2 2" xfId="19691"/>
    <cellStyle name="Comma 2 4 2 4 3 3 2 2 2 2" xfId="20677"/>
    <cellStyle name="Comma 2 4 2 4 3 3 2 2 2 2 2" xfId="55017"/>
    <cellStyle name="Comma 2 4 2 4 3 3 2 2 2 2 2 2" xfId="56003"/>
    <cellStyle name="Comma 2 4 2 4 3 3 2 2 2 3" xfId="34180"/>
    <cellStyle name="Comma 2 4 2 4 3 3 2 2 3" xfId="33192"/>
    <cellStyle name="Comma 2 4 2 4 3 3 2 2 3 2" xfId="42552"/>
    <cellStyle name="Comma 2 4 2 4 3 3 2 3" xfId="12350"/>
    <cellStyle name="Comma 2 4 2 4 3 3 2 3 2" xfId="41562"/>
    <cellStyle name="Comma 2 4 2 4 3 3 2 3 2 2" xfId="47696"/>
    <cellStyle name="Comma 2 4 2 4 3 3 2 4" xfId="25834"/>
    <cellStyle name="Comma 2 4 2 4 3 3 3" xfId="11356"/>
    <cellStyle name="Comma 2 4 2 4 3 3 3 2" xfId="15546"/>
    <cellStyle name="Comma 2 4 2 4 3 3 3 2 2" xfId="46708"/>
    <cellStyle name="Comma 2 4 2 4 3 3 3 2 2 2" xfId="50878"/>
    <cellStyle name="Comma 2 4 2 4 3 3 3 3" xfId="29052"/>
    <cellStyle name="Comma 2 4 2 4 3 3 4" xfId="24845"/>
    <cellStyle name="Comma 2 4 2 4 3 3 4 2" xfId="37357"/>
    <cellStyle name="Comma 2 4 2 4 3 4" xfId="3890"/>
    <cellStyle name="Comma 2 4 2 4 3 4 2" xfId="14513"/>
    <cellStyle name="Comma 2 4 2 4 3 4 2 2" xfId="17500"/>
    <cellStyle name="Comma 2 4 2 4 3 4 2 2 2" xfId="49855"/>
    <cellStyle name="Comma 2 4 2 4 3 4 2 2 2 2" xfId="52827"/>
    <cellStyle name="Comma 2 4 2 4 3 4 2 3" xfId="31002"/>
    <cellStyle name="Comma 2 4 2 4 3 4 3" xfId="28025"/>
    <cellStyle name="Comma 2 4 2 4 3 4 3 2" xfId="39338"/>
    <cellStyle name="Comma 2 4 2 4 3 5" xfId="9083"/>
    <cellStyle name="Comma 2 4 2 4 3 5 2" xfId="36323"/>
    <cellStyle name="Comma 2 4 2 4 3 5 2 2" xfId="44479"/>
    <cellStyle name="Comma 2 4 2 4 3 6" xfId="22592"/>
    <cellStyle name="Comma 2 4 2 4 4" xfId="1604"/>
    <cellStyle name="Comma 2 4 2 4 4 2" xfId="2330"/>
    <cellStyle name="Comma 2 4 2 4 4 2 2" xfId="6874"/>
    <cellStyle name="Comma 2 4 2 4 4 2 2 2" xfId="7564"/>
    <cellStyle name="Comma 2 4 2 4 4 2 2 2 2" xfId="20427"/>
    <cellStyle name="Comma 2 4 2 4 4 2 2 2 2 2" xfId="21116"/>
    <cellStyle name="Comma 2 4 2 4 4 2 2 2 2 2 2" xfId="55753"/>
    <cellStyle name="Comma 2 4 2 4 4 2 2 2 2 2 2 2" xfId="56442"/>
    <cellStyle name="Comma 2 4 2 4 4 2 2 2 2 3" xfId="34619"/>
    <cellStyle name="Comma 2 4 2 4 4 2 2 2 3" xfId="33929"/>
    <cellStyle name="Comma 2 4 2 4 4 2 2 2 3 2" xfId="42991"/>
    <cellStyle name="Comma 2 4 2 4 4 2 2 3" xfId="12789"/>
    <cellStyle name="Comma 2 4 2 4 4 2 2 3 2" xfId="42302"/>
    <cellStyle name="Comma 2 4 2 4 4 2 2 3 2 2" xfId="48135"/>
    <cellStyle name="Comma 2 4 2 4 4 2 2 4" xfId="26273"/>
    <cellStyle name="Comma 2 4 2 4 4 2 3" xfId="12098"/>
    <cellStyle name="Comma 2 4 2 4 4 2 3 2" xfId="15994"/>
    <cellStyle name="Comma 2 4 2 4 4 2 3 2 2" xfId="47445"/>
    <cellStyle name="Comma 2 4 2 4 4 2 3 2 2 2" xfId="51326"/>
    <cellStyle name="Comma 2 4 2 4 4 2 3 3" xfId="29500"/>
    <cellStyle name="Comma 2 4 2 4 4 2 4" xfId="25583"/>
    <cellStyle name="Comma 2 4 2 4 4 2 4 2" xfId="37808"/>
    <cellStyle name="Comma 2 4 2 4 4 3" xfId="4360"/>
    <cellStyle name="Comma 2 4 2 4 4 3 2" xfId="15280"/>
    <cellStyle name="Comma 2 4 2 4 4 3 2 2" xfId="17952"/>
    <cellStyle name="Comma 2 4 2 4 4 3 2 2 2" xfId="50615"/>
    <cellStyle name="Comma 2 4 2 4 4 3 2 2 2 2" xfId="53279"/>
    <cellStyle name="Comma 2 4 2 4 4 3 2 3" xfId="31454"/>
    <cellStyle name="Comma 2 4 2 4 4 3 3" xfId="28789"/>
    <cellStyle name="Comma 2 4 2 4 4 3 3 2" xfId="39802"/>
    <cellStyle name="Comma 2 4 2 4 4 4" xfId="9560"/>
    <cellStyle name="Comma 2 4 2 4 4 4 2" xfId="37090"/>
    <cellStyle name="Comma 2 4 2 4 4 4 2 2" xfId="44942"/>
    <cellStyle name="Comma 2 4 2 4 4 5" xfId="23061"/>
    <cellStyle name="Comma 2 4 2 4 5" xfId="3607"/>
    <cellStyle name="Comma 2 4 2 4 5 2" xfId="5570"/>
    <cellStyle name="Comma 2 4 2 4 5 2 2" xfId="17242"/>
    <cellStyle name="Comma 2 4 2 4 5 2 2 2" xfId="19143"/>
    <cellStyle name="Comma 2 4 2 4 5 2 2 2 2" xfId="52569"/>
    <cellStyle name="Comma 2 4 2 4 5 2 2 2 2 2" xfId="54469"/>
    <cellStyle name="Comma 2 4 2 4 5 2 2 3" xfId="32644"/>
    <cellStyle name="Comma 2 4 2 4 5 2 3" xfId="30743"/>
    <cellStyle name="Comma 2 4 2 4 5 2 3 2" xfId="41007"/>
    <cellStyle name="Comma 2 4 2 4 5 3" xfId="10780"/>
    <cellStyle name="Comma 2 4 2 4 5 3 2" xfId="39063"/>
    <cellStyle name="Comma 2 4 2 4 5 3 2 2" xfId="46142"/>
    <cellStyle name="Comma 2 4 2 4 5 4" xfId="24269"/>
    <cellStyle name="Comma 2 4 2 4 6" xfId="8801"/>
    <cellStyle name="Comma 2 4 2 4 6 2" xfId="13955"/>
    <cellStyle name="Comma 2 4 2 4 6 2 2" xfId="44212"/>
    <cellStyle name="Comma 2 4 2 4 6 2 2 2" xfId="49301"/>
    <cellStyle name="Comma 2 4 2 4 6 3" xfId="27445"/>
    <cellStyle name="Comma 2 4 2 4 7" xfId="22318"/>
    <cellStyle name="Comma 2 4 2 4 7 2" xfId="35767"/>
    <cellStyle name="Comma 2 4 2 5" xfId="288"/>
    <cellStyle name="Comma 2 4 2 5 2" xfId="995"/>
    <cellStyle name="Comma 2 4 2 5 2 2" xfId="1152"/>
    <cellStyle name="Comma 2 4 2 5 2 2 2" xfId="3032"/>
    <cellStyle name="Comma 2 4 2 5 2 2 2 2" xfId="3175"/>
    <cellStyle name="Comma 2 4 2 5 2 2 2 2 2" xfId="8247"/>
    <cellStyle name="Comma 2 4 2 5 2 2 2 2 2 2" xfId="8390"/>
    <cellStyle name="Comma 2 4 2 5 2 2 2 2 2 2 2" xfId="21799"/>
    <cellStyle name="Comma 2 4 2 5 2 2 2 2 2 2 2 2" xfId="21942"/>
    <cellStyle name="Comma 2 4 2 5 2 2 2 2 2 2 2 2 2" xfId="57125"/>
    <cellStyle name="Comma 2 4 2 5 2 2 2 2 2 2 2 2 2 2" xfId="57268"/>
    <cellStyle name="Comma 2 4 2 5 2 2 2 2 2 2 2 3" xfId="35445"/>
    <cellStyle name="Comma 2 4 2 5 2 2 2 2 2 2 3" xfId="35302"/>
    <cellStyle name="Comma 2 4 2 5 2 2 2 2 2 2 3 2" xfId="43817"/>
    <cellStyle name="Comma 2 4 2 5 2 2 2 2 2 3" xfId="13615"/>
    <cellStyle name="Comma 2 4 2 5 2 2 2 2 2 3 2" xfId="43674"/>
    <cellStyle name="Comma 2 4 2 5 2 2 2 2 2 3 2 2" xfId="48961"/>
    <cellStyle name="Comma 2 4 2 5 2 2 2 2 2 4" xfId="27100"/>
    <cellStyle name="Comma 2 4 2 5 2 2 2 2 3" xfId="13472"/>
    <cellStyle name="Comma 2 4 2 5 2 2 2 2 3 2" xfId="16832"/>
    <cellStyle name="Comma 2 4 2 5 2 2 2 2 3 2 2" xfId="48818"/>
    <cellStyle name="Comma 2 4 2 5 2 2 2 2 3 2 2 2" xfId="52160"/>
    <cellStyle name="Comma 2 4 2 5 2 2 2 2 3 3" xfId="30334"/>
    <cellStyle name="Comma 2 4 2 5 2 2 2 2 4" xfId="26957"/>
    <cellStyle name="Comma 2 4 2 5 2 2 2 2 4 2" xfId="38644"/>
    <cellStyle name="Comma 2 4 2 5 2 2 2 3" xfId="5212"/>
    <cellStyle name="Comma 2 4 2 5 2 2 2 3 2" xfId="16689"/>
    <cellStyle name="Comma 2 4 2 5 2 2 2 3 2 2" xfId="18785"/>
    <cellStyle name="Comma 2 4 2 5 2 2 2 3 2 2 2" xfId="52017"/>
    <cellStyle name="Comma 2 4 2 5 2 2 2 3 2 2 2 2" xfId="54111"/>
    <cellStyle name="Comma 2 4 2 5 2 2 2 3 2 3" xfId="32286"/>
    <cellStyle name="Comma 2 4 2 5 2 2 2 3 3" xfId="30191"/>
    <cellStyle name="Comma 2 4 2 5 2 2 2 3 3 2" xfId="40649"/>
    <cellStyle name="Comma 2 4 2 5 2 2 2 4" xfId="10415"/>
    <cellStyle name="Comma 2 4 2 5 2 2 2 4 2" xfId="38501"/>
    <cellStyle name="Comma 2 4 2 5 2 2 2 4 2 2" xfId="45778"/>
    <cellStyle name="Comma 2 4 2 5 2 2 2 5" xfId="23901"/>
    <cellStyle name="Comma 2 4 2 5 2 2 3" xfId="5069"/>
    <cellStyle name="Comma 2 4 2 5 2 2 3 2" xfId="6460"/>
    <cellStyle name="Comma 2 4 2 5 2 2 3 2 2" xfId="18642"/>
    <cellStyle name="Comma 2 4 2 5 2 2 3 2 2 2" xfId="20014"/>
    <cellStyle name="Comma 2 4 2 5 2 2 3 2 2 2 2" xfId="53968"/>
    <cellStyle name="Comma 2 4 2 5 2 2 3 2 2 2 2 2" xfId="55340"/>
    <cellStyle name="Comma 2 4 2 5 2 2 3 2 2 3" xfId="33516"/>
    <cellStyle name="Comma 2 4 2 5 2 2 3 2 3" xfId="32143"/>
    <cellStyle name="Comma 2 4 2 5 2 2 3 2 3 2" xfId="41888"/>
    <cellStyle name="Comma 2 4 2 5 2 2 3 3" xfId="11684"/>
    <cellStyle name="Comma 2 4 2 5 2 2 3 3 2" xfId="40506"/>
    <cellStyle name="Comma 2 4 2 5 2 2 3 3 2 2" xfId="47032"/>
    <cellStyle name="Comma 2 4 2 5 2 2 3 4" xfId="25169"/>
    <cellStyle name="Comma 2 4 2 5 2 2 4" xfId="10272"/>
    <cellStyle name="Comma 2 4 2 5 2 2 4 2" xfId="14842"/>
    <cellStyle name="Comma 2 4 2 5 2 2 4 2 2" xfId="45635"/>
    <cellStyle name="Comma 2 4 2 5 2 2 4 2 2 2" xfId="50181"/>
    <cellStyle name="Comma 2 4 2 5 2 2 4 3" xfId="28355"/>
    <cellStyle name="Comma 2 4 2 5 2 2 5" xfId="23758"/>
    <cellStyle name="Comma 2 4 2 5 2 2 5 2" xfId="36650"/>
    <cellStyle name="Comma 2 4 2 5 2 3" xfId="1960"/>
    <cellStyle name="Comma 2 4 2 5 2 3 2" xfId="6305"/>
    <cellStyle name="Comma 2 4 2 5 2 3 2 2" xfId="7197"/>
    <cellStyle name="Comma 2 4 2 5 2 3 2 2 2" xfId="19862"/>
    <cellStyle name="Comma 2 4 2 5 2 3 2 2 2 2" xfId="20749"/>
    <cellStyle name="Comma 2 4 2 5 2 3 2 2 2 2 2" xfId="55188"/>
    <cellStyle name="Comma 2 4 2 5 2 3 2 2 2 2 2 2" xfId="56075"/>
    <cellStyle name="Comma 2 4 2 5 2 3 2 2 2 3" xfId="34252"/>
    <cellStyle name="Comma 2 4 2 5 2 3 2 2 3" xfId="33364"/>
    <cellStyle name="Comma 2 4 2 5 2 3 2 2 3 2" xfId="42624"/>
    <cellStyle name="Comma 2 4 2 5 2 3 2 3" xfId="12422"/>
    <cellStyle name="Comma 2 4 2 5 2 3 2 3 2" xfId="41734"/>
    <cellStyle name="Comma 2 4 2 5 2 3 2 3 2 2" xfId="47768"/>
    <cellStyle name="Comma 2 4 2 5 2 3 2 4" xfId="25906"/>
    <cellStyle name="Comma 2 4 2 5 2 3 3" xfId="11531"/>
    <cellStyle name="Comma 2 4 2 5 2 3 3 2" xfId="15625"/>
    <cellStyle name="Comma 2 4 2 5 2 3 3 2 2" xfId="46880"/>
    <cellStyle name="Comma 2 4 2 5 2 3 3 2 2 2" xfId="50957"/>
    <cellStyle name="Comma 2 4 2 5 2 3 3 3" xfId="29131"/>
    <cellStyle name="Comma 2 4 2 5 2 3 4" xfId="25017"/>
    <cellStyle name="Comma 2 4 2 5 2 3 4 2" xfId="37438"/>
    <cellStyle name="Comma 2 4 2 5 2 4" xfId="3974"/>
    <cellStyle name="Comma 2 4 2 5 2 4 2" xfId="14688"/>
    <cellStyle name="Comma 2 4 2 5 2 4 2 2" xfId="17572"/>
    <cellStyle name="Comma 2 4 2 5 2 4 2 2 2" xfId="50027"/>
    <cellStyle name="Comma 2 4 2 5 2 4 2 2 2 2" xfId="52899"/>
    <cellStyle name="Comma 2 4 2 5 2 4 2 3" xfId="31074"/>
    <cellStyle name="Comma 2 4 2 5 2 4 3" xfId="28200"/>
    <cellStyle name="Comma 2 4 2 5 2 4 3 2" xfId="39418"/>
    <cellStyle name="Comma 2 4 2 5 2 5" xfId="9166"/>
    <cellStyle name="Comma 2 4 2 5 2 5 2" xfId="36496"/>
    <cellStyle name="Comma 2 4 2 5 2 5 2 2" xfId="44552"/>
    <cellStyle name="Comma 2 4 2 5 2 6" xfId="22666"/>
    <cellStyle name="Comma 2 4 2 5 3" xfId="1792"/>
    <cellStyle name="Comma 2 4 2 5 3 2" xfId="2407"/>
    <cellStyle name="Comma 2 4 2 5 3 2 2" xfId="7044"/>
    <cellStyle name="Comma 2 4 2 5 3 2 2 2" xfId="7639"/>
    <cellStyle name="Comma 2 4 2 5 3 2 2 2 2" xfId="20597"/>
    <cellStyle name="Comma 2 4 2 5 3 2 2 2 2 2" xfId="21191"/>
    <cellStyle name="Comma 2 4 2 5 3 2 2 2 2 2 2" xfId="55923"/>
    <cellStyle name="Comma 2 4 2 5 3 2 2 2 2 2 2 2" xfId="56517"/>
    <cellStyle name="Comma 2 4 2 5 3 2 2 2 2 3" xfId="34694"/>
    <cellStyle name="Comma 2 4 2 5 3 2 2 2 3" xfId="34099"/>
    <cellStyle name="Comma 2 4 2 5 3 2 2 2 3 2" xfId="43066"/>
    <cellStyle name="Comma 2 4 2 5 3 2 2 3" xfId="12864"/>
    <cellStyle name="Comma 2 4 2 5 3 2 2 3 2" xfId="42472"/>
    <cellStyle name="Comma 2 4 2 5 3 2 2 3 2 2" xfId="48210"/>
    <cellStyle name="Comma 2 4 2 5 3 2 2 4" xfId="26348"/>
    <cellStyle name="Comma 2 4 2 5 3 2 3" xfId="12268"/>
    <cellStyle name="Comma 2 4 2 5 3 2 3 2" xfId="16070"/>
    <cellStyle name="Comma 2 4 2 5 3 2 3 2 2" xfId="47615"/>
    <cellStyle name="Comma 2 4 2 5 3 2 3 2 2 2" xfId="51402"/>
    <cellStyle name="Comma 2 4 2 5 3 2 3 3" xfId="29576"/>
    <cellStyle name="Comma 2 4 2 5 3 2 4" xfId="25753"/>
    <cellStyle name="Comma 2 4 2 5 3 2 4 2" xfId="37885"/>
    <cellStyle name="Comma 2 4 2 5 3 3" xfId="4442"/>
    <cellStyle name="Comma 2 4 2 5 3 3 2" xfId="15464"/>
    <cellStyle name="Comma 2 4 2 5 3 3 2 2" xfId="18032"/>
    <cellStyle name="Comma 2 4 2 5 3 3 2 2 2" xfId="50797"/>
    <cellStyle name="Comma 2 4 2 5 3 3 2 2 2 2" xfId="53358"/>
    <cellStyle name="Comma 2 4 2 5 3 3 2 3" xfId="31533"/>
    <cellStyle name="Comma 2 4 2 5 3 3 3" xfId="28971"/>
    <cellStyle name="Comma 2 4 2 5 3 3 3 2" xfId="39884"/>
    <cellStyle name="Comma 2 4 2 5 3 4" xfId="9646"/>
    <cellStyle name="Comma 2 4 2 5 3 4 2" xfId="37274"/>
    <cellStyle name="Comma 2 4 2 5 3 4 2 2" xfId="45024"/>
    <cellStyle name="Comma 2 4 2 5 3 5" xfId="23147"/>
    <cellStyle name="Comma 2 4 2 5 4" xfId="3799"/>
    <cellStyle name="Comma 2 4 2 5 4 2" xfId="5647"/>
    <cellStyle name="Comma 2 4 2 5 4 2 2" xfId="17414"/>
    <cellStyle name="Comma 2 4 2 5 4 2 2 2" xfId="19219"/>
    <cellStyle name="Comma 2 4 2 5 4 2 2 2 2" xfId="52741"/>
    <cellStyle name="Comma 2 4 2 5 4 2 2 2 2 2" xfId="54545"/>
    <cellStyle name="Comma 2 4 2 5 4 2 2 3" xfId="32720"/>
    <cellStyle name="Comma 2 4 2 5 4 2 3" xfId="30915"/>
    <cellStyle name="Comma 2 4 2 5 4 2 3 2" xfId="41083"/>
    <cellStyle name="Comma 2 4 2 5 4 3" xfId="10864"/>
    <cellStyle name="Comma 2 4 2 5 4 3 2" xfId="39249"/>
    <cellStyle name="Comma 2 4 2 5 4 3 2 2" xfId="46226"/>
    <cellStyle name="Comma 2 4 2 5 4 4" xfId="24357"/>
    <cellStyle name="Comma 2 4 2 5 5" xfId="8989"/>
    <cellStyle name="Comma 2 4 2 5 5 2" xfId="14031"/>
    <cellStyle name="Comma 2 4 2 5 5 2 2" xfId="44387"/>
    <cellStyle name="Comma 2 4 2 5 5 2 2 2" xfId="49377"/>
    <cellStyle name="Comma 2 4 2 5 5 3" xfId="27528"/>
    <cellStyle name="Comma 2 4 2 5 6" xfId="22495"/>
    <cellStyle name="Comma 2 4 2 5 6 2" xfId="35843"/>
    <cellStyle name="Comma 2 4 2 6" xfId="375"/>
    <cellStyle name="Comma 2 4 2 6 2" xfId="1806"/>
    <cellStyle name="Comma 2 4 2 6 2 2" xfId="2478"/>
    <cellStyle name="Comma 2 4 2 6 2 2 2" xfId="7058"/>
    <cellStyle name="Comma 2 4 2 6 2 2 2 2" xfId="7708"/>
    <cellStyle name="Comma 2 4 2 6 2 2 2 2 2" xfId="20611"/>
    <cellStyle name="Comma 2 4 2 6 2 2 2 2 2 2" xfId="21260"/>
    <cellStyle name="Comma 2 4 2 6 2 2 2 2 2 2 2" xfId="55937"/>
    <cellStyle name="Comma 2 4 2 6 2 2 2 2 2 2 2 2" xfId="56586"/>
    <cellStyle name="Comma 2 4 2 6 2 2 2 2 2 3" xfId="34763"/>
    <cellStyle name="Comma 2 4 2 6 2 2 2 2 3" xfId="34113"/>
    <cellStyle name="Comma 2 4 2 6 2 2 2 2 3 2" xfId="43135"/>
    <cellStyle name="Comma 2 4 2 6 2 2 2 3" xfId="12933"/>
    <cellStyle name="Comma 2 4 2 6 2 2 2 3 2" xfId="42486"/>
    <cellStyle name="Comma 2 4 2 6 2 2 2 3 2 2" xfId="48279"/>
    <cellStyle name="Comma 2 4 2 6 2 2 2 4" xfId="26417"/>
    <cellStyle name="Comma 2 4 2 6 2 2 3" xfId="12282"/>
    <cellStyle name="Comma 2 4 2 6 2 2 3 2" xfId="16141"/>
    <cellStyle name="Comma 2 4 2 6 2 2 3 2 2" xfId="47629"/>
    <cellStyle name="Comma 2 4 2 6 2 2 3 2 2 2" xfId="51472"/>
    <cellStyle name="Comma 2 4 2 6 2 2 3 3" xfId="29646"/>
    <cellStyle name="Comma 2 4 2 6 2 2 4" xfId="25767"/>
    <cellStyle name="Comma 2 4 2 6 2 2 4 2" xfId="37955"/>
    <cellStyle name="Comma 2 4 2 6 2 3" xfId="4513"/>
    <cellStyle name="Comma 2 4 2 6 2 3 2" xfId="15478"/>
    <cellStyle name="Comma 2 4 2 6 2 3 2 2" xfId="18101"/>
    <cellStyle name="Comma 2 4 2 6 2 3 2 2 2" xfId="50811"/>
    <cellStyle name="Comma 2 4 2 6 2 3 2 2 2 2" xfId="53427"/>
    <cellStyle name="Comma 2 4 2 6 2 3 2 3" xfId="31602"/>
    <cellStyle name="Comma 2 4 2 6 2 3 3" xfId="28985"/>
    <cellStyle name="Comma 2 4 2 6 2 3 3 2" xfId="39954"/>
    <cellStyle name="Comma 2 4 2 6 2 4" xfId="9717"/>
    <cellStyle name="Comma 2 4 2 6 2 4 2" xfId="37288"/>
    <cellStyle name="Comma 2 4 2 6 2 4 2 2" xfId="45094"/>
    <cellStyle name="Comma 2 4 2 6 2 5" xfId="23217"/>
    <cellStyle name="Comma 2 4 2 6 3" xfId="3813"/>
    <cellStyle name="Comma 2 4 2 6 3 2" xfId="5723"/>
    <cellStyle name="Comma 2 4 2 6 3 2 2" xfId="17428"/>
    <cellStyle name="Comma 2 4 2 6 3 2 2 2" xfId="19292"/>
    <cellStyle name="Comma 2 4 2 6 3 2 2 2 2" xfId="52755"/>
    <cellStyle name="Comma 2 4 2 6 3 2 2 2 2 2" xfId="54618"/>
    <cellStyle name="Comma 2 4 2 6 3 2 2 3" xfId="32793"/>
    <cellStyle name="Comma 2 4 2 6 3 2 3" xfId="30929"/>
    <cellStyle name="Comma 2 4 2 6 3 2 3 2" xfId="41158"/>
    <cellStyle name="Comma 2 4 2 6 3 3" xfId="10943"/>
    <cellStyle name="Comma 2 4 2 6 3 3 2" xfId="39263"/>
    <cellStyle name="Comma 2 4 2 6 3 3 2 2" xfId="46302"/>
    <cellStyle name="Comma 2 4 2 6 3 4" xfId="24434"/>
    <cellStyle name="Comma 2 4 2 6 4" xfId="9004"/>
    <cellStyle name="Comma 2 4 2 6 4 2" xfId="14107"/>
    <cellStyle name="Comma 2 4 2 6 4 2 2" xfId="44402"/>
    <cellStyle name="Comma 2 4 2 6 4 2 2 2" xfId="49452"/>
    <cellStyle name="Comma 2 4 2 6 4 3" xfId="27607"/>
    <cellStyle name="Comma 2 4 2 6 5" xfId="22512"/>
    <cellStyle name="Comma 2 4 2 6 5 2" xfId="35918"/>
    <cellStyle name="Comma 2 4 2 7" xfId="1113"/>
    <cellStyle name="Comma 2 4 2 7 2" xfId="4401"/>
    <cellStyle name="Comma 2 4 2 7 2 2" xfId="6421"/>
    <cellStyle name="Comma 2 4 2 7 2 2 2" xfId="17992"/>
    <cellStyle name="Comma 2 4 2 7 2 2 2 2" xfId="19976"/>
    <cellStyle name="Comma 2 4 2 7 2 2 2 2 2" xfId="53318"/>
    <cellStyle name="Comma 2 4 2 7 2 2 2 2 2 2" xfId="55302"/>
    <cellStyle name="Comma 2 4 2 7 2 2 2 3" xfId="33478"/>
    <cellStyle name="Comma 2 4 2 7 2 2 3" xfId="31493"/>
    <cellStyle name="Comma 2 4 2 7 2 2 3 2" xfId="41849"/>
    <cellStyle name="Comma 2 4 2 7 2 3" xfId="11645"/>
    <cellStyle name="Comma 2 4 2 7 2 3 2" xfId="39843"/>
    <cellStyle name="Comma 2 4 2 7 2 3 2 2" xfId="46994"/>
    <cellStyle name="Comma 2 4 2 7 2 4" xfId="25131"/>
    <cellStyle name="Comma 2 4 2 7 3" xfId="9604"/>
    <cellStyle name="Comma 2 4 2 7 3 2" xfId="14804"/>
    <cellStyle name="Comma 2 4 2 7 3 2 2" xfId="44984"/>
    <cellStyle name="Comma 2 4 2 7 3 2 2 2" xfId="50143"/>
    <cellStyle name="Comma 2 4 2 7 3 3" xfId="28316"/>
    <cellStyle name="Comma 2 4 2 7 4" xfId="23105"/>
    <cellStyle name="Comma 2 4 2 7 4 2" xfId="36612"/>
    <cellStyle name="Comma 2 4 2 8" xfId="1672"/>
    <cellStyle name="Comma 2 4 2 8 2" xfId="9063"/>
    <cellStyle name="Comma 2 4 2 8 2 2" xfId="15345"/>
    <cellStyle name="Comma 2 4 2 8 2 2 2" xfId="44459"/>
    <cellStyle name="Comma 2 4 2 8 2 2 2 2" xfId="50679"/>
    <cellStyle name="Comma 2 4 2 8 2 3" xfId="28853"/>
    <cellStyle name="Comma 2 4 2 8 3" xfId="22570"/>
    <cellStyle name="Comma 2 4 2 8 3 2" xfId="37155"/>
    <cellStyle name="Comma 2 4 2 9" xfId="4526"/>
    <cellStyle name="Comma 2 4 2 9 2" xfId="23093"/>
    <cellStyle name="Comma 2 4 2 9 2 2" xfId="39967"/>
    <cellStyle name="Comma 2 4 3" xfId="118"/>
    <cellStyle name="Comma 2 4 3 2" xfId="149"/>
    <cellStyle name="Comma 2 4 3 2 2" xfId="299"/>
    <cellStyle name="Comma 2 4 3 2 2 2" xfId="315"/>
    <cellStyle name="Comma 2 4 3 2 2 2 2" xfId="629"/>
    <cellStyle name="Comma 2 4 3 2 2 2 2 2" xfId="644"/>
    <cellStyle name="Comma 2 4 3 2 2 2 2 2 2" xfId="1425"/>
    <cellStyle name="Comma 2 4 3 2 2 2 2 2 2 2" xfId="1440"/>
    <cellStyle name="Comma 2 4 3 2 2 2 2 2 2 2 2" xfId="3443"/>
    <cellStyle name="Comma 2 4 3 2 2 2 2 2 2 2 2 2" xfId="3458"/>
    <cellStyle name="Comma 2 4 3 2 2 2 2 2 2 2 2 2 2" xfId="8658"/>
    <cellStyle name="Comma 2 4 3 2 2 2 2 2 2 2 2 2 2 2" xfId="8673"/>
    <cellStyle name="Comma 2 4 3 2 2 2 2 2 2 2 2 2 2 2 2" xfId="22210"/>
    <cellStyle name="Comma 2 4 3 2 2 2 2 2 2 2 2 2 2 2 2 2" xfId="22225"/>
    <cellStyle name="Comma 2 4 3 2 2 2 2 2 2 2 2 2 2 2 2 2 2" xfId="57536"/>
    <cellStyle name="Comma 2 4 3 2 2 2 2 2 2 2 2 2 2 2 2 2 2 2" xfId="57551"/>
    <cellStyle name="Comma 2 4 3 2 2 2 2 2 2 2 2 2 2 2 2 3" xfId="35728"/>
    <cellStyle name="Comma 2 4 3 2 2 2 2 2 2 2 2 2 2 2 3" xfId="35713"/>
    <cellStyle name="Comma 2 4 3 2 2 2 2 2 2 2 2 2 2 2 3 2" xfId="44100"/>
    <cellStyle name="Comma 2 4 3 2 2 2 2 2 2 2 2 2 2 3" xfId="13898"/>
    <cellStyle name="Comma 2 4 3 2 2 2 2 2 2 2 2 2 2 3 2" xfId="44085"/>
    <cellStyle name="Comma 2 4 3 2 2 2 2 2 2 2 2 2 2 3 2 2" xfId="49244"/>
    <cellStyle name="Comma 2 4 3 2 2 2 2 2 2 2 2 2 2 4" xfId="27383"/>
    <cellStyle name="Comma 2 4 3 2 2 2 2 2 2 2 2 2 3" xfId="13883"/>
    <cellStyle name="Comma 2 4 3 2 2 2 2 2 2 2 2 2 3 2" xfId="17115"/>
    <cellStyle name="Comma 2 4 3 2 2 2 2 2 2 2 2 2 3 2 2" xfId="49229"/>
    <cellStyle name="Comma 2 4 3 2 2 2 2 2 2 2 2 2 3 2 2 2" xfId="52443"/>
    <cellStyle name="Comma 2 4 3 2 2 2 2 2 2 2 2 2 3 3" xfId="30617"/>
    <cellStyle name="Comma 2 4 3 2 2 2 2 2 2 2 2 2 4" xfId="27368"/>
    <cellStyle name="Comma 2 4 3 2 2 2 2 2 2 2 2 2 4 2" xfId="38927"/>
    <cellStyle name="Comma 2 4 3 2 2 2 2 2 2 2 2 3" xfId="5495"/>
    <cellStyle name="Comma 2 4 3 2 2 2 2 2 2 2 2 3 2" xfId="17100"/>
    <cellStyle name="Comma 2 4 3 2 2 2 2 2 2 2 2 3 2 2" xfId="19068"/>
    <cellStyle name="Comma 2 4 3 2 2 2 2 2 2 2 2 3 2 2 2" xfId="52428"/>
    <cellStyle name="Comma 2 4 3 2 2 2 2 2 2 2 2 3 2 2 2 2" xfId="54394"/>
    <cellStyle name="Comma 2 4 3 2 2 2 2 2 2 2 2 3 2 3" xfId="32569"/>
    <cellStyle name="Comma 2 4 3 2 2 2 2 2 2 2 2 3 3" xfId="30602"/>
    <cellStyle name="Comma 2 4 3 2 2 2 2 2 2 2 2 3 3 2" xfId="40932"/>
    <cellStyle name="Comma 2 4 3 2 2 2 2 2 2 2 2 4" xfId="10698"/>
    <cellStyle name="Comma 2 4 3 2 2 2 2 2 2 2 2 4 2" xfId="38912"/>
    <cellStyle name="Comma 2 4 3 2 2 2 2 2 2 2 2 4 2 2" xfId="46061"/>
    <cellStyle name="Comma 2 4 3 2 2 2 2 2 2 2 2 5" xfId="24184"/>
    <cellStyle name="Comma 2 4 3 2 2 2 2 2 2 2 3" xfId="5480"/>
    <cellStyle name="Comma 2 4 3 2 2 2 2 2 2 2 3 2" xfId="6748"/>
    <cellStyle name="Comma 2 4 3 2 2 2 2 2 2 2 3 2 2" xfId="19053"/>
    <cellStyle name="Comma 2 4 3 2 2 2 2 2 2 2 3 2 2 2" xfId="20301"/>
    <cellStyle name="Comma 2 4 3 2 2 2 2 2 2 2 3 2 2 2 2" xfId="54379"/>
    <cellStyle name="Comma 2 4 3 2 2 2 2 2 2 2 3 2 2 2 2 2" xfId="55627"/>
    <cellStyle name="Comma 2 4 3 2 2 2 2 2 2 2 3 2 2 3" xfId="33803"/>
    <cellStyle name="Comma 2 4 3 2 2 2 2 2 2 2 3 2 3" xfId="32554"/>
    <cellStyle name="Comma 2 4 3 2 2 2 2 2 2 2 3 2 3 2" xfId="42176"/>
    <cellStyle name="Comma 2 4 3 2 2 2 2 2 2 2 3 3" xfId="11971"/>
    <cellStyle name="Comma 2 4 3 2 2 2 2 2 2 2 3 3 2" xfId="40917"/>
    <cellStyle name="Comma 2 4 3 2 2 2 2 2 2 2 3 3 2 2" xfId="47319"/>
    <cellStyle name="Comma 2 4 3 2 2 2 2 2 2 2 3 4" xfId="25456"/>
    <cellStyle name="Comma 2 4 3 2 2 2 2 2 2 2 4" xfId="10683"/>
    <cellStyle name="Comma 2 4 3 2 2 2 2 2 2 2 4 2" xfId="15129"/>
    <cellStyle name="Comma 2 4 3 2 2 2 2 2 2 2 4 2 2" xfId="46046"/>
    <cellStyle name="Comma 2 4 3 2 2 2 2 2 2 2 4 2 2 2" xfId="50468"/>
    <cellStyle name="Comma 2 4 3 2 2 2 2 2 2 2 4 3" xfId="28642"/>
    <cellStyle name="Comma 2 4 3 2 2 2 2 2 2 2 5" xfId="24169"/>
    <cellStyle name="Comma 2 4 3 2 2 2 2 2 2 2 5 2" xfId="36937"/>
    <cellStyle name="Comma 2 4 3 2 2 2 2 2 2 3" xfId="2247"/>
    <cellStyle name="Comma 2 4 3 2 2 2 2 2 2 3 2" xfId="6733"/>
    <cellStyle name="Comma 2 4 3 2 2 2 2 2 2 3 2 2" xfId="7481"/>
    <cellStyle name="Comma 2 4 3 2 2 2 2 2 2 3 2 2 2" xfId="20286"/>
    <cellStyle name="Comma 2 4 3 2 2 2 2 2 2 3 2 2 2 2" xfId="21033"/>
    <cellStyle name="Comma 2 4 3 2 2 2 2 2 2 3 2 2 2 2 2" xfId="55612"/>
    <cellStyle name="Comma 2 4 3 2 2 2 2 2 2 3 2 2 2 2 2 2" xfId="56359"/>
    <cellStyle name="Comma 2 4 3 2 2 2 2 2 2 3 2 2 2 3" xfId="34536"/>
    <cellStyle name="Comma 2 4 3 2 2 2 2 2 2 3 2 2 3" xfId="33788"/>
    <cellStyle name="Comma 2 4 3 2 2 2 2 2 2 3 2 2 3 2" xfId="42908"/>
    <cellStyle name="Comma 2 4 3 2 2 2 2 2 2 3 2 3" xfId="12706"/>
    <cellStyle name="Comma 2 4 3 2 2 2 2 2 2 3 2 3 2" xfId="42161"/>
    <cellStyle name="Comma 2 4 3 2 2 2 2 2 2 3 2 3 2 2" xfId="48052"/>
    <cellStyle name="Comma 2 4 3 2 2 2 2 2 2 3 2 4" xfId="26190"/>
    <cellStyle name="Comma 2 4 3 2 2 2 2 2 2 3 3" xfId="11956"/>
    <cellStyle name="Comma 2 4 3 2 2 2 2 2 2 3 3 2" xfId="15911"/>
    <cellStyle name="Comma 2 4 3 2 2 2 2 2 2 3 3 2 2" xfId="47304"/>
    <cellStyle name="Comma 2 4 3 2 2 2 2 2 2 3 3 2 2 2" xfId="51243"/>
    <cellStyle name="Comma 2 4 3 2 2 2 2 2 2 3 3 3" xfId="29417"/>
    <cellStyle name="Comma 2 4 3 2 2 2 2 2 2 3 4" xfId="25441"/>
    <cellStyle name="Comma 2 4 3 2 2 2 2 2 2 3 4 2" xfId="37725"/>
    <cellStyle name="Comma 2 4 3 2 2 2 2 2 2 4" xfId="4263"/>
    <cellStyle name="Comma 2 4 3 2 2 2 2 2 2 4 2" xfId="15114"/>
    <cellStyle name="Comma 2 4 3 2 2 2 2 2 2 4 2 2" xfId="17856"/>
    <cellStyle name="Comma 2 4 3 2 2 2 2 2 2 4 2 2 2" xfId="50453"/>
    <cellStyle name="Comma 2 4 3 2 2 2 2 2 2 4 2 2 2 2" xfId="53183"/>
    <cellStyle name="Comma 2 4 3 2 2 2 2 2 2 4 2 3" xfId="31358"/>
    <cellStyle name="Comma 2 4 3 2 2 2 2 2 2 4 3" xfId="28627"/>
    <cellStyle name="Comma 2 4 3 2 2 2 2 2 2 4 3 2" xfId="39706"/>
    <cellStyle name="Comma 2 4 3 2 2 2 2 2 2 5" xfId="9454"/>
    <cellStyle name="Comma 2 4 3 2 2 2 2 2 2 5 2" xfId="36922"/>
    <cellStyle name="Comma 2 4 3 2 2 2 2 2 2 5 2 2" xfId="44836"/>
    <cellStyle name="Comma 2 4 3 2 2 2 2 2 2 6" xfId="22950"/>
    <cellStyle name="Comma 2 4 3 2 2 2 2 2 3" xfId="2232"/>
    <cellStyle name="Comma 2 4 3 2 2 2 2 2 3 2" xfId="2734"/>
    <cellStyle name="Comma 2 4 3 2 2 2 2 2 3 2 2" xfId="7466"/>
    <cellStyle name="Comma 2 4 3 2 2 2 2 2 3 2 2 2" xfId="7953"/>
    <cellStyle name="Comma 2 4 3 2 2 2 2 2 3 2 2 2 2" xfId="21018"/>
    <cellStyle name="Comma 2 4 3 2 2 2 2 2 3 2 2 2 2 2" xfId="21505"/>
    <cellStyle name="Comma 2 4 3 2 2 2 2 2 3 2 2 2 2 2 2" xfId="56344"/>
    <cellStyle name="Comma 2 4 3 2 2 2 2 2 3 2 2 2 2 2 2 2" xfId="56831"/>
    <cellStyle name="Comma 2 4 3 2 2 2 2 2 3 2 2 2 2 3" xfId="35008"/>
    <cellStyle name="Comma 2 4 3 2 2 2 2 2 3 2 2 2 3" xfId="34521"/>
    <cellStyle name="Comma 2 4 3 2 2 2 2 2 3 2 2 2 3 2" xfId="43380"/>
    <cellStyle name="Comma 2 4 3 2 2 2 2 2 3 2 2 3" xfId="13178"/>
    <cellStyle name="Comma 2 4 3 2 2 2 2 2 3 2 2 3 2" xfId="42893"/>
    <cellStyle name="Comma 2 4 3 2 2 2 2 2 3 2 2 3 2 2" xfId="48524"/>
    <cellStyle name="Comma 2 4 3 2 2 2 2 2 3 2 2 4" xfId="26662"/>
    <cellStyle name="Comma 2 4 3 2 2 2 2 2 3 2 3" xfId="12691"/>
    <cellStyle name="Comma 2 4 3 2 2 2 2 2 3 2 3 2" xfId="16393"/>
    <cellStyle name="Comma 2 4 3 2 2 2 2 2 3 2 3 2 2" xfId="48037"/>
    <cellStyle name="Comma 2 4 3 2 2 2 2 2 3 2 3 2 2 2" xfId="51723"/>
    <cellStyle name="Comma 2 4 3 2 2 2 2 2 3 2 3 3" xfId="29897"/>
    <cellStyle name="Comma 2 4 3 2 2 2 2 2 3 2 4" xfId="26175"/>
    <cellStyle name="Comma 2 4 3 2 2 2 2 2 3 2 4 2" xfId="38207"/>
    <cellStyle name="Comma 2 4 3 2 2 2 2 2 3 3" xfId="4770"/>
    <cellStyle name="Comma 2 4 3 2 2 2 2 2 3 3 2" xfId="15896"/>
    <cellStyle name="Comma 2 4 3 2 2 2 2 2 3 3 2 2" xfId="18347"/>
    <cellStyle name="Comma 2 4 3 2 2 2 2 2 3 3 2 2 2" xfId="51228"/>
    <cellStyle name="Comma 2 4 3 2 2 2 2 2 3 3 2 2 2 2" xfId="53673"/>
    <cellStyle name="Comma 2 4 3 2 2 2 2 2 3 3 2 3" xfId="31848"/>
    <cellStyle name="Comma 2 4 3 2 2 2 2 2 3 3 3" xfId="29402"/>
    <cellStyle name="Comma 2 4 3 2 2 2 2 2 3 3 3 2" xfId="40208"/>
    <cellStyle name="Comma 2 4 3 2 2 2 2 2 3 4" xfId="9973"/>
    <cellStyle name="Comma 2 4 3 2 2 2 2 2 3 4 2" xfId="37710"/>
    <cellStyle name="Comma 2 4 3 2 2 2 2 2 3 4 2 2" xfId="45340"/>
    <cellStyle name="Comma 2 4 3 2 2 2 2 2 3 5" xfId="23463"/>
    <cellStyle name="Comma 2 4 3 2 2 2 2 2 4" xfId="4248"/>
    <cellStyle name="Comma 2 4 3 2 2 2 2 2 4 2" xfId="5975"/>
    <cellStyle name="Comma 2 4 3 2 2 2 2 2 4 2 2" xfId="17841"/>
    <cellStyle name="Comma 2 4 3 2 2 2 2 2 4 2 2 2" xfId="19542"/>
    <cellStyle name="Comma 2 4 3 2 2 2 2 2 4 2 2 2 2" xfId="53168"/>
    <cellStyle name="Comma 2 4 3 2 2 2 2 2 4 2 2 2 2 2" xfId="54868"/>
    <cellStyle name="Comma 2 4 3 2 2 2 2 2 4 2 2 3" xfId="33043"/>
    <cellStyle name="Comma 2 4 3 2 2 2 2 2 4 2 3" xfId="31343"/>
    <cellStyle name="Comma 2 4 3 2 2 2 2 2 4 2 3 2" xfId="41409"/>
    <cellStyle name="Comma 2 4 3 2 2 2 2 2 4 3" xfId="11200"/>
    <cellStyle name="Comma 2 4 3 2 2 2 2 2 4 3 2" xfId="39691"/>
    <cellStyle name="Comma 2 4 3 2 2 2 2 2 4 3 2 2" xfId="46558"/>
    <cellStyle name="Comma 2 4 3 2 2 2 2 2 4 4" xfId="24693"/>
    <cellStyle name="Comma 2 4 3 2 2 2 2 2 5" xfId="9439"/>
    <cellStyle name="Comma 2 4 3 2 2 2 2 2 5 2" xfId="14359"/>
    <cellStyle name="Comma 2 4 3 2 2 2 2 2 5 2 2" xfId="44821"/>
    <cellStyle name="Comma 2 4 3 2 2 2 2 2 5 2 2 2" xfId="49704"/>
    <cellStyle name="Comma 2 4 3 2 2 2 2 2 5 3" xfId="27869"/>
    <cellStyle name="Comma 2 4 3 2 2 2 2 2 6" xfId="22935"/>
    <cellStyle name="Comma 2 4 3 2 2 2 2 2 6 2" xfId="36171"/>
    <cellStyle name="Comma 2 4 3 2 2 2 2 3" xfId="972"/>
    <cellStyle name="Comma 2 4 3 2 2 2 2 3 2" xfId="2719"/>
    <cellStyle name="Comma 2 4 3 2 2 2 2 3 2 2" xfId="3010"/>
    <cellStyle name="Comma 2 4 3 2 2 2 2 3 2 2 2" xfId="7938"/>
    <cellStyle name="Comma 2 4 3 2 2 2 2 3 2 2 2 2" xfId="8225"/>
    <cellStyle name="Comma 2 4 3 2 2 2 2 3 2 2 2 2 2" xfId="21490"/>
    <cellStyle name="Comma 2 4 3 2 2 2 2 3 2 2 2 2 2 2" xfId="21777"/>
    <cellStyle name="Comma 2 4 3 2 2 2 2 3 2 2 2 2 2 2 2" xfId="56816"/>
    <cellStyle name="Comma 2 4 3 2 2 2 2 3 2 2 2 2 2 2 2 2" xfId="57103"/>
    <cellStyle name="Comma 2 4 3 2 2 2 2 3 2 2 2 2 2 3" xfId="35280"/>
    <cellStyle name="Comma 2 4 3 2 2 2 2 3 2 2 2 2 3" xfId="34993"/>
    <cellStyle name="Comma 2 4 3 2 2 2 2 3 2 2 2 2 3 2" xfId="43652"/>
    <cellStyle name="Comma 2 4 3 2 2 2 2 3 2 2 2 3" xfId="13450"/>
    <cellStyle name="Comma 2 4 3 2 2 2 2 3 2 2 2 3 2" xfId="43365"/>
    <cellStyle name="Comma 2 4 3 2 2 2 2 3 2 2 2 3 2 2" xfId="48796"/>
    <cellStyle name="Comma 2 4 3 2 2 2 2 3 2 2 2 4" xfId="26935"/>
    <cellStyle name="Comma 2 4 3 2 2 2 2 3 2 2 3" xfId="13163"/>
    <cellStyle name="Comma 2 4 3 2 2 2 2 3 2 2 3 2" xfId="16667"/>
    <cellStyle name="Comma 2 4 3 2 2 2 2 3 2 2 3 2 2" xfId="48509"/>
    <cellStyle name="Comma 2 4 3 2 2 2 2 3 2 2 3 2 2 2" xfId="51995"/>
    <cellStyle name="Comma 2 4 3 2 2 2 2 3 2 2 3 3" xfId="30169"/>
    <cellStyle name="Comma 2 4 3 2 2 2 2 3 2 2 4" xfId="26647"/>
    <cellStyle name="Comma 2 4 3 2 2 2 2 3 2 2 4 2" xfId="38479"/>
    <cellStyle name="Comma 2 4 3 2 2 2 2 3 2 3" xfId="5046"/>
    <cellStyle name="Comma 2 4 3 2 2 2 2 3 2 3 2" xfId="16378"/>
    <cellStyle name="Comma 2 4 3 2 2 2 2 3 2 3 2 2" xfId="18619"/>
    <cellStyle name="Comma 2 4 3 2 2 2 2 3 2 3 2 2 2" xfId="51708"/>
    <cellStyle name="Comma 2 4 3 2 2 2 2 3 2 3 2 2 2 2" xfId="53945"/>
    <cellStyle name="Comma 2 4 3 2 2 2 2 3 2 3 2 3" xfId="32120"/>
    <cellStyle name="Comma 2 4 3 2 2 2 2 3 2 3 3" xfId="29882"/>
    <cellStyle name="Comma 2 4 3 2 2 2 2 3 2 3 3 2" xfId="40483"/>
    <cellStyle name="Comma 2 4 3 2 2 2 2 3 2 4" xfId="10249"/>
    <cellStyle name="Comma 2 4 3 2 2 2 2 3 2 4 2" xfId="38192"/>
    <cellStyle name="Comma 2 4 3 2 2 2 2 3 2 4 2 2" xfId="45612"/>
    <cellStyle name="Comma 2 4 3 2 2 2 2 3 2 5" xfId="23735"/>
    <cellStyle name="Comma 2 4 3 2 2 2 2 3 3" xfId="4755"/>
    <cellStyle name="Comma 2 4 3 2 2 2 2 3 3 2" xfId="6283"/>
    <cellStyle name="Comma 2 4 3 2 2 2 2 3 3 2 2" xfId="18332"/>
    <cellStyle name="Comma 2 4 3 2 2 2 2 3 3 2 2 2" xfId="19840"/>
    <cellStyle name="Comma 2 4 3 2 2 2 2 3 3 2 2 2 2" xfId="53658"/>
    <cellStyle name="Comma 2 4 3 2 2 2 2 3 3 2 2 2 2 2" xfId="55166"/>
    <cellStyle name="Comma 2 4 3 2 2 2 2 3 3 2 2 3" xfId="33342"/>
    <cellStyle name="Comma 2 4 3 2 2 2 2 3 3 2 3" xfId="31833"/>
    <cellStyle name="Comma 2 4 3 2 2 2 2 3 3 2 3 2" xfId="41712"/>
    <cellStyle name="Comma 2 4 3 2 2 2 2 3 3 3" xfId="11508"/>
    <cellStyle name="Comma 2 4 3 2 2 2 2 3 3 3 2" xfId="40193"/>
    <cellStyle name="Comma 2 4 3 2 2 2 2 3 3 3 2 2" xfId="46857"/>
    <cellStyle name="Comma 2 4 3 2 2 2 2 3 3 4" xfId="24994"/>
    <cellStyle name="Comma 2 4 3 2 2 2 2 3 4" xfId="9958"/>
    <cellStyle name="Comma 2 4 3 2 2 2 2 3 4 2" xfId="14666"/>
    <cellStyle name="Comma 2 4 3 2 2 2 2 3 4 2 2" xfId="45325"/>
    <cellStyle name="Comma 2 4 3 2 2 2 2 3 4 2 2 2" xfId="50005"/>
    <cellStyle name="Comma 2 4 3 2 2 2 2 3 4 3" xfId="28177"/>
    <cellStyle name="Comma 2 4 3 2 2 2 2 3 5" xfId="23448"/>
    <cellStyle name="Comma 2 4 3 2 2 2 2 3 5 2" xfId="36474"/>
    <cellStyle name="Comma 2 4 3 2 2 2 2 4" xfId="1768"/>
    <cellStyle name="Comma 2 4 3 2 2 2 2 4 2" xfId="5960"/>
    <cellStyle name="Comma 2 4 3 2 2 2 2 4 2 2" xfId="7021"/>
    <cellStyle name="Comma 2 4 3 2 2 2 2 4 2 2 2" xfId="19527"/>
    <cellStyle name="Comma 2 4 3 2 2 2 2 4 2 2 2 2" xfId="20574"/>
    <cellStyle name="Comma 2 4 3 2 2 2 2 4 2 2 2 2 2" xfId="54853"/>
    <cellStyle name="Comma 2 4 3 2 2 2 2 4 2 2 2 2 2 2" xfId="55900"/>
    <cellStyle name="Comma 2 4 3 2 2 2 2 4 2 2 2 3" xfId="34076"/>
    <cellStyle name="Comma 2 4 3 2 2 2 2 4 2 2 3" xfId="33028"/>
    <cellStyle name="Comma 2 4 3 2 2 2 2 4 2 2 3 2" xfId="42449"/>
    <cellStyle name="Comma 2 4 3 2 2 2 2 4 2 3" xfId="12245"/>
    <cellStyle name="Comma 2 4 3 2 2 2 2 4 2 3 2" xfId="41394"/>
    <cellStyle name="Comma 2 4 3 2 2 2 2 4 2 3 2 2" xfId="47592"/>
    <cellStyle name="Comma 2 4 3 2 2 2 2 4 2 4" xfId="25730"/>
    <cellStyle name="Comma 2 4 3 2 2 2 2 4 3" xfId="11185"/>
    <cellStyle name="Comma 2 4 3 2 2 2 2 4 3 2" xfId="15440"/>
    <cellStyle name="Comma 2 4 3 2 2 2 2 4 3 2 2" xfId="46543"/>
    <cellStyle name="Comma 2 4 3 2 2 2 2 4 3 2 2 2" xfId="50773"/>
    <cellStyle name="Comma 2 4 3 2 2 2 2 4 3 3" xfId="28947"/>
    <cellStyle name="Comma 2 4 3 2 2 2 2 4 4" xfId="24678"/>
    <cellStyle name="Comma 2 4 3 2 2 2 2 4 4 2" xfId="37250"/>
    <cellStyle name="Comma 2 4 3 2 2 2 2 5" xfId="3774"/>
    <cellStyle name="Comma 2 4 3 2 2 2 2 5 2" xfId="14344"/>
    <cellStyle name="Comma 2 4 3 2 2 2 2 5 2 2" xfId="17390"/>
    <cellStyle name="Comma 2 4 3 2 2 2 2 5 2 2 2" xfId="49689"/>
    <cellStyle name="Comma 2 4 3 2 2 2 2 5 2 2 2 2" xfId="52717"/>
    <cellStyle name="Comma 2 4 3 2 2 2 2 5 2 3" xfId="30891"/>
    <cellStyle name="Comma 2 4 3 2 2 2 2 5 3" xfId="27854"/>
    <cellStyle name="Comma 2 4 3 2 2 2 2 5 3 2" xfId="39225"/>
    <cellStyle name="Comma 2 4 3 2 2 2 2 6" xfId="8964"/>
    <cellStyle name="Comma 2 4 3 2 2 2 2 6 2" xfId="36156"/>
    <cellStyle name="Comma 2 4 3 2 2 2 2 6 2 2" xfId="44363"/>
    <cellStyle name="Comma 2 4 3 2 2 2 2 7" xfId="22471"/>
    <cellStyle name="Comma 2 4 3 2 2 2 3" xfId="957"/>
    <cellStyle name="Comma 2 4 3 2 2 2 3 2" xfId="1176"/>
    <cellStyle name="Comma 2 4 3 2 2 2 3 2 2" xfId="2995"/>
    <cellStyle name="Comma 2 4 3 2 2 2 3 2 2 2" xfId="3196"/>
    <cellStyle name="Comma 2 4 3 2 2 2 3 2 2 2 2" xfId="8210"/>
    <cellStyle name="Comma 2 4 3 2 2 2 3 2 2 2 2 2" xfId="8411"/>
    <cellStyle name="Comma 2 4 3 2 2 2 3 2 2 2 2 2 2" xfId="21762"/>
    <cellStyle name="Comma 2 4 3 2 2 2 3 2 2 2 2 2 2 2" xfId="21963"/>
    <cellStyle name="Comma 2 4 3 2 2 2 3 2 2 2 2 2 2 2 2" xfId="57088"/>
    <cellStyle name="Comma 2 4 3 2 2 2 3 2 2 2 2 2 2 2 2 2" xfId="57289"/>
    <cellStyle name="Comma 2 4 3 2 2 2 3 2 2 2 2 2 2 3" xfId="35466"/>
    <cellStyle name="Comma 2 4 3 2 2 2 3 2 2 2 2 2 3" xfId="35265"/>
    <cellStyle name="Comma 2 4 3 2 2 2 3 2 2 2 2 2 3 2" xfId="43838"/>
    <cellStyle name="Comma 2 4 3 2 2 2 3 2 2 2 2 3" xfId="13636"/>
    <cellStyle name="Comma 2 4 3 2 2 2 3 2 2 2 2 3 2" xfId="43637"/>
    <cellStyle name="Comma 2 4 3 2 2 2 3 2 2 2 2 3 2 2" xfId="48982"/>
    <cellStyle name="Comma 2 4 3 2 2 2 3 2 2 2 2 4" xfId="27121"/>
    <cellStyle name="Comma 2 4 3 2 2 2 3 2 2 2 3" xfId="13435"/>
    <cellStyle name="Comma 2 4 3 2 2 2 3 2 2 2 3 2" xfId="16853"/>
    <cellStyle name="Comma 2 4 3 2 2 2 3 2 2 2 3 2 2" xfId="48781"/>
    <cellStyle name="Comma 2 4 3 2 2 2 3 2 2 2 3 2 2 2" xfId="52181"/>
    <cellStyle name="Comma 2 4 3 2 2 2 3 2 2 2 3 3" xfId="30355"/>
    <cellStyle name="Comma 2 4 3 2 2 2 3 2 2 2 4" xfId="26920"/>
    <cellStyle name="Comma 2 4 3 2 2 2 3 2 2 2 4 2" xfId="38665"/>
    <cellStyle name="Comma 2 4 3 2 2 2 3 2 2 3" xfId="5233"/>
    <cellStyle name="Comma 2 4 3 2 2 2 3 2 2 3 2" xfId="16652"/>
    <cellStyle name="Comma 2 4 3 2 2 2 3 2 2 3 2 2" xfId="18806"/>
    <cellStyle name="Comma 2 4 3 2 2 2 3 2 2 3 2 2 2" xfId="51980"/>
    <cellStyle name="Comma 2 4 3 2 2 2 3 2 2 3 2 2 2 2" xfId="54132"/>
    <cellStyle name="Comma 2 4 3 2 2 2 3 2 2 3 2 3" xfId="32307"/>
    <cellStyle name="Comma 2 4 3 2 2 2 3 2 2 3 3" xfId="30154"/>
    <cellStyle name="Comma 2 4 3 2 2 2 3 2 2 3 3 2" xfId="40670"/>
    <cellStyle name="Comma 2 4 3 2 2 2 3 2 2 4" xfId="10436"/>
    <cellStyle name="Comma 2 4 3 2 2 2 3 2 2 4 2" xfId="38464"/>
    <cellStyle name="Comma 2 4 3 2 2 2 3 2 2 4 2 2" xfId="45799"/>
    <cellStyle name="Comma 2 4 3 2 2 2 3 2 2 5" xfId="23922"/>
    <cellStyle name="Comma 2 4 3 2 2 2 3 2 3" xfId="5031"/>
    <cellStyle name="Comma 2 4 3 2 2 2 3 2 3 2" xfId="6484"/>
    <cellStyle name="Comma 2 4 3 2 2 2 3 2 3 2 2" xfId="18604"/>
    <cellStyle name="Comma 2 4 3 2 2 2 3 2 3 2 2 2" xfId="20038"/>
    <cellStyle name="Comma 2 4 3 2 2 2 3 2 3 2 2 2 2" xfId="53930"/>
    <cellStyle name="Comma 2 4 3 2 2 2 3 2 3 2 2 2 2 2" xfId="55364"/>
    <cellStyle name="Comma 2 4 3 2 2 2 3 2 3 2 2 3" xfId="33540"/>
    <cellStyle name="Comma 2 4 3 2 2 2 3 2 3 2 3" xfId="32105"/>
    <cellStyle name="Comma 2 4 3 2 2 2 3 2 3 2 3 2" xfId="41912"/>
    <cellStyle name="Comma 2 4 3 2 2 2 3 2 3 3" xfId="11708"/>
    <cellStyle name="Comma 2 4 3 2 2 2 3 2 3 3 2" xfId="40468"/>
    <cellStyle name="Comma 2 4 3 2 2 2 3 2 3 3 2 2" xfId="47056"/>
    <cellStyle name="Comma 2 4 3 2 2 2 3 2 3 4" xfId="25193"/>
    <cellStyle name="Comma 2 4 3 2 2 2 3 2 4" xfId="10234"/>
    <cellStyle name="Comma 2 4 3 2 2 2 3 2 4 2" xfId="14866"/>
    <cellStyle name="Comma 2 4 3 2 2 2 3 2 4 2 2" xfId="45597"/>
    <cellStyle name="Comma 2 4 3 2 2 2 3 2 4 2 2 2" xfId="50205"/>
    <cellStyle name="Comma 2 4 3 2 2 2 3 2 4 3" xfId="28379"/>
    <cellStyle name="Comma 2 4 3 2 2 2 3 2 5" xfId="23720"/>
    <cellStyle name="Comma 2 4 3 2 2 2 3 2 5 2" xfId="36674"/>
    <cellStyle name="Comma 2 4 3 2 2 2 3 3" xfId="1984"/>
    <cellStyle name="Comma 2 4 3 2 2 2 3 3 2" xfId="6268"/>
    <cellStyle name="Comma 2 4 3 2 2 2 3 3 2 2" xfId="7218"/>
    <cellStyle name="Comma 2 4 3 2 2 2 3 3 2 2 2" xfId="19825"/>
    <cellStyle name="Comma 2 4 3 2 2 2 3 3 2 2 2 2" xfId="20770"/>
    <cellStyle name="Comma 2 4 3 2 2 2 3 3 2 2 2 2 2" xfId="55151"/>
    <cellStyle name="Comma 2 4 3 2 2 2 3 3 2 2 2 2 2 2" xfId="56096"/>
    <cellStyle name="Comma 2 4 3 2 2 2 3 3 2 2 2 3" xfId="34273"/>
    <cellStyle name="Comma 2 4 3 2 2 2 3 3 2 2 3" xfId="33327"/>
    <cellStyle name="Comma 2 4 3 2 2 2 3 3 2 2 3 2" xfId="42645"/>
    <cellStyle name="Comma 2 4 3 2 2 2 3 3 2 3" xfId="12443"/>
    <cellStyle name="Comma 2 4 3 2 2 2 3 3 2 3 2" xfId="41697"/>
    <cellStyle name="Comma 2 4 3 2 2 2 3 3 2 3 2 2" xfId="47789"/>
    <cellStyle name="Comma 2 4 3 2 2 2 3 3 2 4" xfId="25927"/>
    <cellStyle name="Comma 2 4 3 2 2 2 3 3 3" xfId="11493"/>
    <cellStyle name="Comma 2 4 3 2 2 2 3 3 3 2" xfId="15648"/>
    <cellStyle name="Comma 2 4 3 2 2 2 3 3 3 2 2" xfId="46842"/>
    <cellStyle name="Comma 2 4 3 2 2 2 3 3 3 2 2 2" xfId="50980"/>
    <cellStyle name="Comma 2 4 3 2 2 2 3 3 3 3" xfId="29154"/>
    <cellStyle name="Comma 2 4 3 2 2 2 3 3 4" xfId="24979"/>
    <cellStyle name="Comma 2 4 3 2 2 2 3 3 4 2" xfId="37462"/>
    <cellStyle name="Comma 2 4 3 2 2 2 3 4" xfId="3998"/>
    <cellStyle name="Comma 2 4 3 2 2 2 3 4 2" xfId="14651"/>
    <cellStyle name="Comma 2 4 3 2 2 2 3 4 2 2" xfId="17593"/>
    <cellStyle name="Comma 2 4 3 2 2 2 3 4 2 2 2" xfId="49990"/>
    <cellStyle name="Comma 2 4 3 2 2 2 3 4 2 2 2 2" xfId="52920"/>
    <cellStyle name="Comma 2 4 3 2 2 2 3 4 2 3" xfId="31095"/>
    <cellStyle name="Comma 2 4 3 2 2 2 3 4 3" xfId="28162"/>
    <cellStyle name="Comma 2 4 3 2 2 2 3 4 3 2" xfId="39442"/>
    <cellStyle name="Comma 2 4 3 2 2 2 3 5" xfId="9190"/>
    <cellStyle name="Comma 2 4 3 2 2 2 3 5 2" xfId="36459"/>
    <cellStyle name="Comma 2 4 3 2 2 2 3 5 2 2" xfId="44573"/>
    <cellStyle name="Comma 2 4 3 2 2 2 3 6" xfId="22687"/>
    <cellStyle name="Comma 2 4 3 2 2 2 4" xfId="1753"/>
    <cellStyle name="Comma 2 4 3 2 2 2 4 2" xfId="2429"/>
    <cellStyle name="Comma 2 4 3 2 2 2 4 2 2" xfId="7006"/>
    <cellStyle name="Comma 2 4 3 2 2 2 4 2 2 2" xfId="7661"/>
    <cellStyle name="Comma 2 4 3 2 2 2 4 2 2 2 2" xfId="20559"/>
    <cellStyle name="Comma 2 4 3 2 2 2 4 2 2 2 2 2" xfId="21213"/>
    <cellStyle name="Comma 2 4 3 2 2 2 4 2 2 2 2 2 2" xfId="55885"/>
    <cellStyle name="Comma 2 4 3 2 2 2 4 2 2 2 2 2 2 2" xfId="56539"/>
    <cellStyle name="Comma 2 4 3 2 2 2 4 2 2 2 2 3" xfId="34716"/>
    <cellStyle name="Comma 2 4 3 2 2 2 4 2 2 2 3" xfId="34061"/>
    <cellStyle name="Comma 2 4 3 2 2 2 4 2 2 2 3 2" xfId="43088"/>
    <cellStyle name="Comma 2 4 3 2 2 2 4 2 2 3" xfId="12886"/>
    <cellStyle name="Comma 2 4 3 2 2 2 4 2 2 3 2" xfId="42434"/>
    <cellStyle name="Comma 2 4 3 2 2 2 4 2 2 3 2 2" xfId="48232"/>
    <cellStyle name="Comma 2 4 3 2 2 2 4 2 2 4" xfId="26370"/>
    <cellStyle name="Comma 2 4 3 2 2 2 4 2 3" xfId="12230"/>
    <cellStyle name="Comma 2 4 3 2 2 2 4 2 3 2" xfId="16092"/>
    <cellStyle name="Comma 2 4 3 2 2 2 4 2 3 2 2" xfId="47577"/>
    <cellStyle name="Comma 2 4 3 2 2 2 4 2 3 2 2 2" xfId="51424"/>
    <cellStyle name="Comma 2 4 3 2 2 2 4 2 3 3" xfId="29598"/>
    <cellStyle name="Comma 2 4 3 2 2 2 4 2 4" xfId="25715"/>
    <cellStyle name="Comma 2 4 3 2 2 2 4 2 4 2" xfId="37907"/>
    <cellStyle name="Comma 2 4 3 2 2 2 4 3" xfId="4464"/>
    <cellStyle name="Comma 2 4 3 2 2 2 4 3 2" xfId="15425"/>
    <cellStyle name="Comma 2 4 3 2 2 2 4 3 2 2" xfId="18054"/>
    <cellStyle name="Comma 2 4 3 2 2 2 4 3 2 2 2" xfId="50758"/>
    <cellStyle name="Comma 2 4 3 2 2 2 4 3 2 2 2 2" xfId="53380"/>
    <cellStyle name="Comma 2 4 3 2 2 2 4 3 2 3" xfId="31555"/>
    <cellStyle name="Comma 2 4 3 2 2 2 4 3 3" xfId="28932"/>
    <cellStyle name="Comma 2 4 3 2 2 2 4 3 3 2" xfId="39906"/>
    <cellStyle name="Comma 2 4 3 2 2 2 4 4" xfId="9669"/>
    <cellStyle name="Comma 2 4 3 2 2 2 4 4 2" xfId="37235"/>
    <cellStyle name="Comma 2 4 3 2 2 2 4 4 2 2" xfId="45047"/>
    <cellStyle name="Comma 2 4 3 2 2 2 4 5" xfId="23170"/>
    <cellStyle name="Comma 2 4 3 2 2 2 5" xfId="3759"/>
    <cellStyle name="Comma 2 4 3 2 2 2 5 2" xfId="5671"/>
    <cellStyle name="Comma 2 4 3 2 2 2 5 2 2" xfId="17375"/>
    <cellStyle name="Comma 2 4 3 2 2 2 5 2 2 2" xfId="19243"/>
    <cellStyle name="Comma 2 4 3 2 2 2 5 2 2 2 2" xfId="52702"/>
    <cellStyle name="Comma 2 4 3 2 2 2 5 2 2 2 2 2" xfId="54569"/>
    <cellStyle name="Comma 2 4 3 2 2 2 5 2 2 3" xfId="32744"/>
    <cellStyle name="Comma 2 4 3 2 2 2 5 2 3" xfId="30876"/>
    <cellStyle name="Comma 2 4 3 2 2 2 5 2 3 2" xfId="41107"/>
    <cellStyle name="Comma 2 4 3 2 2 2 5 3" xfId="10889"/>
    <cellStyle name="Comma 2 4 3 2 2 2 5 3 2" xfId="39210"/>
    <cellStyle name="Comma 2 4 3 2 2 2 5 3 2 2" xfId="46251"/>
    <cellStyle name="Comma 2 4 3 2 2 2 5 4" xfId="24382"/>
    <cellStyle name="Comma 2 4 3 2 2 2 6" xfId="8949"/>
    <cellStyle name="Comma 2 4 3 2 2 2 6 2" xfId="14055"/>
    <cellStyle name="Comma 2 4 3 2 2 2 6 2 2" xfId="44348"/>
    <cellStyle name="Comma 2 4 3 2 2 2 6 2 2 2" xfId="49401"/>
    <cellStyle name="Comma 2 4 3 2 2 2 6 3" xfId="27554"/>
    <cellStyle name="Comma 2 4 3 2 2 2 7" xfId="22456"/>
    <cellStyle name="Comma 2 4 3 2 2 2 7 2" xfId="35867"/>
    <cellStyle name="Comma 2 4 3 2 2 3" xfId="460"/>
    <cellStyle name="Comma 2 4 3 2 2 3 2" xfId="1161"/>
    <cellStyle name="Comma 2 4 3 2 2 3 2 2" xfId="1275"/>
    <cellStyle name="Comma 2 4 3 2 2 3 2 2 2" xfId="3181"/>
    <cellStyle name="Comma 2 4 3 2 2 3 2 2 2 2" xfId="3293"/>
    <cellStyle name="Comma 2 4 3 2 2 3 2 2 2 2 2" xfId="8396"/>
    <cellStyle name="Comma 2 4 3 2 2 3 2 2 2 2 2 2" xfId="8508"/>
    <cellStyle name="Comma 2 4 3 2 2 3 2 2 2 2 2 2 2" xfId="21948"/>
    <cellStyle name="Comma 2 4 3 2 2 3 2 2 2 2 2 2 2 2" xfId="22060"/>
    <cellStyle name="Comma 2 4 3 2 2 3 2 2 2 2 2 2 2 2 2" xfId="57274"/>
    <cellStyle name="Comma 2 4 3 2 2 3 2 2 2 2 2 2 2 2 2 2" xfId="57386"/>
    <cellStyle name="Comma 2 4 3 2 2 3 2 2 2 2 2 2 2 3" xfId="35563"/>
    <cellStyle name="Comma 2 4 3 2 2 3 2 2 2 2 2 2 3" xfId="35451"/>
    <cellStyle name="Comma 2 4 3 2 2 3 2 2 2 2 2 2 3 2" xfId="43935"/>
    <cellStyle name="Comma 2 4 3 2 2 3 2 2 2 2 2 3" xfId="13733"/>
    <cellStyle name="Comma 2 4 3 2 2 3 2 2 2 2 2 3 2" xfId="43823"/>
    <cellStyle name="Comma 2 4 3 2 2 3 2 2 2 2 2 3 2 2" xfId="49079"/>
    <cellStyle name="Comma 2 4 3 2 2 3 2 2 2 2 2 4" xfId="27218"/>
    <cellStyle name="Comma 2 4 3 2 2 3 2 2 2 2 3" xfId="13621"/>
    <cellStyle name="Comma 2 4 3 2 2 3 2 2 2 2 3 2" xfId="16950"/>
    <cellStyle name="Comma 2 4 3 2 2 3 2 2 2 2 3 2 2" xfId="48967"/>
    <cellStyle name="Comma 2 4 3 2 2 3 2 2 2 2 3 2 2 2" xfId="52278"/>
    <cellStyle name="Comma 2 4 3 2 2 3 2 2 2 2 3 3" xfId="30452"/>
    <cellStyle name="Comma 2 4 3 2 2 3 2 2 2 2 4" xfId="27106"/>
    <cellStyle name="Comma 2 4 3 2 2 3 2 2 2 2 4 2" xfId="38762"/>
    <cellStyle name="Comma 2 4 3 2 2 3 2 2 2 3" xfId="5330"/>
    <cellStyle name="Comma 2 4 3 2 2 3 2 2 2 3 2" xfId="16838"/>
    <cellStyle name="Comma 2 4 3 2 2 3 2 2 2 3 2 2" xfId="18903"/>
    <cellStyle name="Comma 2 4 3 2 2 3 2 2 2 3 2 2 2" xfId="52166"/>
    <cellStyle name="Comma 2 4 3 2 2 3 2 2 2 3 2 2 2 2" xfId="54229"/>
    <cellStyle name="Comma 2 4 3 2 2 3 2 2 2 3 2 3" xfId="32404"/>
    <cellStyle name="Comma 2 4 3 2 2 3 2 2 2 3 3" xfId="30340"/>
    <cellStyle name="Comma 2 4 3 2 2 3 2 2 2 3 3 2" xfId="40767"/>
    <cellStyle name="Comma 2 4 3 2 2 3 2 2 2 4" xfId="10533"/>
    <cellStyle name="Comma 2 4 3 2 2 3 2 2 2 4 2" xfId="38650"/>
    <cellStyle name="Comma 2 4 3 2 2 3 2 2 2 4 2 2" xfId="45896"/>
    <cellStyle name="Comma 2 4 3 2 2 3 2 2 2 5" xfId="24019"/>
    <cellStyle name="Comma 2 4 3 2 2 3 2 2 3" xfId="5218"/>
    <cellStyle name="Comma 2 4 3 2 2 3 2 2 3 2" xfId="6583"/>
    <cellStyle name="Comma 2 4 3 2 2 3 2 2 3 2 2" xfId="18791"/>
    <cellStyle name="Comma 2 4 3 2 2 3 2 2 3 2 2 2" xfId="20136"/>
    <cellStyle name="Comma 2 4 3 2 2 3 2 2 3 2 2 2 2" xfId="54117"/>
    <cellStyle name="Comma 2 4 3 2 2 3 2 2 3 2 2 2 2 2" xfId="55462"/>
    <cellStyle name="Comma 2 4 3 2 2 3 2 2 3 2 2 3" xfId="33638"/>
    <cellStyle name="Comma 2 4 3 2 2 3 2 2 3 2 3" xfId="32292"/>
    <cellStyle name="Comma 2 4 3 2 2 3 2 2 3 2 3 2" xfId="42011"/>
    <cellStyle name="Comma 2 4 3 2 2 3 2 2 3 3" xfId="11806"/>
    <cellStyle name="Comma 2 4 3 2 2 3 2 2 3 3 2" xfId="40655"/>
    <cellStyle name="Comma 2 4 3 2 2 3 2 2 3 3 2 2" xfId="47154"/>
    <cellStyle name="Comma 2 4 3 2 2 3 2 2 3 4" xfId="25291"/>
    <cellStyle name="Comma 2 4 3 2 2 3 2 2 4" xfId="10421"/>
    <cellStyle name="Comma 2 4 3 2 2 3 2 2 4 2" xfId="14964"/>
    <cellStyle name="Comma 2 4 3 2 2 3 2 2 4 2 2" xfId="45784"/>
    <cellStyle name="Comma 2 4 3 2 2 3 2 2 4 2 2 2" xfId="50303"/>
    <cellStyle name="Comma 2 4 3 2 2 3 2 2 4 3" xfId="28477"/>
    <cellStyle name="Comma 2 4 3 2 2 3 2 2 5" xfId="23907"/>
    <cellStyle name="Comma 2 4 3 2 2 3 2 2 5 2" xfId="36772"/>
    <cellStyle name="Comma 2 4 3 2 2 3 2 3" xfId="2081"/>
    <cellStyle name="Comma 2 4 3 2 2 3 2 3 2" xfId="6469"/>
    <cellStyle name="Comma 2 4 3 2 2 3 2 3 2 2" xfId="7315"/>
    <cellStyle name="Comma 2 4 3 2 2 3 2 3 2 2 2" xfId="20023"/>
    <cellStyle name="Comma 2 4 3 2 2 3 2 3 2 2 2 2" xfId="20867"/>
    <cellStyle name="Comma 2 4 3 2 2 3 2 3 2 2 2 2 2" xfId="55349"/>
    <cellStyle name="Comma 2 4 3 2 2 3 2 3 2 2 2 2 2 2" xfId="56193"/>
    <cellStyle name="Comma 2 4 3 2 2 3 2 3 2 2 2 3" xfId="34370"/>
    <cellStyle name="Comma 2 4 3 2 2 3 2 3 2 2 3" xfId="33525"/>
    <cellStyle name="Comma 2 4 3 2 2 3 2 3 2 2 3 2" xfId="42742"/>
    <cellStyle name="Comma 2 4 3 2 2 3 2 3 2 3" xfId="12540"/>
    <cellStyle name="Comma 2 4 3 2 2 3 2 3 2 3 2" xfId="41897"/>
    <cellStyle name="Comma 2 4 3 2 2 3 2 3 2 3 2 2" xfId="47886"/>
    <cellStyle name="Comma 2 4 3 2 2 3 2 3 2 4" xfId="26024"/>
    <cellStyle name="Comma 2 4 3 2 2 3 2 3 3" xfId="11693"/>
    <cellStyle name="Comma 2 4 3 2 2 3 2 3 3 2" xfId="15745"/>
    <cellStyle name="Comma 2 4 3 2 2 3 2 3 3 2 2" xfId="47041"/>
    <cellStyle name="Comma 2 4 3 2 2 3 2 3 3 2 2 2" xfId="51077"/>
    <cellStyle name="Comma 2 4 3 2 2 3 2 3 3 3" xfId="29251"/>
    <cellStyle name="Comma 2 4 3 2 2 3 2 3 4" xfId="25178"/>
    <cellStyle name="Comma 2 4 3 2 2 3 2 3 4 2" xfId="37559"/>
    <cellStyle name="Comma 2 4 3 2 2 3 2 4" xfId="4097"/>
    <cellStyle name="Comma 2 4 3 2 2 3 2 4 2" xfId="14851"/>
    <cellStyle name="Comma 2 4 3 2 2 3 2 4 2 2" xfId="17690"/>
    <cellStyle name="Comma 2 4 3 2 2 3 2 4 2 2 2" xfId="50190"/>
    <cellStyle name="Comma 2 4 3 2 2 3 2 4 2 2 2 2" xfId="53017"/>
    <cellStyle name="Comma 2 4 3 2 2 3 2 4 2 3" xfId="31192"/>
    <cellStyle name="Comma 2 4 3 2 2 3 2 4 3" xfId="28364"/>
    <cellStyle name="Comma 2 4 3 2 2 3 2 4 3 2" xfId="39540"/>
    <cellStyle name="Comma 2 4 3 2 2 3 2 5" xfId="9288"/>
    <cellStyle name="Comma 2 4 3 2 2 3 2 5 2" xfId="36659"/>
    <cellStyle name="Comma 2 4 3 2 2 3 2 5 2 2" xfId="44670"/>
    <cellStyle name="Comma 2 4 3 2 2 3 2 6" xfId="22784"/>
    <cellStyle name="Comma 2 4 3 2 2 3 3" xfId="1969"/>
    <cellStyle name="Comma 2 4 3 2 2 3 3 2" xfId="2559"/>
    <cellStyle name="Comma 2 4 3 2 2 3 3 2 2" xfId="7203"/>
    <cellStyle name="Comma 2 4 3 2 2 3 3 2 2 2" xfId="7780"/>
    <cellStyle name="Comma 2 4 3 2 2 3 3 2 2 2 2" xfId="20755"/>
    <cellStyle name="Comma 2 4 3 2 2 3 3 2 2 2 2 2" xfId="21332"/>
    <cellStyle name="Comma 2 4 3 2 2 3 3 2 2 2 2 2 2" xfId="56081"/>
    <cellStyle name="Comma 2 4 3 2 2 3 3 2 2 2 2 2 2 2" xfId="56658"/>
    <cellStyle name="Comma 2 4 3 2 2 3 3 2 2 2 2 3" xfId="34835"/>
    <cellStyle name="Comma 2 4 3 2 2 3 3 2 2 2 3" xfId="34258"/>
    <cellStyle name="Comma 2 4 3 2 2 3 3 2 2 2 3 2" xfId="43207"/>
    <cellStyle name="Comma 2 4 3 2 2 3 3 2 2 3" xfId="13005"/>
    <cellStyle name="Comma 2 4 3 2 2 3 3 2 2 3 2" xfId="42630"/>
    <cellStyle name="Comma 2 4 3 2 2 3 3 2 2 3 2 2" xfId="48351"/>
    <cellStyle name="Comma 2 4 3 2 2 3 3 2 2 4" xfId="26489"/>
    <cellStyle name="Comma 2 4 3 2 2 3 3 2 3" xfId="12428"/>
    <cellStyle name="Comma 2 4 3 2 2 3 3 2 3 2" xfId="16218"/>
    <cellStyle name="Comma 2 4 3 2 2 3 3 2 3 2 2" xfId="47774"/>
    <cellStyle name="Comma 2 4 3 2 2 3 3 2 3 2 2 2" xfId="51548"/>
    <cellStyle name="Comma 2 4 3 2 2 3 3 2 3 3" xfId="29722"/>
    <cellStyle name="Comma 2 4 3 2 2 3 3 2 4" xfId="25912"/>
    <cellStyle name="Comma 2 4 3 2 2 3 3 2 4 2" xfId="38032"/>
    <cellStyle name="Comma 2 4 3 2 2 3 3 3" xfId="4592"/>
    <cellStyle name="Comma 2 4 3 2 2 3 3 3 2" xfId="15633"/>
    <cellStyle name="Comma 2 4 3 2 2 3 3 3 2 2" xfId="18173"/>
    <cellStyle name="Comma 2 4 3 2 2 3 3 3 2 2 2" xfId="50965"/>
    <cellStyle name="Comma 2 4 3 2 2 3 3 3 2 2 2 2" xfId="53499"/>
    <cellStyle name="Comma 2 4 3 2 2 3 3 3 2 3" xfId="31674"/>
    <cellStyle name="Comma 2 4 3 2 2 3 3 3 3" xfId="29139"/>
    <cellStyle name="Comma 2 4 3 2 2 3 3 3 3 2" xfId="40031"/>
    <cellStyle name="Comma 2 4 3 2 2 3 3 4" xfId="9796"/>
    <cellStyle name="Comma 2 4 3 2 2 3 3 4 2" xfId="37447"/>
    <cellStyle name="Comma 2 4 3 2 2 3 3 4 2 2" xfId="45166"/>
    <cellStyle name="Comma 2 4 3 2 2 3 3 5" xfId="23289"/>
    <cellStyle name="Comma 2 4 3 2 2 3 4" xfId="3983"/>
    <cellStyle name="Comma 2 4 3 2 2 3 4 2" xfId="5798"/>
    <cellStyle name="Comma 2 4 3 2 2 3 4 2 2" xfId="17578"/>
    <cellStyle name="Comma 2 4 3 2 2 3 4 2 2 2" xfId="19366"/>
    <cellStyle name="Comma 2 4 3 2 2 3 4 2 2 2 2" xfId="52905"/>
    <cellStyle name="Comma 2 4 3 2 2 3 4 2 2 2 2 2" xfId="54692"/>
    <cellStyle name="Comma 2 4 3 2 2 3 4 2 2 3" xfId="32867"/>
    <cellStyle name="Comma 2 4 3 2 2 3 4 2 3" xfId="31080"/>
    <cellStyle name="Comma 2 4 3 2 2 3 4 2 3 2" xfId="41233"/>
    <cellStyle name="Comma 2 4 3 2 2 3 4 3" xfId="11020"/>
    <cellStyle name="Comma 2 4 3 2 2 3 4 3 2" xfId="39427"/>
    <cellStyle name="Comma 2 4 3 2 2 3 4 3 2 2" xfId="46379"/>
    <cellStyle name="Comma 2 4 3 2 2 3 4 4" xfId="24514"/>
    <cellStyle name="Comma 2 4 3 2 2 3 5" xfId="9175"/>
    <cellStyle name="Comma 2 4 3 2 2 3 5 2" xfId="14181"/>
    <cellStyle name="Comma 2 4 3 2 2 3 5 2 2" xfId="44558"/>
    <cellStyle name="Comma 2 4 3 2 2 3 5 2 2 2" xfId="49526"/>
    <cellStyle name="Comma 2 4 3 2 2 3 5 3" xfId="27687"/>
    <cellStyle name="Comma 2 4 3 2 2 3 6" xfId="22672"/>
    <cellStyle name="Comma 2 4 3 2 2 3 6 2" xfId="35993"/>
    <cellStyle name="Comma 2 4 3 2 2 4" xfId="781"/>
    <cellStyle name="Comma 2 4 3 2 2 4 2" xfId="2414"/>
    <cellStyle name="Comma 2 4 3 2 2 4 2 2" xfId="2837"/>
    <cellStyle name="Comma 2 4 3 2 2 4 2 2 2" xfId="7646"/>
    <cellStyle name="Comma 2 4 3 2 2 4 2 2 2 2" xfId="8053"/>
    <cellStyle name="Comma 2 4 3 2 2 4 2 2 2 2 2" xfId="21198"/>
    <cellStyle name="Comma 2 4 3 2 2 4 2 2 2 2 2 2" xfId="21605"/>
    <cellStyle name="Comma 2 4 3 2 2 4 2 2 2 2 2 2 2" xfId="56524"/>
    <cellStyle name="Comma 2 4 3 2 2 4 2 2 2 2 2 2 2 2" xfId="56931"/>
    <cellStyle name="Comma 2 4 3 2 2 4 2 2 2 2 2 3" xfId="35108"/>
    <cellStyle name="Comma 2 4 3 2 2 4 2 2 2 2 3" xfId="34701"/>
    <cellStyle name="Comma 2 4 3 2 2 4 2 2 2 2 3 2" xfId="43480"/>
    <cellStyle name="Comma 2 4 3 2 2 4 2 2 2 3" xfId="13278"/>
    <cellStyle name="Comma 2 4 3 2 2 4 2 2 2 3 2" xfId="43073"/>
    <cellStyle name="Comma 2 4 3 2 2 4 2 2 2 3 2 2" xfId="48624"/>
    <cellStyle name="Comma 2 4 3 2 2 4 2 2 2 4" xfId="26762"/>
    <cellStyle name="Comma 2 4 3 2 2 4 2 2 3" xfId="12871"/>
    <cellStyle name="Comma 2 4 3 2 2 4 2 2 3 2" xfId="16495"/>
    <cellStyle name="Comma 2 4 3 2 2 4 2 2 3 2 2" xfId="48217"/>
    <cellStyle name="Comma 2 4 3 2 2 4 2 2 3 2 2 2" xfId="51823"/>
    <cellStyle name="Comma 2 4 3 2 2 4 2 2 3 3" xfId="29997"/>
    <cellStyle name="Comma 2 4 3 2 2 4 2 2 4" xfId="26355"/>
    <cellStyle name="Comma 2 4 3 2 2 4 2 2 4 2" xfId="38307"/>
    <cellStyle name="Comma 2 4 3 2 2 4 2 3" xfId="4873"/>
    <cellStyle name="Comma 2 4 3 2 2 4 2 3 2" xfId="16077"/>
    <cellStyle name="Comma 2 4 3 2 2 4 2 3 2 2" xfId="18447"/>
    <cellStyle name="Comma 2 4 3 2 2 4 2 3 2 2 2" xfId="51409"/>
    <cellStyle name="Comma 2 4 3 2 2 4 2 3 2 2 2 2" xfId="53773"/>
    <cellStyle name="Comma 2 4 3 2 2 4 2 3 2 3" xfId="31948"/>
    <cellStyle name="Comma 2 4 3 2 2 4 2 3 3" xfId="29583"/>
    <cellStyle name="Comma 2 4 3 2 2 4 2 3 3 2" xfId="40310"/>
    <cellStyle name="Comma 2 4 3 2 2 4 2 4" xfId="10076"/>
    <cellStyle name="Comma 2 4 3 2 2 4 2 4 2" xfId="37892"/>
    <cellStyle name="Comma 2 4 3 2 2 4 2 4 2 2" xfId="45440"/>
    <cellStyle name="Comma 2 4 3 2 2 4 2 5" xfId="23563"/>
    <cellStyle name="Comma 2 4 3 2 2 4 3" xfId="4449"/>
    <cellStyle name="Comma 2 4 3 2 2 4 3 2" xfId="6097"/>
    <cellStyle name="Comma 2 4 3 2 2 4 3 2 2" xfId="18039"/>
    <cellStyle name="Comma 2 4 3 2 2 4 3 2 2 2" xfId="19659"/>
    <cellStyle name="Comma 2 4 3 2 2 4 3 2 2 2 2" xfId="53365"/>
    <cellStyle name="Comma 2 4 3 2 2 4 3 2 2 2 2 2" xfId="54985"/>
    <cellStyle name="Comma 2 4 3 2 2 4 3 2 2 3" xfId="33160"/>
    <cellStyle name="Comma 2 4 3 2 2 4 3 2 3" xfId="31540"/>
    <cellStyle name="Comma 2 4 3 2 2 4 3 2 3 2" xfId="41530"/>
    <cellStyle name="Comma 2 4 3 2 2 4 3 3" xfId="11323"/>
    <cellStyle name="Comma 2 4 3 2 2 4 3 3 2" xfId="39891"/>
    <cellStyle name="Comma 2 4 3 2 2 4 3 3 2 2" xfId="46676"/>
    <cellStyle name="Comma 2 4 3 2 2 4 3 4" xfId="24813"/>
    <cellStyle name="Comma 2 4 3 2 2 4 4" xfId="9654"/>
    <cellStyle name="Comma 2 4 3 2 2 4 4 2" xfId="14481"/>
    <cellStyle name="Comma 2 4 3 2 2 4 4 2 2" xfId="45032"/>
    <cellStyle name="Comma 2 4 3 2 2 4 4 2 2 2" xfId="49823"/>
    <cellStyle name="Comma 2 4 3 2 2 4 4 3" xfId="27992"/>
    <cellStyle name="Comma 2 4 3 2 2 4 5" xfId="23155"/>
    <cellStyle name="Comma 2 4 3 2 2 4 5 2" xfId="36291"/>
    <cellStyle name="Comma 2 4 3 2 2 5" xfId="1568"/>
    <cellStyle name="Comma 2 4 3 2 2 5 2" xfId="5655"/>
    <cellStyle name="Comma 2 4 3 2 2 5 2 2" xfId="6840"/>
    <cellStyle name="Comma 2 4 3 2 2 5 2 2 2" xfId="19227"/>
    <cellStyle name="Comma 2 4 3 2 2 5 2 2 2 2" xfId="20393"/>
    <cellStyle name="Comma 2 4 3 2 2 5 2 2 2 2 2" xfId="54553"/>
    <cellStyle name="Comma 2 4 3 2 2 5 2 2 2 2 2 2" xfId="55719"/>
    <cellStyle name="Comma 2 4 3 2 2 5 2 2 2 3" xfId="33895"/>
    <cellStyle name="Comma 2 4 3 2 2 5 2 2 3" xfId="32728"/>
    <cellStyle name="Comma 2 4 3 2 2 5 2 2 3 2" xfId="42268"/>
    <cellStyle name="Comma 2 4 3 2 2 5 2 3" xfId="12064"/>
    <cellStyle name="Comma 2 4 3 2 2 5 2 3 2" xfId="41091"/>
    <cellStyle name="Comma 2 4 3 2 2 5 2 3 2 2" xfId="47411"/>
    <cellStyle name="Comma 2 4 3 2 2 5 2 4" xfId="25549"/>
    <cellStyle name="Comma 2 4 3 2 2 5 3" xfId="10873"/>
    <cellStyle name="Comma 2 4 3 2 2 5 3 2" xfId="15244"/>
    <cellStyle name="Comma 2 4 3 2 2 5 3 2 2" xfId="46235"/>
    <cellStyle name="Comma 2 4 3 2 2 5 3 2 2 2" xfId="50581"/>
    <cellStyle name="Comma 2 4 3 2 2 5 3 3" xfId="28755"/>
    <cellStyle name="Comma 2 4 3 2 2 5 4" xfId="24366"/>
    <cellStyle name="Comma 2 4 3 2 2 5 4 2" xfId="37056"/>
    <cellStyle name="Comma 2 4 3 2 2 6" xfId="3569"/>
    <cellStyle name="Comma 2 4 3 2 2 6 2" xfId="14039"/>
    <cellStyle name="Comma 2 4 3 2 2 6 2 2" xfId="17205"/>
    <cellStyle name="Comma 2 4 3 2 2 6 2 2 2" xfId="49385"/>
    <cellStyle name="Comma 2 4 3 2 2 6 2 2 2 2" xfId="52532"/>
    <cellStyle name="Comma 2 4 3 2 2 6 2 3" xfId="30706"/>
    <cellStyle name="Comma 2 4 3 2 2 6 3" xfId="27538"/>
    <cellStyle name="Comma 2 4 3 2 2 6 3 2" xfId="39026"/>
    <cellStyle name="Comma 2 4 3 2 2 7" xfId="8760"/>
    <cellStyle name="Comma 2 4 3 2 2 7 2" xfId="35851"/>
    <cellStyle name="Comma 2 4 3 2 2 7 2 2" xfId="44173"/>
    <cellStyle name="Comma 2 4 3 2 2 8" xfId="22277"/>
    <cellStyle name="Comma 2 4 3 2 3" xfId="444"/>
    <cellStyle name="Comma 2 4 3 2 3 2" xfId="535"/>
    <cellStyle name="Comma 2 4 3 2 3 2 2" xfId="1260"/>
    <cellStyle name="Comma 2 4 3 2 3 2 2 2" xfId="1340"/>
    <cellStyle name="Comma 2 4 3 2 3 2 2 2 2" xfId="3278"/>
    <cellStyle name="Comma 2 4 3 2 3 2 2 2 2 2" xfId="3358"/>
    <cellStyle name="Comma 2 4 3 2 3 2 2 2 2 2 2" xfId="8493"/>
    <cellStyle name="Comma 2 4 3 2 3 2 2 2 2 2 2 2" xfId="8573"/>
    <cellStyle name="Comma 2 4 3 2 3 2 2 2 2 2 2 2 2" xfId="22045"/>
    <cellStyle name="Comma 2 4 3 2 3 2 2 2 2 2 2 2 2 2" xfId="22125"/>
    <cellStyle name="Comma 2 4 3 2 3 2 2 2 2 2 2 2 2 2 2" xfId="57371"/>
    <cellStyle name="Comma 2 4 3 2 3 2 2 2 2 2 2 2 2 2 2 2" xfId="57451"/>
    <cellStyle name="Comma 2 4 3 2 3 2 2 2 2 2 2 2 2 3" xfId="35628"/>
    <cellStyle name="Comma 2 4 3 2 3 2 2 2 2 2 2 2 3" xfId="35548"/>
    <cellStyle name="Comma 2 4 3 2 3 2 2 2 2 2 2 2 3 2" xfId="44000"/>
    <cellStyle name="Comma 2 4 3 2 3 2 2 2 2 2 2 3" xfId="13798"/>
    <cellStyle name="Comma 2 4 3 2 3 2 2 2 2 2 2 3 2" xfId="43920"/>
    <cellStyle name="Comma 2 4 3 2 3 2 2 2 2 2 2 3 2 2" xfId="49144"/>
    <cellStyle name="Comma 2 4 3 2 3 2 2 2 2 2 2 4" xfId="27283"/>
    <cellStyle name="Comma 2 4 3 2 3 2 2 2 2 2 3" xfId="13718"/>
    <cellStyle name="Comma 2 4 3 2 3 2 2 2 2 2 3 2" xfId="17015"/>
    <cellStyle name="Comma 2 4 3 2 3 2 2 2 2 2 3 2 2" xfId="49064"/>
    <cellStyle name="Comma 2 4 3 2 3 2 2 2 2 2 3 2 2 2" xfId="52343"/>
    <cellStyle name="Comma 2 4 3 2 3 2 2 2 2 2 3 3" xfId="30517"/>
    <cellStyle name="Comma 2 4 3 2 3 2 2 2 2 2 4" xfId="27203"/>
    <cellStyle name="Comma 2 4 3 2 3 2 2 2 2 2 4 2" xfId="38827"/>
    <cellStyle name="Comma 2 4 3 2 3 2 2 2 2 3" xfId="5395"/>
    <cellStyle name="Comma 2 4 3 2 3 2 2 2 2 3 2" xfId="16935"/>
    <cellStyle name="Comma 2 4 3 2 3 2 2 2 2 3 2 2" xfId="18968"/>
    <cellStyle name="Comma 2 4 3 2 3 2 2 2 2 3 2 2 2" xfId="52263"/>
    <cellStyle name="Comma 2 4 3 2 3 2 2 2 2 3 2 2 2 2" xfId="54294"/>
    <cellStyle name="Comma 2 4 3 2 3 2 2 2 2 3 2 3" xfId="32469"/>
    <cellStyle name="Comma 2 4 3 2 3 2 2 2 2 3 3" xfId="30437"/>
    <cellStyle name="Comma 2 4 3 2 3 2 2 2 2 3 3 2" xfId="40832"/>
    <cellStyle name="Comma 2 4 3 2 3 2 2 2 2 4" xfId="10598"/>
    <cellStyle name="Comma 2 4 3 2 3 2 2 2 2 4 2" xfId="38747"/>
    <cellStyle name="Comma 2 4 3 2 3 2 2 2 2 4 2 2" xfId="45961"/>
    <cellStyle name="Comma 2 4 3 2 3 2 2 2 2 5" xfId="24084"/>
    <cellStyle name="Comma 2 4 3 2 3 2 2 2 3" xfId="5315"/>
    <cellStyle name="Comma 2 4 3 2 3 2 2 2 3 2" xfId="6648"/>
    <cellStyle name="Comma 2 4 3 2 3 2 2 2 3 2 2" xfId="18888"/>
    <cellStyle name="Comma 2 4 3 2 3 2 2 2 3 2 2 2" xfId="20201"/>
    <cellStyle name="Comma 2 4 3 2 3 2 2 2 3 2 2 2 2" xfId="54214"/>
    <cellStyle name="Comma 2 4 3 2 3 2 2 2 3 2 2 2 2 2" xfId="55527"/>
    <cellStyle name="Comma 2 4 3 2 3 2 2 2 3 2 2 3" xfId="33703"/>
    <cellStyle name="Comma 2 4 3 2 3 2 2 2 3 2 3" xfId="32389"/>
    <cellStyle name="Comma 2 4 3 2 3 2 2 2 3 2 3 2" xfId="42076"/>
    <cellStyle name="Comma 2 4 3 2 3 2 2 2 3 3" xfId="11871"/>
    <cellStyle name="Comma 2 4 3 2 3 2 2 2 3 3 2" xfId="40752"/>
    <cellStyle name="Comma 2 4 3 2 3 2 2 2 3 3 2 2" xfId="47219"/>
    <cellStyle name="Comma 2 4 3 2 3 2 2 2 3 4" xfId="25356"/>
    <cellStyle name="Comma 2 4 3 2 3 2 2 2 4" xfId="10518"/>
    <cellStyle name="Comma 2 4 3 2 3 2 2 2 4 2" xfId="15029"/>
    <cellStyle name="Comma 2 4 3 2 3 2 2 2 4 2 2" xfId="45881"/>
    <cellStyle name="Comma 2 4 3 2 3 2 2 2 4 2 2 2" xfId="50368"/>
    <cellStyle name="Comma 2 4 3 2 3 2 2 2 4 3" xfId="28542"/>
    <cellStyle name="Comma 2 4 3 2 3 2 2 2 5" xfId="24004"/>
    <cellStyle name="Comma 2 4 3 2 3 2 2 2 5 2" xfId="36837"/>
    <cellStyle name="Comma 2 4 3 2 3 2 2 3" xfId="2147"/>
    <cellStyle name="Comma 2 4 3 2 3 2 2 3 2" xfId="6568"/>
    <cellStyle name="Comma 2 4 3 2 3 2 2 3 2 2" xfId="7381"/>
    <cellStyle name="Comma 2 4 3 2 3 2 2 3 2 2 2" xfId="20121"/>
    <cellStyle name="Comma 2 4 3 2 3 2 2 3 2 2 2 2" xfId="20933"/>
    <cellStyle name="Comma 2 4 3 2 3 2 2 3 2 2 2 2 2" xfId="55447"/>
    <cellStyle name="Comma 2 4 3 2 3 2 2 3 2 2 2 2 2 2" xfId="56259"/>
    <cellStyle name="Comma 2 4 3 2 3 2 2 3 2 2 2 3" xfId="34436"/>
    <cellStyle name="Comma 2 4 3 2 3 2 2 3 2 2 3" xfId="33623"/>
    <cellStyle name="Comma 2 4 3 2 3 2 2 3 2 2 3 2" xfId="42808"/>
    <cellStyle name="Comma 2 4 3 2 3 2 2 3 2 3" xfId="12606"/>
    <cellStyle name="Comma 2 4 3 2 3 2 2 3 2 3 2" xfId="41996"/>
    <cellStyle name="Comma 2 4 3 2 3 2 2 3 2 3 2 2" xfId="47952"/>
    <cellStyle name="Comma 2 4 3 2 3 2 2 3 2 4" xfId="26090"/>
    <cellStyle name="Comma 2 4 3 2 3 2 2 3 3" xfId="11791"/>
    <cellStyle name="Comma 2 4 3 2 3 2 2 3 3 2" xfId="15811"/>
    <cellStyle name="Comma 2 4 3 2 3 2 2 3 3 2 2" xfId="47139"/>
    <cellStyle name="Comma 2 4 3 2 3 2 2 3 3 2 2 2" xfId="51143"/>
    <cellStyle name="Comma 2 4 3 2 3 2 2 3 3 3" xfId="29317"/>
    <cellStyle name="Comma 2 4 3 2 3 2 2 3 4" xfId="25276"/>
    <cellStyle name="Comma 2 4 3 2 3 2 2 3 4 2" xfId="37625"/>
    <cellStyle name="Comma 2 4 3 2 3 2 2 4" xfId="4163"/>
    <cellStyle name="Comma 2 4 3 2 3 2 2 4 2" xfId="14949"/>
    <cellStyle name="Comma 2 4 3 2 3 2 2 4 2 2" xfId="17756"/>
    <cellStyle name="Comma 2 4 3 2 3 2 2 4 2 2 2" xfId="50288"/>
    <cellStyle name="Comma 2 4 3 2 3 2 2 4 2 2 2 2" xfId="53083"/>
    <cellStyle name="Comma 2 4 3 2 3 2 2 4 2 3" xfId="31258"/>
    <cellStyle name="Comma 2 4 3 2 3 2 2 4 3" xfId="28462"/>
    <cellStyle name="Comma 2 4 3 2 3 2 2 4 3 2" xfId="39606"/>
    <cellStyle name="Comma 2 4 3 2 3 2 2 5" xfId="9354"/>
    <cellStyle name="Comma 2 4 3 2 3 2 2 5 2" xfId="36757"/>
    <cellStyle name="Comma 2 4 3 2 3 2 2 5 2 2" xfId="44736"/>
    <cellStyle name="Comma 2 4 3 2 3 2 2 6" xfId="22850"/>
    <cellStyle name="Comma 2 4 3 2 3 2 3" xfId="2066"/>
    <cellStyle name="Comma 2 4 3 2 3 2 3 2" xfId="2629"/>
    <cellStyle name="Comma 2 4 3 2 3 2 3 2 2" xfId="7300"/>
    <cellStyle name="Comma 2 4 3 2 3 2 3 2 2 2" xfId="7849"/>
    <cellStyle name="Comma 2 4 3 2 3 2 3 2 2 2 2" xfId="20852"/>
    <cellStyle name="Comma 2 4 3 2 3 2 3 2 2 2 2 2" xfId="21401"/>
    <cellStyle name="Comma 2 4 3 2 3 2 3 2 2 2 2 2 2" xfId="56178"/>
    <cellStyle name="Comma 2 4 3 2 3 2 3 2 2 2 2 2 2 2" xfId="56727"/>
    <cellStyle name="Comma 2 4 3 2 3 2 3 2 2 2 2 3" xfId="34904"/>
    <cellStyle name="Comma 2 4 3 2 3 2 3 2 2 2 3" xfId="34355"/>
    <cellStyle name="Comma 2 4 3 2 3 2 3 2 2 2 3 2" xfId="43276"/>
    <cellStyle name="Comma 2 4 3 2 3 2 3 2 2 3" xfId="13074"/>
    <cellStyle name="Comma 2 4 3 2 3 2 3 2 2 3 2" xfId="42727"/>
    <cellStyle name="Comma 2 4 3 2 3 2 3 2 2 3 2 2" xfId="48420"/>
    <cellStyle name="Comma 2 4 3 2 3 2 3 2 2 4" xfId="26558"/>
    <cellStyle name="Comma 2 4 3 2 3 2 3 2 3" xfId="12525"/>
    <cellStyle name="Comma 2 4 3 2 3 2 3 2 3 2" xfId="16288"/>
    <cellStyle name="Comma 2 4 3 2 3 2 3 2 3 2 2" xfId="47871"/>
    <cellStyle name="Comma 2 4 3 2 3 2 3 2 3 2 2 2" xfId="51618"/>
    <cellStyle name="Comma 2 4 3 2 3 2 3 2 3 3" xfId="29792"/>
    <cellStyle name="Comma 2 4 3 2 3 2 3 2 4" xfId="26009"/>
    <cellStyle name="Comma 2 4 3 2 3 2 3 2 4 2" xfId="38102"/>
    <cellStyle name="Comma 2 4 3 2 3 2 3 3" xfId="4664"/>
    <cellStyle name="Comma 2 4 3 2 3 2 3 3 2" xfId="15730"/>
    <cellStyle name="Comma 2 4 3 2 3 2 3 3 2 2" xfId="18243"/>
    <cellStyle name="Comma 2 4 3 2 3 2 3 3 2 2 2" xfId="51062"/>
    <cellStyle name="Comma 2 4 3 2 3 2 3 3 2 2 2 2" xfId="53569"/>
    <cellStyle name="Comma 2 4 3 2 3 2 3 3 2 3" xfId="31744"/>
    <cellStyle name="Comma 2 4 3 2 3 2 3 3 3" xfId="29236"/>
    <cellStyle name="Comma 2 4 3 2 3 2 3 3 3 2" xfId="40103"/>
    <cellStyle name="Comma 2 4 3 2 3 2 3 4" xfId="9867"/>
    <cellStyle name="Comma 2 4 3 2 3 2 3 4 2" xfId="37544"/>
    <cellStyle name="Comma 2 4 3 2 3 2 3 4 2 2" xfId="45236"/>
    <cellStyle name="Comma 2 4 3 2 3 2 3 5" xfId="23359"/>
    <cellStyle name="Comma 2 4 3 2 3 2 4" xfId="4082"/>
    <cellStyle name="Comma 2 4 3 2 3 2 4 2" xfId="5868"/>
    <cellStyle name="Comma 2 4 3 2 3 2 4 2 2" xfId="17675"/>
    <cellStyle name="Comma 2 4 3 2 3 2 4 2 2 2" xfId="19436"/>
    <cellStyle name="Comma 2 4 3 2 3 2 4 2 2 2 2" xfId="53002"/>
    <cellStyle name="Comma 2 4 3 2 3 2 4 2 2 2 2 2" xfId="54762"/>
    <cellStyle name="Comma 2 4 3 2 3 2 4 2 2 3" xfId="32937"/>
    <cellStyle name="Comma 2 4 3 2 3 2 4 2 3" xfId="31177"/>
    <cellStyle name="Comma 2 4 3 2 3 2 4 2 3 2" xfId="41303"/>
    <cellStyle name="Comma 2 4 3 2 3 2 4 3" xfId="11092"/>
    <cellStyle name="Comma 2 4 3 2 3 2 4 3 2" xfId="39525"/>
    <cellStyle name="Comma 2 4 3 2 3 2 4 3 2 2" xfId="46451"/>
    <cellStyle name="Comma 2 4 3 2 3 2 4 4" xfId="24586"/>
    <cellStyle name="Comma 2 4 3 2 3 2 5" xfId="9273"/>
    <cellStyle name="Comma 2 4 3 2 3 2 5 2" xfId="14253"/>
    <cellStyle name="Comma 2 4 3 2 3 2 5 2 2" xfId="44655"/>
    <cellStyle name="Comma 2 4 3 2 3 2 5 2 2 2" xfId="49598"/>
    <cellStyle name="Comma 2 4 3 2 3 2 5 3" xfId="27760"/>
    <cellStyle name="Comma 2 4 3 2 3 2 6" xfId="22769"/>
    <cellStyle name="Comma 2 4 3 2 3 2 6 2" xfId="36065"/>
    <cellStyle name="Comma 2 4 3 2 3 3" xfId="863"/>
    <cellStyle name="Comma 2 4 3 2 3 3 2" xfId="2543"/>
    <cellStyle name="Comma 2 4 3 2 3 3 2 2" xfId="2910"/>
    <cellStyle name="Comma 2 4 3 2 3 3 2 2 2" xfId="7765"/>
    <cellStyle name="Comma 2 4 3 2 3 3 2 2 2 2" xfId="8125"/>
    <cellStyle name="Comma 2 4 3 2 3 3 2 2 2 2 2" xfId="21317"/>
    <cellStyle name="Comma 2 4 3 2 3 3 2 2 2 2 2 2" xfId="21677"/>
    <cellStyle name="Comma 2 4 3 2 3 3 2 2 2 2 2 2 2" xfId="56643"/>
    <cellStyle name="Comma 2 4 3 2 3 3 2 2 2 2 2 2 2 2" xfId="57003"/>
    <cellStyle name="Comma 2 4 3 2 3 3 2 2 2 2 2 3" xfId="35180"/>
    <cellStyle name="Comma 2 4 3 2 3 3 2 2 2 2 3" xfId="34820"/>
    <cellStyle name="Comma 2 4 3 2 3 3 2 2 2 2 3 2" xfId="43552"/>
    <cellStyle name="Comma 2 4 3 2 3 3 2 2 2 3" xfId="13350"/>
    <cellStyle name="Comma 2 4 3 2 3 3 2 2 2 3 2" xfId="43192"/>
    <cellStyle name="Comma 2 4 3 2 3 3 2 2 2 3 2 2" xfId="48696"/>
    <cellStyle name="Comma 2 4 3 2 3 3 2 2 2 4" xfId="26835"/>
    <cellStyle name="Comma 2 4 3 2 3 3 2 2 3" xfId="12990"/>
    <cellStyle name="Comma 2 4 3 2 3 3 2 2 3 2" xfId="16567"/>
    <cellStyle name="Comma 2 4 3 2 3 3 2 2 3 2 2" xfId="48336"/>
    <cellStyle name="Comma 2 4 3 2 3 3 2 2 3 2 2 2" xfId="51895"/>
    <cellStyle name="Comma 2 4 3 2 3 3 2 2 3 3" xfId="30069"/>
    <cellStyle name="Comma 2 4 3 2 3 3 2 2 4" xfId="26474"/>
    <cellStyle name="Comma 2 4 3 2 3 3 2 2 4 2" xfId="38379"/>
    <cellStyle name="Comma 2 4 3 2 3 3 2 3" xfId="4946"/>
    <cellStyle name="Comma 2 4 3 2 3 3 2 3 2" xfId="16203"/>
    <cellStyle name="Comma 2 4 3 2 3 3 2 3 2 2" xfId="18519"/>
    <cellStyle name="Comma 2 4 3 2 3 3 2 3 2 2 2" xfId="51533"/>
    <cellStyle name="Comma 2 4 3 2 3 3 2 3 2 2 2 2" xfId="53845"/>
    <cellStyle name="Comma 2 4 3 2 3 3 2 3 2 3" xfId="32020"/>
    <cellStyle name="Comma 2 4 3 2 3 3 2 3 3" xfId="29707"/>
    <cellStyle name="Comma 2 4 3 2 3 3 2 3 3 2" xfId="40383"/>
    <cellStyle name="Comma 2 4 3 2 3 3 2 4" xfId="10149"/>
    <cellStyle name="Comma 2 4 3 2 3 3 2 4 2" xfId="38016"/>
    <cellStyle name="Comma 2 4 3 2 3 3 2 4 2 2" xfId="45512"/>
    <cellStyle name="Comma 2 4 3 2 3 3 2 5" xfId="23635"/>
    <cellStyle name="Comma 2 4 3 2 3 3 3" xfId="4577"/>
    <cellStyle name="Comma 2 4 3 2 3 3 3 2" xfId="6177"/>
    <cellStyle name="Comma 2 4 3 2 3 3 3 2 2" xfId="18158"/>
    <cellStyle name="Comma 2 4 3 2 3 3 3 2 2 2" xfId="19736"/>
    <cellStyle name="Comma 2 4 3 2 3 3 3 2 2 2 2" xfId="53484"/>
    <cellStyle name="Comma 2 4 3 2 3 3 3 2 2 2 2 2" xfId="55062"/>
    <cellStyle name="Comma 2 4 3 2 3 3 3 2 2 3" xfId="33238"/>
    <cellStyle name="Comma 2 4 3 2 3 3 3 2 3" xfId="31659"/>
    <cellStyle name="Comma 2 4 3 2 3 3 3 2 3 2" xfId="41607"/>
    <cellStyle name="Comma 2 4 3 2 3 3 3 3" xfId="11402"/>
    <cellStyle name="Comma 2 4 3 2 3 3 3 3 2" xfId="40016"/>
    <cellStyle name="Comma 2 4 3 2 3 3 3 3 2 2" xfId="46753"/>
    <cellStyle name="Comma 2 4 3 2 3 3 3 4" xfId="24890"/>
    <cellStyle name="Comma 2 4 3 2 3 3 4" xfId="9780"/>
    <cellStyle name="Comma 2 4 3 2 3 3 4 2" xfId="14560"/>
    <cellStyle name="Comma 2 4 3 2 3 3 4 2 2" xfId="45151"/>
    <cellStyle name="Comma 2 4 3 2 3 3 4 2 2 2" xfId="49901"/>
    <cellStyle name="Comma 2 4 3 2 3 3 4 3" xfId="28071"/>
    <cellStyle name="Comma 2 4 3 2 3 3 5" xfId="23274"/>
    <cellStyle name="Comma 2 4 3 2 3 3 5 2" xfId="36370"/>
    <cellStyle name="Comma 2 4 3 2 3 4" xfId="1658"/>
    <cellStyle name="Comma 2 4 3 2 3 4 2" xfId="5783"/>
    <cellStyle name="Comma 2 4 3 2 3 4 2 2" xfId="6920"/>
    <cellStyle name="Comma 2 4 3 2 3 4 2 2 2" xfId="19351"/>
    <cellStyle name="Comma 2 4 3 2 3 4 2 2 2 2" xfId="20473"/>
    <cellStyle name="Comma 2 4 3 2 3 4 2 2 2 2 2" xfId="54677"/>
    <cellStyle name="Comma 2 4 3 2 3 4 2 2 2 2 2 2" xfId="55799"/>
    <cellStyle name="Comma 2 4 3 2 3 4 2 2 2 3" xfId="33975"/>
    <cellStyle name="Comma 2 4 3 2 3 4 2 2 3" xfId="32852"/>
    <cellStyle name="Comma 2 4 3 2 3 4 2 2 3 2" xfId="42348"/>
    <cellStyle name="Comma 2 4 3 2 3 4 2 3" xfId="12144"/>
    <cellStyle name="Comma 2 4 3 2 3 4 2 3 2" xfId="41218"/>
    <cellStyle name="Comma 2 4 3 2 3 4 2 3 2 2" xfId="47491"/>
    <cellStyle name="Comma 2 4 3 2 3 4 2 4" xfId="25629"/>
    <cellStyle name="Comma 2 4 3 2 3 4 3" xfId="11004"/>
    <cellStyle name="Comma 2 4 3 2 3 4 3 2" xfId="15331"/>
    <cellStyle name="Comma 2 4 3 2 3 4 3 2 2" xfId="46363"/>
    <cellStyle name="Comma 2 4 3 2 3 4 3 2 2 2" xfId="50666"/>
    <cellStyle name="Comma 2 4 3 2 3 4 3 3" xfId="28840"/>
    <cellStyle name="Comma 2 4 3 2 3 4 4" xfId="24498"/>
    <cellStyle name="Comma 2 4 3 2 3 4 4 2" xfId="37142"/>
    <cellStyle name="Comma 2 4 3 2 3 5" xfId="3663"/>
    <cellStyle name="Comma 2 4 3 2 3 5 2" xfId="14166"/>
    <cellStyle name="Comma 2 4 3 2 3 5 2 2" xfId="17288"/>
    <cellStyle name="Comma 2 4 3 2 3 5 2 2 2" xfId="49511"/>
    <cellStyle name="Comma 2 4 3 2 3 5 2 2 2 2" xfId="52615"/>
    <cellStyle name="Comma 2 4 3 2 3 5 2 3" xfId="30789"/>
    <cellStyle name="Comma 2 4 3 2 3 5 3" xfId="27671"/>
    <cellStyle name="Comma 2 4 3 2 3 5 3 2" xfId="39116"/>
    <cellStyle name="Comma 2 4 3 2 3 6" xfId="8856"/>
    <cellStyle name="Comma 2 4 3 2 3 6 2" xfId="35978"/>
    <cellStyle name="Comma 2 4 3 2 3 6 2 2" xfId="44260"/>
    <cellStyle name="Comma 2 4 3 2 3 7" xfId="22368"/>
    <cellStyle name="Comma 2 4 3 2 4" xfId="765"/>
    <cellStyle name="Comma 2 4 3 2 4 2" xfId="1035"/>
    <cellStyle name="Comma 2 4 3 2 4 2 2" xfId="2822"/>
    <cellStyle name="Comma 2 4 3 2 4 2 2 2" xfId="3071"/>
    <cellStyle name="Comma 2 4 3 2 4 2 2 2 2" xfId="8038"/>
    <cellStyle name="Comma 2 4 3 2 4 2 2 2 2 2" xfId="8286"/>
    <cellStyle name="Comma 2 4 3 2 4 2 2 2 2 2 2" xfId="21590"/>
    <cellStyle name="Comma 2 4 3 2 4 2 2 2 2 2 2 2" xfId="21838"/>
    <cellStyle name="Comma 2 4 3 2 4 2 2 2 2 2 2 2 2" xfId="56916"/>
    <cellStyle name="Comma 2 4 3 2 4 2 2 2 2 2 2 2 2 2" xfId="57164"/>
    <cellStyle name="Comma 2 4 3 2 4 2 2 2 2 2 2 3" xfId="35341"/>
    <cellStyle name="Comma 2 4 3 2 4 2 2 2 2 2 3" xfId="35093"/>
    <cellStyle name="Comma 2 4 3 2 4 2 2 2 2 2 3 2" xfId="43713"/>
    <cellStyle name="Comma 2 4 3 2 4 2 2 2 2 3" xfId="13511"/>
    <cellStyle name="Comma 2 4 3 2 4 2 2 2 2 3 2" xfId="43465"/>
    <cellStyle name="Comma 2 4 3 2 4 2 2 2 2 3 2 2" xfId="48857"/>
    <cellStyle name="Comma 2 4 3 2 4 2 2 2 2 4" xfId="26996"/>
    <cellStyle name="Comma 2 4 3 2 4 2 2 2 3" xfId="13263"/>
    <cellStyle name="Comma 2 4 3 2 4 2 2 2 3 2" xfId="16728"/>
    <cellStyle name="Comma 2 4 3 2 4 2 2 2 3 2 2" xfId="48609"/>
    <cellStyle name="Comma 2 4 3 2 4 2 2 2 3 2 2 2" xfId="52056"/>
    <cellStyle name="Comma 2 4 3 2 4 2 2 2 3 3" xfId="30230"/>
    <cellStyle name="Comma 2 4 3 2 4 2 2 2 4" xfId="26747"/>
    <cellStyle name="Comma 2 4 3 2 4 2 2 2 4 2" xfId="38540"/>
    <cellStyle name="Comma 2 4 3 2 4 2 2 3" xfId="5108"/>
    <cellStyle name="Comma 2 4 3 2 4 2 2 3 2" xfId="16480"/>
    <cellStyle name="Comma 2 4 3 2 4 2 2 3 2 2" xfId="18681"/>
    <cellStyle name="Comma 2 4 3 2 4 2 2 3 2 2 2" xfId="51808"/>
    <cellStyle name="Comma 2 4 3 2 4 2 2 3 2 2 2 2" xfId="54007"/>
    <cellStyle name="Comma 2 4 3 2 4 2 2 3 2 3" xfId="32182"/>
    <cellStyle name="Comma 2 4 3 2 4 2 2 3 3" xfId="29982"/>
    <cellStyle name="Comma 2 4 3 2 4 2 2 3 3 2" xfId="40545"/>
    <cellStyle name="Comma 2 4 3 2 4 2 2 4" xfId="10311"/>
    <cellStyle name="Comma 2 4 3 2 4 2 2 4 2" xfId="38292"/>
    <cellStyle name="Comma 2 4 3 2 4 2 2 4 2 2" xfId="45674"/>
    <cellStyle name="Comma 2 4 3 2 4 2 2 5" xfId="23797"/>
    <cellStyle name="Comma 2 4 3 2 4 2 3" xfId="4858"/>
    <cellStyle name="Comma 2 4 3 2 4 2 3 2" xfId="6345"/>
    <cellStyle name="Comma 2 4 3 2 4 2 3 2 2" xfId="18432"/>
    <cellStyle name="Comma 2 4 3 2 4 2 3 2 2 2" xfId="19902"/>
    <cellStyle name="Comma 2 4 3 2 4 2 3 2 2 2 2" xfId="53758"/>
    <cellStyle name="Comma 2 4 3 2 4 2 3 2 2 2 2 2" xfId="55228"/>
    <cellStyle name="Comma 2 4 3 2 4 2 3 2 2 3" xfId="33404"/>
    <cellStyle name="Comma 2 4 3 2 4 2 3 2 3" xfId="31933"/>
    <cellStyle name="Comma 2 4 3 2 4 2 3 2 3 2" xfId="41774"/>
    <cellStyle name="Comma 2 4 3 2 4 2 3 3" xfId="11571"/>
    <cellStyle name="Comma 2 4 3 2 4 2 3 3 2" xfId="40295"/>
    <cellStyle name="Comma 2 4 3 2 4 2 3 3 2 2" xfId="46920"/>
    <cellStyle name="Comma 2 4 3 2 4 2 3 4" xfId="25057"/>
    <cellStyle name="Comma 2 4 3 2 4 2 4" xfId="10061"/>
    <cellStyle name="Comma 2 4 3 2 4 2 4 2" xfId="14728"/>
    <cellStyle name="Comma 2 4 3 2 4 2 4 2 2" xfId="45425"/>
    <cellStyle name="Comma 2 4 3 2 4 2 4 2 2 2" xfId="50067"/>
    <cellStyle name="Comma 2 4 3 2 4 2 4 3" xfId="28240"/>
    <cellStyle name="Comma 2 4 3 2 4 2 5" xfId="23548"/>
    <cellStyle name="Comma 2 4 3 2 4 2 5 2" xfId="36536"/>
    <cellStyle name="Comma 2 4 3 2 4 3" xfId="1840"/>
    <cellStyle name="Comma 2 4 3 2 4 3 2" xfId="6082"/>
    <cellStyle name="Comma 2 4 3 2 4 3 2 2" xfId="7090"/>
    <cellStyle name="Comma 2 4 3 2 4 3 2 2 2" xfId="19644"/>
    <cellStyle name="Comma 2 4 3 2 4 3 2 2 2 2" xfId="20643"/>
    <cellStyle name="Comma 2 4 3 2 4 3 2 2 2 2 2" xfId="54970"/>
    <cellStyle name="Comma 2 4 3 2 4 3 2 2 2 2 2 2" xfId="55969"/>
    <cellStyle name="Comma 2 4 3 2 4 3 2 2 2 3" xfId="34145"/>
    <cellStyle name="Comma 2 4 3 2 4 3 2 2 3" xfId="33145"/>
    <cellStyle name="Comma 2 4 3 2 4 3 2 2 3 2" xfId="42518"/>
    <cellStyle name="Comma 2 4 3 2 4 3 2 3" xfId="12315"/>
    <cellStyle name="Comma 2 4 3 2 4 3 2 3 2" xfId="41515"/>
    <cellStyle name="Comma 2 4 3 2 4 3 2 3 2 2" xfId="47662"/>
    <cellStyle name="Comma 2 4 3 2 4 3 2 4" xfId="25800"/>
    <cellStyle name="Comma 2 4 3 2 4 3 3" xfId="11308"/>
    <cellStyle name="Comma 2 4 3 2 4 3 3 2" xfId="15511"/>
    <cellStyle name="Comma 2 4 3 2 4 3 3 2 2" xfId="46661"/>
    <cellStyle name="Comma 2 4 3 2 4 3 3 2 2 2" xfId="50844"/>
    <cellStyle name="Comma 2 4 3 2 4 3 3 3" xfId="29018"/>
    <cellStyle name="Comma 2 4 3 2 4 3 4" xfId="24798"/>
    <cellStyle name="Comma 2 4 3 2 4 3 4 2" xfId="37321"/>
    <cellStyle name="Comma 2 4 3 2 4 4" xfId="3853"/>
    <cellStyle name="Comma 2 4 3 2 4 4 2" xfId="14466"/>
    <cellStyle name="Comma 2 4 3 2 4 4 2 2" xfId="17466"/>
    <cellStyle name="Comma 2 4 3 2 4 4 2 2 2" xfId="49808"/>
    <cellStyle name="Comma 2 4 3 2 4 4 2 2 2 2" xfId="52793"/>
    <cellStyle name="Comma 2 4 3 2 4 4 2 3" xfId="30967"/>
    <cellStyle name="Comma 2 4 3 2 4 4 3" xfId="27977"/>
    <cellStyle name="Comma 2 4 3 2 4 4 3 2" xfId="39302"/>
    <cellStyle name="Comma 2 4 3 2 4 5" xfId="9045"/>
    <cellStyle name="Comma 2 4 3 2 4 5 2" xfId="36276"/>
    <cellStyle name="Comma 2 4 3 2 4 5 2 2" xfId="44442"/>
    <cellStyle name="Comma 2 4 3 2 4 6" xfId="22553"/>
    <cellStyle name="Comma 2 4 3 2 5" xfId="1551"/>
    <cellStyle name="Comma 2 4 3 2 5 2" xfId="2298"/>
    <cellStyle name="Comma 2 4 3 2 5 2 2" xfId="6824"/>
    <cellStyle name="Comma 2 4 3 2 5 2 2 2" xfId="7532"/>
    <cellStyle name="Comma 2 4 3 2 5 2 2 2 2" xfId="20377"/>
    <cellStyle name="Comma 2 4 3 2 5 2 2 2 2 2" xfId="21084"/>
    <cellStyle name="Comma 2 4 3 2 5 2 2 2 2 2 2" xfId="55703"/>
    <cellStyle name="Comma 2 4 3 2 5 2 2 2 2 2 2 2" xfId="56410"/>
    <cellStyle name="Comma 2 4 3 2 5 2 2 2 2 3" xfId="34587"/>
    <cellStyle name="Comma 2 4 3 2 5 2 2 2 3" xfId="33879"/>
    <cellStyle name="Comma 2 4 3 2 5 2 2 2 3 2" xfId="42959"/>
    <cellStyle name="Comma 2 4 3 2 5 2 2 3" xfId="12757"/>
    <cellStyle name="Comma 2 4 3 2 5 2 2 3 2" xfId="42252"/>
    <cellStyle name="Comma 2 4 3 2 5 2 2 3 2 2" xfId="48103"/>
    <cellStyle name="Comma 2 4 3 2 5 2 2 4" xfId="26241"/>
    <cellStyle name="Comma 2 4 3 2 5 2 3" xfId="12048"/>
    <cellStyle name="Comma 2 4 3 2 5 2 3 2" xfId="15962"/>
    <cellStyle name="Comma 2 4 3 2 5 2 3 2 2" xfId="47395"/>
    <cellStyle name="Comma 2 4 3 2 5 2 3 2 2 2" xfId="51294"/>
    <cellStyle name="Comma 2 4 3 2 5 2 3 3" xfId="29468"/>
    <cellStyle name="Comma 2 4 3 2 5 2 4" xfId="25533"/>
    <cellStyle name="Comma 2 4 3 2 5 2 4 2" xfId="37776"/>
    <cellStyle name="Comma 2 4 3 2 5 3" xfId="4326"/>
    <cellStyle name="Comma 2 4 3 2 5 3 2" xfId="15227"/>
    <cellStyle name="Comma 2 4 3 2 5 3 2 2" xfId="17919"/>
    <cellStyle name="Comma 2 4 3 2 5 3 2 2 2" xfId="50564"/>
    <cellStyle name="Comma 2 4 3 2 5 3 2 2 2 2" xfId="53246"/>
    <cellStyle name="Comma 2 4 3 2 5 3 2 3" xfId="31421"/>
    <cellStyle name="Comma 2 4 3 2 5 3 3" xfId="28738"/>
    <cellStyle name="Comma 2 4 3 2 5 3 3 2" xfId="39769"/>
    <cellStyle name="Comma 2 4 3 2 5 4" xfId="9522"/>
    <cellStyle name="Comma 2 4 3 2 5 4 2" xfId="37039"/>
    <cellStyle name="Comma 2 4 3 2 5 4 2 2" xfId="44904"/>
    <cellStyle name="Comma 2 4 3 2 5 5" xfId="23020"/>
    <cellStyle name="Comma 2 4 3 2 6" xfId="3552"/>
    <cellStyle name="Comma 2 4 3 2 6 2" xfId="5537"/>
    <cellStyle name="Comma 2 4 3 2 6 2 2" xfId="17189"/>
    <cellStyle name="Comma 2 4 3 2 6 2 2 2" xfId="19110"/>
    <cellStyle name="Comma 2 4 3 2 6 2 2 2 2" xfId="52516"/>
    <cellStyle name="Comma 2 4 3 2 6 2 2 2 2 2" xfId="54436"/>
    <cellStyle name="Comma 2 4 3 2 6 2 2 3" xfId="32611"/>
    <cellStyle name="Comma 2 4 3 2 6 2 3" xfId="30690"/>
    <cellStyle name="Comma 2 4 3 2 6 2 3 2" xfId="40974"/>
    <cellStyle name="Comma 2 4 3 2 6 3" xfId="10744"/>
    <cellStyle name="Comma 2 4 3 2 6 3 2" xfId="39009"/>
    <cellStyle name="Comma 2 4 3 2 6 3 2 2" xfId="46106"/>
    <cellStyle name="Comma 2 4 3 2 6 4" xfId="24231"/>
    <cellStyle name="Comma 2 4 3 2 7" xfId="8743"/>
    <cellStyle name="Comma 2 4 3 2 7 2" xfId="13922"/>
    <cellStyle name="Comma 2 4 3 2 7 2 2" xfId="44157"/>
    <cellStyle name="Comma 2 4 3 2 7 2 2 2" xfId="49268"/>
    <cellStyle name="Comma 2 4 3 2 7 3" xfId="27408"/>
    <cellStyle name="Comma 2 4 3 2 8" xfId="22261"/>
    <cellStyle name="Comma 2 4 3 2 8 2" xfId="27404"/>
    <cellStyle name="Comma 2 4 3 3" xfId="217"/>
    <cellStyle name="Comma 2 4 3 3 2" xfId="508"/>
    <cellStyle name="Comma 2 4 3 3 2 2" xfId="581"/>
    <cellStyle name="Comma 2 4 3 3 2 2 2" xfId="1318"/>
    <cellStyle name="Comma 2 4 3 3 2 2 2 2" xfId="1377"/>
    <cellStyle name="Comma 2 4 3 3 2 2 2 2 2" xfId="3336"/>
    <cellStyle name="Comma 2 4 3 3 2 2 2 2 2 2" xfId="3395"/>
    <cellStyle name="Comma 2 4 3 3 2 2 2 2 2 2 2" xfId="8551"/>
    <cellStyle name="Comma 2 4 3 3 2 2 2 2 2 2 2 2" xfId="8610"/>
    <cellStyle name="Comma 2 4 3 3 2 2 2 2 2 2 2 2 2" xfId="22103"/>
    <cellStyle name="Comma 2 4 3 3 2 2 2 2 2 2 2 2 2 2" xfId="22162"/>
    <cellStyle name="Comma 2 4 3 3 2 2 2 2 2 2 2 2 2 2 2" xfId="57429"/>
    <cellStyle name="Comma 2 4 3 3 2 2 2 2 2 2 2 2 2 2 2 2" xfId="57488"/>
    <cellStyle name="Comma 2 4 3 3 2 2 2 2 2 2 2 2 2 3" xfId="35665"/>
    <cellStyle name="Comma 2 4 3 3 2 2 2 2 2 2 2 2 3" xfId="35606"/>
    <cellStyle name="Comma 2 4 3 3 2 2 2 2 2 2 2 2 3 2" xfId="44037"/>
    <cellStyle name="Comma 2 4 3 3 2 2 2 2 2 2 2 3" xfId="13835"/>
    <cellStyle name="Comma 2 4 3 3 2 2 2 2 2 2 2 3 2" xfId="43978"/>
    <cellStyle name="Comma 2 4 3 3 2 2 2 2 2 2 2 3 2 2" xfId="49181"/>
    <cellStyle name="Comma 2 4 3 3 2 2 2 2 2 2 2 4" xfId="27320"/>
    <cellStyle name="Comma 2 4 3 3 2 2 2 2 2 2 3" xfId="13776"/>
    <cellStyle name="Comma 2 4 3 3 2 2 2 2 2 2 3 2" xfId="17052"/>
    <cellStyle name="Comma 2 4 3 3 2 2 2 2 2 2 3 2 2" xfId="49122"/>
    <cellStyle name="Comma 2 4 3 3 2 2 2 2 2 2 3 2 2 2" xfId="52380"/>
    <cellStyle name="Comma 2 4 3 3 2 2 2 2 2 2 3 3" xfId="30554"/>
    <cellStyle name="Comma 2 4 3 3 2 2 2 2 2 2 4" xfId="27261"/>
    <cellStyle name="Comma 2 4 3 3 2 2 2 2 2 2 4 2" xfId="38864"/>
    <cellStyle name="Comma 2 4 3 3 2 2 2 2 2 3" xfId="5432"/>
    <cellStyle name="Comma 2 4 3 3 2 2 2 2 2 3 2" xfId="16993"/>
    <cellStyle name="Comma 2 4 3 3 2 2 2 2 2 3 2 2" xfId="19005"/>
    <cellStyle name="Comma 2 4 3 3 2 2 2 2 2 3 2 2 2" xfId="52321"/>
    <cellStyle name="Comma 2 4 3 3 2 2 2 2 2 3 2 2 2 2" xfId="54331"/>
    <cellStyle name="Comma 2 4 3 3 2 2 2 2 2 3 2 3" xfId="32506"/>
    <cellStyle name="Comma 2 4 3 3 2 2 2 2 2 3 3" xfId="30495"/>
    <cellStyle name="Comma 2 4 3 3 2 2 2 2 2 3 3 2" xfId="40869"/>
    <cellStyle name="Comma 2 4 3 3 2 2 2 2 2 4" xfId="10635"/>
    <cellStyle name="Comma 2 4 3 3 2 2 2 2 2 4 2" xfId="38805"/>
    <cellStyle name="Comma 2 4 3 3 2 2 2 2 2 4 2 2" xfId="45998"/>
    <cellStyle name="Comma 2 4 3 3 2 2 2 2 2 5" xfId="24121"/>
    <cellStyle name="Comma 2 4 3 3 2 2 2 2 3" xfId="5373"/>
    <cellStyle name="Comma 2 4 3 3 2 2 2 2 3 2" xfId="6685"/>
    <cellStyle name="Comma 2 4 3 3 2 2 2 2 3 2 2" xfId="18946"/>
    <cellStyle name="Comma 2 4 3 3 2 2 2 2 3 2 2 2" xfId="20238"/>
    <cellStyle name="Comma 2 4 3 3 2 2 2 2 3 2 2 2 2" xfId="54272"/>
    <cellStyle name="Comma 2 4 3 3 2 2 2 2 3 2 2 2 2 2" xfId="55564"/>
    <cellStyle name="Comma 2 4 3 3 2 2 2 2 3 2 2 3" xfId="33740"/>
    <cellStyle name="Comma 2 4 3 3 2 2 2 2 3 2 3" xfId="32447"/>
    <cellStyle name="Comma 2 4 3 3 2 2 2 2 3 2 3 2" xfId="42113"/>
    <cellStyle name="Comma 2 4 3 3 2 2 2 2 3 3" xfId="11908"/>
    <cellStyle name="Comma 2 4 3 3 2 2 2 2 3 3 2" xfId="40810"/>
    <cellStyle name="Comma 2 4 3 3 2 2 2 2 3 3 2 2" xfId="47256"/>
    <cellStyle name="Comma 2 4 3 3 2 2 2 2 3 4" xfId="25393"/>
    <cellStyle name="Comma 2 4 3 3 2 2 2 2 4" xfId="10576"/>
    <cellStyle name="Comma 2 4 3 3 2 2 2 2 4 2" xfId="15066"/>
    <cellStyle name="Comma 2 4 3 3 2 2 2 2 4 2 2" xfId="45939"/>
    <cellStyle name="Comma 2 4 3 3 2 2 2 2 4 2 2 2" xfId="50405"/>
    <cellStyle name="Comma 2 4 3 3 2 2 2 2 4 3" xfId="28579"/>
    <cellStyle name="Comma 2 4 3 3 2 2 2 2 5" xfId="24062"/>
    <cellStyle name="Comma 2 4 3 3 2 2 2 2 5 2" xfId="36874"/>
    <cellStyle name="Comma 2 4 3 3 2 2 2 3" xfId="2184"/>
    <cellStyle name="Comma 2 4 3 3 2 2 2 3 2" xfId="6626"/>
    <cellStyle name="Comma 2 4 3 3 2 2 2 3 2 2" xfId="7418"/>
    <cellStyle name="Comma 2 4 3 3 2 2 2 3 2 2 2" xfId="20179"/>
    <cellStyle name="Comma 2 4 3 3 2 2 2 3 2 2 2 2" xfId="20970"/>
    <cellStyle name="Comma 2 4 3 3 2 2 2 3 2 2 2 2 2" xfId="55505"/>
    <cellStyle name="Comma 2 4 3 3 2 2 2 3 2 2 2 2 2 2" xfId="56296"/>
    <cellStyle name="Comma 2 4 3 3 2 2 2 3 2 2 2 3" xfId="34473"/>
    <cellStyle name="Comma 2 4 3 3 2 2 2 3 2 2 3" xfId="33681"/>
    <cellStyle name="Comma 2 4 3 3 2 2 2 3 2 2 3 2" xfId="42845"/>
    <cellStyle name="Comma 2 4 3 3 2 2 2 3 2 3" xfId="12643"/>
    <cellStyle name="Comma 2 4 3 3 2 2 2 3 2 3 2" xfId="42054"/>
    <cellStyle name="Comma 2 4 3 3 2 2 2 3 2 3 2 2" xfId="47989"/>
    <cellStyle name="Comma 2 4 3 3 2 2 2 3 2 4" xfId="26127"/>
    <cellStyle name="Comma 2 4 3 3 2 2 2 3 3" xfId="11849"/>
    <cellStyle name="Comma 2 4 3 3 2 2 2 3 3 2" xfId="15848"/>
    <cellStyle name="Comma 2 4 3 3 2 2 2 3 3 2 2" xfId="47197"/>
    <cellStyle name="Comma 2 4 3 3 2 2 2 3 3 2 2 2" xfId="51180"/>
    <cellStyle name="Comma 2 4 3 3 2 2 2 3 3 3" xfId="29354"/>
    <cellStyle name="Comma 2 4 3 3 2 2 2 3 4" xfId="25334"/>
    <cellStyle name="Comma 2 4 3 3 2 2 2 3 4 2" xfId="37662"/>
    <cellStyle name="Comma 2 4 3 3 2 2 2 4" xfId="4200"/>
    <cellStyle name="Comma 2 4 3 3 2 2 2 4 2" xfId="15007"/>
    <cellStyle name="Comma 2 4 3 3 2 2 2 4 2 2" xfId="17793"/>
    <cellStyle name="Comma 2 4 3 3 2 2 2 4 2 2 2" xfId="50346"/>
    <cellStyle name="Comma 2 4 3 3 2 2 2 4 2 2 2 2" xfId="53120"/>
    <cellStyle name="Comma 2 4 3 3 2 2 2 4 2 3" xfId="31295"/>
    <cellStyle name="Comma 2 4 3 3 2 2 2 4 3" xfId="28520"/>
    <cellStyle name="Comma 2 4 3 3 2 2 2 4 3 2" xfId="39643"/>
    <cellStyle name="Comma 2 4 3 3 2 2 2 5" xfId="9391"/>
    <cellStyle name="Comma 2 4 3 3 2 2 2 5 2" xfId="36815"/>
    <cellStyle name="Comma 2 4 3 3 2 2 2 5 2 2" xfId="44773"/>
    <cellStyle name="Comma 2 4 3 3 2 2 2 6" xfId="22887"/>
    <cellStyle name="Comma 2 4 3 3 2 2 3" xfId="2125"/>
    <cellStyle name="Comma 2 4 3 3 2 2 3 2" xfId="2671"/>
    <cellStyle name="Comma 2 4 3 3 2 2 3 2 2" xfId="7359"/>
    <cellStyle name="Comma 2 4 3 3 2 2 3 2 2 2" xfId="7890"/>
    <cellStyle name="Comma 2 4 3 3 2 2 3 2 2 2 2" xfId="20911"/>
    <cellStyle name="Comma 2 4 3 3 2 2 3 2 2 2 2 2" xfId="21442"/>
    <cellStyle name="Comma 2 4 3 3 2 2 3 2 2 2 2 2 2" xfId="56237"/>
    <cellStyle name="Comma 2 4 3 3 2 2 3 2 2 2 2 2 2 2" xfId="56768"/>
    <cellStyle name="Comma 2 4 3 3 2 2 3 2 2 2 2 3" xfId="34945"/>
    <cellStyle name="Comma 2 4 3 3 2 2 3 2 2 2 3" xfId="34414"/>
    <cellStyle name="Comma 2 4 3 3 2 2 3 2 2 2 3 2" xfId="43317"/>
    <cellStyle name="Comma 2 4 3 3 2 2 3 2 2 3" xfId="13115"/>
    <cellStyle name="Comma 2 4 3 3 2 2 3 2 2 3 2" xfId="42786"/>
    <cellStyle name="Comma 2 4 3 3 2 2 3 2 2 3 2 2" xfId="48461"/>
    <cellStyle name="Comma 2 4 3 3 2 2 3 2 2 4" xfId="26599"/>
    <cellStyle name="Comma 2 4 3 3 2 2 3 2 3" xfId="12584"/>
    <cellStyle name="Comma 2 4 3 3 2 2 3 2 3 2" xfId="16330"/>
    <cellStyle name="Comma 2 4 3 3 2 2 3 2 3 2 2" xfId="47930"/>
    <cellStyle name="Comma 2 4 3 3 2 2 3 2 3 2 2 2" xfId="51660"/>
    <cellStyle name="Comma 2 4 3 3 2 2 3 2 3 3" xfId="29834"/>
    <cellStyle name="Comma 2 4 3 3 2 2 3 2 4" xfId="26068"/>
    <cellStyle name="Comma 2 4 3 3 2 2 3 2 4 2" xfId="38144"/>
    <cellStyle name="Comma 2 4 3 3 2 2 3 3" xfId="4707"/>
    <cellStyle name="Comma 2 4 3 3 2 2 3 3 2" xfId="15789"/>
    <cellStyle name="Comma 2 4 3 3 2 2 3 3 2 2" xfId="18284"/>
    <cellStyle name="Comma 2 4 3 3 2 2 3 3 2 2 2" xfId="51121"/>
    <cellStyle name="Comma 2 4 3 3 2 2 3 3 2 2 2 2" xfId="53610"/>
    <cellStyle name="Comma 2 4 3 3 2 2 3 3 2 3" xfId="31785"/>
    <cellStyle name="Comma 2 4 3 3 2 2 3 3 3" xfId="29295"/>
    <cellStyle name="Comma 2 4 3 3 2 2 3 3 3 2" xfId="40145"/>
    <cellStyle name="Comma 2 4 3 3 2 2 3 4" xfId="9910"/>
    <cellStyle name="Comma 2 4 3 3 2 2 3 4 2" xfId="37603"/>
    <cellStyle name="Comma 2 4 3 3 2 2 3 4 2 2" xfId="45277"/>
    <cellStyle name="Comma 2 4 3 3 2 2 3 5" xfId="23400"/>
    <cellStyle name="Comma 2 4 3 3 2 2 4" xfId="4141"/>
    <cellStyle name="Comma 2 4 3 3 2 2 4 2" xfId="5912"/>
    <cellStyle name="Comma 2 4 3 3 2 2 4 2 2" xfId="17734"/>
    <cellStyle name="Comma 2 4 3 3 2 2 4 2 2 2" xfId="19479"/>
    <cellStyle name="Comma 2 4 3 3 2 2 4 2 2 2 2" xfId="53061"/>
    <cellStyle name="Comma 2 4 3 3 2 2 4 2 2 2 2 2" xfId="54805"/>
    <cellStyle name="Comma 2 4 3 3 2 2 4 2 2 3" xfId="32980"/>
    <cellStyle name="Comma 2 4 3 3 2 2 4 2 3" xfId="31236"/>
    <cellStyle name="Comma 2 4 3 3 2 2 4 2 3 2" xfId="41346"/>
    <cellStyle name="Comma 2 4 3 3 2 2 4 3" xfId="11137"/>
    <cellStyle name="Comma 2 4 3 3 2 2 4 3 2" xfId="39584"/>
    <cellStyle name="Comma 2 4 3 3 2 2 4 3 2 2" xfId="46495"/>
    <cellStyle name="Comma 2 4 3 3 2 2 4 4" xfId="24630"/>
    <cellStyle name="Comma 2 4 3 3 2 2 5" xfId="9332"/>
    <cellStyle name="Comma 2 4 3 3 2 2 5 2" xfId="14296"/>
    <cellStyle name="Comma 2 4 3 3 2 2 5 2 2" xfId="44714"/>
    <cellStyle name="Comma 2 4 3 3 2 2 5 2 2 2" xfId="49641"/>
    <cellStyle name="Comma 2 4 3 3 2 2 5 3" xfId="27806"/>
    <cellStyle name="Comma 2 4 3 3 2 2 6" xfId="22828"/>
    <cellStyle name="Comma 2 4 3 3 2 2 6 2" xfId="36108"/>
    <cellStyle name="Comma 2 4 3 3 2 3" xfId="909"/>
    <cellStyle name="Comma 2 4 3 3 2 3 2" xfId="2604"/>
    <cellStyle name="Comma 2 4 3 3 2 3 2 2" xfId="2947"/>
    <cellStyle name="Comma 2 4 3 3 2 3 2 2 2" xfId="7824"/>
    <cellStyle name="Comma 2 4 3 3 2 3 2 2 2 2" xfId="8162"/>
    <cellStyle name="Comma 2 4 3 3 2 3 2 2 2 2 2" xfId="21376"/>
    <cellStyle name="Comma 2 4 3 3 2 3 2 2 2 2 2 2" xfId="21714"/>
    <cellStyle name="Comma 2 4 3 3 2 3 2 2 2 2 2 2 2" xfId="56702"/>
    <cellStyle name="Comma 2 4 3 3 2 3 2 2 2 2 2 2 2 2" xfId="57040"/>
    <cellStyle name="Comma 2 4 3 3 2 3 2 2 2 2 2 3" xfId="35217"/>
    <cellStyle name="Comma 2 4 3 3 2 3 2 2 2 2 3" xfId="34879"/>
    <cellStyle name="Comma 2 4 3 3 2 3 2 2 2 2 3 2" xfId="43589"/>
    <cellStyle name="Comma 2 4 3 3 2 3 2 2 2 3" xfId="13387"/>
    <cellStyle name="Comma 2 4 3 3 2 3 2 2 2 3 2" xfId="43251"/>
    <cellStyle name="Comma 2 4 3 3 2 3 2 2 2 3 2 2" xfId="48733"/>
    <cellStyle name="Comma 2 4 3 3 2 3 2 2 2 4" xfId="26872"/>
    <cellStyle name="Comma 2 4 3 3 2 3 2 2 3" xfId="13049"/>
    <cellStyle name="Comma 2 4 3 3 2 3 2 2 3 2" xfId="16604"/>
    <cellStyle name="Comma 2 4 3 3 2 3 2 2 3 2 2" xfId="48395"/>
    <cellStyle name="Comma 2 4 3 3 2 3 2 2 3 2 2 2" xfId="51932"/>
    <cellStyle name="Comma 2 4 3 3 2 3 2 2 3 3" xfId="30106"/>
    <cellStyle name="Comma 2 4 3 3 2 3 2 2 4" xfId="26533"/>
    <cellStyle name="Comma 2 4 3 3 2 3 2 2 4 2" xfId="38416"/>
    <cellStyle name="Comma 2 4 3 3 2 3 2 3" xfId="4983"/>
    <cellStyle name="Comma 2 4 3 3 2 3 2 3 2" xfId="16263"/>
    <cellStyle name="Comma 2 4 3 3 2 3 2 3 2 2" xfId="18556"/>
    <cellStyle name="Comma 2 4 3 3 2 3 2 3 2 2 2" xfId="51593"/>
    <cellStyle name="Comma 2 4 3 3 2 3 2 3 2 2 2 2" xfId="53882"/>
    <cellStyle name="Comma 2 4 3 3 2 3 2 3 2 3" xfId="32057"/>
    <cellStyle name="Comma 2 4 3 3 2 3 2 3 3" xfId="29767"/>
    <cellStyle name="Comma 2 4 3 3 2 3 2 3 3 2" xfId="40420"/>
    <cellStyle name="Comma 2 4 3 3 2 3 2 4" xfId="10186"/>
    <cellStyle name="Comma 2 4 3 3 2 3 2 4 2" xfId="38077"/>
    <cellStyle name="Comma 2 4 3 3 2 3 2 4 2 2" xfId="45549"/>
    <cellStyle name="Comma 2 4 3 3 2 3 2 5" xfId="23672"/>
    <cellStyle name="Comma 2 4 3 3 2 3 3" xfId="4638"/>
    <cellStyle name="Comma 2 4 3 3 2 3 3 2" xfId="6220"/>
    <cellStyle name="Comma 2 4 3 3 2 3 3 2 2" xfId="18218"/>
    <cellStyle name="Comma 2 4 3 3 2 3 3 2 2 2" xfId="19777"/>
    <cellStyle name="Comma 2 4 3 3 2 3 3 2 2 2 2" xfId="53544"/>
    <cellStyle name="Comma 2 4 3 3 2 3 3 2 2 2 2 2" xfId="55103"/>
    <cellStyle name="Comma 2 4 3 3 2 3 3 2 2 3" xfId="33279"/>
    <cellStyle name="Comma 2 4 3 3 2 3 3 2 3" xfId="31719"/>
    <cellStyle name="Comma 2 4 3 3 2 3 3 2 3 2" xfId="41649"/>
    <cellStyle name="Comma 2 4 3 3 2 3 3 3" xfId="11445"/>
    <cellStyle name="Comma 2 4 3 3 2 3 3 3 2" xfId="40077"/>
    <cellStyle name="Comma 2 4 3 3 2 3 3 3 2 2" xfId="46794"/>
    <cellStyle name="Comma 2 4 3 3 2 3 3 4" xfId="24931"/>
    <cellStyle name="Comma 2 4 3 3 2 3 4" xfId="9841"/>
    <cellStyle name="Comma 2 4 3 3 2 3 4 2" xfId="14603"/>
    <cellStyle name="Comma 2 4 3 3 2 3 4 2 2" xfId="45211"/>
    <cellStyle name="Comma 2 4 3 3 2 3 4 2 2 2" xfId="49942"/>
    <cellStyle name="Comma 2 4 3 3 2 3 4 3" xfId="28114"/>
    <cellStyle name="Comma 2 4 3 3 2 3 5" xfId="23334"/>
    <cellStyle name="Comma 2 4 3 3 2 3 5 2" xfId="36411"/>
    <cellStyle name="Comma 2 4 3 3 2 4" xfId="1705"/>
    <cellStyle name="Comma 2 4 3 3 2 4 2" xfId="5843"/>
    <cellStyle name="Comma 2 4 3 3 2 4 2 2" xfId="6958"/>
    <cellStyle name="Comma 2 4 3 3 2 4 2 2 2" xfId="19411"/>
    <cellStyle name="Comma 2 4 3 3 2 4 2 2 2 2" xfId="20511"/>
    <cellStyle name="Comma 2 4 3 3 2 4 2 2 2 2 2" xfId="54737"/>
    <cellStyle name="Comma 2 4 3 3 2 4 2 2 2 2 2 2" xfId="55837"/>
    <cellStyle name="Comma 2 4 3 3 2 4 2 2 2 3" xfId="34013"/>
    <cellStyle name="Comma 2 4 3 3 2 4 2 2 3" xfId="32912"/>
    <cellStyle name="Comma 2 4 3 3 2 4 2 2 3 2" xfId="42386"/>
    <cellStyle name="Comma 2 4 3 3 2 4 2 3" xfId="12182"/>
    <cellStyle name="Comma 2 4 3 3 2 4 2 3 2" xfId="41278"/>
    <cellStyle name="Comma 2 4 3 3 2 4 2 3 2 2" xfId="47529"/>
    <cellStyle name="Comma 2 4 3 3 2 4 2 4" xfId="25667"/>
    <cellStyle name="Comma 2 4 3 3 2 4 3" xfId="11066"/>
    <cellStyle name="Comma 2 4 3 3 2 4 3 2" xfId="15377"/>
    <cellStyle name="Comma 2 4 3 3 2 4 3 2 2" xfId="46425"/>
    <cellStyle name="Comma 2 4 3 3 2 4 3 2 2 2" xfId="50710"/>
    <cellStyle name="Comma 2 4 3 3 2 4 3 3" xfId="28884"/>
    <cellStyle name="Comma 2 4 3 3 2 4 4" xfId="24560"/>
    <cellStyle name="Comma 2 4 3 3 2 4 4 2" xfId="37187"/>
    <cellStyle name="Comma 2 4 3 3 2 5" xfId="3710"/>
    <cellStyle name="Comma 2 4 3 3 2 5 2" xfId="14227"/>
    <cellStyle name="Comma 2 4 3 3 2 5 2 2" xfId="17326"/>
    <cellStyle name="Comma 2 4 3 3 2 5 2 2 2" xfId="49572"/>
    <cellStyle name="Comma 2 4 3 3 2 5 2 2 2 2" xfId="52653"/>
    <cellStyle name="Comma 2 4 3 3 2 5 2 3" xfId="30827"/>
    <cellStyle name="Comma 2 4 3 3 2 5 3" xfId="27734"/>
    <cellStyle name="Comma 2 4 3 3 2 5 3 2" xfId="39161"/>
    <cellStyle name="Comma 2 4 3 3 2 6" xfId="8899"/>
    <cellStyle name="Comma 2 4 3 3 2 6 2" xfId="36039"/>
    <cellStyle name="Comma 2 4 3 3 2 6 2 2" xfId="44298"/>
    <cellStyle name="Comma 2 4 3 3 2 7" xfId="22406"/>
    <cellStyle name="Comma 2 4 3 3 3" xfId="835"/>
    <cellStyle name="Comma 2 4 3 3 3 2" xfId="1090"/>
    <cellStyle name="Comma 2 4 3 3 3 2 2" xfId="2887"/>
    <cellStyle name="Comma 2 4 3 3 3 2 2 2" xfId="3120"/>
    <cellStyle name="Comma 2 4 3 3 3 2 2 2 2" xfId="8102"/>
    <cellStyle name="Comma 2 4 3 3 3 2 2 2 2 2" xfId="8335"/>
    <cellStyle name="Comma 2 4 3 3 3 2 2 2 2 2 2" xfId="21654"/>
    <cellStyle name="Comma 2 4 3 3 3 2 2 2 2 2 2 2" xfId="21887"/>
    <cellStyle name="Comma 2 4 3 3 3 2 2 2 2 2 2 2 2" xfId="56980"/>
    <cellStyle name="Comma 2 4 3 3 3 2 2 2 2 2 2 2 2 2" xfId="57213"/>
    <cellStyle name="Comma 2 4 3 3 3 2 2 2 2 2 2 3" xfId="35390"/>
    <cellStyle name="Comma 2 4 3 3 3 2 2 2 2 2 3" xfId="35157"/>
    <cellStyle name="Comma 2 4 3 3 3 2 2 2 2 2 3 2" xfId="43762"/>
    <cellStyle name="Comma 2 4 3 3 3 2 2 2 2 3" xfId="13560"/>
    <cellStyle name="Comma 2 4 3 3 3 2 2 2 2 3 2" xfId="43529"/>
    <cellStyle name="Comma 2 4 3 3 3 2 2 2 2 3 2 2" xfId="48906"/>
    <cellStyle name="Comma 2 4 3 3 3 2 2 2 2 4" xfId="27045"/>
    <cellStyle name="Comma 2 4 3 3 3 2 2 2 3" xfId="13327"/>
    <cellStyle name="Comma 2 4 3 3 3 2 2 2 3 2" xfId="16777"/>
    <cellStyle name="Comma 2 4 3 3 3 2 2 2 3 2 2" xfId="48673"/>
    <cellStyle name="Comma 2 4 3 3 3 2 2 2 3 2 2 2" xfId="52105"/>
    <cellStyle name="Comma 2 4 3 3 3 2 2 2 3 3" xfId="30279"/>
    <cellStyle name="Comma 2 4 3 3 3 2 2 2 4" xfId="26812"/>
    <cellStyle name="Comma 2 4 3 3 3 2 2 2 4 2" xfId="38589"/>
    <cellStyle name="Comma 2 4 3 3 3 2 2 3" xfId="5157"/>
    <cellStyle name="Comma 2 4 3 3 3 2 2 3 2" xfId="16544"/>
    <cellStyle name="Comma 2 4 3 3 3 2 2 3 2 2" xfId="18730"/>
    <cellStyle name="Comma 2 4 3 3 3 2 2 3 2 2 2" xfId="51872"/>
    <cellStyle name="Comma 2 4 3 3 3 2 2 3 2 2 2 2" xfId="54056"/>
    <cellStyle name="Comma 2 4 3 3 3 2 2 3 2 3" xfId="32231"/>
    <cellStyle name="Comma 2 4 3 3 3 2 2 3 3" xfId="30046"/>
    <cellStyle name="Comma 2 4 3 3 3 2 2 3 3 2" xfId="40594"/>
    <cellStyle name="Comma 2 4 3 3 3 2 2 4" xfId="10360"/>
    <cellStyle name="Comma 2 4 3 3 3 2 2 4 2" xfId="38356"/>
    <cellStyle name="Comma 2 4 3 3 3 2 2 4 2 2" xfId="45723"/>
    <cellStyle name="Comma 2 4 3 3 3 2 2 5" xfId="23846"/>
    <cellStyle name="Comma 2 4 3 3 3 2 3" xfId="4923"/>
    <cellStyle name="Comma 2 4 3 3 3 2 3 2" xfId="6399"/>
    <cellStyle name="Comma 2 4 3 3 3 2 3 2 2" xfId="18496"/>
    <cellStyle name="Comma 2 4 3 3 3 2 3 2 2 2" xfId="19955"/>
    <cellStyle name="Comma 2 4 3 3 3 2 3 2 2 2 2" xfId="53822"/>
    <cellStyle name="Comma 2 4 3 3 3 2 3 2 2 2 2 2" xfId="55281"/>
    <cellStyle name="Comma 2 4 3 3 3 2 3 2 2 3" xfId="33457"/>
    <cellStyle name="Comma 2 4 3 3 3 2 3 2 3" xfId="31997"/>
    <cellStyle name="Comma 2 4 3 3 3 2 3 2 3 2" xfId="41828"/>
    <cellStyle name="Comma 2 4 3 3 3 2 3 3" xfId="11624"/>
    <cellStyle name="Comma 2 4 3 3 3 2 3 3 2" xfId="40360"/>
    <cellStyle name="Comma 2 4 3 3 3 2 3 3 2 2" xfId="46973"/>
    <cellStyle name="Comma 2 4 3 3 3 2 3 4" xfId="25110"/>
    <cellStyle name="Comma 2 4 3 3 3 2 4" xfId="10126"/>
    <cellStyle name="Comma 2 4 3 3 3 2 4 2" xfId="14782"/>
    <cellStyle name="Comma 2 4 3 3 3 2 4 2 2" xfId="45489"/>
    <cellStyle name="Comma 2 4 3 3 3 2 4 2 2 2" xfId="50121"/>
    <cellStyle name="Comma 2 4 3 3 3 2 4 3" xfId="28294"/>
    <cellStyle name="Comma 2 4 3 3 3 2 5" xfId="23612"/>
    <cellStyle name="Comma 2 4 3 3 3 2 5 2" xfId="36590"/>
    <cellStyle name="Comma 2 4 3 3 3 3" xfId="1898"/>
    <cellStyle name="Comma 2 4 3 3 3 3 2" xfId="6150"/>
    <cellStyle name="Comma 2 4 3 3 3 3 2 2" xfId="7142"/>
    <cellStyle name="Comma 2 4 3 3 3 3 2 2 2" xfId="19710"/>
    <cellStyle name="Comma 2 4 3 3 3 3 2 2 2 2" xfId="20694"/>
    <cellStyle name="Comma 2 4 3 3 3 3 2 2 2 2 2" xfId="55036"/>
    <cellStyle name="Comma 2 4 3 3 3 3 2 2 2 2 2 2" xfId="56020"/>
    <cellStyle name="Comma 2 4 3 3 3 3 2 2 2 3" xfId="34197"/>
    <cellStyle name="Comma 2 4 3 3 3 3 2 2 3" xfId="33212"/>
    <cellStyle name="Comma 2 4 3 3 3 3 2 2 3 2" xfId="42569"/>
    <cellStyle name="Comma 2 4 3 3 3 3 2 3" xfId="12367"/>
    <cellStyle name="Comma 2 4 3 3 3 3 2 3 2" xfId="41581"/>
    <cellStyle name="Comma 2 4 3 3 3 3 2 3 2 2" xfId="47713"/>
    <cellStyle name="Comma 2 4 3 3 3 3 2 4" xfId="25851"/>
    <cellStyle name="Comma 2 4 3 3 3 3 3" xfId="11376"/>
    <cellStyle name="Comma 2 4 3 3 3 3 3 2" xfId="15565"/>
    <cellStyle name="Comma 2 4 3 3 3 3 3 2 2" xfId="46727"/>
    <cellStyle name="Comma 2 4 3 3 3 3 3 2 2 2" xfId="50897"/>
    <cellStyle name="Comma 2 4 3 3 3 3 3 3" xfId="29071"/>
    <cellStyle name="Comma 2 4 3 3 3 3 4" xfId="24864"/>
    <cellStyle name="Comma 2 4 3 3 3 3 4 2" xfId="37377"/>
    <cellStyle name="Comma 2 4 3 3 3 4" xfId="3912"/>
    <cellStyle name="Comma 2 4 3 3 3 4 2" xfId="14533"/>
    <cellStyle name="Comma 2 4 3 3 3 4 2 2" xfId="17517"/>
    <cellStyle name="Comma 2 4 3 3 3 4 2 2 2" xfId="49874"/>
    <cellStyle name="Comma 2 4 3 3 3 4 2 2 2 2" xfId="52844"/>
    <cellStyle name="Comma 2 4 3 3 3 4 2 3" xfId="31019"/>
    <cellStyle name="Comma 2 4 3 3 3 4 3" xfId="28044"/>
    <cellStyle name="Comma 2 4 3 3 3 4 3 2" xfId="39357"/>
    <cellStyle name="Comma 2 4 3 3 3 5" xfId="9104"/>
    <cellStyle name="Comma 2 4 3 3 3 5 2" xfId="36343"/>
    <cellStyle name="Comma 2 4 3 3 3 5 2 2" xfId="44496"/>
    <cellStyle name="Comma 2 4 3 3 3 6" xfId="22610"/>
    <cellStyle name="Comma 2 4 3 3 4" xfId="1630"/>
    <cellStyle name="Comma 2 4 3 3 4 2" xfId="2347"/>
    <cellStyle name="Comma 2 4 3 3 4 2 2" xfId="6896"/>
    <cellStyle name="Comma 2 4 3 3 4 2 2 2" xfId="7581"/>
    <cellStyle name="Comma 2 4 3 3 4 2 2 2 2" xfId="20449"/>
    <cellStyle name="Comma 2 4 3 3 4 2 2 2 2 2" xfId="21133"/>
    <cellStyle name="Comma 2 4 3 3 4 2 2 2 2 2 2" xfId="55775"/>
    <cellStyle name="Comma 2 4 3 3 4 2 2 2 2 2 2 2" xfId="56459"/>
    <cellStyle name="Comma 2 4 3 3 4 2 2 2 2 3" xfId="34636"/>
    <cellStyle name="Comma 2 4 3 3 4 2 2 2 3" xfId="33951"/>
    <cellStyle name="Comma 2 4 3 3 4 2 2 2 3 2" xfId="43008"/>
    <cellStyle name="Comma 2 4 3 3 4 2 2 3" xfId="12806"/>
    <cellStyle name="Comma 2 4 3 3 4 2 2 3 2" xfId="42324"/>
    <cellStyle name="Comma 2 4 3 3 4 2 2 3 2 2" xfId="48152"/>
    <cellStyle name="Comma 2 4 3 3 4 2 2 4" xfId="26290"/>
    <cellStyle name="Comma 2 4 3 3 4 2 3" xfId="12120"/>
    <cellStyle name="Comma 2 4 3 3 4 2 3 2" xfId="16011"/>
    <cellStyle name="Comma 2 4 3 3 4 2 3 2 2" xfId="47467"/>
    <cellStyle name="Comma 2 4 3 3 4 2 3 2 2 2" xfId="51343"/>
    <cellStyle name="Comma 2 4 3 3 4 2 3 3" xfId="29517"/>
    <cellStyle name="Comma 2 4 3 3 4 2 4" xfId="25605"/>
    <cellStyle name="Comma 2 4 3 3 4 2 4 2" xfId="37825"/>
    <cellStyle name="Comma 2 4 3 3 4 3" xfId="4378"/>
    <cellStyle name="Comma 2 4 3 3 4 3 2" xfId="15304"/>
    <cellStyle name="Comma 2 4 3 3 4 3 2 2" xfId="17970"/>
    <cellStyle name="Comma 2 4 3 3 4 3 2 2 2" xfId="50639"/>
    <cellStyle name="Comma 2 4 3 3 4 3 2 2 2 2" xfId="53296"/>
    <cellStyle name="Comma 2 4 3 3 4 3 2 3" xfId="31471"/>
    <cellStyle name="Comma 2 4 3 3 4 3 3" xfId="28813"/>
    <cellStyle name="Comma 2 4 3 3 4 3 3 2" xfId="39820"/>
    <cellStyle name="Comma 2 4 3 3 4 4" xfId="9579"/>
    <cellStyle name="Comma 2 4 3 3 4 4 2" xfId="37115"/>
    <cellStyle name="Comma 2 4 3 3 4 4 2 2" xfId="44960"/>
    <cellStyle name="Comma 2 4 3 3 4 5" xfId="23080"/>
    <cellStyle name="Comma 2 4 3 3 5" xfId="3634"/>
    <cellStyle name="Comma 2 4 3 3 5 2" xfId="5588"/>
    <cellStyle name="Comma 2 4 3 3 5 2 2" xfId="17264"/>
    <cellStyle name="Comma 2 4 3 3 5 2 2 2" xfId="19160"/>
    <cellStyle name="Comma 2 4 3 3 5 2 2 2 2" xfId="52591"/>
    <cellStyle name="Comma 2 4 3 3 5 2 2 2 2 2" xfId="54486"/>
    <cellStyle name="Comma 2 4 3 3 5 2 2 3" xfId="32661"/>
    <cellStyle name="Comma 2 4 3 3 5 2 3" xfId="30765"/>
    <cellStyle name="Comma 2 4 3 3 5 2 3 2" xfId="41024"/>
    <cellStyle name="Comma 2 4 3 3 5 3" xfId="10800"/>
    <cellStyle name="Comma 2 4 3 3 5 3 2" xfId="39089"/>
    <cellStyle name="Comma 2 4 3 3 5 3 2 2" xfId="46162"/>
    <cellStyle name="Comma 2 4 3 3 5 4" xfId="24290"/>
    <cellStyle name="Comma 2 4 3 3 6" xfId="8829"/>
    <cellStyle name="Comma 2 4 3 3 6 2" xfId="13972"/>
    <cellStyle name="Comma 2 4 3 3 6 2 2" xfId="44236"/>
    <cellStyle name="Comma 2 4 3 3 6 2 2 2" xfId="49318"/>
    <cellStyle name="Comma 2 4 3 3 6 3" xfId="27464"/>
    <cellStyle name="Comma 2 4 3 3 7" xfId="22344"/>
    <cellStyle name="Comma 2 4 3 3 7 2" xfId="35784"/>
    <cellStyle name="Comma 2 4 3 4" xfId="355"/>
    <cellStyle name="Comma 2 4 3 4 2" xfId="1011"/>
    <cellStyle name="Comma 2 4 3 4 2 2" xfId="1204"/>
    <cellStyle name="Comma 2 4 3 4 2 2 2" xfId="3048"/>
    <cellStyle name="Comma 2 4 3 4 2 2 2 2" xfId="3223"/>
    <cellStyle name="Comma 2 4 3 4 2 2 2 2 2" xfId="8263"/>
    <cellStyle name="Comma 2 4 3 4 2 2 2 2 2 2" xfId="8438"/>
    <cellStyle name="Comma 2 4 3 4 2 2 2 2 2 2 2" xfId="21815"/>
    <cellStyle name="Comma 2 4 3 4 2 2 2 2 2 2 2 2" xfId="21990"/>
    <cellStyle name="Comma 2 4 3 4 2 2 2 2 2 2 2 2 2" xfId="57141"/>
    <cellStyle name="Comma 2 4 3 4 2 2 2 2 2 2 2 2 2 2" xfId="57316"/>
    <cellStyle name="Comma 2 4 3 4 2 2 2 2 2 2 2 3" xfId="35493"/>
    <cellStyle name="Comma 2 4 3 4 2 2 2 2 2 2 3" xfId="35318"/>
    <cellStyle name="Comma 2 4 3 4 2 2 2 2 2 2 3 2" xfId="43865"/>
    <cellStyle name="Comma 2 4 3 4 2 2 2 2 2 3" xfId="13663"/>
    <cellStyle name="Comma 2 4 3 4 2 2 2 2 2 3 2" xfId="43690"/>
    <cellStyle name="Comma 2 4 3 4 2 2 2 2 2 3 2 2" xfId="49009"/>
    <cellStyle name="Comma 2 4 3 4 2 2 2 2 2 4" xfId="27148"/>
    <cellStyle name="Comma 2 4 3 4 2 2 2 2 3" xfId="13488"/>
    <cellStyle name="Comma 2 4 3 4 2 2 2 2 3 2" xfId="16880"/>
    <cellStyle name="Comma 2 4 3 4 2 2 2 2 3 2 2" xfId="48834"/>
    <cellStyle name="Comma 2 4 3 4 2 2 2 2 3 2 2 2" xfId="52208"/>
    <cellStyle name="Comma 2 4 3 4 2 2 2 2 3 3" xfId="30382"/>
    <cellStyle name="Comma 2 4 3 4 2 2 2 2 4" xfId="26973"/>
    <cellStyle name="Comma 2 4 3 4 2 2 2 2 4 2" xfId="38692"/>
    <cellStyle name="Comma 2 4 3 4 2 2 2 3" xfId="5260"/>
    <cellStyle name="Comma 2 4 3 4 2 2 2 3 2" xfId="16705"/>
    <cellStyle name="Comma 2 4 3 4 2 2 2 3 2 2" xfId="18833"/>
    <cellStyle name="Comma 2 4 3 4 2 2 2 3 2 2 2" xfId="52033"/>
    <cellStyle name="Comma 2 4 3 4 2 2 2 3 2 2 2 2" xfId="54159"/>
    <cellStyle name="Comma 2 4 3 4 2 2 2 3 2 3" xfId="32334"/>
    <cellStyle name="Comma 2 4 3 4 2 2 2 3 3" xfId="30207"/>
    <cellStyle name="Comma 2 4 3 4 2 2 2 3 3 2" xfId="40697"/>
    <cellStyle name="Comma 2 4 3 4 2 2 2 4" xfId="10463"/>
    <cellStyle name="Comma 2 4 3 4 2 2 2 4 2" xfId="38517"/>
    <cellStyle name="Comma 2 4 3 4 2 2 2 4 2 2" xfId="45826"/>
    <cellStyle name="Comma 2 4 3 4 2 2 2 5" xfId="23949"/>
    <cellStyle name="Comma 2 4 3 4 2 2 3" xfId="5085"/>
    <cellStyle name="Comma 2 4 3 4 2 2 3 2" xfId="6512"/>
    <cellStyle name="Comma 2 4 3 4 2 2 3 2 2" xfId="18658"/>
    <cellStyle name="Comma 2 4 3 4 2 2 3 2 2 2" xfId="20065"/>
    <cellStyle name="Comma 2 4 3 4 2 2 3 2 2 2 2" xfId="53984"/>
    <cellStyle name="Comma 2 4 3 4 2 2 3 2 2 2 2 2" xfId="55391"/>
    <cellStyle name="Comma 2 4 3 4 2 2 3 2 2 3" xfId="33567"/>
    <cellStyle name="Comma 2 4 3 4 2 2 3 2 3" xfId="32159"/>
    <cellStyle name="Comma 2 4 3 4 2 2 3 2 3 2" xfId="41940"/>
    <cellStyle name="Comma 2 4 3 4 2 2 3 3" xfId="11735"/>
    <cellStyle name="Comma 2 4 3 4 2 2 3 3 2" xfId="40522"/>
    <cellStyle name="Comma 2 4 3 4 2 2 3 3 2 2" xfId="47083"/>
    <cellStyle name="Comma 2 4 3 4 2 2 3 4" xfId="25220"/>
    <cellStyle name="Comma 2 4 3 4 2 2 4" xfId="10288"/>
    <cellStyle name="Comma 2 4 3 4 2 2 4 2" xfId="14893"/>
    <cellStyle name="Comma 2 4 3 4 2 2 4 2 2" xfId="45651"/>
    <cellStyle name="Comma 2 4 3 4 2 2 4 2 2 2" xfId="50232"/>
    <cellStyle name="Comma 2 4 3 4 2 2 4 3" xfId="28406"/>
    <cellStyle name="Comma 2 4 3 4 2 2 5" xfId="23774"/>
    <cellStyle name="Comma 2 4 3 4 2 2 5 2" xfId="36701"/>
    <cellStyle name="Comma 2 4 3 4 2 3" xfId="2011"/>
    <cellStyle name="Comma 2 4 3 4 2 3 2" xfId="6321"/>
    <cellStyle name="Comma 2 4 3 4 2 3 2 2" xfId="7245"/>
    <cellStyle name="Comma 2 4 3 4 2 3 2 2 2" xfId="19878"/>
    <cellStyle name="Comma 2 4 3 4 2 3 2 2 2 2" xfId="20797"/>
    <cellStyle name="Comma 2 4 3 4 2 3 2 2 2 2 2" xfId="55204"/>
    <cellStyle name="Comma 2 4 3 4 2 3 2 2 2 2 2 2" xfId="56123"/>
    <cellStyle name="Comma 2 4 3 4 2 3 2 2 2 3" xfId="34300"/>
    <cellStyle name="Comma 2 4 3 4 2 3 2 2 3" xfId="33380"/>
    <cellStyle name="Comma 2 4 3 4 2 3 2 2 3 2" xfId="42672"/>
    <cellStyle name="Comma 2 4 3 4 2 3 2 3" xfId="12470"/>
    <cellStyle name="Comma 2 4 3 4 2 3 2 3 2" xfId="41750"/>
    <cellStyle name="Comma 2 4 3 4 2 3 2 3 2 2" xfId="47816"/>
    <cellStyle name="Comma 2 4 3 4 2 3 2 4" xfId="25954"/>
    <cellStyle name="Comma 2 4 3 4 2 3 3" xfId="11547"/>
    <cellStyle name="Comma 2 4 3 4 2 3 3 2" xfId="15675"/>
    <cellStyle name="Comma 2 4 3 4 2 3 3 2 2" xfId="46896"/>
    <cellStyle name="Comma 2 4 3 4 2 3 3 2 2 2" xfId="51007"/>
    <cellStyle name="Comma 2 4 3 4 2 3 3 3" xfId="29181"/>
    <cellStyle name="Comma 2 4 3 4 2 3 4" xfId="25033"/>
    <cellStyle name="Comma 2 4 3 4 2 3 4 2" xfId="37489"/>
    <cellStyle name="Comma 2 4 3 4 2 4" xfId="4026"/>
    <cellStyle name="Comma 2 4 3 4 2 4 2" xfId="14704"/>
    <cellStyle name="Comma 2 4 3 4 2 4 2 2" xfId="17620"/>
    <cellStyle name="Comma 2 4 3 4 2 4 2 2 2" xfId="50043"/>
    <cellStyle name="Comma 2 4 3 4 2 4 2 2 2 2" xfId="52947"/>
    <cellStyle name="Comma 2 4 3 4 2 4 2 3" xfId="31122"/>
    <cellStyle name="Comma 2 4 3 4 2 4 3" xfId="28216"/>
    <cellStyle name="Comma 2 4 3 4 2 4 3 2" xfId="39470"/>
    <cellStyle name="Comma 2 4 3 4 2 5" xfId="9218"/>
    <cellStyle name="Comma 2 4 3 4 2 5 2" xfId="36512"/>
    <cellStyle name="Comma 2 4 3 4 2 5 2 2" xfId="44600"/>
    <cellStyle name="Comma 2 4 3 4 2 6" xfId="22714"/>
    <cellStyle name="Comma 2 4 3 4 3" xfId="1814"/>
    <cellStyle name="Comma 2 4 3 4 3 2" xfId="2464"/>
    <cellStyle name="Comma 2 4 3 4 3 2 2" xfId="7066"/>
    <cellStyle name="Comma 2 4 3 4 3 2 2 2" xfId="7694"/>
    <cellStyle name="Comma 2 4 3 4 3 2 2 2 2" xfId="20619"/>
    <cellStyle name="Comma 2 4 3 4 3 2 2 2 2 2" xfId="21246"/>
    <cellStyle name="Comma 2 4 3 4 3 2 2 2 2 2 2" xfId="55945"/>
    <cellStyle name="Comma 2 4 3 4 3 2 2 2 2 2 2 2" xfId="56572"/>
    <cellStyle name="Comma 2 4 3 4 3 2 2 2 2 3" xfId="34749"/>
    <cellStyle name="Comma 2 4 3 4 3 2 2 2 3" xfId="34121"/>
    <cellStyle name="Comma 2 4 3 4 3 2 2 2 3 2" xfId="43121"/>
    <cellStyle name="Comma 2 4 3 4 3 2 2 3" xfId="12919"/>
    <cellStyle name="Comma 2 4 3 4 3 2 2 3 2" xfId="42494"/>
    <cellStyle name="Comma 2 4 3 4 3 2 2 3 2 2" xfId="48265"/>
    <cellStyle name="Comma 2 4 3 4 3 2 2 4" xfId="26403"/>
    <cellStyle name="Comma 2 4 3 4 3 2 3" xfId="12290"/>
    <cellStyle name="Comma 2 4 3 4 3 2 3 2" xfId="16127"/>
    <cellStyle name="Comma 2 4 3 4 3 2 3 2 2" xfId="47637"/>
    <cellStyle name="Comma 2 4 3 4 3 2 3 2 2 2" xfId="51458"/>
    <cellStyle name="Comma 2 4 3 4 3 2 3 3" xfId="29632"/>
    <cellStyle name="Comma 2 4 3 4 3 2 4" xfId="25775"/>
    <cellStyle name="Comma 2 4 3 4 3 2 4 2" xfId="37941"/>
    <cellStyle name="Comma 2 4 3 4 3 3" xfId="4499"/>
    <cellStyle name="Comma 2 4 3 4 3 3 2" xfId="15486"/>
    <cellStyle name="Comma 2 4 3 4 3 3 2 2" xfId="18087"/>
    <cellStyle name="Comma 2 4 3 4 3 3 2 2 2" xfId="50819"/>
    <cellStyle name="Comma 2 4 3 4 3 3 2 2 2 2" xfId="53413"/>
    <cellStyle name="Comma 2 4 3 4 3 3 2 3" xfId="31588"/>
    <cellStyle name="Comma 2 4 3 4 3 3 3" xfId="28993"/>
    <cellStyle name="Comma 2 4 3 4 3 3 3 2" xfId="39940"/>
    <cellStyle name="Comma 2 4 3 4 3 4" xfId="9703"/>
    <cellStyle name="Comma 2 4 3 4 3 4 2" xfId="37296"/>
    <cellStyle name="Comma 2 4 3 4 3 4 2 2" xfId="45080"/>
    <cellStyle name="Comma 2 4 3 4 3 5" xfId="23203"/>
    <cellStyle name="Comma 2 4 3 4 4" xfId="3824"/>
    <cellStyle name="Comma 2 4 3 4 4 2" xfId="5706"/>
    <cellStyle name="Comma 2 4 3 4 4 2 2" xfId="17439"/>
    <cellStyle name="Comma 2 4 3 4 4 2 2 2" xfId="19276"/>
    <cellStyle name="Comma 2 4 3 4 4 2 2 2 2" xfId="52766"/>
    <cellStyle name="Comma 2 4 3 4 4 2 2 2 2 2" xfId="54602"/>
    <cellStyle name="Comma 2 4 3 4 4 2 2 3" xfId="32777"/>
    <cellStyle name="Comma 2 4 3 4 4 2 3" xfId="30940"/>
    <cellStyle name="Comma 2 4 3 4 4 2 3 2" xfId="41141"/>
    <cellStyle name="Comma 2 4 3 4 4 3" xfId="10926"/>
    <cellStyle name="Comma 2 4 3 4 4 3 2" xfId="39274"/>
    <cellStyle name="Comma 2 4 3 4 4 3 2 2" xfId="46286"/>
    <cellStyle name="Comma 2 4 3 4 4 4" xfId="24418"/>
    <cellStyle name="Comma 2 4 3 4 5" xfId="9016"/>
    <cellStyle name="Comma 2 4 3 4 5 2" xfId="14090"/>
    <cellStyle name="Comma 2 4 3 4 5 2 2" xfId="44414"/>
    <cellStyle name="Comma 2 4 3 4 5 2 2 2" xfId="49435"/>
    <cellStyle name="Comma 2 4 3 4 5 3" xfId="27590"/>
    <cellStyle name="Comma 2 4 3 4 6" xfId="22525"/>
    <cellStyle name="Comma 2 4 3 4 6 2" xfId="35901"/>
    <cellStyle name="Comma 2 4 3 5" xfId="669"/>
    <cellStyle name="Comma 2 4 3 5 2" xfId="2275"/>
    <cellStyle name="Comma 2 4 3 5 2 2" xfId="2758"/>
    <cellStyle name="Comma 2 4 3 5 2 2 2" xfId="7509"/>
    <cellStyle name="Comma 2 4 3 5 2 2 2 2" xfId="7976"/>
    <cellStyle name="Comma 2 4 3 5 2 2 2 2 2" xfId="21061"/>
    <cellStyle name="Comma 2 4 3 5 2 2 2 2 2 2" xfId="21528"/>
    <cellStyle name="Comma 2 4 3 5 2 2 2 2 2 2 2" xfId="56387"/>
    <cellStyle name="Comma 2 4 3 5 2 2 2 2 2 2 2 2" xfId="56854"/>
    <cellStyle name="Comma 2 4 3 5 2 2 2 2 2 3" xfId="35031"/>
    <cellStyle name="Comma 2 4 3 5 2 2 2 2 3" xfId="34564"/>
    <cellStyle name="Comma 2 4 3 5 2 2 2 2 3 2" xfId="43403"/>
    <cellStyle name="Comma 2 4 3 5 2 2 2 3" xfId="13201"/>
    <cellStyle name="Comma 2 4 3 5 2 2 2 3 2" xfId="42936"/>
    <cellStyle name="Comma 2 4 3 5 2 2 2 3 2 2" xfId="48547"/>
    <cellStyle name="Comma 2 4 3 5 2 2 2 4" xfId="26685"/>
    <cellStyle name="Comma 2 4 3 5 2 2 3" xfId="12734"/>
    <cellStyle name="Comma 2 4 3 5 2 2 3 2" xfId="16417"/>
    <cellStyle name="Comma 2 4 3 5 2 2 3 2 2" xfId="48080"/>
    <cellStyle name="Comma 2 4 3 5 2 2 3 2 2 2" xfId="51746"/>
    <cellStyle name="Comma 2 4 3 5 2 2 3 3" xfId="29920"/>
    <cellStyle name="Comma 2 4 3 5 2 2 4" xfId="26218"/>
    <cellStyle name="Comma 2 4 3 5 2 2 4 2" xfId="38230"/>
    <cellStyle name="Comma 2 4 3 5 2 3" xfId="4794"/>
    <cellStyle name="Comma 2 4 3 5 2 3 2" xfId="15939"/>
    <cellStyle name="Comma 2 4 3 5 2 3 2 2" xfId="18370"/>
    <cellStyle name="Comma 2 4 3 5 2 3 2 2 2" xfId="51271"/>
    <cellStyle name="Comma 2 4 3 5 2 3 2 2 2 2" xfId="53696"/>
    <cellStyle name="Comma 2 4 3 5 2 3 2 3" xfId="31871"/>
    <cellStyle name="Comma 2 4 3 5 2 3 3" xfId="29445"/>
    <cellStyle name="Comma 2 4 3 5 2 3 3 2" xfId="40232"/>
    <cellStyle name="Comma 2 4 3 5 2 4" xfId="9997"/>
    <cellStyle name="Comma 2 4 3 5 2 4 2" xfId="37753"/>
    <cellStyle name="Comma 2 4 3 5 2 4 2 2" xfId="45363"/>
    <cellStyle name="Comma 2 4 3 5 2 5" xfId="23486"/>
    <cellStyle name="Comma 2 4 3 5 3" xfId="4299"/>
    <cellStyle name="Comma 2 4 3 5 3 2" xfId="5999"/>
    <cellStyle name="Comma 2 4 3 5 3 2 2" xfId="17892"/>
    <cellStyle name="Comma 2 4 3 5 3 2 2 2" xfId="19565"/>
    <cellStyle name="Comma 2 4 3 5 3 2 2 2 2" xfId="53219"/>
    <cellStyle name="Comma 2 4 3 5 3 2 2 2 2 2" xfId="54891"/>
    <cellStyle name="Comma 2 4 3 5 3 2 2 3" xfId="33066"/>
    <cellStyle name="Comma 2 4 3 5 3 2 3" xfId="31394"/>
    <cellStyle name="Comma 2 4 3 5 3 2 3 2" xfId="41433"/>
    <cellStyle name="Comma 2 4 3 5 3 3" xfId="11224"/>
    <cellStyle name="Comma 2 4 3 5 3 3 2" xfId="39742"/>
    <cellStyle name="Comma 2 4 3 5 3 3 2 2" xfId="46581"/>
    <cellStyle name="Comma 2 4 3 5 3 4" xfId="24717"/>
    <cellStyle name="Comma 2 4 3 5 4" xfId="9493"/>
    <cellStyle name="Comma 2 4 3 5 4 2" xfId="14382"/>
    <cellStyle name="Comma 2 4 3 5 4 2 2" xfId="44875"/>
    <cellStyle name="Comma 2 4 3 5 4 2 2 2" xfId="49727"/>
    <cellStyle name="Comma 2 4 3 5 4 3" xfId="27893"/>
    <cellStyle name="Comma 2 4 3 5 5" xfId="22990"/>
    <cellStyle name="Comma 2 4 3 5 5 2" xfId="36194"/>
    <cellStyle name="Comma 2 4 3 6" xfId="1027"/>
    <cellStyle name="Comma 2 4 3 6 2" xfId="3502"/>
    <cellStyle name="Comma 2 4 3 6 2 2" xfId="6337"/>
    <cellStyle name="Comma 2 4 3 6 2 2 2" xfId="17156"/>
    <cellStyle name="Comma 2 4 3 6 2 2 2 2" xfId="19894"/>
    <cellStyle name="Comma 2 4 3 6 2 2 2 2 2" xfId="52483"/>
    <cellStyle name="Comma 2 4 3 6 2 2 2 2 2 2" xfId="55220"/>
    <cellStyle name="Comma 2 4 3 6 2 2 2 3" xfId="33396"/>
    <cellStyle name="Comma 2 4 3 6 2 2 3" xfId="30657"/>
    <cellStyle name="Comma 2 4 3 6 2 2 3 2" xfId="41766"/>
    <cellStyle name="Comma 2 4 3 6 2 3" xfId="11563"/>
    <cellStyle name="Comma 2 4 3 6 2 3 2" xfId="38968"/>
    <cellStyle name="Comma 2 4 3 6 2 3 2 2" xfId="46912"/>
    <cellStyle name="Comma 2 4 3 6 2 4" xfId="25049"/>
    <cellStyle name="Comma 2 4 3 6 3" xfId="8696"/>
    <cellStyle name="Comma 2 4 3 6 3 2" xfId="14720"/>
    <cellStyle name="Comma 2 4 3 6 3 2 2" xfId="44123"/>
    <cellStyle name="Comma 2 4 3 6 3 2 2 2" xfId="50059"/>
    <cellStyle name="Comma 2 4 3 6 3 3" xfId="28232"/>
    <cellStyle name="Comma 2 4 3 6 4" xfId="11221"/>
    <cellStyle name="Comma 2 4 3 6 4 2" xfId="36528"/>
    <cellStyle name="Comma 2 4 3 7" xfId="1918"/>
    <cellStyle name="Comma 2 4 3 7 2" xfId="9585"/>
    <cellStyle name="Comma 2 4 3 7 2 2" xfId="15585"/>
    <cellStyle name="Comma 2 4 3 7 2 2 2" xfId="44966"/>
    <cellStyle name="Comma 2 4 3 7 2 2 2 2" xfId="50917"/>
    <cellStyle name="Comma 2 4 3 7 2 3" xfId="29091"/>
    <cellStyle name="Comma 2 4 3 7 3" xfId="23086"/>
    <cellStyle name="Comma 2 4 3 7 3 2" xfId="37397"/>
    <cellStyle name="Comma 2 4 3 8" xfId="3935"/>
    <cellStyle name="Comma 2 4 3 8 2" xfId="27616"/>
    <cellStyle name="Comma 2 4 3 8 2 2" xfId="39379"/>
    <cellStyle name="Comma 2 4 3 9" xfId="14443"/>
    <cellStyle name="Comma 2 4 4" xfId="134"/>
    <cellStyle name="Comma 2 4 4 2" xfId="106"/>
    <cellStyle name="Comma 2 4 4 2 2" xfId="523"/>
    <cellStyle name="Comma 2 4 4 2 2 2" xfId="502"/>
    <cellStyle name="Comma 2 4 4 2 2 2 2" xfId="1333"/>
    <cellStyle name="Comma 2 4 4 2 2 2 2 2" xfId="1313"/>
    <cellStyle name="Comma 2 4 4 2 2 2 2 2 2" xfId="3351"/>
    <cellStyle name="Comma 2 4 4 2 2 2 2 2 2 2" xfId="3331"/>
    <cellStyle name="Comma 2 4 4 2 2 2 2 2 2 2 2" xfId="8566"/>
    <cellStyle name="Comma 2 4 4 2 2 2 2 2 2 2 2 2" xfId="8546"/>
    <cellStyle name="Comma 2 4 4 2 2 2 2 2 2 2 2 2 2" xfId="22118"/>
    <cellStyle name="Comma 2 4 4 2 2 2 2 2 2 2 2 2 2 2" xfId="22098"/>
    <cellStyle name="Comma 2 4 4 2 2 2 2 2 2 2 2 2 2 2 2" xfId="57444"/>
    <cellStyle name="Comma 2 4 4 2 2 2 2 2 2 2 2 2 2 2 2 2" xfId="57424"/>
    <cellStyle name="Comma 2 4 4 2 2 2 2 2 2 2 2 2 2 3" xfId="35601"/>
    <cellStyle name="Comma 2 4 4 2 2 2 2 2 2 2 2 2 3" xfId="35621"/>
    <cellStyle name="Comma 2 4 4 2 2 2 2 2 2 2 2 2 3 2" xfId="43973"/>
    <cellStyle name="Comma 2 4 4 2 2 2 2 2 2 2 2 3" xfId="13771"/>
    <cellStyle name="Comma 2 4 4 2 2 2 2 2 2 2 2 3 2" xfId="43993"/>
    <cellStyle name="Comma 2 4 4 2 2 2 2 2 2 2 2 3 2 2" xfId="49117"/>
    <cellStyle name="Comma 2 4 4 2 2 2 2 2 2 2 2 4" xfId="27256"/>
    <cellStyle name="Comma 2 4 4 2 2 2 2 2 2 2 3" xfId="13791"/>
    <cellStyle name="Comma 2 4 4 2 2 2 2 2 2 2 3 2" xfId="16988"/>
    <cellStyle name="Comma 2 4 4 2 2 2 2 2 2 2 3 2 2" xfId="49137"/>
    <cellStyle name="Comma 2 4 4 2 2 2 2 2 2 2 3 2 2 2" xfId="52316"/>
    <cellStyle name="Comma 2 4 4 2 2 2 2 2 2 2 3 3" xfId="30490"/>
    <cellStyle name="Comma 2 4 4 2 2 2 2 2 2 2 4" xfId="27276"/>
    <cellStyle name="Comma 2 4 4 2 2 2 2 2 2 2 4 2" xfId="38800"/>
    <cellStyle name="Comma 2 4 4 2 2 2 2 2 2 3" xfId="5368"/>
    <cellStyle name="Comma 2 4 4 2 2 2 2 2 2 3 2" xfId="17008"/>
    <cellStyle name="Comma 2 4 4 2 2 2 2 2 2 3 2 2" xfId="18941"/>
    <cellStyle name="Comma 2 4 4 2 2 2 2 2 2 3 2 2 2" xfId="52336"/>
    <cellStyle name="Comma 2 4 4 2 2 2 2 2 2 3 2 2 2 2" xfId="54267"/>
    <cellStyle name="Comma 2 4 4 2 2 2 2 2 2 3 2 3" xfId="32442"/>
    <cellStyle name="Comma 2 4 4 2 2 2 2 2 2 3 3" xfId="30510"/>
    <cellStyle name="Comma 2 4 4 2 2 2 2 2 2 3 3 2" xfId="40805"/>
    <cellStyle name="Comma 2 4 4 2 2 2 2 2 2 4" xfId="10571"/>
    <cellStyle name="Comma 2 4 4 2 2 2 2 2 2 4 2" xfId="38820"/>
    <cellStyle name="Comma 2 4 4 2 2 2 2 2 2 4 2 2" xfId="45934"/>
    <cellStyle name="Comma 2 4 4 2 2 2 2 2 2 5" xfId="24057"/>
    <cellStyle name="Comma 2 4 4 2 2 2 2 2 3" xfId="5388"/>
    <cellStyle name="Comma 2 4 4 2 2 2 2 2 3 2" xfId="6621"/>
    <cellStyle name="Comma 2 4 4 2 2 2 2 2 3 2 2" xfId="18961"/>
    <cellStyle name="Comma 2 4 4 2 2 2 2 2 3 2 2 2" xfId="20174"/>
    <cellStyle name="Comma 2 4 4 2 2 2 2 2 3 2 2 2 2" xfId="54287"/>
    <cellStyle name="Comma 2 4 4 2 2 2 2 2 3 2 2 2 2 2" xfId="55500"/>
    <cellStyle name="Comma 2 4 4 2 2 2 2 2 3 2 2 3" xfId="33676"/>
    <cellStyle name="Comma 2 4 4 2 2 2 2 2 3 2 3" xfId="32462"/>
    <cellStyle name="Comma 2 4 4 2 2 2 2 2 3 2 3 2" xfId="42049"/>
    <cellStyle name="Comma 2 4 4 2 2 2 2 2 3 3" xfId="11844"/>
    <cellStyle name="Comma 2 4 4 2 2 2 2 2 3 3 2" xfId="40825"/>
    <cellStyle name="Comma 2 4 4 2 2 2 2 2 3 3 2 2" xfId="47192"/>
    <cellStyle name="Comma 2 4 4 2 2 2 2 2 3 4" xfId="25329"/>
    <cellStyle name="Comma 2 4 4 2 2 2 2 2 4" xfId="10591"/>
    <cellStyle name="Comma 2 4 4 2 2 2 2 2 4 2" xfId="15002"/>
    <cellStyle name="Comma 2 4 4 2 2 2 2 2 4 2 2" xfId="45954"/>
    <cellStyle name="Comma 2 4 4 2 2 2 2 2 4 2 2 2" xfId="50341"/>
    <cellStyle name="Comma 2 4 4 2 2 2 2 2 4 3" xfId="28515"/>
    <cellStyle name="Comma 2 4 4 2 2 2 2 2 5" xfId="24077"/>
    <cellStyle name="Comma 2 4 4 2 2 2 2 2 5 2" xfId="36810"/>
    <cellStyle name="Comma 2 4 4 2 2 2 2 3" xfId="2120"/>
    <cellStyle name="Comma 2 4 4 2 2 2 2 3 2" xfId="6641"/>
    <cellStyle name="Comma 2 4 4 2 2 2 2 3 2 2" xfId="7354"/>
    <cellStyle name="Comma 2 4 4 2 2 2 2 3 2 2 2" xfId="20194"/>
    <cellStyle name="Comma 2 4 4 2 2 2 2 3 2 2 2 2" xfId="20906"/>
    <cellStyle name="Comma 2 4 4 2 2 2 2 3 2 2 2 2 2" xfId="55520"/>
    <cellStyle name="Comma 2 4 4 2 2 2 2 3 2 2 2 2 2 2" xfId="56232"/>
    <cellStyle name="Comma 2 4 4 2 2 2 2 3 2 2 2 3" xfId="34409"/>
    <cellStyle name="Comma 2 4 4 2 2 2 2 3 2 2 3" xfId="33696"/>
    <cellStyle name="Comma 2 4 4 2 2 2 2 3 2 2 3 2" xfId="42781"/>
    <cellStyle name="Comma 2 4 4 2 2 2 2 3 2 3" xfId="12579"/>
    <cellStyle name="Comma 2 4 4 2 2 2 2 3 2 3 2" xfId="42069"/>
    <cellStyle name="Comma 2 4 4 2 2 2 2 3 2 3 2 2" xfId="47925"/>
    <cellStyle name="Comma 2 4 4 2 2 2 2 3 2 4" xfId="26063"/>
    <cellStyle name="Comma 2 4 4 2 2 2 2 3 3" xfId="11864"/>
    <cellStyle name="Comma 2 4 4 2 2 2 2 3 3 2" xfId="15784"/>
    <cellStyle name="Comma 2 4 4 2 2 2 2 3 3 2 2" xfId="47212"/>
    <cellStyle name="Comma 2 4 4 2 2 2 2 3 3 2 2 2" xfId="51116"/>
    <cellStyle name="Comma 2 4 4 2 2 2 2 3 3 3" xfId="29290"/>
    <cellStyle name="Comma 2 4 4 2 2 2 2 3 4" xfId="25349"/>
    <cellStyle name="Comma 2 4 4 2 2 2 2 3 4 2" xfId="37598"/>
    <cellStyle name="Comma 2 4 4 2 2 2 2 4" xfId="4136"/>
    <cellStyle name="Comma 2 4 4 2 2 2 2 4 2" xfId="15022"/>
    <cellStyle name="Comma 2 4 4 2 2 2 2 4 2 2" xfId="17729"/>
    <cellStyle name="Comma 2 4 4 2 2 2 2 4 2 2 2" xfId="50361"/>
    <cellStyle name="Comma 2 4 4 2 2 2 2 4 2 2 2 2" xfId="53056"/>
    <cellStyle name="Comma 2 4 4 2 2 2 2 4 2 3" xfId="31231"/>
    <cellStyle name="Comma 2 4 4 2 2 2 2 4 3" xfId="28535"/>
    <cellStyle name="Comma 2 4 4 2 2 2 2 4 3 2" xfId="39579"/>
    <cellStyle name="Comma 2 4 4 2 2 2 2 5" xfId="9327"/>
    <cellStyle name="Comma 2 4 4 2 2 2 2 5 2" xfId="36830"/>
    <cellStyle name="Comma 2 4 4 2 2 2 2 5 2 2" xfId="44709"/>
    <cellStyle name="Comma 2 4 4 2 2 2 2 6" xfId="22823"/>
    <cellStyle name="Comma 2 4 4 2 2 2 3" xfId="2140"/>
    <cellStyle name="Comma 2 4 4 2 2 2 3 2" xfId="2599"/>
    <cellStyle name="Comma 2 4 4 2 2 2 3 2 2" xfId="7374"/>
    <cellStyle name="Comma 2 4 4 2 2 2 3 2 2 2" xfId="7819"/>
    <cellStyle name="Comma 2 4 4 2 2 2 3 2 2 2 2" xfId="20926"/>
    <cellStyle name="Comma 2 4 4 2 2 2 3 2 2 2 2 2" xfId="21371"/>
    <cellStyle name="Comma 2 4 4 2 2 2 3 2 2 2 2 2 2" xfId="56252"/>
    <cellStyle name="Comma 2 4 4 2 2 2 3 2 2 2 2 2 2 2" xfId="56697"/>
    <cellStyle name="Comma 2 4 4 2 2 2 3 2 2 2 2 3" xfId="34874"/>
    <cellStyle name="Comma 2 4 4 2 2 2 3 2 2 2 3" xfId="34429"/>
    <cellStyle name="Comma 2 4 4 2 2 2 3 2 2 2 3 2" xfId="43246"/>
    <cellStyle name="Comma 2 4 4 2 2 2 3 2 2 3" xfId="13044"/>
    <cellStyle name="Comma 2 4 4 2 2 2 3 2 2 3 2" xfId="42801"/>
    <cellStyle name="Comma 2 4 4 2 2 2 3 2 2 3 2 2" xfId="48390"/>
    <cellStyle name="Comma 2 4 4 2 2 2 3 2 2 4" xfId="26528"/>
    <cellStyle name="Comma 2 4 4 2 2 2 3 2 3" xfId="12599"/>
    <cellStyle name="Comma 2 4 4 2 2 2 3 2 3 2" xfId="16258"/>
    <cellStyle name="Comma 2 4 4 2 2 2 3 2 3 2 2" xfId="47945"/>
    <cellStyle name="Comma 2 4 4 2 2 2 3 2 3 2 2 2" xfId="51588"/>
    <cellStyle name="Comma 2 4 4 2 2 2 3 2 3 3" xfId="29762"/>
    <cellStyle name="Comma 2 4 4 2 2 2 3 2 4" xfId="26083"/>
    <cellStyle name="Comma 2 4 4 2 2 2 3 2 4 2" xfId="38072"/>
    <cellStyle name="Comma 2 4 4 2 2 2 3 3" xfId="4633"/>
    <cellStyle name="Comma 2 4 4 2 2 2 3 3 2" xfId="15804"/>
    <cellStyle name="Comma 2 4 4 2 2 2 3 3 2 2" xfId="18213"/>
    <cellStyle name="Comma 2 4 4 2 2 2 3 3 2 2 2" xfId="51136"/>
    <cellStyle name="Comma 2 4 4 2 2 2 3 3 2 2 2 2" xfId="53539"/>
    <cellStyle name="Comma 2 4 4 2 2 2 3 3 2 3" xfId="31714"/>
    <cellStyle name="Comma 2 4 4 2 2 2 3 3 3" xfId="29310"/>
    <cellStyle name="Comma 2 4 4 2 2 2 3 3 3 2" xfId="40072"/>
    <cellStyle name="Comma 2 4 4 2 2 2 3 4" xfId="9836"/>
    <cellStyle name="Comma 2 4 4 2 2 2 3 4 2" xfId="37618"/>
    <cellStyle name="Comma 2 4 4 2 2 2 3 4 2 2" xfId="45206"/>
    <cellStyle name="Comma 2 4 4 2 2 2 3 5" xfId="23329"/>
    <cellStyle name="Comma 2 4 4 2 2 2 4" xfId="4156"/>
    <cellStyle name="Comma 2 4 4 2 2 2 4 2" xfId="5837"/>
    <cellStyle name="Comma 2 4 4 2 2 2 4 2 2" xfId="17749"/>
    <cellStyle name="Comma 2 4 4 2 2 2 4 2 2 2" xfId="19405"/>
    <cellStyle name="Comma 2 4 4 2 2 2 4 2 2 2 2" xfId="53076"/>
    <cellStyle name="Comma 2 4 4 2 2 2 4 2 2 2 2 2" xfId="54731"/>
    <cellStyle name="Comma 2 4 4 2 2 2 4 2 2 3" xfId="32906"/>
    <cellStyle name="Comma 2 4 4 2 2 2 4 2 3" xfId="31251"/>
    <cellStyle name="Comma 2 4 4 2 2 2 4 2 3 2" xfId="41272"/>
    <cellStyle name="Comma 2 4 4 2 2 2 4 3" xfId="11060"/>
    <cellStyle name="Comma 2 4 4 2 2 2 4 3 2" xfId="39599"/>
    <cellStyle name="Comma 2 4 4 2 2 2 4 3 2 2" xfId="46419"/>
    <cellStyle name="Comma 2 4 4 2 2 2 4 4" xfId="24554"/>
    <cellStyle name="Comma 2 4 4 2 2 2 5" xfId="9347"/>
    <cellStyle name="Comma 2 4 4 2 2 2 5 2" xfId="14221"/>
    <cellStyle name="Comma 2 4 4 2 2 2 5 2 2" xfId="44729"/>
    <cellStyle name="Comma 2 4 4 2 2 2 5 2 2 2" xfId="49566"/>
    <cellStyle name="Comma 2 4 4 2 2 2 5 3" xfId="27728"/>
    <cellStyle name="Comma 2 4 4 2 2 2 6" xfId="22843"/>
    <cellStyle name="Comma 2 4 4 2 2 2 6 2" xfId="36033"/>
    <cellStyle name="Comma 2 4 4 2 2 3" xfId="828"/>
    <cellStyle name="Comma 2 4 4 2 2 3 2" xfId="2619"/>
    <cellStyle name="Comma 2 4 4 2 2 3 2 2" xfId="2880"/>
    <cellStyle name="Comma 2 4 4 2 2 3 2 2 2" xfId="7839"/>
    <cellStyle name="Comma 2 4 4 2 2 3 2 2 2 2" xfId="8096"/>
    <cellStyle name="Comma 2 4 4 2 2 3 2 2 2 2 2" xfId="21391"/>
    <cellStyle name="Comma 2 4 4 2 2 3 2 2 2 2 2 2" xfId="21648"/>
    <cellStyle name="Comma 2 4 4 2 2 3 2 2 2 2 2 2 2" xfId="56717"/>
    <cellStyle name="Comma 2 4 4 2 2 3 2 2 2 2 2 2 2 2" xfId="56974"/>
    <cellStyle name="Comma 2 4 4 2 2 3 2 2 2 2 2 3" xfId="35151"/>
    <cellStyle name="Comma 2 4 4 2 2 3 2 2 2 2 3" xfId="34894"/>
    <cellStyle name="Comma 2 4 4 2 2 3 2 2 2 2 3 2" xfId="43523"/>
    <cellStyle name="Comma 2 4 4 2 2 3 2 2 2 3" xfId="13321"/>
    <cellStyle name="Comma 2 4 4 2 2 3 2 2 2 3 2" xfId="43266"/>
    <cellStyle name="Comma 2 4 4 2 2 3 2 2 2 3 2 2" xfId="48667"/>
    <cellStyle name="Comma 2 4 4 2 2 3 2 2 2 4" xfId="26805"/>
    <cellStyle name="Comma 2 4 4 2 2 3 2 2 3" xfId="13064"/>
    <cellStyle name="Comma 2 4 4 2 2 3 2 2 3 2" xfId="16538"/>
    <cellStyle name="Comma 2 4 4 2 2 3 2 2 3 2 2" xfId="48410"/>
    <cellStyle name="Comma 2 4 4 2 2 3 2 2 3 2 2 2" xfId="51866"/>
    <cellStyle name="Comma 2 4 4 2 2 3 2 2 3 3" xfId="30040"/>
    <cellStyle name="Comma 2 4 4 2 2 3 2 2 4" xfId="26548"/>
    <cellStyle name="Comma 2 4 4 2 2 3 2 2 4 2" xfId="38350"/>
    <cellStyle name="Comma 2 4 4 2 2 3 2 3" xfId="4916"/>
    <cellStyle name="Comma 2 4 4 2 2 3 2 3 2" xfId="16278"/>
    <cellStyle name="Comma 2 4 4 2 2 3 2 3 2 2" xfId="18490"/>
    <cellStyle name="Comma 2 4 4 2 2 3 2 3 2 2 2" xfId="51608"/>
    <cellStyle name="Comma 2 4 4 2 2 3 2 3 2 2 2 2" xfId="53816"/>
    <cellStyle name="Comma 2 4 4 2 2 3 2 3 2 3" xfId="31991"/>
    <cellStyle name="Comma 2 4 4 2 2 3 2 3 3" xfId="29782"/>
    <cellStyle name="Comma 2 4 4 2 2 3 2 3 3 2" xfId="40353"/>
    <cellStyle name="Comma 2 4 4 2 2 3 2 4" xfId="10119"/>
    <cellStyle name="Comma 2 4 4 2 2 3 2 4 2" xfId="38092"/>
    <cellStyle name="Comma 2 4 4 2 2 3 2 4 2 2" xfId="45483"/>
    <cellStyle name="Comma 2 4 4 2 2 3 2 5" xfId="23606"/>
    <cellStyle name="Comma 2 4 4 2 2 3 3" xfId="4653"/>
    <cellStyle name="Comma 2 4 4 2 2 3 3 2" xfId="6143"/>
    <cellStyle name="Comma 2 4 4 2 2 3 3 2 2" xfId="18233"/>
    <cellStyle name="Comma 2 4 4 2 2 3 3 2 2 2" xfId="19704"/>
    <cellStyle name="Comma 2 4 4 2 2 3 3 2 2 2 2" xfId="53559"/>
    <cellStyle name="Comma 2 4 4 2 2 3 3 2 2 2 2 2" xfId="55030"/>
    <cellStyle name="Comma 2 4 4 2 2 3 3 2 2 3" xfId="33205"/>
    <cellStyle name="Comma 2 4 4 2 2 3 3 2 3" xfId="31734"/>
    <cellStyle name="Comma 2 4 4 2 2 3 3 2 3 2" xfId="41575"/>
    <cellStyle name="Comma 2 4 4 2 2 3 3 3" xfId="11369"/>
    <cellStyle name="Comma 2 4 4 2 2 3 3 3 2" xfId="40092"/>
    <cellStyle name="Comma 2 4 4 2 2 3 3 3 2 2" xfId="46721"/>
    <cellStyle name="Comma 2 4 4 2 2 3 3 4" xfId="24858"/>
    <cellStyle name="Comma 2 4 4 2 2 3 4" xfId="9856"/>
    <cellStyle name="Comma 2 4 4 2 2 3 4 2" xfId="14526"/>
    <cellStyle name="Comma 2 4 4 2 2 3 4 2 2" xfId="45226"/>
    <cellStyle name="Comma 2 4 4 2 2 3 4 2 2 2" xfId="49868"/>
    <cellStyle name="Comma 2 4 4 2 2 3 4 3" xfId="28038"/>
    <cellStyle name="Comma 2 4 4 2 2 3 5" xfId="23349"/>
    <cellStyle name="Comma 2 4 4 2 2 3 5 2" xfId="36336"/>
    <cellStyle name="Comma 2 4 4 2 2 4" xfId="1621"/>
    <cellStyle name="Comma 2 4 4 2 2 4 2" xfId="5858"/>
    <cellStyle name="Comma 2 4 4 2 2 4 2 2" xfId="6889"/>
    <cellStyle name="Comma 2 4 4 2 2 4 2 2 2" xfId="19426"/>
    <cellStyle name="Comma 2 4 4 2 2 4 2 2 2 2" xfId="20442"/>
    <cellStyle name="Comma 2 4 4 2 2 4 2 2 2 2 2" xfId="54752"/>
    <cellStyle name="Comma 2 4 4 2 2 4 2 2 2 2 2 2" xfId="55768"/>
    <cellStyle name="Comma 2 4 4 2 2 4 2 2 2 3" xfId="33944"/>
    <cellStyle name="Comma 2 4 4 2 2 4 2 2 3" xfId="32927"/>
    <cellStyle name="Comma 2 4 4 2 2 4 2 2 3 2" xfId="42317"/>
    <cellStyle name="Comma 2 4 4 2 2 4 2 3" xfId="12113"/>
    <cellStyle name="Comma 2 4 4 2 2 4 2 3 2" xfId="41293"/>
    <cellStyle name="Comma 2 4 4 2 2 4 2 3 2 2" xfId="47460"/>
    <cellStyle name="Comma 2 4 4 2 2 4 2 4" xfId="25598"/>
    <cellStyle name="Comma 2 4 4 2 2 4 3" xfId="11081"/>
    <cellStyle name="Comma 2 4 4 2 2 4 3 2" xfId="15296"/>
    <cellStyle name="Comma 2 4 4 2 2 4 3 2 2" xfId="46440"/>
    <cellStyle name="Comma 2 4 4 2 2 4 3 2 2 2" xfId="50631"/>
    <cellStyle name="Comma 2 4 4 2 2 4 3 3" xfId="28805"/>
    <cellStyle name="Comma 2 4 4 2 2 4 4" xfId="24575"/>
    <cellStyle name="Comma 2 4 4 2 2 4 4 2" xfId="37107"/>
    <cellStyle name="Comma 2 4 4 2 2 5" xfId="3625"/>
    <cellStyle name="Comma 2 4 4 2 2 5 2" xfId="14242"/>
    <cellStyle name="Comma 2 4 4 2 2 5 2 2" xfId="17257"/>
    <cellStyle name="Comma 2 4 4 2 2 5 2 2 2" xfId="49587"/>
    <cellStyle name="Comma 2 4 4 2 2 5 2 2 2 2" xfId="52584"/>
    <cellStyle name="Comma 2 4 4 2 2 5 2 3" xfId="30758"/>
    <cellStyle name="Comma 2 4 4 2 2 5 3" xfId="27749"/>
    <cellStyle name="Comma 2 4 4 2 2 5 3 2" xfId="39080"/>
    <cellStyle name="Comma 2 4 4 2 2 6" xfId="8821"/>
    <cellStyle name="Comma 2 4 4 2 2 6 2" xfId="36054"/>
    <cellStyle name="Comma 2 4 4 2 2 6 2 2" xfId="44229"/>
    <cellStyle name="Comma 2 4 4 2 2 7" xfId="22337"/>
    <cellStyle name="Comma 2 4 4 2 3" xfId="851"/>
    <cellStyle name="Comma 2 4 4 2 3 2" xfId="1006"/>
    <cellStyle name="Comma 2 4 4 2 3 2 2" xfId="2903"/>
    <cellStyle name="Comma 2 4 4 2 3 2 2 2" xfId="3043"/>
    <cellStyle name="Comma 2 4 4 2 3 2 2 2 2" xfId="8118"/>
    <cellStyle name="Comma 2 4 4 2 3 2 2 2 2 2" xfId="8258"/>
    <cellStyle name="Comma 2 4 4 2 3 2 2 2 2 2 2" xfId="21670"/>
    <cellStyle name="Comma 2 4 4 2 3 2 2 2 2 2 2 2" xfId="21810"/>
    <cellStyle name="Comma 2 4 4 2 3 2 2 2 2 2 2 2 2" xfId="56996"/>
    <cellStyle name="Comma 2 4 4 2 3 2 2 2 2 2 2 2 2 2" xfId="57136"/>
    <cellStyle name="Comma 2 4 4 2 3 2 2 2 2 2 2 3" xfId="35313"/>
    <cellStyle name="Comma 2 4 4 2 3 2 2 2 2 2 3" xfId="35173"/>
    <cellStyle name="Comma 2 4 4 2 3 2 2 2 2 2 3 2" xfId="43685"/>
    <cellStyle name="Comma 2 4 4 2 3 2 2 2 2 3" xfId="13483"/>
    <cellStyle name="Comma 2 4 4 2 3 2 2 2 2 3 2" xfId="43545"/>
    <cellStyle name="Comma 2 4 4 2 3 2 2 2 2 3 2 2" xfId="48829"/>
    <cellStyle name="Comma 2 4 4 2 3 2 2 2 2 4" xfId="26968"/>
    <cellStyle name="Comma 2 4 4 2 3 2 2 2 3" xfId="13343"/>
    <cellStyle name="Comma 2 4 4 2 3 2 2 2 3 2" xfId="16700"/>
    <cellStyle name="Comma 2 4 4 2 3 2 2 2 3 2 2" xfId="48689"/>
    <cellStyle name="Comma 2 4 4 2 3 2 2 2 3 2 2 2" xfId="52028"/>
    <cellStyle name="Comma 2 4 4 2 3 2 2 2 3 3" xfId="30202"/>
    <cellStyle name="Comma 2 4 4 2 3 2 2 2 4" xfId="26828"/>
    <cellStyle name="Comma 2 4 4 2 3 2 2 2 4 2" xfId="38512"/>
    <cellStyle name="Comma 2 4 4 2 3 2 2 3" xfId="5080"/>
    <cellStyle name="Comma 2 4 4 2 3 2 2 3 2" xfId="16560"/>
    <cellStyle name="Comma 2 4 4 2 3 2 2 3 2 2" xfId="18653"/>
    <cellStyle name="Comma 2 4 4 2 3 2 2 3 2 2 2" xfId="51888"/>
    <cellStyle name="Comma 2 4 4 2 3 2 2 3 2 2 2 2" xfId="53979"/>
    <cellStyle name="Comma 2 4 4 2 3 2 2 3 2 3" xfId="32154"/>
    <cellStyle name="Comma 2 4 4 2 3 2 2 3 3" xfId="30062"/>
    <cellStyle name="Comma 2 4 4 2 3 2 2 3 3 2" xfId="40517"/>
    <cellStyle name="Comma 2 4 4 2 3 2 2 4" xfId="10283"/>
    <cellStyle name="Comma 2 4 4 2 3 2 2 4 2" xfId="38372"/>
    <cellStyle name="Comma 2 4 4 2 3 2 2 4 2 2" xfId="45646"/>
    <cellStyle name="Comma 2 4 4 2 3 2 2 5" xfId="23769"/>
    <cellStyle name="Comma 2 4 4 2 3 2 3" xfId="4939"/>
    <cellStyle name="Comma 2 4 4 2 3 2 3 2" xfId="6316"/>
    <cellStyle name="Comma 2 4 4 2 3 2 3 2 2" xfId="18512"/>
    <cellStyle name="Comma 2 4 4 2 3 2 3 2 2 2" xfId="19873"/>
    <cellStyle name="Comma 2 4 4 2 3 2 3 2 2 2 2" xfId="53838"/>
    <cellStyle name="Comma 2 4 4 2 3 2 3 2 2 2 2 2" xfId="55199"/>
    <cellStyle name="Comma 2 4 4 2 3 2 3 2 2 3" xfId="33375"/>
    <cellStyle name="Comma 2 4 4 2 3 2 3 2 3" xfId="32013"/>
    <cellStyle name="Comma 2 4 4 2 3 2 3 2 3 2" xfId="41745"/>
    <cellStyle name="Comma 2 4 4 2 3 2 3 3" xfId="11542"/>
    <cellStyle name="Comma 2 4 4 2 3 2 3 3 2" xfId="40376"/>
    <cellStyle name="Comma 2 4 4 2 3 2 3 3 2 2" xfId="46891"/>
    <cellStyle name="Comma 2 4 4 2 3 2 3 4" xfId="25028"/>
    <cellStyle name="Comma 2 4 4 2 3 2 4" xfId="10142"/>
    <cellStyle name="Comma 2 4 4 2 3 2 4 2" xfId="14699"/>
    <cellStyle name="Comma 2 4 4 2 3 2 4 2 2" xfId="45505"/>
    <cellStyle name="Comma 2 4 4 2 3 2 4 2 2 2" xfId="50038"/>
    <cellStyle name="Comma 2 4 4 2 3 2 4 3" xfId="28211"/>
    <cellStyle name="Comma 2 4 4 2 3 2 5" xfId="23628"/>
    <cellStyle name="Comma 2 4 4 2 3 2 5 2" xfId="36507"/>
    <cellStyle name="Comma 2 4 4 2 3 3" xfId="1807"/>
    <cellStyle name="Comma 2 4 4 2 3 3 2" xfId="6166"/>
    <cellStyle name="Comma 2 4 4 2 3 3 2 2" xfId="7059"/>
    <cellStyle name="Comma 2 4 4 2 3 3 2 2 2" xfId="19726"/>
    <cellStyle name="Comma 2 4 4 2 3 3 2 2 2 2" xfId="20612"/>
    <cellStyle name="Comma 2 4 4 2 3 3 2 2 2 2 2" xfId="55052"/>
    <cellStyle name="Comma 2 4 4 2 3 3 2 2 2 2 2 2" xfId="55938"/>
    <cellStyle name="Comma 2 4 4 2 3 3 2 2 2 3" xfId="34114"/>
    <cellStyle name="Comma 2 4 4 2 3 3 2 2 3" xfId="33228"/>
    <cellStyle name="Comma 2 4 4 2 3 3 2 2 3 2" xfId="42487"/>
    <cellStyle name="Comma 2 4 4 2 3 3 2 3" xfId="12283"/>
    <cellStyle name="Comma 2 4 4 2 3 3 2 3 2" xfId="41597"/>
    <cellStyle name="Comma 2 4 4 2 3 3 2 3 2 2" xfId="47630"/>
    <cellStyle name="Comma 2 4 4 2 3 3 2 4" xfId="25768"/>
    <cellStyle name="Comma 2 4 4 2 3 3 3" xfId="11392"/>
    <cellStyle name="Comma 2 4 4 2 3 3 3 2" xfId="15479"/>
    <cellStyle name="Comma 2 4 4 2 3 3 3 2 2" xfId="46743"/>
    <cellStyle name="Comma 2 4 4 2 3 3 3 2 2 2" xfId="50812"/>
    <cellStyle name="Comma 2 4 4 2 3 3 3 3" xfId="28986"/>
    <cellStyle name="Comma 2 4 4 2 3 3 4" xfId="24880"/>
    <cellStyle name="Comma 2 4 4 2 3 3 4 2" xfId="37289"/>
    <cellStyle name="Comma 2 4 4 2 3 4" xfId="3815"/>
    <cellStyle name="Comma 2 4 4 2 3 4 2" xfId="14549"/>
    <cellStyle name="Comma 2 4 4 2 3 4 2 2" xfId="17430"/>
    <cellStyle name="Comma 2 4 4 2 3 4 2 2 2" xfId="49890"/>
    <cellStyle name="Comma 2 4 4 2 3 4 2 2 2 2" xfId="52757"/>
    <cellStyle name="Comma 2 4 4 2 3 4 2 3" xfId="30931"/>
    <cellStyle name="Comma 2 4 4 2 3 4 3" xfId="28060"/>
    <cellStyle name="Comma 2 4 4 2 3 4 3 2" xfId="39265"/>
    <cellStyle name="Comma 2 4 4 2 3 5" xfId="9006"/>
    <cellStyle name="Comma 2 4 4 2 3 5 2" xfId="36359"/>
    <cellStyle name="Comma 2 4 4 2 3 5 2 2" xfId="44404"/>
    <cellStyle name="Comma 2 4 4 2 3 6" xfId="22515"/>
    <cellStyle name="Comma 2 4 4 2 4" xfId="1646"/>
    <cellStyle name="Comma 2 4 4 2 4 2" xfId="2270"/>
    <cellStyle name="Comma 2 4 4 2 4 2 2" xfId="6912"/>
    <cellStyle name="Comma 2 4 4 2 4 2 2 2" xfId="7504"/>
    <cellStyle name="Comma 2 4 4 2 4 2 2 2 2" xfId="20465"/>
    <cellStyle name="Comma 2 4 4 2 4 2 2 2 2 2" xfId="21056"/>
    <cellStyle name="Comma 2 4 4 2 4 2 2 2 2 2 2" xfId="55791"/>
    <cellStyle name="Comma 2 4 4 2 4 2 2 2 2 2 2 2" xfId="56382"/>
    <cellStyle name="Comma 2 4 4 2 4 2 2 2 2 3" xfId="34559"/>
    <cellStyle name="Comma 2 4 4 2 4 2 2 2 3" xfId="33967"/>
    <cellStyle name="Comma 2 4 4 2 4 2 2 2 3 2" xfId="42931"/>
    <cellStyle name="Comma 2 4 4 2 4 2 2 3" xfId="12729"/>
    <cellStyle name="Comma 2 4 4 2 4 2 2 3 2" xfId="42340"/>
    <cellStyle name="Comma 2 4 4 2 4 2 2 3 2 2" xfId="48075"/>
    <cellStyle name="Comma 2 4 4 2 4 2 2 4" xfId="26213"/>
    <cellStyle name="Comma 2 4 4 2 4 2 3" xfId="12136"/>
    <cellStyle name="Comma 2 4 4 2 4 2 3 2" xfId="15934"/>
    <cellStyle name="Comma 2 4 4 2 4 2 3 2 2" xfId="47483"/>
    <cellStyle name="Comma 2 4 4 2 4 2 3 2 2 2" xfId="51266"/>
    <cellStyle name="Comma 2 4 4 2 4 2 3 3" xfId="29440"/>
    <cellStyle name="Comma 2 4 4 2 4 2 4" xfId="25621"/>
    <cellStyle name="Comma 2 4 4 2 4 2 4 2" xfId="37748"/>
    <cellStyle name="Comma 2 4 4 2 4 3" xfId="4290"/>
    <cellStyle name="Comma 2 4 4 2 4 3 2" xfId="15320"/>
    <cellStyle name="Comma 2 4 4 2 4 3 2 2" xfId="17883"/>
    <cellStyle name="Comma 2 4 4 2 4 3 2 2 2" xfId="50655"/>
    <cellStyle name="Comma 2 4 4 2 4 3 2 2 2 2" xfId="53210"/>
    <cellStyle name="Comma 2 4 4 2 4 3 2 3" xfId="31385"/>
    <cellStyle name="Comma 2 4 4 2 4 3 3" xfId="28829"/>
    <cellStyle name="Comma 2 4 4 2 4 3 3 2" xfId="39733"/>
    <cellStyle name="Comma 2 4 4 2 4 4" xfId="9482"/>
    <cellStyle name="Comma 2 4 4 2 4 4 2" xfId="37131"/>
    <cellStyle name="Comma 2 4 4 2 4 4 2 2" xfId="44864"/>
    <cellStyle name="Comma 2 4 4 2 4 5" xfId="22978"/>
    <cellStyle name="Comma 2 4 4 2 5" xfId="3650"/>
    <cellStyle name="Comma 2 4 4 2 5 2" xfId="4402"/>
    <cellStyle name="Comma 2 4 4 2 5 2 2" xfId="17280"/>
    <cellStyle name="Comma 2 4 4 2 5 2 2 2" xfId="17993"/>
    <cellStyle name="Comma 2 4 4 2 5 2 2 2 2" xfId="52607"/>
    <cellStyle name="Comma 2 4 4 2 5 2 2 2 2 2" xfId="53319"/>
    <cellStyle name="Comma 2 4 4 2 5 2 2 3" xfId="31494"/>
    <cellStyle name="Comma 2 4 4 2 5 2 3" xfId="30781"/>
    <cellStyle name="Comma 2 4 4 2 5 2 3 2" xfId="39844"/>
    <cellStyle name="Comma 2 4 4 2 5 3" xfId="9605"/>
    <cellStyle name="Comma 2 4 4 2 5 3 2" xfId="39105"/>
    <cellStyle name="Comma 2 4 4 2 5 3 2 2" xfId="44985"/>
    <cellStyle name="Comma 2 4 4 2 5 4" xfId="23106"/>
    <cellStyle name="Comma 2 4 4 2 6" xfId="8845"/>
    <cellStyle name="Comma 2 4 4 2 6 2" xfId="9520"/>
    <cellStyle name="Comma 2 4 4 2 6 2 2" xfId="44252"/>
    <cellStyle name="Comma 2 4 4 2 6 2 2 2" xfId="44902"/>
    <cellStyle name="Comma 2 4 4 2 6 3" xfId="23018"/>
    <cellStyle name="Comma 2 4 4 2 7" xfId="22360"/>
    <cellStyle name="Comma 2 4 4 2 7 2" xfId="22590"/>
    <cellStyle name="Comma 2 4 4 3" xfId="286"/>
    <cellStyle name="Comma 2 4 4 3 2" xfId="1026"/>
    <cellStyle name="Comma 2 4 4 3 2 2" xfId="1151"/>
    <cellStyle name="Comma 2 4 4 3 2 2 2" xfId="3063"/>
    <cellStyle name="Comma 2 4 4 3 2 2 2 2" xfId="3174"/>
    <cellStyle name="Comma 2 4 4 3 2 2 2 2 2" xfId="8278"/>
    <cellStyle name="Comma 2 4 4 3 2 2 2 2 2 2" xfId="8389"/>
    <cellStyle name="Comma 2 4 4 3 2 2 2 2 2 2 2" xfId="21830"/>
    <cellStyle name="Comma 2 4 4 3 2 2 2 2 2 2 2 2" xfId="21941"/>
    <cellStyle name="Comma 2 4 4 3 2 2 2 2 2 2 2 2 2" xfId="57156"/>
    <cellStyle name="Comma 2 4 4 3 2 2 2 2 2 2 2 2 2 2" xfId="57267"/>
    <cellStyle name="Comma 2 4 4 3 2 2 2 2 2 2 2 3" xfId="35444"/>
    <cellStyle name="Comma 2 4 4 3 2 2 2 2 2 2 3" xfId="35333"/>
    <cellStyle name="Comma 2 4 4 3 2 2 2 2 2 2 3 2" xfId="43816"/>
    <cellStyle name="Comma 2 4 4 3 2 2 2 2 2 3" xfId="13614"/>
    <cellStyle name="Comma 2 4 4 3 2 2 2 2 2 3 2" xfId="43705"/>
    <cellStyle name="Comma 2 4 4 3 2 2 2 2 2 3 2 2" xfId="48960"/>
    <cellStyle name="Comma 2 4 4 3 2 2 2 2 2 4" xfId="27099"/>
    <cellStyle name="Comma 2 4 4 3 2 2 2 2 3" xfId="13503"/>
    <cellStyle name="Comma 2 4 4 3 2 2 2 2 3 2" xfId="16831"/>
    <cellStyle name="Comma 2 4 4 3 2 2 2 2 3 2 2" xfId="48849"/>
    <cellStyle name="Comma 2 4 4 3 2 2 2 2 3 2 2 2" xfId="52159"/>
    <cellStyle name="Comma 2 4 4 3 2 2 2 2 3 3" xfId="30333"/>
    <cellStyle name="Comma 2 4 4 3 2 2 2 2 4" xfId="26988"/>
    <cellStyle name="Comma 2 4 4 3 2 2 2 2 4 2" xfId="38643"/>
    <cellStyle name="Comma 2 4 4 3 2 2 2 3" xfId="5211"/>
    <cellStyle name="Comma 2 4 4 3 2 2 2 3 2" xfId="16720"/>
    <cellStyle name="Comma 2 4 4 3 2 2 2 3 2 2" xfId="18784"/>
    <cellStyle name="Comma 2 4 4 3 2 2 2 3 2 2 2" xfId="52048"/>
    <cellStyle name="Comma 2 4 4 3 2 2 2 3 2 2 2 2" xfId="54110"/>
    <cellStyle name="Comma 2 4 4 3 2 2 2 3 2 3" xfId="32285"/>
    <cellStyle name="Comma 2 4 4 3 2 2 2 3 3" xfId="30222"/>
    <cellStyle name="Comma 2 4 4 3 2 2 2 3 3 2" xfId="40648"/>
    <cellStyle name="Comma 2 4 4 3 2 2 2 4" xfId="10414"/>
    <cellStyle name="Comma 2 4 4 3 2 2 2 4 2" xfId="38532"/>
    <cellStyle name="Comma 2 4 4 3 2 2 2 4 2 2" xfId="45777"/>
    <cellStyle name="Comma 2 4 4 3 2 2 2 5" xfId="23900"/>
    <cellStyle name="Comma 2 4 4 3 2 2 3" xfId="5100"/>
    <cellStyle name="Comma 2 4 4 3 2 2 3 2" xfId="6459"/>
    <cellStyle name="Comma 2 4 4 3 2 2 3 2 2" xfId="18673"/>
    <cellStyle name="Comma 2 4 4 3 2 2 3 2 2 2" xfId="20013"/>
    <cellStyle name="Comma 2 4 4 3 2 2 3 2 2 2 2" xfId="53999"/>
    <cellStyle name="Comma 2 4 4 3 2 2 3 2 2 2 2 2" xfId="55339"/>
    <cellStyle name="Comma 2 4 4 3 2 2 3 2 2 3" xfId="33515"/>
    <cellStyle name="Comma 2 4 4 3 2 2 3 2 3" xfId="32174"/>
    <cellStyle name="Comma 2 4 4 3 2 2 3 2 3 2" xfId="41887"/>
    <cellStyle name="Comma 2 4 4 3 2 2 3 3" xfId="11683"/>
    <cellStyle name="Comma 2 4 4 3 2 2 3 3 2" xfId="40537"/>
    <cellStyle name="Comma 2 4 4 3 2 2 3 3 2 2" xfId="47031"/>
    <cellStyle name="Comma 2 4 4 3 2 2 3 4" xfId="25168"/>
    <cellStyle name="Comma 2 4 4 3 2 2 4" xfId="10303"/>
    <cellStyle name="Comma 2 4 4 3 2 2 4 2" xfId="14841"/>
    <cellStyle name="Comma 2 4 4 3 2 2 4 2 2" xfId="45666"/>
    <cellStyle name="Comma 2 4 4 3 2 2 4 2 2 2" xfId="50180"/>
    <cellStyle name="Comma 2 4 4 3 2 2 4 3" xfId="28354"/>
    <cellStyle name="Comma 2 4 4 3 2 2 5" xfId="23789"/>
    <cellStyle name="Comma 2 4 4 3 2 2 5 2" xfId="36649"/>
    <cellStyle name="Comma 2 4 4 3 2 3" xfId="1959"/>
    <cellStyle name="Comma 2 4 4 3 2 3 2" xfId="6336"/>
    <cellStyle name="Comma 2 4 4 3 2 3 2 2" xfId="7196"/>
    <cellStyle name="Comma 2 4 4 3 2 3 2 2 2" xfId="19893"/>
    <cellStyle name="Comma 2 4 4 3 2 3 2 2 2 2" xfId="20748"/>
    <cellStyle name="Comma 2 4 4 3 2 3 2 2 2 2 2" xfId="55219"/>
    <cellStyle name="Comma 2 4 4 3 2 3 2 2 2 2 2 2" xfId="56074"/>
    <cellStyle name="Comma 2 4 4 3 2 3 2 2 2 3" xfId="34251"/>
    <cellStyle name="Comma 2 4 4 3 2 3 2 2 3" xfId="33395"/>
    <cellStyle name="Comma 2 4 4 3 2 3 2 2 3 2" xfId="42623"/>
    <cellStyle name="Comma 2 4 4 3 2 3 2 3" xfId="12421"/>
    <cellStyle name="Comma 2 4 4 3 2 3 2 3 2" xfId="41765"/>
    <cellStyle name="Comma 2 4 4 3 2 3 2 3 2 2" xfId="47767"/>
    <cellStyle name="Comma 2 4 4 3 2 3 2 4" xfId="25905"/>
    <cellStyle name="Comma 2 4 4 3 2 3 3" xfId="11562"/>
    <cellStyle name="Comma 2 4 4 3 2 3 3 2" xfId="15624"/>
    <cellStyle name="Comma 2 4 4 3 2 3 3 2 2" xfId="46911"/>
    <cellStyle name="Comma 2 4 4 3 2 3 3 2 2 2" xfId="50956"/>
    <cellStyle name="Comma 2 4 4 3 2 3 3 3" xfId="29130"/>
    <cellStyle name="Comma 2 4 4 3 2 3 4" xfId="25048"/>
    <cellStyle name="Comma 2 4 4 3 2 3 4 2" xfId="37437"/>
    <cellStyle name="Comma 2 4 4 3 2 4" xfId="3973"/>
    <cellStyle name="Comma 2 4 4 3 2 4 2" xfId="14719"/>
    <cellStyle name="Comma 2 4 4 3 2 4 2 2" xfId="17571"/>
    <cellStyle name="Comma 2 4 4 3 2 4 2 2 2" xfId="50058"/>
    <cellStyle name="Comma 2 4 4 3 2 4 2 2 2 2" xfId="52898"/>
    <cellStyle name="Comma 2 4 4 3 2 4 2 3" xfId="31073"/>
    <cellStyle name="Comma 2 4 4 3 2 4 3" xfId="28231"/>
    <cellStyle name="Comma 2 4 4 3 2 4 3 2" xfId="39417"/>
    <cellStyle name="Comma 2 4 4 3 2 5" xfId="9165"/>
    <cellStyle name="Comma 2 4 4 3 2 5 2" xfId="36527"/>
    <cellStyle name="Comma 2 4 4 3 2 5 2 2" xfId="44551"/>
    <cellStyle name="Comma 2 4 4 3 2 6" xfId="22665"/>
    <cellStyle name="Comma 2 4 4 3 3" xfId="1829"/>
    <cellStyle name="Comma 2 4 4 3 3 2" xfId="2405"/>
    <cellStyle name="Comma 2 4 4 3 3 2 2" xfId="7081"/>
    <cellStyle name="Comma 2 4 4 3 3 2 2 2" xfId="7638"/>
    <cellStyle name="Comma 2 4 4 3 3 2 2 2 2" xfId="20634"/>
    <cellStyle name="Comma 2 4 4 3 3 2 2 2 2 2" xfId="21190"/>
    <cellStyle name="Comma 2 4 4 3 3 2 2 2 2 2 2" xfId="55960"/>
    <cellStyle name="Comma 2 4 4 3 3 2 2 2 2 2 2 2" xfId="56516"/>
    <cellStyle name="Comma 2 4 4 3 3 2 2 2 2 3" xfId="34693"/>
    <cellStyle name="Comma 2 4 4 3 3 2 2 2 3" xfId="34136"/>
    <cellStyle name="Comma 2 4 4 3 3 2 2 2 3 2" xfId="43065"/>
    <cellStyle name="Comma 2 4 4 3 3 2 2 3" xfId="12863"/>
    <cellStyle name="Comma 2 4 4 3 3 2 2 3 2" xfId="42509"/>
    <cellStyle name="Comma 2 4 4 3 3 2 2 3 2 2" xfId="48209"/>
    <cellStyle name="Comma 2 4 4 3 3 2 2 4" xfId="26347"/>
    <cellStyle name="Comma 2 4 4 3 3 2 3" xfId="12305"/>
    <cellStyle name="Comma 2 4 4 3 3 2 3 2" xfId="16068"/>
    <cellStyle name="Comma 2 4 4 3 3 2 3 2 2" xfId="47652"/>
    <cellStyle name="Comma 2 4 4 3 3 2 3 2 2 2" xfId="51400"/>
    <cellStyle name="Comma 2 4 4 3 3 2 3 3" xfId="29574"/>
    <cellStyle name="Comma 2 4 4 3 3 2 4" xfId="25790"/>
    <cellStyle name="Comma 2 4 4 3 3 2 4 2" xfId="37883"/>
    <cellStyle name="Comma 2 4 4 3 3 3" xfId="4440"/>
    <cellStyle name="Comma 2 4 4 3 3 3 2" xfId="15501"/>
    <cellStyle name="Comma 2 4 4 3 3 3 2 2" xfId="18031"/>
    <cellStyle name="Comma 2 4 4 3 3 3 2 2 2" xfId="50834"/>
    <cellStyle name="Comma 2 4 4 3 3 3 2 2 2 2" xfId="53357"/>
    <cellStyle name="Comma 2 4 4 3 3 3 2 3" xfId="31532"/>
    <cellStyle name="Comma 2 4 4 3 3 3 3" xfId="29008"/>
    <cellStyle name="Comma 2 4 4 3 3 3 3 2" xfId="39882"/>
    <cellStyle name="Comma 2 4 4 3 3 4" xfId="9644"/>
    <cellStyle name="Comma 2 4 4 3 3 4 2" xfId="37311"/>
    <cellStyle name="Comma 2 4 4 3 3 4 2 2" xfId="45023"/>
    <cellStyle name="Comma 2 4 4 3 3 5" xfId="23146"/>
    <cellStyle name="Comma 2 4 4 3 4" xfId="3840"/>
    <cellStyle name="Comma 2 4 4 3 4 2" xfId="5646"/>
    <cellStyle name="Comma 2 4 4 3 4 2 2" xfId="17455"/>
    <cellStyle name="Comma 2 4 4 3 4 2 2 2" xfId="19218"/>
    <cellStyle name="Comma 2 4 4 3 4 2 2 2 2" xfId="52782"/>
    <cellStyle name="Comma 2 4 4 3 4 2 2 2 2 2" xfId="54544"/>
    <cellStyle name="Comma 2 4 4 3 4 2 2 3" xfId="32719"/>
    <cellStyle name="Comma 2 4 4 3 4 2 3" xfId="30956"/>
    <cellStyle name="Comma 2 4 4 3 4 2 3 2" xfId="41082"/>
    <cellStyle name="Comma 2 4 4 3 4 3" xfId="10862"/>
    <cellStyle name="Comma 2 4 4 3 4 3 2" xfId="39290"/>
    <cellStyle name="Comma 2 4 4 3 4 3 2 2" xfId="46224"/>
    <cellStyle name="Comma 2 4 4 3 4 4" xfId="24355"/>
    <cellStyle name="Comma 2 4 4 3 5" xfId="9032"/>
    <cellStyle name="Comma 2 4 4 3 5 2" xfId="14030"/>
    <cellStyle name="Comma 2 4 4 3 5 2 2" xfId="44430"/>
    <cellStyle name="Comma 2 4 4 3 5 2 2 2" xfId="49376"/>
    <cellStyle name="Comma 2 4 4 3 5 3" xfId="27526"/>
    <cellStyle name="Comma 2 4 4 3 6" xfId="22541"/>
    <cellStyle name="Comma 2 4 4 3 6 2" xfId="35842"/>
    <cellStyle name="Comma 2 4 4 4" xfId="298"/>
    <cellStyle name="Comma 2 4 4 4 2" xfId="2290"/>
    <cellStyle name="Comma 2 4 4 4 2 2" xfId="2413"/>
    <cellStyle name="Comma 2 4 4 4 2 2 2" xfId="7524"/>
    <cellStyle name="Comma 2 4 4 4 2 2 2 2" xfId="7645"/>
    <cellStyle name="Comma 2 4 4 4 2 2 2 2 2" xfId="21076"/>
    <cellStyle name="Comma 2 4 4 4 2 2 2 2 2 2" xfId="21197"/>
    <cellStyle name="Comma 2 4 4 4 2 2 2 2 2 2 2" xfId="56402"/>
    <cellStyle name="Comma 2 4 4 4 2 2 2 2 2 2 2 2" xfId="56523"/>
    <cellStyle name="Comma 2 4 4 4 2 2 2 2 2 3" xfId="34700"/>
    <cellStyle name="Comma 2 4 4 4 2 2 2 2 3" xfId="34579"/>
    <cellStyle name="Comma 2 4 4 4 2 2 2 2 3 2" xfId="43072"/>
    <cellStyle name="Comma 2 4 4 4 2 2 2 3" xfId="12870"/>
    <cellStyle name="Comma 2 4 4 4 2 2 2 3 2" xfId="42951"/>
    <cellStyle name="Comma 2 4 4 4 2 2 2 3 2 2" xfId="48216"/>
    <cellStyle name="Comma 2 4 4 4 2 2 2 4" xfId="26354"/>
    <cellStyle name="Comma 2 4 4 4 2 2 3" xfId="12749"/>
    <cellStyle name="Comma 2 4 4 4 2 2 3 2" xfId="16076"/>
    <cellStyle name="Comma 2 4 4 4 2 2 3 2 2" xfId="48095"/>
    <cellStyle name="Comma 2 4 4 4 2 2 3 2 2 2" xfId="51408"/>
    <cellStyle name="Comma 2 4 4 4 2 2 3 3" xfId="29582"/>
    <cellStyle name="Comma 2 4 4 4 2 2 4" xfId="26233"/>
    <cellStyle name="Comma 2 4 4 4 2 2 4 2" xfId="37891"/>
    <cellStyle name="Comma 2 4 4 4 2 3" xfId="4448"/>
    <cellStyle name="Comma 2 4 4 4 2 3 2" xfId="15954"/>
    <cellStyle name="Comma 2 4 4 4 2 3 2 2" xfId="18038"/>
    <cellStyle name="Comma 2 4 4 4 2 3 2 2 2" xfId="51286"/>
    <cellStyle name="Comma 2 4 4 4 2 3 2 2 2 2" xfId="53364"/>
    <cellStyle name="Comma 2 4 4 4 2 3 2 3" xfId="31539"/>
    <cellStyle name="Comma 2 4 4 4 2 3 3" xfId="29460"/>
    <cellStyle name="Comma 2 4 4 4 2 3 3 2" xfId="39890"/>
    <cellStyle name="Comma 2 4 4 4 2 4" xfId="9653"/>
    <cellStyle name="Comma 2 4 4 4 2 4 2" xfId="37768"/>
    <cellStyle name="Comma 2 4 4 4 2 4 2 2" xfId="45031"/>
    <cellStyle name="Comma 2 4 4 4 2 5" xfId="23154"/>
    <cellStyle name="Comma 2 4 4 4 3" xfId="4314"/>
    <cellStyle name="Comma 2 4 4 4 3 2" xfId="5654"/>
    <cellStyle name="Comma 2 4 4 4 3 2 2" xfId="17907"/>
    <cellStyle name="Comma 2 4 4 4 3 2 2 2" xfId="19226"/>
    <cellStyle name="Comma 2 4 4 4 3 2 2 2 2" xfId="53234"/>
    <cellStyle name="Comma 2 4 4 4 3 2 2 2 2 2" xfId="54552"/>
    <cellStyle name="Comma 2 4 4 4 3 2 2 3" xfId="32727"/>
    <cellStyle name="Comma 2 4 4 4 3 2 3" xfId="31409"/>
    <cellStyle name="Comma 2 4 4 4 3 2 3 2" xfId="41090"/>
    <cellStyle name="Comma 2 4 4 4 3 3" xfId="10872"/>
    <cellStyle name="Comma 2 4 4 4 3 3 2" xfId="39757"/>
    <cellStyle name="Comma 2 4 4 4 3 3 2 2" xfId="46234"/>
    <cellStyle name="Comma 2 4 4 4 3 4" xfId="24365"/>
    <cellStyle name="Comma 2 4 4 4 4" xfId="9508"/>
    <cellStyle name="Comma 2 4 4 4 4 2" xfId="14038"/>
    <cellStyle name="Comma 2 4 4 4 4 2 2" xfId="44890"/>
    <cellStyle name="Comma 2 4 4 4 4 2 2 2" xfId="49384"/>
    <cellStyle name="Comma 2 4 4 4 4 3" xfId="27537"/>
    <cellStyle name="Comma 2 4 4 4 5" xfId="23006"/>
    <cellStyle name="Comma 2 4 4 4 5 2" xfId="35850"/>
    <cellStyle name="Comma 2 4 4 5" xfId="696"/>
    <cellStyle name="Comma 2 4 4 5 2" xfId="5529"/>
    <cellStyle name="Comma 2 4 4 5 2 2" xfId="6024"/>
    <cellStyle name="Comma 2 4 4 5 2 2 2" xfId="19102"/>
    <cellStyle name="Comma 2 4 4 5 2 2 2 2" xfId="19588"/>
    <cellStyle name="Comma 2 4 4 5 2 2 2 2 2" xfId="54428"/>
    <cellStyle name="Comma 2 4 4 5 2 2 2 2 2 2" xfId="54914"/>
    <cellStyle name="Comma 2 4 4 5 2 2 2 3" xfId="33089"/>
    <cellStyle name="Comma 2 4 4 5 2 2 3" xfId="32603"/>
    <cellStyle name="Comma 2 4 4 5 2 2 3 2" xfId="41458"/>
    <cellStyle name="Comma 2 4 4 5 2 3" xfId="11249"/>
    <cellStyle name="Comma 2 4 4 5 2 3 2" xfId="40966"/>
    <cellStyle name="Comma 2 4 4 5 2 3 2 2" xfId="46604"/>
    <cellStyle name="Comma 2 4 4 5 2 4" xfId="24741"/>
    <cellStyle name="Comma 2 4 4 5 3" xfId="10732"/>
    <cellStyle name="Comma 2 4 4 5 3 2" xfId="14405"/>
    <cellStyle name="Comma 2 4 4 5 3 2 2" xfId="46095"/>
    <cellStyle name="Comma 2 4 4 5 3 2 2 2" xfId="49750"/>
    <cellStyle name="Comma 2 4 4 5 3 3" xfId="27918"/>
    <cellStyle name="Comma 2 4 4 5 4" xfId="24219"/>
    <cellStyle name="Comma 2 4 4 5 4 2" xfId="36217"/>
    <cellStyle name="Comma 2 4 4 6" xfId="2491"/>
    <cellStyle name="Comma 2 4 4 6 2" xfId="10870"/>
    <cellStyle name="Comma 2 4 4 6 2 2" xfId="16152"/>
    <cellStyle name="Comma 2 4 4 6 2 2 2" xfId="46232"/>
    <cellStyle name="Comma 2 4 4 6 2 2 2 2" xfId="51483"/>
    <cellStyle name="Comma 2 4 4 6 2 3" xfId="29657"/>
    <cellStyle name="Comma 2 4 4 6 3" xfId="24363"/>
    <cellStyle name="Comma 2 4 4 6 3 2" xfId="37966"/>
    <cellStyle name="Comma 2 4 4 7" xfId="3547"/>
    <cellStyle name="Comma 2 4 4 7 2" xfId="27425"/>
    <cellStyle name="Comma 2 4 4 7 2 2" xfId="39007"/>
    <cellStyle name="Comma 2 4 4 8" xfId="9159"/>
    <cellStyle name="Comma 2 4 5" xfId="205"/>
    <cellStyle name="Comma 2 4 5 2" xfId="170"/>
    <cellStyle name="Comma 2 4 5 2 2" xfId="1079"/>
    <cellStyle name="Comma 2 4 5 2 2 2" xfId="1051"/>
    <cellStyle name="Comma 2 4 5 2 2 2 2" xfId="3114"/>
    <cellStyle name="Comma 2 4 5 2 2 2 2 2" xfId="3087"/>
    <cellStyle name="Comma 2 4 5 2 2 2 2 2 2" xfId="8329"/>
    <cellStyle name="Comma 2 4 5 2 2 2 2 2 2 2" xfId="8302"/>
    <cellStyle name="Comma 2 4 5 2 2 2 2 2 2 2 2" xfId="21881"/>
    <cellStyle name="Comma 2 4 5 2 2 2 2 2 2 2 2 2" xfId="21854"/>
    <cellStyle name="Comma 2 4 5 2 2 2 2 2 2 2 2 2 2" xfId="57207"/>
    <cellStyle name="Comma 2 4 5 2 2 2 2 2 2 2 2 2 2 2" xfId="57180"/>
    <cellStyle name="Comma 2 4 5 2 2 2 2 2 2 2 2 3" xfId="35357"/>
    <cellStyle name="Comma 2 4 5 2 2 2 2 2 2 2 3" xfId="35384"/>
    <cellStyle name="Comma 2 4 5 2 2 2 2 2 2 2 3 2" xfId="43729"/>
    <cellStyle name="Comma 2 4 5 2 2 2 2 2 2 3" xfId="13527"/>
    <cellStyle name="Comma 2 4 5 2 2 2 2 2 2 3 2" xfId="43756"/>
    <cellStyle name="Comma 2 4 5 2 2 2 2 2 2 3 2 2" xfId="48873"/>
    <cellStyle name="Comma 2 4 5 2 2 2 2 2 2 4" xfId="27012"/>
    <cellStyle name="Comma 2 4 5 2 2 2 2 2 3" xfId="13554"/>
    <cellStyle name="Comma 2 4 5 2 2 2 2 2 3 2" xfId="16744"/>
    <cellStyle name="Comma 2 4 5 2 2 2 2 2 3 2 2" xfId="48900"/>
    <cellStyle name="Comma 2 4 5 2 2 2 2 2 3 2 2 2" xfId="52072"/>
    <cellStyle name="Comma 2 4 5 2 2 2 2 2 3 3" xfId="30246"/>
    <cellStyle name="Comma 2 4 5 2 2 2 2 2 4" xfId="27039"/>
    <cellStyle name="Comma 2 4 5 2 2 2 2 2 4 2" xfId="38556"/>
    <cellStyle name="Comma 2 4 5 2 2 2 2 3" xfId="5124"/>
    <cellStyle name="Comma 2 4 5 2 2 2 2 3 2" xfId="16771"/>
    <cellStyle name="Comma 2 4 5 2 2 2 2 3 2 2" xfId="18697"/>
    <cellStyle name="Comma 2 4 5 2 2 2 2 3 2 2 2" xfId="52099"/>
    <cellStyle name="Comma 2 4 5 2 2 2 2 3 2 2 2 2" xfId="54023"/>
    <cellStyle name="Comma 2 4 5 2 2 2 2 3 2 3" xfId="32198"/>
    <cellStyle name="Comma 2 4 5 2 2 2 2 3 3" xfId="30273"/>
    <cellStyle name="Comma 2 4 5 2 2 2 2 3 3 2" xfId="40561"/>
    <cellStyle name="Comma 2 4 5 2 2 2 2 4" xfId="10327"/>
    <cellStyle name="Comma 2 4 5 2 2 2 2 4 2" xfId="38583"/>
    <cellStyle name="Comma 2 4 5 2 2 2 2 4 2 2" xfId="45690"/>
    <cellStyle name="Comma 2 4 5 2 2 2 2 5" xfId="23813"/>
    <cellStyle name="Comma 2 4 5 2 2 2 3" xfId="5151"/>
    <cellStyle name="Comma 2 4 5 2 2 2 3 2" xfId="6361"/>
    <cellStyle name="Comma 2 4 5 2 2 2 3 2 2" xfId="18724"/>
    <cellStyle name="Comma 2 4 5 2 2 2 3 2 2 2" xfId="19918"/>
    <cellStyle name="Comma 2 4 5 2 2 2 3 2 2 2 2" xfId="54050"/>
    <cellStyle name="Comma 2 4 5 2 2 2 3 2 2 2 2 2" xfId="55244"/>
    <cellStyle name="Comma 2 4 5 2 2 2 3 2 2 3" xfId="33420"/>
    <cellStyle name="Comma 2 4 5 2 2 2 3 2 3" xfId="32225"/>
    <cellStyle name="Comma 2 4 5 2 2 2 3 2 3 2" xfId="41790"/>
    <cellStyle name="Comma 2 4 5 2 2 2 3 3" xfId="11587"/>
    <cellStyle name="Comma 2 4 5 2 2 2 3 3 2" xfId="40588"/>
    <cellStyle name="Comma 2 4 5 2 2 2 3 3 2 2" xfId="46936"/>
    <cellStyle name="Comma 2 4 5 2 2 2 3 4" xfId="25073"/>
    <cellStyle name="Comma 2 4 5 2 2 2 4" xfId="10354"/>
    <cellStyle name="Comma 2 4 5 2 2 2 4 2" xfId="14744"/>
    <cellStyle name="Comma 2 4 5 2 2 2 4 2 2" xfId="45717"/>
    <cellStyle name="Comma 2 4 5 2 2 2 4 2 2 2" xfId="50083"/>
    <cellStyle name="Comma 2 4 5 2 2 2 4 3" xfId="28256"/>
    <cellStyle name="Comma 2 4 5 2 2 2 5" xfId="23840"/>
    <cellStyle name="Comma 2 4 5 2 2 2 5 2" xfId="36552"/>
    <cellStyle name="Comma 2 4 5 2 2 3" xfId="1858"/>
    <cellStyle name="Comma 2 4 5 2 2 3 2" xfId="6389"/>
    <cellStyle name="Comma 2 4 5 2 2 3 2 2" xfId="7108"/>
    <cellStyle name="Comma 2 4 5 2 2 3 2 2 2" xfId="19945"/>
    <cellStyle name="Comma 2 4 5 2 2 3 2 2 2 2" xfId="20660"/>
    <cellStyle name="Comma 2 4 5 2 2 3 2 2 2 2 2" xfId="55271"/>
    <cellStyle name="Comma 2 4 5 2 2 3 2 2 2 2 2 2" xfId="55986"/>
    <cellStyle name="Comma 2 4 5 2 2 3 2 2 2 3" xfId="34163"/>
    <cellStyle name="Comma 2 4 5 2 2 3 2 2 3" xfId="33447"/>
    <cellStyle name="Comma 2 4 5 2 2 3 2 2 3 2" xfId="42535"/>
    <cellStyle name="Comma 2 4 5 2 2 3 2 3" xfId="12333"/>
    <cellStyle name="Comma 2 4 5 2 2 3 2 3 2" xfId="41818"/>
    <cellStyle name="Comma 2 4 5 2 2 3 2 3 2 2" xfId="47679"/>
    <cellStyle name="Comma 2 4 5 2 2 3 2 4" xfId="25817"/>
    <cellStyle name="Comma 2 4 5 2 2 3 3" xfId="11614"/>
    <cellStyle name="Comma 2 4 5 2 2 3 3 2" xfId="15529"/>
    <cellStyle name="Comma 2 4 5 2 2 3 3 2 2" xfId="46963"/>
    <cellStyle name="Comma 2 4 5 2 2 3 3 2 2 2" xfId="50861"/>
    <cellStyle name="Comma 2 4 5 2 2 3 3 3" xfId="29035"/>
    <cellStyle name="Comma 2 4 5 2 2 3 4" xfId="25100"/>
    <cellStyle name="Comma 2 4 5 2 2 3 4 2" xfId="37339"/>
    <cellStyle name="Comma 2 4 5 2 2 4" xfId="3872"/>
    <cellStyle name="Comma 2 4 5 2 2 4 2" xfId="14771"/>
    <cellStyle name="Comma 2 4 5 2 2 4 2 2" xfId="17483"/>
    <cellStyle name="Comma 2 4 5 2 2 4 2 2 2" xfId="50110"/>
    <cellStyle name="Comma 2 4 5 2 2 4 2 2 2 2" xfId="52810"/>
    <cellStyle name="Comma 2 4 5 2 2 4 2 3" xfId="30985"/>
    <cellStyle name="Comma 2 4 5 2 2 4 3" xfId="28283"/>
    <cellStyle name="Comma 2 4 5 2 2 4 3 2" xfId="39320"/>
    <cellStyle name="Comma 2 4 5 2 2 5" xfId="9065"/>
    <cellStyle name="Comma 2 4 5 2 2 5 2" xfId="36579"/>
    <cellStyle name="Comma 2 4 5 2 2 5 2 2" xfId="44461"/>
    <cellStyle name="Comma 2 4 5 2 2 6" xfId="22572"/>
    <cellStyle name="Comma 2 4 5 2 3" xfId="1887"/>
    <cellStyle name="Comma 2 4 5 2 3 2" xfId="2314"/>
    <cellStyle name="Comma 2 4 5 2 3 2 2" xfId="7136"/>
    <cellStyle name="Comma 2 4 5 2 3 2 2 2" xfId="7548"/>
    <cellStyle name="Comma 2 4 5 2 3 2 2 2 2" xfId="20688"/>
    <cellStyle name="Comma 2 4 5 2 3 2 2 2 2 2" xfId="21100"/>
    <cellStyle name="Comma 2 4 5 2 3 2 2 2 2 2 2" xfId="56014"/>
    <cellStyle name="Comma 2 4 5 2 3 2 2 2 2 2 2 2" xfId="56426"/>
    <cellStyle name="Comma 2 4 5 2 3 2 2 2 2 3" xfId="34603"/>
    <cellStyle name="Comma 2 4 5 2 3 2 2 2 3" xfId="34191"/>
    <cellStyle name="Comma 2 4 5 2 3 2 2 2 3 2" xfId="42975"/>
    <cellStyle name="Comma 2 4 5 2 3 2 2 3" xfId="12773"/>
    <cellStyle name="Comma 2 4 5 2 3 2 2 3 2" xfId="42563"/>
    <cellStyle name="Comma 2 4 5 2 3 2 2 3 2 2" xfId="48119"/>
    <cellStyle name="Comma 2 4 5 2 3 2 2 4" xfId="26257"/>
    <cellStyle name="Comma 2 4 5 2 3 2 3" xfId="12361"/>
    <cellStyle name="Comma 2 4 5 2 3 2 3 2" xfId="15978"/>
    <cellStyle name="Comma 2 4 5 2 3 2 3 2 2" xfId="47707"/>
    <cellStyle name="Comma 2 4 5 2 3 2 3 2 2 2" xfId="51310"/>
    <cellStyle name="Comma 2 4 5 2 3 2 3 3" xfId="29484"/>
    <cellStyle name="Comma 2 4 5 2 3 2 4" xfId="25845"/>
    <cellStyle name="Comma 2 4 5 2 3 2 4 2" xfId="37792"/>
    <cellStyle name="Comma 2 4 5 2 3 3" xfId="4343"/>
    <cellStyle name="Comma 2 4 5 2 3 3 2" xfId="15557"/>
    <cellStyle name="Comma 2 4 5 2 3 3 2 2" xfId="17936"/>
    <cellStyle name="Comma 2 4 5 2 3 3 2 2 2" xfId="50889"/>
    <cellStyle name="Comma 2 4 5 2 3 3 2 2 2 2" xfId="53263"/>
    <cellStyle name="Comma 2 4 5 2 3 3 2 3" xfId="31438"/>
    <cellStyle name="Comma 2 4 5 2 3 3 3" xfId="29063"/>
    <cellStyle name="Comma 2 4 5 2 3 3 3 2" xfId="39786"/>
    <cellStyle name="Comma 2 4 5 2 3 4" xfId="9541"/>
    <cellStyle name="Comma 2 4 5 2 3 4 2" xfId="37368"/>
    <cellStyle name="Comma 2 4 5 2 3 4 2 2" xfId="44923"/>
    <cellStyle name="Comma 2 4 5 2 3 5" xfId="23041"/>
    <cellStyle name="Comma 2 4 5 2 4" xfId="3901"/>
    <cellStyle name="Comma 2 4 5 2 4 2" xfId="5553"/>
    <cellStyle name="Comma 2 4 5 2 4 2 2" xfId="17511"/>
    <cellStyle name="Comma 2 4 5 2 4 2 2 2" xfId="19126"/>
    <cellStyle name="Comma 2 4 5 2 4 2 2 2 2" xfId="52838"/>
    <cellStyle name="Comma 2 4 5 2 4 2 2 2 2 2" xfId="54452"/>
    <cellStyle name="Comma 2 4 5 2 4 2 2 3" xfId="32627"/>
    <cellStyle name="Comma 2 4 5 2 4 2 3" xfId="31013"/>
    <cellStyle name="Comma 2 4 5 2 4 2 3 2" xfId="40990"/>
    <cellStyle name="Comma 2 4 5 2 4 3" xfId="10762"/>
    <cellStyle name="Comma 2 4 5 2 4 3 2" xfId="39349"/>
    <cellStyle name="Comma 2 4 5 2 4 3 2 2" xfId="46124"/>
    <cellStyle name="Comma 2 4 5 2 4 4" xfId="24250"/>
    <cellStyle name="Comma 2 4 5 2 5" xfId="9094"/>
    <cellStyle name="Comma 2 4 5 2 5 2" xfId="13938"/>
    <cellStyle name="Comma 2 4 5 2 5 2 2" xfId="44490"/>
    <cellStyle name="Comma 2 4 5 2 5 2 2 2" xfId="49284"/>
    <cellStyle name="Comma 2 4 5 2 5 3" xfId="27424"/>
    <cellStyle name="Comma 2 4 5 2 6" xfId="22603"/>
    <cellStyle name="Comma 2 4 5 2 6 2" xfId="35750"/>
    <cellStyle name="Comma 2 4 5 3" xfId="549"/>
    <cellStyle name="Comma 2 4 5 3 2" xfId="2341"/>
    <cellStyle name="Comma 2 4 5 3 2 2" xfId="2642"/>
    <cellStyle name="Comma 2 4 5 3 2 2 2" xfId="7575"/>
    <cellStyle name="Comma 2 4 5 3 2 2 2 2" xfId="7862"/>
    <cellStyle name="Comma 2 4 5 3 2 2 2 2 2" xfId="21127"/>
    <cellStyle name="Comma 2 4 5 3 2 2 2 2 2 2" xfId="21414"/>
    <cellStyle name="Comma 2 4 5 3 2 2 2 2 2 2 2" xfId="56453"/>
    <cellStyle name="Comma 2 4 5 3 2 2 2 2 2 2 2 2" xfId="56740"/>
    <cellStyle name="Comma 2 4 5 3 2 2 2 2 2 3" xfId="34917"/>
    <cellStyle name="Comma 2 4 5 3 2 2 2 2 3" xfId="34630"/>
    <cellStyle name="Comma 2 4 5 3 2 2 2 2 3 2" xfId="43289"/>
    <cellStyle name="Comma 2 4 5 3 2 2 2 3" xfId="13087"/>
    <cellStyle name="Comma 2 4 5 3 2 2 2 3 2" xfId="43002"/>
    <cellStyle name="Comma 2 4 5 3 2 2 2 3 2 2" xfId="48433"/>
    <cellStyle name="Comma 2 4 5 3 2 2 2 4" xfId="26571"/>
    <cellStyle name="Comma 2 4 5 3 2 2 3" xfId="12800"/>
    <cellStyle name="Comma 2 4 5 3 2 2 3 2" xfId="16301"/>
    <cellStyle name="Comma 2 4 5 3 2 2 3 2 2" xfId="48146"/>
    <cellStyle name="Comma 2 4 5 3 2 2 3 2 2 2" xfId="51631"/>
    <cellStyle name="Comma 2 4 5 3 2 2 3 3" xfId="29805"/>
    <cellStyle name="Comma 2 4 5 3 2 2 4" xfId="26284"/>
    <cellStyle name="Comma 2 4 5 3 2 2 4 2" xfId="38115"/>
    <cellStyle name="Comma 2 4 5 3 2 3" xfId="4677"/>
    <cellStyle name="Comma 2 4 5 3 2 3 2" xfId="16005"/>
    <cellStyle name="Comma 2 4 5 3 2 3 2 2" xfId="18256"/>
    <cellStyle name="Comma 2 4 5 3 2 3 2 2 2" xfId="51337"/>
    <cellStyle name="Comma 2 4 5 3 2 3 2 2 2 2" xfId="53582"/>
    <cellStyle name="Comma 2 4 5 3 2 3 2 3" xfId="31757"/>
    <cellStyle name="Comma 2 4 5 3 2 3 3" xfId="29511"/>
    <cellStyle name="Comma 2 4 5 3 2 3 3 2" xfId="40116"/>
    <cellStyle name="Comma 2 4 5 3 2 4" xfId="9880"/>
    <cellStyle name="Comma 2 4 5 3 2 4 2" xfId="37819"/>
    <cellStyle name="Comma 2 4 5 3 2 4 2 2" xfId="45249"/>
    <cellStyle name="Comma 2 4 5 3 2 5" xfId="23372"/>
    <cellStyle name="Comma 2 4 5 3 3" xfId="4371"/>
    <cellStyle name="Comma 2 4 5 3 3 2" xfId="5882"/>
    <cellStyle name="Comma 2 4 5 3 3 2 2" xfId="17963"/>
    <cellStyle name="Comma 2 4 5 3 3 2 2 2" xfId="19450"/>
    <cellStyle name="Comma 2 4 5 3 3 2 2 2 2" xfId="53290"/>
    <cellStyle name="Comma 2 4 5 3 3 2 2 2 2 2" xfId="54776"/>
    <cellStyle name="Comma 2 4 5 3 3 2 2 3" xfId="32951"/>
    <cellStyle name="Comma 2 4 5 3 3 2 3" xfId="31465"/>
    <cellStyle name="Comma 2 4 5 3 3 2 3 2" xfId="41317"/>
    <cellStyle name="Comma 2 4 5 3 3 3" xfId="11106"/>
    <cellStyle name="Comma 2 4 5 3 3 3 2" xfId="39813"/>
    <cellStyle name="Comma 2 4 5 3 3 3 2 2" xfId="46465"/>
    <cellStyle name="Comma 2 4 5 3 3 4" xfId="24600"/>
    <cellStyle name="Comma 2 4 5 3 4" xfId="9571"/>
    <cellStyle name="Comma 2 4 5 3 4 2" xfId="14267"/>
    <cellStyle name="Comma 2 4 5 3 4 2 2" xfId="44953"/>
    <cellStyle name="Comma 2 4 5 3 4 2 2 2" xfId="49612"/>
    <cellStyle name="Comma 2 4 5 3 4 3" xfId="27774"/>
    <cellStyle name="Comma 2 4 5 3 5" xfId="23072"/>
    <cellStyle name="Comma 2 4 5 3 5 2" xfId="36079"/>
    <cellStyle name="Comma 2 4 5 4" xfId="373"/>
    <cellStyle name="Comma 2 4 5 4 2" xfId="5582"/>
    <cellStyle name="Comma 2 4 5 4 2 2" xfId="5722"/>
    <cellStyle name="Comma 2 4 5 4 2 2 2" xfId="19154"/>
    <cellStyle name="Comma 2 4 5 4 2 2 2 2" xfId="19291"/>
    <cellStyle name="Comma 2 4 5 4 2 2 2 2 2" xfId="54480"/>
    <cellStyle name="Comma 2 4 5 4 2 2 2 2 2 2" xfId="54617"/>
    <cellStyle name="Comma 2 4 5 4 2 2 2 3" xfId="32792"/>
    <cellStyle name="Comma 2 4 5 4 2 2 3" xfId="32655"/>
    <cellStyle name="Comma 2 4 5 4 2 2 3 2" xfId="41157"/>
    <cellStyle name="Comma 2 4 5 4 2 3" xfId="10942"/>
    <cellStyle name="Comma 2 4 5 4 2 3 2" xfId="41018"/>
    <cellStyle name="Comma 2 4 5 4 2 3 2 2" xfId="46301"/>
    <cellStyle name="Comma 2 4 5 4 2 4" xfId="24433"/>
    <cellStyle name="Comma 2 4 5 4 3" xfId="10791"/>
    <cellStyle name="Comma 2 4 5 4 3 2" xfId="14105"/>
    <cellStyle name="Comma 2 4 5 4 3 2 2" xfId="46153"/>
    <cellStyle name="Comma 2 4 5 4 3 2 2 2" xfId="49450"/>
    <cellStyle name="Comma 2 4 5 4 3 3" xfId="27605"/>
    <cellStyle name="Comma 2 4 5 4 4" xfId="24280"/>
    <cellStyle name="Comma 2 4 5 4 4 2" xfId="35916"/>
    <cellStyle name="Comma 2 4 5 5" xfId="1952"/>
    <cellStyle name="Comma 2 4 5 5 2" xfId="13966"/>
    <cellStyle name="Comma 2 4 5 5 2 2" xfId="15617"/>
    <cellStyle name="Comma 2 4 5 5 2 2 2" xfId="49312"/>
    <cellStyle name="Comma 2 4 5 5 2 2 2 2" xfId="50949"/>
    <cellStyle name="Comma 2 4 5 5 2 3" xfId="29123"/>
    <cellStyle name="Comma 2 4 5 5 3" xfId="27456"/>
    <cellStyle name="Comma 2 4 5 5 3 2" xfId="37430"/>
    <cellStyle name="Comma 2 4 5 6" xfId="3708"/>
    <cellStyle name="Comma 2 4 5 6 2" xfId="35778"/>
    <cellStyle name="Comma 2 4 5 6 2 2" xfId="39159"/>
    <cellStyle name="Comma 2 4 5 7" xfId="3841"/>
    <cellStyle name="Comma 2 4 6" xfId="524"/>
    <cellStyle name="Comma 2 4 6 2" xfId="553"/>
    <cellStyle name="Comma 2 4 6 2 2" xfId="2620"/>
    <cellStyle name="Comma 2 4 6 2 2 2" xfId="2646"/>
    <cellStyle name="Comma 2 4 6 2 2 2 2" xfId="7840"/>
    <cellStyle name="Comma 2 4 6 2 2 2 2 2" xfId="7865"/>
    <cellStyle name="Comma 2 4 6 2 2 2 2 2 2" xfId="21392"/>
    <cellStyle name="Comma 2 4 6 2 2 2 2 2 2 2" xfId="21417"/>
    <cellStyle name="Comma 2 4 6 2 2 2 2 2 2 2 2" xfId="56718"/>
    <cellStyle name="Comma 2 4 6 2 2 2 2 2 2 2 2 2" xfId="56743"/>
    <cellStyle name="Comma 2 4 6 2 2 2 2 2 2 3" xfId="34920"/>
    <cellStyle name="Comma 2 4 6 2 2 2 2 2 3" xfId="34895"/>
    <cellStyle name="Comma 2 4 6 2 2 2 2 2 3 2" xfId="43292"/>
    <cellStyle name="Comma 2 4 6 2 2 2 2 3" xfId="13090"/>
    <cellStyle name="Comma 2 4 6 2 2 2 2 3 2" xfId="43267"/>
    <cellStyle name="Comma 2 4 6 2 2 2 2 3 2 2" xfId="48436"/>
    <cellStyle name="Comma 2 4 6 2 2 2 2 4" xfId="26574"/>
    <cellStyle name="Comma 2 4 6 2 2 2 3" xfId="13065"/>
    <cellStyle name="Comma 2 4 6 2 2 2 3 2" xfId="16305"/>
    <cellStyle name="Comma 2 4 6 2 2 2 3 2 2" xfId="48411"/>
    <cellStyle name="Comma 2 4 6 2 2 2 3 2 2 2" xfId="51635"/>
    <cellStyle name="Comma 2 4 6 2 2 2 3 3" xfId="29809"/>
    <cellStyle name="Comma 2 4 6 2 2 2 4" xfId="26549"/>
    <cellStyle name="Comma 2 4 6 2 2 2 4 2" xfId="38119"/>
    <cellStyle name="Comma 2 4 6 2 2 3" xfId="4681"/>
    <cellStyle name="Comma 2 4 6 2 2 3 2" xfId="16279"/>
    <cellStyle name="Comma 2 4 6 2 2 3 2 2" xfId="18259"/>
    <cellStyle name="Comma 2 4 6 2 2 3 2 2 2" xfId="51609"/>
    <cellStyle name="Comma 2 4 6 2 2 3 2 2 2 2" xfId="53585"/>
    <cellStyle name="Comma 2 4 6 2 2 3 2 3" xfId="31760"/>
    <cellStyle name="Comma 2 4 6 2 2 3 3" xfId="29783"/>
    <cellStyle name="Comma 2 4 6 2 2 3 3 2" xfId="40120"/>
    <cellStyle name="Comma 2 4 6 2 2 4" xfId="9884"/>
    <cellStyle name="Comma 2 4 6 2 2 4 2" xfId="38093"/>
    <cellStyle name="Comma 2 4 6 2 2 4 2 2" xfId="45252"/>
    <cellStyle name="Comma 2 4 6 2 2 5" xfId="23375"/>
    <cellStyle name="Comma 2 4 6 2 3" xfId="4654"/>
    <cellStyle name="Comma 2 4 6 2 3 2" xfId="5885"/>
    <cellStyle name="Comma 2 4 6 2 3 2 2" xfId="18234"/>
    <cellStyle name="Comma 2 4 6 2 3 2 2 2" xfId="19453"/>
    <cellStyle name="Comma 2 4 6 2 3 2 2 2 2" xfId="53560"/>
    <cellStyle name="Comma 2 4 6 2 3 2 2 2 2 2" xfId="54779"/>
    <cellStyle name="Comma 2 4 6 2 3 2 2 3" xfId="32954"/>
    <cellStyle name="Comma 2 4 6 2 3 2 3" xfId="31735"/>
    <cellStyle name="Comma 2 4 6 2 3 2 3 2" xfId="41320"/>
    <cellStyle name="Comma 2 4 6 2 3 3" xfId="11110"/>
    <cellStyle name="Comma 2 4 6 2 3 3 2" xfId="40093"/>
    <cellStyle name="Comma 2 4 6 2 3 3 2 2" xfId="46469"/>
    <cellStyle name="Comma 2 4 6 2 3 4" xfId="24603"/>
    <cellStyle name="Comma 2 4 6 2 4" xfId="9857"/>
    <cellStyle name="Comma 2 4 6 2 4 2" xfId="14270"/>
    <cellStyle name="Comma 2 4 6 2 4 2 2" xfId="45227"/>
    <cellStyle name="Comma 2 4 6 2 4 2 2 2" xfId="49615"/>
    <cellStyle name="Comma 2 4 6 2 4 3" xfId="27778"/>
    <cellStyle name="Comma 2 4 6 2 5" xfId="23350"/>
    <cellStyle name="Comma 2 4 6 2 5 2" xfId="36082"/>
    <cellStyle name="Comma 2 4 6 3" xfId="507"/>
    <cellStyle name="Comma 2 4 6 3 2" xfId="5859"/>
    <cellStyle name="Comma 2 4 6 3 2 2" xfId="5842"/>
    <cellStyle name="Comma 2 4 6 3 2 2 2" xfId="19427"/>
    <cellStyle name="Comma 2 4 6 3 2 2 2 2" xfId="19410"/>
    <cellStyle name="Comma 2 4 6 3 2 2 2 2 2" xfId="54753"/>
    <cellStyle name="Comma 2 4 6 3 2 2 2 2 2 2" xfId="54736"/>
    <cellStyle name="Comma 2 4 6 3 2 2 2 3" xfId="32911"/>
    <cellStyle name="Comma 2 4 6 3 2 2 3" xfId="32928"/>
    <cellStyle name="Comma 2 4 6 3 2 2 3 2" xfId="41277"/>
    <cellStyle name="Comma 2 4 6 3 2 3" xfId="11065"/>
    <cellStyle name="Comma 2 4 6 3 2 3 2" xfId="41294"/>
    <cellStyle name="Comma 2 4 6 3 2 3 2 2" xfId="46424"/>
    <cellStyle name="Comma 2 4 6 3 2 4" xfId="24559"/>
    <cellStyle name="Comma 2 4 6 3 3" xfId="11082"/>
    <cellStyle name="Comma 2 4 6 3 3 2" xfId="14226"/>
    <cellStyle name="Comma 2 4 6 3 3 2 2" xfId="46441"/>
    <cellStyle name="Comma 2 4 6 3 3 2 2 2" xfId="49571"/>
    <cellStyle name="Comma 2 4 6 3 3 3" xfId="27733"/>
    <cellStyle name="Comma 2 4 6 3 4" xfId="24576"/>
    <cellStyle name="Comma 2 4 6 3 4 2" xfId="36038"/>
    <cellStyle name="Comma 2 4 6 4" xfId="1647"/>
    <cellStyle name="Comma 2 4 6 4 2" xfId="14243"/>
    <cellStyle name="Comma 2 4 6 4 2 2" xfId="15321"/>
    <cellStyle name="Comma 2 4 6 4 2 2 2" xfId="49588"/>
    <cellStyle name="Comma 2 4 6 4 2 2 2 2" xfId="50656"/>
    <cellStyle name="Comma 2 4 6 4 2 3" xfId="28830"/>
    <cellStyle name="Comma 2 4 6 4 3" xfId="27750"/>
    <cellStyle name="Comma 2 4 6 4 3 2" xfId="37132"/>
    <cellStyle name="Comma 2 4 6 5" xfId="3967"/>
    <cellStyle name="Comma 2 4 6 5 2" xfId="36055"/>
    <cellStyle name="Comma 2 4 6 5 2 2" xfId="39411"/>
    <cellStyle name="Comma 2 4 6 6" xfId="691"/>
    <cellStyle name="Comma 2 4 7" xfId="1108"/>
    <cellStyle name="Comma 2 4 7 2" xfId="1801"/>
    <cellStyle name="Comma 2 4 7 2 2" xfId="6417"/>
    <cellStyle name="Comma 2 4 7 2 2 2" xfId="7053"/>
    <cellStyle name="Comma 2 4 7 2 2 2 2" xfId="19972"/>
    <cellStyle name="Comma 2 4 7 2 2 2 2 2" xfId="20606"/>
    <cellStyle name="Comma 2 4 7 2 2 2 2 2 2" xfId="55298"/>
    <cellStyle name="Comma 2 4 7 2 2 2 2 2 2 2" xfId="55932"/>
    <cellStyle name="Comma 2 4 7 2 2 2 2 3" xfId="34108"/>
    <cellStyle name="Comma 2 4 7 2 2 2 3" xfId="33474"/>
    <cellStyle name="Comma 2 4 7 2 2 2 3 2" xfId="42481"/>
    <cellStyle name="Comma 2 4 7 2 2 3" xfId="12277"/>
    <cellStyle name="Comma 2 4 7 2 2 3 2" xfId="41845"/>
    <cellStyle name="Comma 2 4 7 2 2 3 2 2" xfId="47624"/>
    <cellStyle name="Comma 2 4 7 2 2 4" xfId="25762"/>
    <cellStyle name="Comma 2 4 7 2 3" xfId="11641"/>
    <cellStyle name="Comma 2 4 7 2 3 2" xfId="15473"/>
    <cellStyle name="Comma 2 4 7 2 3 2 2" xfId="46990"/>
    <cellStyle name="Comma 2 4 7 2 3 2 2 2" xfId="50806"/>
    <cellStyle name="Comma 2 4 7 2 3 3" xfId="28980"/>
    <cellStyle name="Comma 2 4 7 2 4" xfId="25127"/>
    <cellStyle name="Comma 2 4 7 2 4 2" xfId="37283"/>
    <cellStyle name="Comma 2 4 7 3" xfId="3808"/>
    <cellStyle name="Comma 2 4 7 3 2" xfId="14799"/>
    <cellStyle name="Comma 2 4 7 3 2 2" xfId="17423"/>
    <cellStyle name="Comma 2 4 7 3 2 2 2" xfId="50138"/>
    <cellStyle name="Comma 2 4 7 3 2 2 2 2" xfId="52750"/>
    <cellStyle name="Comma 2 4 7 3 2 3" xfId="30924"/>
    <cellStyle name="Comma 2 4 7 3 3" xfId="28311"/>
    <cellStyle name="Comma 2 4 7 3 3 2" xfId="39258"/>
    <cellStyle name="Comma 2 4 7 4" xfId="8998"/>
    <cellStyle name="Comma 2 4 7 4 2" xfId="36607"/>
    <cellStyle name="Comma 2 4 7 4 2 2" xfId="44396"/>
    <cellStyle name="Comma 2 4 7 5" xfId="22505"/>
    <cellStyle name="Comma 2 4 8" xfId="1910"/>
    <cellStyle name="Comma 2 4 8 2" xfId="4297"/>
    <cellStyle name="Comma 2 4 8 2 2" xfId="15577"/>
    <cellStyle name="Comma 2 4 8 2 2 2" xfId="17890"/>
    <cellStyle name="Comma 2 4 8 2 2 2 2" xfId="50909"/>
    <cellStyle name="Comma 2 4 8 2 2 2 2 2" xfId="53217"/>
    <cellStyle name="Comma 2 4 8 2 2 3" xfId="31392"/>
    <cellStyle name="Comma 2 4 8 2 3" xfId="29083"/>
    <cellStyle name="Comma 2 4 8 2 3 2" xfId="39740"/>
    <cellStyle name="Comma 2 4 8 3" xfId="9491"/>
    <cellStyle name="Comma 2 4 8 3 2" xfId="37389"/>
    <cellStyle name="Comma 2 4 8 3 2 2" xfId="44873"/>
    <cellStyle name="Comma 2 4 8 4" xfId="22988"/>
    <cellStyle name="Comma 2 4 9" xfId="1470"/>
    <cellStyle name="Comma 2 4 9 2" xfId="10798"/>
    <cellStyle name="Comma 2 4 9 2 2" xfId="36967"/>
    <cellStyle name="Comma 2 4 9 2 2 2" xfId="46160"/>
    <cellStyle name="Comma 2 4 9 3" xfId="24288"/>
    <cellStyle name="Comma 2 5" xfId="46"/>
    <cellStyle name="Comma 2 5 2" xfId="145"/>
    <cellStyle name="Comma 2 5 2 2" xfId="154"/>
    <cellStyle name="Comma 2 5 2 2 2" xfId="313"/>
    <cellStyle name="Comma 2 5 2 2 2 2" xfId="320"/>
    <cellStyle name="Comma 2 5 2 2 2 2 2" xfId="642"/>
    <cellStyle name="Comma 2 5 2 2 2 2 2 2" xfId="649"/>
    <cellStyle name="Comma 2 5 2 2 2 2 2 2 2" xfId="1438"/>
    <cellStyle name="Comma 2 5 2 2 2 2 2 2 2 2" xfId="1445"/>
    <cellStyle name="Comma 2 5 2 2 2 2 2 2 2 2 2" xfId="3456"/>
    <cellStyle name="Comma 2 5 2 2 2 2 2 2 2 2 2 2" xfId="3463"/>
    <cellStyle name="Comma 2 5 2 2 2 2 2 2 2 2 2 2 2" xfId="8671"/>
    <cellStyle name="Comma 2 5 2 2 2 2 2 2 2 2 2 2 2 2" xfId="8678"/>
    <cellStyle name="Comma 2 5 2 2 2 2 2 2 2 2 2 2 2 2 2" xfId="22223"/>
    <cellStyle name="Comma 2 5 2 2 2 2 2 2 2 2 2 2 2 2 2 2" xfId="22230"/>
    <cellStyle name="Comma 2 5 2 2 2 2 2 2 2 2 2 2 2 2 2 2 2" xfId="57549"/>
    <cellStyle name="Comma 2 5 2 2 2 2 2 2 2 2 2 2 2 2 2 2 2 2" xfId="57556"/>
    <cellStyle name="Comma 2 5 2 2 2 2 2 2 2 2 2 2 2 2 2 3" xfId="35733"/>
    <cellStyle name="Comma 2 5 2 2 2 2 2 2 2 2 2 2 2 2 3" xfId="35726"/>
    <cellStyle name="Comma 2 5 2 2 2 2 2 2 2 2 2 2 2 2 3 2" xfId="44105"/>
    <cellStyle name="Comma 2 5 2 2 2 2 2 2 2 2 2 2 2 3" xfId="13903"/>
    <cellStyle name="Comma 2 5 2 2 2 2 2 2 2 2 2 2 2 3 2" xfId="44098"/>
    <cellStyle name="Comma 2 5 2 2 2 2 2 2 2 2 2 2 2 3 2 2" xfId="49249"/>
    <cellStyle name="Comma 2 5 2 2 2 2 2 2 2 2 2 2 2 4" xfId="27388"/>
    <cellStyle name="Comma 2 5 2 2 2 2 2 2 2 2 2 2 3" xfId="13896"/>
    <cellStyle name="Comma 2 5 2 2 2 2 2 2 2 2 2 2 3 2" xfId="17120"/>
    <cellStyle name="Comma 2 5 2 2 2 2 2 2 2 2 2 2 3 2 2" xfId="49242"/>
    <cellStyle name="Comma 2 5 2 2 2 2 2 2 2 2 2 2 3 2 2 2" xfId="52448"/>
    <cellStyle name="Comma 2 5 2 2 2 2 2 2 2 2 2 2 3 3" xfId="30622"/>
    <cellStyle name="Comma 2 5 2 2 2 2 2 2 2 2 2 2 4" xfId="27381"/>
    <cellStyle name="Comma 2 5 2 2 2 2 2 2 2 2 2 2 4 2" xfId="38932"/>
    <cellStyle name="Comma 2 5 2 2 2 2 2 2 2 2 2 3" xfId="5500"/>
    <cellStyle name="Comma 2 5 2 2 2 2 2 2 2 2 2 3 2" xfId="17113"/>
    <cellStyle name="Comma 2 5 2 2 2 2 2 2 2 2 2 3 2 2" xfId="19073"/>
    <cellStyle name="Comma 2 5 2 2 2 2 2 2 2 2 2 3 2 2 2" xfId="52441"/>
    <cellStyle name="Comma 2 5 2 2 2 2 2 2 2 2 2 3 2 2 2 2" xfId="54399"/>
    <cellStyle name="Comma 2 5 2 2 2 2 2 2 2 2 2 3 2 3" xfId="32574"/>
    <cellStyle name="Comma 2 5 2 2 2 2 2 2 2 2 2 3 3" xfId="30615"/>
    <cellStyle name="Comma 2 5 2 2 2 2 2 2 2 2 2 3 3 2" xfId="40937"/>
    <cellStyle name="Comma 2 5 2 2 2 2 2 2 2 2 2 4" xfId="10703"/>
    <cellStyle name="Comma 2 5 2 2 2 2 2 2 2 2 2 4 2" xfId="38925"/>
    <cellStyle name="Comma 2 5 2 2 2 2 2 2 2 2 2 4 2 2" xfId="46066"/>
    <cellStyle name="Comma 2 5 2 2 2 2 2 2 2 2 2 5" xfId="24189"/>
    <cellStyle name="Comma 2 5 2 2 2 2 2 2 2 2 3" xfId="5493"/>
    <cellStyle name="Comma 2 5 2 2 2 2 2 2 2 2 3 2" xfId="6753"/>
    <cellStyle name="Comma 2 5 2 2 2 2 2 2 2 2 3 2 2" xfId="19066"/>
    <cellStyle name="Comma 2 5 2 2 2 2 2 2 2 2 3 2 2 2" xfId="20306"/>
    <cellStyle name="Comma 2 5 2 2 2 2 2 2 2 2 3 2 2 2 2" xfId="54392"/>
    <cellStyle name="Comma 2 5 2 2 2 2 2 2 2 2 3 2 2 2 2 2" xfId="55632"/>
    <cellStyle name="Comma 2 5 2 2 2 2 2 2 2 2 3 2 2 3" xfId="33808"/>
    <cellStyle name="Comma 2 5 2 2 2 2 2 2 2 2 3 2 3" xfId="32567"/>
    <cellStyle name="Comma 2 5 2 2 2 2 2 2 2 2 3 2 3 2" xfId="42181"/>
    <cellStyle name="Comma 2 5 2 2 2 2 2 2 2 2 3 3" xfId="11976"/>
    <cellStyle name="Comma 2 5 2 2 2 2 2 2 2 2 3 3 2" xfId="40930"/>
    <cellStyle name="Comma 2 5 2 2 2 2 2 2 2 2 3 3 2 2" xfId="47324"/>
    <cellStyle name="Comma 2 5 2 2 2 2 2 2 2 2 3 4" xfId="25461"/>
    <cellStyle name="Comma 2 5 2 2 2 2 2 2 2 2 4" xfId="10696"/>
    <cellStyle name="Comma 2 5 2 2 2 2 2 2 2 2 4 2" xfId="15134"/>
    <cellStyle name="Comma 2 5 2 2 2 2 2 2 2 2 4 2 2" xfId="46059"/>
    <cellStyle name="Comma 2 5 2 2 2 2 2 2 2 2 4 2 2 2" xfId="50473"/>
    <cellStyle name="Comma 2 5 2 2 2 2 2 2 2 2 4 3" xfId="28647"/>
    <cellStyle name="Comma 2 5 2 2 2 2 2 2 2 2 5" xfId="24182"/>
    <cellStyle name="Comma 2 5 2 2 2 2 2 2 2 2 5 2" xfId="36942"/>
    <cellStyle name="Comma 2 5 2 2 2 2 2 2 2 3" xfId="2252"/>
    <cellStyle name="Comma 2 5 2 2 2 2 2 2 2 3 2" xfId="6746"/>
    <cellStyle name="Comma 2 5 2 2 2 2 2 2 2 3 2 2" xfId="7486"/>
    <cellStyle name="Comma 2 5 2 2 2 2 2 2 2 3 2 2 2" xfId="20299"/>
    <cellStyle name="Comma 2 5 2 2 2 2 2 2 2 3 2 2 2 2" xfId="21038"/>
    <cellStyle name="Comma 2 5 2 2 2 2 2 2 2 3 2 2 2 2 2" xfId="55625"/>
    <cellStyle name="Comma 2 5 2 2 2 2 2 2 2 3 2 2 2 2 2 2" xfId="56364"/>
    <cellStyle name="Comma 2 5 2 2 2 2 2 2 2 3 2 2 2 3" xfId="34541"/>
    <cellStyle name="Comma 2 5 2 2 2 2 2 2 2 3 2 2 3" xfId="33801"/>
    <cellStyle name="Comma 2 5 2 2 2 2 2 2 2 3 2 2 3 2" xfId="42913"/>
    <cellStyle name="Comma 2 5 2 2 2 2 2 2 2 3 2 3" xfId="12711"/>
    <cellStyle name="Comma 2 5 2 2 2 2 2 2 2 3 2 3 2" xfId="42174"/>
    <cellStyle name="Comma 2 5 2 2 2 2 2 2 2 3 2 3 2 2" xfId="48057"/>
    <cellStyle name="Comma 2 5 2 2 2 2 2 2 2 3 2 4" xfId="26195"/>
    <cellStyle name="Comma 2 5 2 2 2 2 2 2 2 3 3" xfId="11969"/>
    <cellStyle name="Comma 2 5 2 2 2 2 2 2 2 3 3 2" xfId="15916"/>
    <cellStyle name="Comma 2 5 2 2 2 2 2 2 2 3 3 2 2" xfId="47317"/>
    <cellStyle name="Comma 2 5 2 2 2 2 2 2 2 3 3 2 2 2" xfId="51248"/>
    <cellStyle name="Comma 2 5 2 2 2 2 2 2 2 3 3 3" xfId="29422"/>
    <cellStyle name="Comma 2 5 2 2 2 2 2 2 2 3 4" xfId="25454"/>
    <cellStyle name="Comma 2 5 2 2 2 2 2 2 2 3 4 2" xfId="37730"/>
    <cellStyle name="Comma 2 5 2 2 2 2 2 2 2 4" xfId="4268"/>
    <cellStyle name="Comma 2 5 2 2 2 2 2 2 2 4 2" xfId="15127"/>
    <cellStyle name="Comma 2 5 2 2 2 2 2 2 2 4 2 2" xfId="17861"/>
    <cellStyle name="Comma 2 5 2 2 2 2 2 2 2 4 2 2 2" xfId="50466"/>
    <cellStyle name="Comma 2 5 2 2 2 2 2 2 2 4 2 2 2 2" xfId="53188"/>
    <cellStyle name="Comma 2 5 2 2 2 2 2 2 2 4 2 3" xfId="31363"/>
    <cellStyle name="Comma 2 5 2 2 2 2 2 2 2 4 3" xfId="28640"/>
    <cellStyle name="Comma 2 5 2 2 2 2 2 2 2 4 3 2" xfId="39711"/>
    <cellStyle name="Comma 2 5 2 2 2 2 2 2 2 5" xfId="9459"/>
    <cellStyle name="Comma 2 5 2 2 2 2 2 2 2 5 2" xfId="36935"/>
    <cellStyle name="Comma 2 5 2 2 2 2 2 2 2 5 2 2" xfId="44841"/>
    <cellStyle name="Comma 2 5 2 2 2 2 2 2 2 6" xfId="22955"/>
    <cellStyle name="Comma 2 5 2 2 2 2 2 2 3" xfId="2245"/>
    <cellStyle name="Comma 2 5 2 2 2 2 2 2 3 2" xfId="2739"/>
    <cellStyle name="Comma 2 5 2 2 2 2 2 2 3 2 2" xfId="7479"/>
    <cellStyle name="Comma 2 5 2 2 2 2 2 2 3 2 2 2" xfId="7958"/>
    <cellStyle name="Comma 2 5 2 2 2 2 2 2 3 2 2 2 2" xfId="21031"/>
    <cellStyle name="Comma 2 5 2 2 2 2 2 2 3 2 2 2 2 2" xfId="21510"/>
    <cellStyle name="Comma 2 5 2 2 2 2 2 2 3 2 2 2 2 2 2" xfId="56357"/>
    <cellStyle name="Comma 2 5 2 2 2 2 2 2 3 2 2 2 2 2 2 2" xfId="56836"/>
    <cellStyle name="Comma 2 5 2 2 2 2 2 2 3 2 2 2 2 3" xfId="35013"/>
    <cellStyle name="Comma 2 5 2 2 2 2 2 2 3 2 2 2 3" xfId="34534"/>
    <cellStyle name="Comma 2 5 2 2 2 2 2 2 3 2 2 2 3 2" xfId="43385"/>
    <cellStyle name="Comma 2 5 2 2 2 2 2 2 3 2 2 3" xfId="13183"/>
    <cellStyle name="Comma 2 5 2 2 2 2 2 2 3 2 2 3 2" xfId="42906"/>
    <cellStyle name="Comma 2 5 2 2 2 2 2 2 3 2 2 3 2 2" xfId="48529"/>
    <cellStyle name="Comma 2 5 2 2 2 2 2 2 3 2 2 4" xfId="26667"/>
    <cellStyle name="Comma 2 5 2 2 2 2 2 2 3 2 3" xfId="12704"/>
    <cellStyle name="Comma 2 5 2 2 2 2 2 2 3 2 3 2" xfId="16398"/>
    <cellStyle name="Comma 2 5 2 2 2 2 2 2 3 2 3 2 2" xfId="48050"/>
    <cellStyle name="Comma 2 5 2 2 2 2 2 2 3 2 3 2 2 2" xfId="51728"/>
    <cellStyle name="Comma 2 5 2 2 2 2 2 2 3 2 3 3" xfId="29902"/>
    <cellStyle name="Comma 2 5 2 2 2 2 2 2 3 2 4" xfId="26188"/>
    <cellStyle name="Comma 2 5 2 2 2 2 2 2 3 2 4 2" xfId="38212"/>
    <cellStyle name="Comma 2 5 2 2 2 2 2 2 3 3" xfId="4775"/>
    <cellStyle name="Comma 2 5 2 2 2 2 2 2 3 3 2" xfId="15909"/>
    <cellStyle name="Comma 2 5 2 2 2 2 2 2 3 3 2 2" xfId="18352"/>
    <cellStyle name="Comma 2 5 2 2 2 2 2 2 3 3 2 2 2" xfId="51241"/>
    <cellStyle name="Comma 2 5 2 2 2 2 2 2 3 3 2 2 2 2" xfId="53678"/>
    <cellStyle name="Comma 2 5 2 2 2 2 2 2 3 3 2 3" xfId="31853"/>
    <cellStyle name="Comma 2 5 2 2 2 2 2 2 3 3 3" xfId="29415"/>
    <cellStyle name="Comma 2 5 2 2 2 2 2 2 3 3 3 2" xfId="40213"/>
    <cellStyle name="Comma 2 5 2 2 2 2 2 2 3 4" xfId="9978"/>
    <cellStyle name="Comma 2 5 2 2 2 2 2 2 3 4 2" xfId="37723"/>
    <cellStyle name="Comma 2 5 2 2 2 2 2 2 3 4 2 2" xfId="45345"/>
    <cellStyle name="Comma 2 5 2 2 2 2 2 2 3 5" xfId="23468"/>
    <cellStyle name="Comma 2 5 2 2 2 2 2 2 4" xfId="4261"/>
    <cellStyle name="Comma 2 5 2 2 2 2 2 2 4 2" xfId="5980"/>
    <cellStyle name="Comma 2 5 2 2 2 2 2 2 4 2 2" xfId="17854"/>
    <cellStyle name="Comma 2 5 2 2 2 2 2 2 4 2 2 2" xfId="19547"/>
    <cellStyle name="Comma 2 5 2 2 2 2 2 2 4 2 2 2 2" xfId="53181"/>
    <cellStyle name="Comma 2 5 2 2 2 2 2 2 4 2 2 2 2 2" xfId="54873"/>
    <cellStyle name="Comma 2 5 2 2 2 2 2 2 4 2 2 3" xfId="33048"/>
    <cellStyle name="Comma 2 5 2 2 2 2 2 2 4 2 3" xfId="31356"/>
    <cellStyle name="Comma 2 5 2 2 2 2 2 2 4 2 3 2" xfId="41414"/>
    <cellStyle name="Comma 2 5 2 2 2 2 2 2 4 3" xfId="11205"/>
    <cellStyle name="Comma 2 5 2 2 2 2 2 2 4 3 2" xfId="39704"/>
    <cellStyle name="Comma 2 5 2 2 2 2 2 2 4 3 2 2" xfId="46563"/>
    <cellStyle name="Comma 2 5 2 2 2 2 2 2 4 4" xfId="24698"/>
    <cellStyle name="Comma 2 5 2 2 2 2 2 2 5" xfId="9452"/>
    <cellStyle name="Comma 2 5 2 2 2 2 2 2 5 2" xfId="14364"/>
    <cellStyle name="Comma 2 5 2 2 2 2 2 2 5 2 2" xfId="44834"/>
    <cellStyle name="Comma 2 5 2 2 2 2 2 2 5 2 2 2" xfId="49709"/>
    <cellStyle name="Comma 2 5 2 2 2 2 2 2 5 3" xfId="27874"/>
    <cellStyle name="Comma 2 5 2 2 2 2 2 2 6" xfId="22948"/>
    <cellStyle name="Comma 2 5 2 2 2 2 2 2 6 2" xfId="36176"/>
    <cellStyle name="Comma 2 5 2 2 2 2 2 3" xfId="977"/>
    <cellStyle name="Comma 2 5 2 2 2 2 2 3 2" xfId="2732"/>
    <cellStyle name="Comma 2 5 2 2 2 2 2 3 2 2" xfId="3015"/>
    <cellStyle name="Comma 2 5 2 2 2 2 2 3 2 2 2" xfId="7951"/>
    <cellStyle name="Comma 2 5 2 2 2 2 2 3 2 2 2 2" xfId="8230"/>
    <cellStyle name="Comma 2 5 2 2 2 2 2 3 2 2 2 2 2" xfId="21503"/>
    <cellStyle name="Comma 2 5 2 2 2 2 2 3 2 2 2 2 2 2" xfId="21782"/>
    <cellStyle name="Comma 2 5 2 2 2 2 2 3 2 2 2 2 2 2 2" xfId="56829"/>
    <cellStyle name="Comma 2 5 2 2 2 2 2 3 2 2 2 2 2 2 2 2" xfId="57108"/>
    <cellStyle name="Comma 2 5 2 2 2 2 2 3 2 2 2 2 2 3" xfId="35285"/>
    <cellStyle name="Comma 2 5 2 2 2 2 2 3 2 2 2 2 3" xfId="35006"/>
    <cellStyle name="Comma 2 5 2 2 2 2 2 3 2 2 2 2 3 2" xfId="43657"/>
    <cellStyle name="Comma 2 5 2 2 2 2 2 3 2 2 2 3" xfId="13455"/>
    <cellStyle name="Comma 2 5 2 2 2 2 2 3 2 2 2 3 2" xfId="43378"/>
    <cellStyle name="Comma 2 5 2 2 2 2 2 3 2 2 2 3 2 2" xfId="48801"/>
    <cellStyle name="Comma 2 5 2 2 2 2 2 3 2 2 2 4" xfId="26940"/>
    <cellStyle name="Comma 2 5 2 2 2 2 2 3 2 2 3" xfId="13176"/>
    <cellStyle name="Comma 2 5 2 2 2 2 2 3 2 2 3 2" xfId="16672"/>
    <cellStyle name="Comma 2 5 2 2 2 2 2 3 2 2 3 2 2" xfId="48522"/>
    <cellStyle name="Comma 2 5 2 2 2 2 2 3 2 2 3 2 2 2" xfId="52000"/>
    <cellStyle name="Comma 2 5 2 2 2 2 2 3 2 2 3 3" xfId="30174"/>
    <cellStyle name="Comma 2 5 2 2 2 2 2 3 2 2 4" xfId="26660"/>
    <cellStyle name="Comma 2 5 2 2 2 2 2 3 2 2 4 2" xfId="38484"/>
    <cellStyle name="Comma 2 5 2 2 2 2 2 3 2 3" xfId="5051"/>
    <cellStyle name="Comma 2 5 2 2 2 2 2 3 2 3 2" xfId="16391"/>
    <cellStyle name="Comma 2 5 2 2 2 2 2 3 2 3 2 2" xfId="18624"/>
    <cellStyle name="Comma 2 5 2 2 2 2 2 3 2 3 2 2 2" xfId="51721"/>
    <cellStyle name="Comma 2 5 2 2 2 2 2 3 2 3 2 2 2 2" xfId="53950"/>
    <cellStyle name="Comma 2 5 2 2 2 2 2 3 2 3 2 3" xfId="32125"/>
    <cellStyle name="Comma 2 5 2 2 2 2 2 3 2 3 3" xfId="29895"/>
    <cellStyle name="Comma 2 5 2 2 2 2 2 3 2 3 3 2" xfId="40488"/>
    <cellStyle name="Comma 2 5 2 2 2 2 2 3 2 4" xfId="10254"/>
    <cellStyle name="Comma 2 5 2 2 2 2 2 3 2 4 2" xfId="38205"/>
    <cellStyle name="Comma 2 5 2 2 2 2 2 3 2 4 2 2" xfId="45617"/>
    <cellStyle name="Comma 2 5 2 2 2 2 2 3 2 5" xfId="23740"/>
    <cellStyle name="Comma 2 5 2 2 2 2 2 3 3" xfId="4768"/>
    <cellStyle name="Comma 2 5 2 2 2 2 2 3 3 2" xfId="6288"/>
    <cellStyle name="Comma 2 5 2 2 2 2 2 3 3 2 2" xfId="18345"/>
    <cellStyle name="Comma 2 5 2 2 2 2 2 3 3 2 2 2" xfId="19845"/>
    <cellStyle name="Comma 2 5 2 2 2 2 2 3 3 2 2 2 2" xfId="53671"/>
    <cellStyle name="Comma 2 5 2 2 2 2 2 3 3 2 2 2 2 2" xfId="55171"/>
    <cellStyle name="Comma 2 5 2 2 2 2 2 3 3 2 2 3" xfId="33347"/>
    <cellStyle name="Comma 2 5 2 2 2 2 2 3 3 2 3" xfId="31846"/>
    <cellStyle name="Comma 2 5 2 2 2 2 2 3 3 2 3 2" xfId="41717"/>
    <cellStyle name="Comma 2 5 2 2 2 2 2 3 3 3" xfId="11513"/>
    <cellStyle name="Comma 2 5 2 2 2 2 2 3 3 3 2" xfId="40206"/>
    <cellStyle name="Comma 2 5 2 2 2 2 2 3 3 3 2 2" xfId="46862"/>
    <cellStyle name="Comma 2 5 2 2 2 2 2 3 3 4" xfId="24999"/>
    <cellStyle name="Comma 2 5 2 2 2 2 2 3 4" xfId="9971"/>
    <cellStyle name="Comma 2 5 2 2 2 2 2 3 4 2" xfId="14671"/>
    <cellStyle name="Comma 2 5 2 2 2 2 2 3 4 2 2" xfId="45338"/>
    <cellStyle name="Comma 2 5 2 2 2 2 2 3 4 2 2 2" xfId="50010"/>
    <cellStyle name="Comma 2 5 2 2 2 2 2 3 4 3" xfId="28182"/>
    <cellStyle name="Comma 2 5 2 2 2 2 2 3 5" xfId="23461"/>
    <cellStyle name="Comma 2 5 2 2 2 2 2 3 5 2" xfId="36479"/>
    <cellStyle name="Comma 2 5 2 2 2 2 2 4" xfId="1773"/>
    <cellStyle name="Comma 2 5 2 2 2 2 2 4 2" xfId="5973"/>
    <cellStyle name="Comma 2 5 2 2 2 2 2 4 2 2" xfId="7026"/>
    <cellStyle name="Comma 2 5 2 2 2 2 2 4 2 2 2" xfId="19540"/>
    <cellStyle name="Comma 2 5 2 2 2 2 2 4 2 2 2 2" xfId="20579"/>
    <cellStyle name="Comma 2 5 2 2 2 2 2 4 2 2 2 2 2" xfId="54866"/>
    <cellStyle name="Comma 2 5 2 2 2 2 2 4 2 2 2 2 2 2" xfId="55905"/>
    <cellStyle name="Comma 2 5 2 2 2 2 2 4 2 2 2 3" xfId="34081"/>
    <cellStyle name="Comma 2 5 2 2 2 2 2 4 2 2 3" xfId="33041"/>
    <cellStyle name="Comma 2 5 2 2 2 2 2 4 2 2 3 2" xfId="42454"/>
    <cellStyle name="Comma 2 5 2 2 2 2 2 4 2 3" xfId="12250"/>
    <cellStyle name="Comma 2 5 2 2 2 2 2 4 2 3 2" xfId="41407"/>
    <cellStyle name="Comma 2 5 2 2 2 2 2 4 2 3 2 2" xfId="47597"/>
    <cellStyle name="Comma 2 5 2 2 2 2 2 4 2 4" xfId="25735"/>
    <cellStyle name="Comma 2 5 2 2 2 2 2 4 3" xfId="11198"/>
    <cellStyle name="Comma 2 5 2 2 2 2 2 4 3 2" xfId="15445"/>
    <cellStyle name="Comma 2 5 2 2 2 2 2 4 3 2 2" xfId="46556"/>
    <cellStyle name="Comma 2 5 2 2 2 2 2 4 3 2 2 2" xfId="50778"/>
    <cellStyle name="Comma 2 5 2 2 2 2 2 4 3 3" xfId="28952"/>
    <cellStyle name="Comma 2 5 2 2 2 2 2 4 4" xfId="24691"/>
    <cellStyle name="Comma 2 5 2 2 2 2 2 4 4 2" xfId="37255"/>
    <cellStyle name="Comma 2 5 2 2 2 2 2 5" xfId="3779"/>
    <cellStyle name="Comma 2 5 2 2 2 2 2 5 2" xfId="14357"/>
    <cellStyle name="Comma 2 5 2 2 2 2 2 5 2 2" xfId="17395"/>
    <cellStyle name="Comma 2 5 2 2 2 2 2 5 2 2 2" xfId="49702"/>
    <cellStyle name="Comma 2 5 2 2 2 2 2 5 2 2 2 2" xfId="52722"/>
    <cellStyle name="Comma 2 5 2 2 2 2 2 5 2 3" xfId="30896"/>
    <cellStyle name="Comma 2 5 2 2 2 2 2 5 3" xfId="27867"/>
    <cellStyle name="Comma 2 5 2 2 2 2 2 5 3 2" xfId="39230"/>
    <cellStyle name="Comma 2 5 2 2 2 2 2 6" xfId="8969"/>
    <cellStyle name="Comma 2 5 2 2 2 2 2 6 2" xfId="36169"/>
    <cellStyle name="Comma 2 5 2 2 2 2 2 6 2 2" xfId="44368"/>
    <cellStyle name="Comma 2 5 2 2 2 2 2 7" xfId="22476"/>
    <cellStyle name="Comma 2 5 2 2 2 2 3" xfId="970"/>
    <cellStyle name="Comma 2 5 2 2 2 2 3 2" xfId="1181"/>
    <cellStyle name="Comma 2 5 2 2 2 2 3 2 2" xfId="3008"/>
    <cellStyle name="Comma 2 5 2 2 2 2 3 2 2 2" xfId="3201"/>
    <cellStyle name="Comma 2 5 2 2 2 2 3 2 2 2 2" xfId="8223"/>
    <cellStyle name="Comma 2 5 2 2 2 2 3 2 2 2 2 2" xfId="8416"/>
    <cellStyle name="Comma 2 5 2 2 2 2 3 2 2 2 2 2 2" xfId="21775"/>
    <cellStyle name="Comma 2 5 2 2 2 2 3 2 2 2 2 2 2 2" xfId="21968"/>
    <cellStyle name="Comma 2 5 2 2 2 2 3 2 2 2 2 2 2 2 2" xfId="57101"/>
    <cellStyle name="Comma 2 5 2 2 2 2 3 2 2 2 2 2 2 2 2 2" xfId="57294"/>
    <cellStyle name="Comma 2 5 2 2 2 2 3 2 2 2 2 2 2 3" xfId="35471"/>
    <cellStyle name="Comma 2 5 2 2 2 2 3 2 2 2 2 2 3" xfId="35278"/>
    <cellStyle name="Comma 2 5 2 2 2 2 3 2 2 2 2 2 3 2" xfId="43843"/>
    <cellStyle name="Comma 2 5 2 2 2 2 3 2 2 2 2 3" xfId="13641"/>
    <cellStyle name="Comma 2 5 2 2 2 2 3 2 2 2 2 3 2" xfId="43650"/>
    <cellStyle name="Comma 2 5 2 2 2 2 3 2 2 2 2 3 2 2" xfId="48987"/>
    <cellStyle name="Comma 2 5 2 2 2 2 3 2 2 2 2 4" xfId="27126"/>
    <cellStyle name="Comma 2 5 2 2 2 2 3 2 2 2 3" xfId="13448"/>
    <cellStyle name="Comma 2 5 2 2 2 2 3 2 2 2 3 2" xfId="16858"/>
    <cellStyle name="Comma 2 5 2 2 2 2 3 2 2 2 3 2 2" xfId="48794"/>
    <cellStyle name="Comma 2 5 2 2 2 2 3 2 2 2 3 2 2 2" xfId="52186"/>
    <cellStyle name="Comma 2 5 2 2 2 2 3 2 2 2 3 3" xfId="30360"/>
    <cellStyle name="Comma 2 5 2 2 2 2 3 2 2 2 4" xfId="26933"/>
    <cellStyle name="Comma 2 5 2 2 2 2 3 2 2 2 4 2" xfId="38670"/>
    <cellStyle name="Comma 2 5 2 2 2 2 3 2 2 3" xfId="5238"/>
    <cellStyle name="Comma 2 5 2 2 2 2 3 2 2 3 2" xfId="16665"/>
    <cellStyle name="Comma 2 5 2 2 2 2 3 2 2 3 2 2" xfId="18811"/>
    <cellStyle name="Comma 2 5 2 2 2 2 3 2 2 3 2 2 2" xfId="51993"/>
    <cellStyle name="Comma 2 5 2 2 2 2 3 2 2 3 2 2 2 2" xfId="54137"/>
    <cellStyle name="Comma 2 5 2 2 2 2 3 2 2 3 2 3" xfId="32312"/>
    <cellStyle name="Comma 2 5 2 2 2 2 3 2 2 3 3" xfId="30167"/>
    <cellStyle name="Comma 2 5 2 2 2 2 3 2 2 3 3 2" xfId="40675"/>
    <cellStyle name="Comma 2 5 2 2 2 2 3 2 2 4" xfId="10441"/>
    <cellStyle name="Comma 2 5 2 2 2 2 3 2 2 4 2" xfId="38477"/>
    <cellStyle name="Comma 2 5 2 2 2 2 3 2 2 4 2 2" xfId="45804"/>
    <cellStyle name="Comma 2 5 2 2 2 2 3 2 2 5" xfId="23927"/>
    <cellStyle name="Comma 2 5 2 2 2 2 3 2 3" xfId="5044"/>
    <cellStyle name="Comma 2 5 2 2 2 2 3 2 3 2" xfId="6489"/>
    <cellStyle name="Comma 2 5 2 2 2 2 3 2 3 2 2" xfId="18617"/>
    <cellStyle name="Comma 2 5 2 2 2 2 3 2 3 2 2 2" xfId="20043"/>
    <cellStyle name="Comma 2 5 2 2 2 2 3 2 3 2 2 2 2" xfId="53943"/>
    <cellStyle name="Comma 2 5 2 2 2 2 3 2 3 2 2 2 2 2" xfId="55369"/>
    <cellStyle name="Comma 2 5 2 2 2 2 3 2 3 2 2 3" xfId="33545"/>
    <cellStyle name="Comma 2 5 2 2 2 2 3 2 3 2 3" xfId="32118"/>
    <cellStyle name="Comma 2 5 2 2 2 2 3 2 3 2 3 2" xfId="41917"/>
    <cellStyle name="Comma 2 5 2 2 2 2 3 2 3 3" xfId="11713"/>
    <cellStyle name="Comma 2 5 2 2 2 2 3 2 3 3 2" xfId="40481"/>
    <cellStyle name="Comma 2 5 2 2 2 2 3 2 3 3 2 2" xfId="47061"/>
    <cellStyle name="Comma 2 5 2 2 2 2 3 2 3 4" xfId="25198"/>
    <cellStyle name="Comma 2 5 2 2 2 2 3 2 4" xfId="10247"/>
    <cellStyle name="Comma 2 5 2 2 2 2 3 2 4 2" xfId="14871"/>
    <cellStyle name="Comma 2 5 2 2 2 2 3 2 4 2 2" xfId="45610"/>
    <cellStyle name="Comma 2 5 2 2 2 2 3 2 4 2 2 2" xfId="50210"/>
    <cellStyle name="Comma 2 5 2 2 2 2 3 2 4 3" xfId="28384"/>
    <cellStyle name="Comma 2 5 2 2 2 2 3 2 5" xfId="23733"/>
    <cellStyle name="Comma 2 5 2 2 2 2 3 2 5 2" xfId="36679"/>
    <cellStyle name="Comma 2 5 2 2 2 2 3 3" xfId="1989"/>
    <cellStyle name="Comma 2 5 2 2 2 2 3 3 2" xfId="6281"/>
    <cellStyle name="Comma 2 5 2 2 2 2 3 3 2 2" xfId="7223"/>
    <cellStyle name="Comma 2 5 2 2 2 2 3 3 2 2 2" xfId="19838"/>
    <cellStyle name="Comma 2 5 2 2 2 2 3 3 2 2 2 2" xfId="20775"/>
    <cellStyle name="Comma 2 5 2 2 2 2 3 3 2 2 2 2 2" xfId="55164"/>
    <cellStyle name="Comma 2 5 2 2 2 2 3 3 2 2 2 2 2 2" xfId="56101"/>
    <cellStyle name="Comma 2 5 2 2 2 2 3 3 2 2 2 3" xfId="34278"/>
    <cellStyle name="Comma 2 5 2 2 2 2 3 3 2 2 3" xfId="33340"/>
    <cellStyle name="Comma 2 5 2 2 2 2 3 3 2 2 3 2" xfId="42650"/>
    <cellStyle name="Comma 2 5 2 2 2 2 3 3 2 3" xfId="12448"/>
    <cellStyle name="Comma 2 5 2 2 2 2 3 3 2 3 2" xfId="41710"/>
    <cellStyle name="Comma 2 5 2 2 2 2 3 3 2 3 2 2" xfId="47794"/>
    <cellStyle name="Comma 2 5 2 2 2 2 3 3 2 4" xfId="25932"/>
    <cellStyle name="Comma 2 5 2 2 2 2 3 3 3" xfId="11506"/>
    <cellStyle name="Comma 2 5 2 2 2 2 3 3 3 2" xfId="15653"/>
    <cellStyle name="Comma 2 5 2 2 2 2 3 3 3 2 2" xfId="46855"/>
    <cellStyle name="Comma 2 5 2 2 2 2 3 3 3 2 2 2" xfId="50985"/>
    <cellStyle name="Comma 2 5 2 2 2 2 3 3 3 3" xfId="29159"/>
    <cellStyle name="Comma 2 5 2 2 2 2 3 3 4" xfId="24992"/>
    <cellStyle name="Comma 2 5 2 2 2 2 3 3 4 2" xfId="37467"/>
    <cellStyle name="Comma 2 5 2 2 2 2 3 4" xfId="4003"/>
    <cellStyle name="Comma 2 5 2 2 2 2 3 4 2" xfId="14664"/>
    <cellStyle name="Comma 2 5 2 2 2 2 3 4 2 2" xfId="17598"/>
    <cellStyle name="Comma 2 5 2 2 2 2 3 4 2 2 2" xfId="50003"/>
    <cellStyle name="Comma 2 5 2 2 2 2 3 4 2 2 2 2" xfId="52925"/>
    <cellStyle name="Comma 2 5 2 2 2 2 3 4 2 3" xfId="31100"/>
    <cellStyle name="Comma 2 5 2 2 2 2 3 4 3" xfId="28175"/>
    <cellStyle name="Comma 2 5 2 2 2 2 3 4 3 2" xfId="39447"/>
    <cellStyle name="Comma 2 5 2 2 2 2 3 5" xfId="9195"/>
    <cellStyle name="Comma 2 5 2 2 2 2 3 5 2" xfId="36472"/>
    <cellStyle name="Comma 2 5 2 2 2 2 3 5 2 2" xfId="44578"/>
    <cellStyle name="Comma 2 5 2 2 2 2 3 6" xfId="22692"/>
    <cellStyle name="Comma 2 5 2 2 2 2 4" xfId="1766"/>
    <cellStyle name="Comma 2 5 2 2 2 2 4 2" xfId="2434"/>
    <cellStyle name="Comma 2 5 2 2 2 2 4 2 2" xfId="7019"/>
    <cellStyle name="Comma 2 5 2 2 2 2 4 2 2 2" xfId="7666"/>
    <cellStyle name="Comma 2 5 2 2 2 2 4 2 2 2 2" xfId="20572"/>
    <cellStyle name="Comma 2 5 2 2 2 2 4 2 2 2 2 2" xfId="21218"/>
    <cellStyle name="Comma 2 5 2 2 2 2 4 2 2 2 2 2 2" xfId="55898"/>
    <cellStyle name="Comma 2 5 2 2 2 2 4 2 2 2 2 2 2 2" xfId="56544"/>
    <cellStyle name="Comma 2 5 2 2 2 2 4 2 2 2 2 3" xfId="34721"/>
    <cellStyle name="Comma 2 5 2 2 2 2 4 2 2 2 3" xfId="34074"/>
    <cellStyle name="Comma 2 5 2 2 2 2 4 2 2 2 3 2" xfId="43093"/>
    <cellStyle name="Comma 2 5 2 2 2 2 4 2 2 3" xfId="12891"/>
    <cellStyle name="Comma 2 5 2 2 2 2 4 2 2 3 2" xfId="42447"/>
    <cellStyle name="Comma 2 5 2 2 2 2 4 2 2 3 2 2" xfId="48237"/>
    <cellStyle name="Comma 2 5 2 2 2 2 4 2 2 4" xfId="26375"/>
    <cellStyle name="Comma 2 5 2 2 2 2 4 2 3" xfId="12243"/>
    <cellStyle name="Comma 2 5 2 2 2 2 4 2 3 2" xfId="16097"/>
    <cellStyle name="Comma 2 5 2 2 2 2 4 2 3 2 2" xfId="47590"/>
    <cellStyle name="Comma 2 5 2 2 2 2 4 2 3 2 2 2" xfId="51429"/>
    <cellStyle name="Comma 2 5 2 2 2 2 4 2 3 3" xfId="29603"/>
    <cellStyle name="Comma 2 5 2 2 2 2 4 2 4" xfId="25728"/>
    <cellStyle name="Comma 2 5 2 2 2 2 4 2 4 2" xfId="37912"/>
    <cellStyle name="Comma 2 5 2 2 2 2 4 3" xfId="4469"/>
    <cellStyle name="Comma 2 5 2 2 2 2 4 3 2" xfId="15438"/>
    <cellStyle name="Comma 2 5 2 2 2 2 4 3 2 2" xfId="18059"/>
    <cellStyle name="Comma 2 5 2 2 2 2 4 3 2 2 2" xfId="50771"/>
    <cellStyle name="Comma 2 5 2 2 2 2 4 3 2 2 2 2" xfId="53385"/>
    <cellStyle name="Comma 2 5 2 2 2 2 4 3 2 3" xfId="31560"/>
    <cellStyle name="Comma 2 5 2 2 2 2 4 3 3" xfId="28945"/>
    <cellStyle name="Comma 2 5 2 2 2 2 4 3 3 2" xfId="39911"/>
    <cellStyle name="Comma 2 5 2 2 2 2 4 4" xfId="9674"/>
    <cellStyle name="Comma 2 5 2 2 2 2 4 4 2" xfId="37248"/>
    <cellStyle name="Comma 2 5 2 2 2 2 4 4 2 2" xfId="45052"/>
    <cellStyle name="Comma 2 5 2 2 2 2 4 5" xfId="23175"/>
    <cellStyle name="Comma 2 5 2 2 2 2 5" xfId="3772"/>
    <cellStyle name="Comma 2 5 2 2 2 2 5 2" xfId="5676"/>
    <cellStyle name="Comma 2 5 2 2 2 2 5 2 2" xfId="17388"/>
    <cellStyle name="Comma 2 5 2 2 2 2 5 2 2 2" xfId="19248"/>
    <cellStyle name="Comma 2 5 2 2 2 2 5 2 2 2 2" xfId="52715"/>
    <cellStyle name="Comma 2 5 2 2 2 2 5 2 2 2 2 2" xfId="54574"/>
    <cellStyle name="Comma 2 5 2 2 2 2 5 2 2 3" xfId="32749"/>
    <cellStyle name="Comma 2 5 2 2 2 2 5 2 3" xfId="30889"/>
    <cellStyle name="Comma 2 5 2 2 2 2 5 2 3 2" xfId="41112"/>
    <cellStyle name="Comma 2 5 2 2 2 2 5 3" xfId="10894"/>
    <cellStyle name="Comma 2 5 2 2 2 2 5 3 2" xfId="39223"/>
    <cellStyle name="Comma 2 5 2 2 2 2 5 3 2 2" xfId="46256"/>
    <cellStyle name="Comma 2 5 2 2 2 2 5 4" xfId="24387"/>
    <cellStyle name="Comma 2 5 2 2 2 2 6" xfId="8962"/>
    <cellStyle name="Comma 2 5 2 2 2 2 6 2" xfId="14060"/>
    <cellStyle name="Comma 2 5 2 2 2 2 6 2 2" xfId="44361"/>
    <cellStyle name="Comma 2 5 2 2 2 2 6 2 2 2" xfId="49406"/>
    <cellStyle name="Comma 2 5 2 2 2 2 6 3" xfId="27559"/>
    <cellStyle name="Comma 2 5 2 2 2 2 7" xfId="22469"/>
    <cellStyle name="Comma 2 5 2 2 2 2 7 2" xfId="35872"/>
    <cellStyle name="Comma 2 5 2 2 2 3" xfId="465"/>
    <cellStyle name="Comma 2 5 2 2 2 3 2" xfId="1174"/>
    <cellStyle name="Comma 2 5 2 2 2 3 2 2" xfId="1280"/>
    <cellStyle name="Comma 2 5 2 2 2 3 2 2 2" xfId="3194"/>
    <cellStyle name="Comma 2 5 2 2 2 3 2 2 2 2" xfId="3298"/>
    <cellStyle name="Comma 2 5 2 2 2 3 2 2 2 2 2" xfId="8409"/>
    <cellStyle name="Comma 2 5 2 2 2 3 2 2 2 2 2 2" xfId="8513"/>
    <cellStyle name="Comma 2 5 2 2 2 3 2 2 2 2 2 2 2" xfId="21961"/>
    <cellStyle name="Comma 2 5 2 2 2 3 2 2 2 2 2 2 2 2" xfId="22065"/>
    <cellStyle name="Comma 2 5 2 2 2 3 2 2 2 2 2 2 2 2 2" xfId="57287"/>
    <cellStyle name="Comma 2 5 2 2 2 3 2 2 2 2 2 2 2 2 2 2" xfId="57391"/>
    <cellStyle name="Comma 2 5 2 2 2 3 2 2 2 2 2 2 2 3" xfId="35568"/>
    <cellStyle name="Comma 2 5 2 2 2 3 2 2 2 2 2 2 3" xfId="35464"/>
    <cellStyle name="Comma 2 5 2 2 2 3 2 2 2 2 2 2 3 2" xfId="43940"/>
    <cellStyle name="Comma 2 5 2 2 2 3 2 2 2 2 2 3" xfId="13738"/>
    <cellStyle name="Comma 2 5 2 2 2 3 2 2 2 2 2 3 2" xfId="43836"/>
    <cellStyle name="Comma 2 5 2 2 2 3 2 2 2 2 2 3 2 2" xfId="49084"/>
    <cellStyle name="Comma 2 5 2 2 2 3 2 2 2 2 2 4" xfId="27223"/>
    <cellStyle name="Comma 2 5 2 2 2 3 2 2 2 2 3" xfId="13634"/>
    <cellStyle name="Comma 2 5 2 2 2 3 2 2 2 2 3 2" xfId="16955"/>
    <cellStyle name="Comma 2 5 2 2 2 3 2 2 2 2 3 2 2" xfId="48980"/>
    <cellStyle name="Comma 2 5 2 2 2 3 2 2 2 2 3 2 2 2" xfId="52283"/>
    <cellStyle name="Comma 2 5 2 2 2 3 2 2 2 2 3 3" xfId="30457"/>
    <cellStyle name="Comma 2 5 2 2 2 3 2 2 2 2 4" xfId="27119"/>
    <cellStyle name="Comma 2 5 2 2 2 3 2 2 2 2 4 2" xfId="38767"/>
    <cellStyle name="Comma 2 5 2 2 2 3 2 2 2 3" xfId="5335"/>
    <cellStyle name="Comma 2 5 2 2 2 3 2 2 2 3 2" xfId="16851"/>
    <cellStyle name="Comma 2 5 2 2 2 3 2 2 2 3 2 2" xfId="18908"/>
    <cellStyle name="Comma 2 5 2 2 2 3 2 2 2 3 2 2 2" xfId="52179"/>
    <cellStyle name="Comma 2 5 2 2 2 3 2 2 2 3 2 2 2 2" xfId="54234"/>
    <cellStyle name="Comma 2 5 2 2 2 3 2 2 2 3 2 3" xfId="32409"/>
    <cellStyle name="Comma 2 5 2 2 2 3 2 2 2 3 3" xfId="30353"/>
    <cellStyle name="Comma 2 5 2 2 2 3 2 2 2 3 3 2" xfId="40772"/>
    <cellStyle name="Comma 2 5 2 2 2 3 2 2 2 4" xfId="10538"/>
    <cellStyle name="Comma 2 5 2 2 2 3 2 2 2 4 2" xfId="38663"/>
    <cellStyle name="Comma 2 5 2 2 2 3 2 2 2 4 2 2" xfId="45901"/>
    <cellStyle name="Comma 2 5 2 2 2 3 2 2 2 5" xfId="24024"/>
    <cellStyle name="Comma 2 5 2 2 2 3 2 2 3" xfId="5231"/>
    <cellStyle name="Comma 2 5 2 2 2 3 2 2 3 2" xfId="6588"/>
    <cellStyle name="Comma 2 5 2 2 2 3 2 2 3 2 2" xfId="18804"/>
    <cellStyle name="Comma 2 5 2 2 2 3 2 2 3 2 2 2" xfId="20141"/>
    <cellStyle name="Comma 2 5 2 2 2 3 2 2 3 2 2 2 2" xfId="54130"/>
    <cellStyle name="Comma 2 5 2 2 2 3 2 2 3 2 2 2 2 2" xfId="55467"/>
    <cellStyle name="Comma 2 5 2 2 2 3 2 2 3 2 2 3" xfId="33643"/>
    <cellStyle name="Comma 2 5 2 2 2 3 2 2 3 2 3" xfId="32305"/>
    <cellStyle name="Comma 2 5 2 2 2 3 2 2 3 2 3 2" xfId="42016"/>
    <cellStyle name="Comma 2 5 2 2 2 3 2 2 3 3" xfId="11811"/>
    <cellStyle name="Comma 2 5 2 2 2 3 2 2 3 3 2" xfId="40668"/>
    <cellStyle name="Comma 2 5 2 2 2 3 2 2 3 3 2 2" xfId="47159"/>
    <cellStyle name="Comma 2 5 2 2 2 3 2 2 3 4" xfId="25296"/>
    <cellStyle name="Comma 2 5 2 2 2 3 2 2 4" xfId="10434"/>
    <cellStyle name="Comma 2 5 2 2 2 3 2 2 4 2" xfId="14969"/>
    <cellStyle name="Comma 2 5 2 2 2 3 2 2 4 2 2" xfId="45797"/>
    <cellStyle name="Comma 2 5 2 2 2 3 2 2 4 2 2 2" xfId="50308"/>
    <cellStyle name="Comma 2 5 2 2 2 3 2 2 4 3" xfId="28482"/>
    <cellStyle name="Comma 2 5 2 2 2 3 2 2 5" xfId="23920"/>
    <cellStyle name="Comma 2 5 2 2 2 3 2 2 5 2" xfId="36777"/>
    <cellStyle name="Comma 2 5 2 2 2 3 2 3" xfId="2086"/>
    <cellStyle name="Comma 2 5 2 2 2 3 2 3 2" xfId="6482"/>
    <cellStyle name="Comma 2 5 2 2 2 3 2 3 2 2" xfId="7320"/>
    <cellStyle name="Comma 2 5 2 2 2 3 2 3 2 2 2" xfId="20036"/>
    <cellStyle name="Comma 2 5 2 2 2 3 2 3 2 2 2 2" xfId="20872"/>
    <cellStyle name="Comma 2 5 2 2 2 3 2 3 2 2 2 2 2" xfId="55362"/>
    <cellStyle name="Comma 2 5 2 2 2 3 2 3 2 2 2 2 2 2" xfId="56198"/>
    <cellStyle name="Comma 2 5 2 2 2 3 2 3 2 2 2 3" xfId="34375"/>
    <cellStyle name="Comma 2 5 2 2 2 3 2 3 2 2 3" xfId="33538"/>
    <cellStyle name="Comma 2 5 2 2 2 3 2 3 2 2 3 2" xfId="42747"/>
    <cellStyle name="Comma 2 5 2 2 2 3 2 3 2 3" xfId="12545"/>
    <cellStyle name="Comma 2 5 2 2 2 3 2 3 2 3 2" xfId="41910"/>
    <cellStyle name="Comma 2 5 2 2 2 3 2 3 2 3 2 2" xfId="47891"/>
    <cellStyle name="Comma 2 5 2 2 2 3 2 3 2 4" xfId="26029"/>
    <cellStyle name="Comma 2 5 2 2 2 3 2 3 3" xfId="11706"/>
    <cellStyle name="Comma 2 5 2 2 2 3 2 3 3 2" xfId="15750"/>
    <cellStyle name="Comma 2 5 2 2 2 3 2 3 3 2 2" xfId="47054"/>
    <cellStyle name="Comma 2 5 2 2 2 3 2 3 3 2 2 2" xfId="51082"/>
    <cellStyle name="Comma 2 5 2 2 2 3 2 3 3 3" xfId="29256"/>
    <cellStyle name="Comma 2 5 2 2 2 3 2 3 4" xfId="25191"/>
    <cellStyle name="Comma 2 5 2 2 2 3 2 3 4 2" xfId="37564"/>
    <cellStyle name="Comma 2 5 2 2 2 3 2 4" xfId="4102"/>
    <cellStyle name="Comma 2 5 2 2 2 3 2 4 2" xfId="14864"/>
    <cellStyle name="Comma 2 5 2 2 2 3 2 4 2 2" xfId="17695"/>
    <cellStyle name="Comma 2 5 2 2 2 3 2 4 2 2 2" xfId="50203"/>
    <cellStyle name="Comma 2 5 2 2 2 3 2 4 2 2 2 2" xfId="53022"/>
    <cellStyle name="Comma 2 5 2 2 2 3 2 4 2 3" xfId="31197"/>
    <cellStyle name="Comma 2 5 2 2 2 3 2 4 3" xfId="28377"/>
    <cellStyle name="Comma 2 5 2 2 2 3 2 4 3 2" xfId="39545"/>
    <cellStyle name="Comma 2 5 2 2 2 3 2 5" xfId="9293"/>
    <cellStyle name="Comma 2 5 2 2 2 3 2 5 2" xfId="36672"/>
    <cellStyle name="Comma 2 5 2 2 2 3 2 5 2 2" xfId="44675"/>
    <cellStyle name="Comma 2 5 2 2 2 3 2 6" xfId="22789"/>
    <cellStyle name="Comma 2 5 2 2 2 3 3" xfId="1982"/>
    <cellStyle name="Comma 2 5 2 2 2 3 3 2" xfId="2564"/>
    <cellStyle name="Comma 2 5 2 2 2 3 3 2 2" xfId="7216"/>
    <cellStyle name="Comma 2 5 2 2 2 3 3 2 2 2" xfId="7785"/>
    <cellStyle name="Comma 2 5 2 2 2 3 3 2 2 2 2" xfId="20768"/>
    <cellStyle name="Comma 2 5 2 2 2 3 3 2 2 2 2 2" xfId="21337"/>
    <cellStyle name="Comma 2 5 2 2 2 3 3 2 2 2 2 2 2" xfId="56094"/>
    <cellStyle name="Comma 2 5 2 2 2 3 3 2 2 2 2 2 2 2" xfId="56663"/>
    <cellStyle name="Comma 2 5 2 2 2 3 3 2 2 2 2 3" xfId="34840"/>
    <cellStyle name="Comma 2 5 2 2 2 3 3 2 2 2 3" xfId="34271"/>
    <cellStyle name="Comma 2 5 2 2 2 3 3 2 2 2 3 2" xfId="43212"/>
    <cellStyle name="Comma 2 5 2 2 2 3 3 2 2 3" xfId="13010"/>
    <cellStyle name="Comma 2 5 2 2 2 3 3 2 2 3 2" xfId="42643"/>
    <cellStyle name="Comma 2 5 2 2 2 3 3 2 2 3 2 2" xfId="48356"/>
    <cellStyle name="Comma 2 5 2 2 2 3 3 2 2 4" xfId="26494"/>
    <cellStyle name="Comma 2 5 2 2 2 3 3 2 3" xfId="12441"/>
    <cellStyle name="Comma 2 5 2 2 2 3 3 2 3 2" xfId="16223"/>
    <cellStyle name="Comma 2 5 2 2 2 3 3 2 3 2 2" xfId="47787"/>
    <cellStyle name="Comma 2 5 2 2 2 3 3 2 3 2 2 2" xfId="51553"/>
    <cellStyle name="Comma 2 5 2 2 2 3 3 2 3 3" xfId="29727"/>
    <cellStyle name="Comma 2 5 2 2 2 3 3 2 4" xfId="25925"/>
    <cellStyle name="Comma 2 5 2 2 2 3 3 2 4 2" xfId="38037"/>
    <cellStyle name="Comma 2 5 2 2 2 3 3 3" xfId="4597"/>
    <cellStyle name="Comma 2 5 2 2 2 3 3 3 2" xfId="15646"/>
    <cellStyle name="Comma 2 5 2 2 2 3 3 3 2 2" xfId="18178"/>
    <cellStyle name="Comma 2 5 2 2 2 3 3 3 2 2 2" xfId="50978"/>
    <cellStyle name="Comma 2 5 2 2 2 3 3 3 2 2 2 2" xfId="53504"/>
    <cellStyle name="Comma 2 5 2 2 2 3 3 3 2 3" xfId="31679"/>
    <cellStyle name="Comma 2 5 2 2 2 3 3 3 3" xfId="29152"/>
    <cellStyle name="Comma 2 5 2 2 2 3 3 3 3 2" xfId="40036"/>
    <cellStyle name="Comma 2 5 2 2 2 3 3 4" xfId="9801"/>
    <cellStyle name="Comma 2 5 2 2 2 3 3 4 2" xfId="37460"/>
    <cellStyle name="Comma 2 5 2 2 2 3 3 4 2 2" xfId="45171"/>
    <cellStyle name="Comma 2 5 2 2 2 3 3 5" xfId="23294"/>
    <cellStyle name="Comma 2 5 2 2 2 3 4" xfId="3996"/>
    <cellStyle name="Comma 2 5 2 2 2 3 4 2" xfId="5803"/>
    <cellStyle name="Comma 2 5 2 2 2 3 4 2 2" xfId="17591"/>
    <cellStyle name="Comma 2 5 2 2 2 3 4 2 2 2" xfId="19371"/>
    <cellStyle name="Comma 2 5 2 2 2 3 4 2 2 2 2" xfId="52918"/>
    <cellStyle name="Comma 2 5 2 2 2 3 4 2 2 2 2 2" xfId="54697"/>
    <cellStyle name="Comma 2 5 2 2 2 3 4 2 2 3" xfId="32872"/>
    <cellStyle name="Comma 2 5 2 2 2 3 4 2 3" xfId="31093"/>
    <cellStyle name="Comma 2 5 2 2 2 3 4 2 3 2" xfId="41238"/>
    <cellStyle name="Comma 2 5 2 2 2 3 4 3" xfId="11025"/>
    <cellStyle name="Comma 2 5 2 2 2 3 4 3 2" xfId="39440"/>
    <cellStyle name="Comma 2 5 2 2 2 3 4 3 2 2" xfId="46384"/>
    <cellStyle name="Comma 2 5 2 2 2 3 4 4" xfId="24519"/>
    <cellStyle name="Comma 2 5 2 2 2 3 5" xfId="9188"/>
    <cellStyle name="Comma 2 5 2 2 2 3 5 2" xfId="14186"/>
    <cellStyle name="Comma 2 5 2 2 2 3 5 2 2" xfId="44571"/>
    <cellStyle name="Comma 2 5 2 2 2 3 5 2 2 2" xfId="49531"/>
    <cellStyle name="Comma 2 5 2 2 2 3 5 3" xfId="27692"/>
    <cellStyle name="Comma 2 5 2 2 2 3 6" xfId="22685"/>
    <cellStyle name="Comma 2 5 2 2 2 3 6 2" xfId="35998"/>
    <cellStyle name="Comma 2 5 2 2 2 4" xfId="786"/>
    <cellStyle name="Comma 2 5 2 2 2 4 2" xfId="2427"/>
    <cellStyle name="Comma 2 5 2 2 2 4 2 2" xfId="2842"/>
    <cellStyle name="Comma 2 5 2 2 2 4 2 2 2" xfId="7659"/>
    <cellStyle name="Comma 2 5 2 2 2 4 2 2 2 2" xfId="8058"/>
    <cellStyle name="Comma 2 5 2 2 2 4 2 2 2 2 2" xfId="21211"/>
    <cellStyle name="Comma 2 5 2 2 2 4 2 2 2 2 2 2" xfId="21610"/>
    <cellStyle name="Comma 2 5 2 2 2 4 2 2 2 2 2 2 2" xfId="56537"/>
    <cellStyle name="Comma 2 5 2 2 2 4 2 2 2 2 2 2 2 2" xfId="56936"/>
    <cellStyle name="Comma 2 5 2 2 2 4 2 2 2 2 2 3" xfId="35113"/>
    <cellStyle name="Comma 2 5 2 2 2 4 2 2 2 2 3" xfId="34714"/>
    <cellStyle name="Comma 2 5 2 2 2 4 2 2 2 2 3 2" xfId="43485"/>
    <cellStyle name="Comma 2 5 2 2 2 4 2 2 2 3" xfId="13283"/>
    <cellStyle name="Comma 2 5 2 2 2 4 2 2 2 3 2" xfId="43086"/>
    <cellStyle name="Comma 2 5 2 2 2 4 2 2 2 3 2 2" xfId="48629"/>
    <cellStyle name="Comma 2 5 2 2 2 4 2 2 2 4" xfId="26767"/>
    <cellStyle name="Comma 2 5 2 2 2 4 2 2 3" xfId="12884"/>
    <cellStyle name="Comma 2 5 2 2 2 4 2 2 3 2" xfId="16500"/>
    <cellStyle name="Comma 2 5 2 2 2 4 2 2 3 2 2" xfId="48230"/>
    <cellStyle name="Comma 2 5 2 2 2 4 2 2 3 2 2 2" xfId="51828"/>
    <cellStyle name="Comma 2 5 2 2 2 4 2 2 3 3" xfId="30002"/>
    <cellStyle name="Comma 2 5 2 2 2 4 2 2 4" xfId="26368"/>
    <cellStyle name="Comma 2 5 2 2 2 4 2 2 4 2" xfId="38312"/>
    <cellStyle name="Comma 2 5 2 2 2 4 2 3" xfId="4878"/>
    <cellStyle name="Comma 2 5 2 2 2 4 2 3 2" xfId="16090"/>
    <cellStyle name="Comma 2 5 2 2 2 4 2 3 2 2" xfId="18452"/>
    <cellStyle name="Comma 2 5 2 2 2 4 2 3 2 2 2" xfId="51422"/>
    <cellStyle name="Comma 2 5 2 2 2 4 2 3 2 2 2 2" xfId="53778"/>
    <cellStyle name="Comma 2 5 2 2 2 4 2 3 2 3" xfId="31953"/>
    <cellStyle name="Comma 2 5 2 2 2 4 2 3 3" xfId="29596"/>
    <cellStyle name="Comma 2 5 2 2 2 4 2 3 3 2" xfId="40315"/>
    <cellStyle name="Comma 2 5 2 2 2 4 2 4" xfId="10081"/>
    <cellStyle name="Comma 2 5 2 2 2 4 2 4 2" xfId="37905"/>
    <cellStyle name="Comma 2 5 2 2 2 4 2 4 2 2" xfId="45445"/>
    <cellStyle name="Comma 2 5 2 2 2 4 2 5" xfId="23568"/>
    <cellStyle name="Comma 2 5 2 2 2 4 3" xfId="4462"/>
    <cellStyle name="Comma 2 5 2 2 2 4 3 2" xfId="6102"/>
    <cellStyle name="Comma 2 5 2 2 2 4 3 2 2" xfId="18052"/>
    <cellStyle name="Comma 2 5 2 2 2 4 3 2 2 2" xfId="19664"/>
    <cellStyle name="Comma 2 5 2 2 2 4 3 2 2 2 2" xfId="53378"/>
    <cellStyle name="Comma 2 5 2 2 2 4 3 2 2 2 2 2" xfId="54990"/>
    <cellStyle name="Comma 2 5 2 2 2 4 3 2 2 3" xfId="33165"/>
    <cellStyle name="Comma 2 5 2 2 2 4 3 2 3" xfId="31553"/>
    <cellStyle name="Comma 2 5 2 2 2 4 3 2 3 2" xfId="41535"/>
    <cellStyle name="Comma 2 5 2 2 2 4 3 3" xfId="11328"/>
    <cellStyle name="Comma 2 5 2 2 2 4 3 3 2" xfId="39904"/>
    <cellStyle name="Comma 2 5 2 2 2 4 3 3 2 2" xfId="46681"/>
    <cellStyle name="Comma 2 5 2 2 2 4 3 4" xfId="24818"/>
    <cellStyle name="Comma 2 5 2 2 2 4 4" xfId="9667"/>
    <cellStyle name="Comma 2 5 2 2 2 4 4 2" xfId="14486"/>
    <cellStyle name="Comma 2 5 2 2 2 4 4 2 2" xfId="45045"/>
    <cellStyle name="Comma 2 5 2 2 2 4 4 2 2 2" xfId="49828"/>
    <cellStyle name="Comma 2 5 2 2 2 4 4 3" xfId="27997"/>
    <cellStyle name="Comma 2 5 2 2 2 4 5" xfId="23168"/>
    <cellStyle name="Comma 2 5 2 2 2 4 5 2" xfId="36296"/>
    <cellStyle name="Comma 2 5 2 2 2 5" xfId="1573"/>
    <cellStyle name="Comma 2 5 2 2 2 5 2" xfId="5669"/>
    <cellStyle name="Comma 2 5 2 2 2 5 2 2" xfId="6845"/>
    <cellStyle name="Comma 2 5 2 2 2 5 2 2 2" xfId="19241"/>
    <cellStyle name="Comma 2 5 2 2 2 5 2 2 2 2" xfId="20398"/>
    <cellStyle name="Comma 2 5 2 2 2 5 2 2 2 2 2" xfId="54567"/>
    <cellStyle name="Comma 2 5 2 2 2 5 2 2 2 2 2 2" xfId="55724"/>
    <cellStyle name="Comma 2 5 2 2 2 5 2 2 2 3" xfId="33900"/>
    <cellStyle name="Comma 2 5 2 2 2 5 2 2 3" xfId="32742"/>
    <cellStyle name="Comma 2 5 2 2 2 5 2 2 3 2" xfId="42273"/>
    <cellStyle name="Comma 2 5 2 2 2 5 2 3" xfId="12069"/>
    <cellStyle name="Comma 2 5 2 2 2 5 2 3 2" xfId="41105"/>
    <cellStyle name="Comma 2 5 2 2 2 5 2 3 2 2" xfId="47416"/>
    <cellStyle name="Comma 2 5 2 2 2 5 2 4" xfId="25554"/>
    <cellStyle name="Comma 2 5 2 2 2 5 3" xfId="10887"/>
    <cellStyle name="Comma 2 5 2 2 2 5 3 2" xfId="15249"/>
    <cellStyle name="Comma 2 5 2 2 2 5 3 2 2" xfId="46249"/>
    <cellStyle name="Comma 2 5 2 2 2 5 3 2 2 2" xfId="50586"/>
    <cellStyle name="Comma 2 5 2 2 2 5 3 3" xfId="28760"/>
    <cellStyle name="Comma 2 5 2 2 2 5 4" xfId="24380"/>
    <cellStyle name="Comma 2 5 2 2 2 5 4 2" xfId="37061"/>
    <cellStyle name="Comma 2 5 2 2 2 6" xfId="3574"/>
    <cellStyle name="Comma 2 5 2 2 2 6 2" xfId="14053"/>
    <cellStyle name="Comma 2 5 2 2 2 6 2 2" xfId="17210"/>
    <cellStyle name="Comma 2 5 2 2 2 6 2 2 2" xfId="49399"/>
    <cellStyle name="Comma 2 5 2 2 2 6 2 2 2 2" xfId="52537"/>
    <cellStyle name="Comma 2 5 2 2 2 6 2 3" xfId="30711"/>
    <cellStyle name="Comma 2 5 2 2 2 6 3" xfId="27552"/>
    <cellStyle name="Comma 2 5 2 2 2 6 3 2" xfId="39031"/>
    <cellStyle name="Comma 2 5 2 2 2 7" xfId="8765"/>
    <cellStyle name="Comma 2 5 2 2 2 7 2" xfId="35865"/>
    <cellStyle name="Comma 2 5 2 2 2 7 2 2" xfId="44178"/>
    <cellStyle name="Comma 2 5 2 2 2 8" xfId="22282"/>
    <cellStyle name="Comma 2 5 2 2 3" xfId="458"/>
    <cellStyle name="Comma 2 5 2 2 3 2" xfId="540"/>
    <cellStyle name="Comma 2 5 2 2 3 2 2" xfId="1273"/>
    <cellStyle name="Comma 2 5 2 2 3 2 2 2" xfId="1345"/>
    <cellStyle name="Comma 2 5 2 2 3 2 2 2 2" xfId="3291"/>
    <cellStyle name="Comma 2 5 2 2 3 2 2 2 2 2" xfId="3363"/>
    <cellStyle name="Comma 2 5 2 2 3 2 2 2 2 2 2" xfId="8506"/>
    <cellStyle name="Comma 2 5 2 2 3 2 2 2 2 2 2 2" xfId="8578"/>
    <cellStyle name="Comma 2 5 2 2 3 2 2 2 2 2 2 2 2" xfId="22058"/>
    <cellStyle name="Comma 2 5 2 2 3 2 2 2 2 2 2 2 2 2" xfId="22130"/>
    <cellStyle name="Comma 2 5 2 2 3 2 2 2 2 2 2 2 2 2 2" xfId="57384"/>
    <cellStyle name="Comma 2 5 2 2 3 2 2 2 2 2 2 2 2 2 2 2" xfId="57456"/>
    <cellStyle name="Comma 2 5 2 2 3 2 2 2 2 2 2 2 2 3" xfId="35633"/>
    <cellStyle name="Comma 2 5 2 2 3 2 2 2 2 2 2 2 3" xfId="35561"/>
    <cellStyle name="Comma 2 5 2 2 3 2 2 2 2 2 2 2 3 2" xfId="44005"/>
    <cellStyle name="Comma 2 5 2 2 3 2 2 2 2 2 2 3" xfId="13803"/>
    <cellStyle name="Comma 2 5 2 2 3 2 2 2 2 2 2 3 2" xfId="43933"/>
    <cellStyle name="Comma 2 5 2 2 3 2 2 2 2 2 2 3 2 2" xfId="49149"/>
    <cellStyle name="Comma 2 5 2 2 3 2 2 2 2 2 2 4" xfId="27288"/>
    <cellStyle name="Comma 2 5 2 2 3 2 2 2 2 2 3" xfId="13731"/>
    <cellStyle name="Comma 2 5 2 2 3 2 2 2 2 2 3 2" xfId="17020"/>
    <cellStyle name="Comma 2 5 2 2 3 2 2 2 2 2 3 2 2" xfId="49077"/>
    <cellStyle name="Comma 2 5 2 2 3 2 2 2 2 2 3 2 2 2" xfId="52348"/>
    <cellStyle name="Comma 2 5 2 2 3 2 2 2 2 2 3 3" xfId="30522"/>
    <cellStyle name="Comma 2 5 2 2 3 2 2 2 2 2 4" xfId="27216"/>
    <cellStyle name="Comma 2 5 2 2 3 2 2 2 2 2 4 2" xfId="38832"/>
    <cellStyle name="Comma 2 5 2 2 3 2 2 2 2 3" xfId="5400"/>
    <cellStyle name="Comma 2 5 2 2 3 2 2 2 2 3 2" xfId="16948"/>
    <cellStyle name="Comma 2 5 2 2 3 2 2 2 2 3 2 2" xfId="18973"/>
    <cellStyle name="Comma 2 5 2 2 3 2 2 2 2 3 2 2 2" xfId="52276"/>
    <cellStyle name="Comma 2 5 2 2 3 2 2 2 2 3 2 2 2 2" xfId="54299"/>
    <cellStyle name="Comma 2 5 2 2 3 2 2 2 2 3 2 3" xfId="32474"/>
    <cellStyle name="Comma 2 5 2 2 3 2 2 2 2 3 3" xfId="30450"/>
    <cellStyle name="Comma 2 5 2 2 3 2 2 2 2 3 3 2" xfId="40837"/>
    <cellStyle name="Comma 2 5 2 2 3 2 2 2 2 4" xfId="10603"/>
    <cellStyle name="Comma 2 5 2 2 3 2 2 2 2 4 2" xfId="38760"/>
    <cellStyle name="Comma 2 5 2 2 3 2 2 2 2 4 2 2" xfId="45966"/>
    <cellStyle name="Comma 2 5 2 2 3 2 2 2 2 5" xfId="24089"/>
    <cellStyle name="Comma 2 5 2 2 3 2 2 2 3" xfId="5328"/>
    <cellStyle name="Comma 2 5 2 2 3 2 2 2 3 2" xfId="6653"/>
    <cellStyle name="Comma 2 5 2 2 3 2 2 2 3 2 2" xfId="18901"/>
    <cellStyle name="Comma 2 5 2 2 3 2 2 2 3 2 2 2" xfId="20206"/>
    <cellStyle name="Comma 2 5 2 2 3 2 2 2 3 2 2 2 2" xfId="54227"/>
    <cellStyle name="Comma 2 5 2 2 3 2 2 2 3 2 2 2 2 2" xfId="55532"/>
    <cellStyle name="Comma 2 5 2 2 3 2 2 2 3 2 2 3" xfId="33708"/>
    <cellStyle name="Comma 2 5 2 2 3 2 2 2 3 2 3" xfId="32402"/>
    <cellStyle name="Comma 2 5 2 2 3 2 2 2 3 2 3 2" xfId="42081"/>
    <cellStyle name="Comma 2 5 2 2 3 2 2 2 3 3" xfId="11876"/>
    <cellStyle name="Comma 2 5 2 2 3 2 2 2 3 3 2" xfId="40765"/>
    <cellStyle name="Comma 2 5 2 2 3 2 2 2 3 3 2 2" xfId="47224"/>
    <cellStyle name="Comma 2 5 2 2 3 2 2 2 3 4" xfId="25361"/>
    <cellStyle name="Comma 2 5 2 2 3 2 2 2 4" xfId="10531"/>
    <cellStyle name="Comma 2 5 2 2 3 2 2 2 4 2" xfId="15034"/>
    <cellStyle name="Comma 2 5 2 2 3 2 2 2 4 2 2" xfId="45894"/>
    <cellStyle name="Comma 2 5 2 2 3 2 2 2 4 2 2 2" xfId="50373"/>
    <cellStyle name="Comma 2 5 2 2 3 2 2 2 4 3" xfId="28547"/>
    <cellStyle name="Comma 2 5 2 2 3 2 2 2 5" xfId="24017"/>
    <cellStyle name="Comma 2 5 2 2 3 2 2 2 5 2" xfId="36842"/>
    <cellStyle name="Comma 2 5 2 2 3 2 2 3" xfId="2152"/>
    <cellStyle name="Comma 2 5 2 2 3 2 2 3 2" xfId="6581"/>
    <cellStyle name="Comma 2 5 2 2 3 2 2 3 2 2" xfId="7386"/>
    <cellStyle name="Comma 2 5 2 2 3 2 2 3 2 2 2" xfId="20134"/>
    <cellStyle name="Comma 2 5 2 2 3 2 2 3 2 2 2 2" xfId="20938"/>
    <cellStyle name="Comma 2 5 2 2 3 2 2 3 2 2 2 2 2" xfId="55460"/>
    <cellStyle name="Comma 2 5 2 2 3 2 2 3 2 2 2 2 2 2" xfId="56264"/>
    <cellStyle name="Comma 2 5 2 2 3 2 2 3 2 2 2 3" xfId="34441"/>
    <cellStyle name="Comma 2 5 2 2 3 2 2 3 2 2 3" xfId="33636"/>
    <cellStyle name="Comma 2 5 2 2 3 2 2 3 2 2 3 2" xfId="42813"/>
    <cellStyle name="Comma 2 5 2 2 3 2 2 3 2 3" xfId="12611"/>
    <cellStyle name="Comma 2 5 2 2 3 2 2 3 2 3 2" xfId="42009"/>
    <cellStyle name="Comma 2 5 2 2 3 2 2 3 2 3 2 2" xfId="47957"/>
    <cellStyle name="Comma 2 5 2 2 3 2 2 3 2 4" xfId="26095"/>
    <cellStyle name="Comma 2 5 2 2 3 2 2 3 3" xfId="11804"/>
    <cellStyle name="Comma 2 5 2 2 3 2 2 3 3 2" xfId="15816"/>
    <cellStyle name="Comma 2 5 2 2 3 2 2 3 3 2 2" xfId="47152"/>
    <cellStyle name="Comma 2 5 2 2 3 2 2 3 3 2 2 2" xfId="51148"/>
    <cellStyle name="Comma 2 5 2 2 3 2 2 3 3 3" xfId="29322"/>
    <cellStyle name="Comma 2 5 2 2 3 2 2 3 4" xfId="25289"/>
    <cellStyle name="Comma 2 5 2 2 3 2 2 3 4 2" xfId="37630"/>
    <cellStyle name="Comma 2 5 2 2 3 2 2 4" xfId="4168"/>
    <cellStyle name="Comma 2 5 2 2 3 2 2 4 2" xfId="14962"/>
    <cellStyle name="Comma 2 5 2 2 3 2 2 4 2 2" xfId="17761"/>
    <cellStyle name="Comma 2 5 2 2 3 2 2 4 2 2 2" xfId="50301"/>
    <cellStyle name="Comma 2 5 2 2 3 2 2 4 2 2 2 2" xfId="53088"/>
    <cellStyle name="Comma 2 5 2 2 3 2 2 4 2 3" xfId="31263"/>
    <cellStyle name="Comma 2 5 2 2 3 2 2 4 3" xfId="28475"/>
    <cellStyle name="Comma 2 5 2 2 3 2 2 4 3 2" xfId="39611"/>
    <cellStyle name="Comma 2 5 2 2 3 2 2 5" xfId="9359"/>
    <cellStyle name="Comma 2 5 2 2 3 2 2 5 2" xfId="36770"/>
    <cellStyle name="Comma 2 5 2 2 3 2 2 5 2 2" xfId="44741"/>
    <cellStyle name="Comma 2 5 2 2 3 2 2 6" xfId="22855"/>
    <cellStyle name="Comma 2 5 2 2 3 2 3" xfId="2079"/>
    <cellStyle name="Comma 2 5 2 2 3 2 3 2" xfId="2634"/>
    <cellStyle name="Comma 2 5 2 2 3 2 3 2 2" xfId="7313"/>
    <cellStyle name="Comma 2 5 2 2 3 2 3 2 2 2" xfId="7854"/>
    <cellStyle name="Comma 2 5 2 2 3 2 3 2 2 2 2" xfId="20865"/>
    <cellStyle name="Comma 2 5 2 2 3 2 3 2 2 2 2 2" xfId="21406"/>
    <cellStyle name="Comma 2 5 2 2 3 2 3 2 2 2 2 2 2" xfId="56191"/>
    <cellStyle name="Comma 2 5 2 2 3 2 3 2 2 2 2 2 2 2" xfId="56732"/>
    <cellStyle name="Comma 2 5 2 2 3 2 3 2 2 2 2 3" xfId="34909"/>
    <cellStyle name="Comma 2 5 2 2 3 2 3 2 2 2 3" xfId="34368"/>
    <cellStyle name="Comma 2 5 2 2 3 2 3 2 2 2 3 2" xfId="43281"/>
    <cellStyle name="Comma 2 5 2 2 3 2 3 2 2 3" xfId="13079"/>
    <cellStyle name="Comma 2 5 2 2 3 2 3 2 2 3 2" xfId="42740"/>
    <cellStyle name="Comma 2 5 2 2 3 2 3 2 2 3 2 2" xfId="48425"/>
    <cellStyle name="Comma 2 5 2 2 3 2 3 2 2 4" xfId="26563"/>
    <cellStyle name="Comma 2 5 2 2 3 2 3 2 3" xfId="12538"/>
    <cellStyle name="Comma 2 5 2 2 3 2 3 2 3 2" xfId="16293"/>
    <cellStyle name="Comma 2 5 2 2 3 2 3 2 3 2 2" xfId="47884"/>
    <cellStyle name="Comma 2 5 2 2 3 2 3 2 3 2 2 2" xfId="51623"/>
    <cellStyle name="Comma 2 5 2 2 3 2 3 2 3 3" xfId="29797"/>
    <cellStyle name="Comma 2 5 2 2 3 2 3 2 4" xfId="26022"/>
    <cellStyle name="Comma 2 5 2 2 3 2 3 2 4 2" xfId="38107"/>
    <cellStyle name="Comma 2 5 2 2 3 2 3 3" xfId="4669"/>
    <cellStyle name="Comma 2 5 2 2 3 2 3 3 2" xfId="15743"/>
    <cellStyle name="Comma 2 5 2 2 3 2 3 3 2 2" xfId="18248"/>
    <cellStyle name="Comma 2 5 2 2 3 2 3 3 2 2 2" xfId="51075"/>
    <cellStyle name="Comma 2 5 2 2 3 2 3 3 2 2 2 2" xfId="53574"/>
    <cellStyle name="Comma 2 5 2 2 3 2 3 3 2 3" xfId="31749"/>
    <cellStyle name="Comma 2 5 2 2 3 2 3 3 3" xfId="29249"/>
    <cellStyle name="Comma 2 5 2 2 3 2 3 3 3 2" xfId="40108"/>
    <cellStyle name="Comma 2 5 2 2 3 2 3 4" xfId="9872"/>
    <cellStyle name="Comma 2 5 2 2 3 2 3 4 2" xfId="37557"/>
    <cellStyle name="Comma 2 5 2 2 3 2 3 4 2 2" xfId="45241"/>
    <cellStyle name="Comma 2 5 2 2 3 2 3 5" xfId="23364"/>
    <cellStyle name="Comma 2 5 2 2 3 2 4" xfId="4095"/>
    <cellStyle name="Comma 2 5 2 2 3 2 4 2" xfId="5873"/>
    <cellStyle name="Comma 2 5 2 2 3 2 4 2 2" xfId="17688"/>
    <cellStyle name="Comma 2 5 2 2 3 2 4 2 2 2" xfId="19441"/>
    <cellStyle name="Comma 2 5 2 2 3 2 4 2 2 2 2" xfId="53015"/>
    <cellStyle name="Comma 2 5 2 2 3 2 4 2 2 2 2 2" xfId="54767"/>
    <cellStyle name="Comma 2 5 2 2 3 2 4 2 2 3" xfId="32942"/>
    <cellStyle name="Comma 2 5 2 2 3 2 4 2 3" xfId="31190"/>
    <cellStyle name="Comma 2 5 2 2 3 2 4 2 3 2" xfId="41308"/>
    <cellStyle name="Comma 2 5 2 2 3 2 4 3" xfId="11097"/>
    <cellStyle name="Comma 2 5 2 2 3 2 4 3 2" xfId="39538"/>
    <cellStyle name="Comma 2 5 2 2 3 2 4 3 2 2" xfId="46456"/>
    <cellStyle name="Comma 2 5 2 2 3 2 4 4" xfId="24591"/>
    <cellStyle name="Comma 2 5 2 2 3 2 5" xfId="9286"/>
    <cellStyle name="Comma 2 5 2 2 3 2 5 2" xfId="14258"/>
    <cellStyle name="Comma 2 5 2 2 3 2 5 2 2" xfId="44668"/>
    <cellStyle name="Comma 2 5 2 2 3 2 5 2 2 2" xfId="49603"/>
    <cellStyle name="Comma 2 5 2 2 3 2 5 3" xfId="27765"/>
    <cellStyle name="Comma 2 5 2 2 3 2 6" xfId="22782"/>
    <cellStyle name="Comma 2 5 2 2 3 2 6 2" xfId="36070"/>
    <cellStyle name="Comma 2 5 2 2 3 3" xfId="868"/>
    <cellStyle name="Comma 2 5 2 2 3 3 2" xfId="2557"/>
    <cellStyle name="Comma 2 5 2 2 3 3 2 2" xfId="2915"/>
    <cellStyle name="Comma 2 5 2 2 3 3 2 2 2" xfId="7778"/>
    <cellStyle name="Comma 2 5 2 2 3 3 2 2 2 2" xfId="8130"/>
    <cellStyle name="Comma 2 5 2 2 3 3 2 2 2 2 2" xfId="21330"/>
    <cellStyle name="Comma 2 5 2 2 3 3 2 2 2 2 2 2" xfId="21682"/>
    <cellStyle name="Comma 2 5 2 2 3 3 2 2 2 2 2 2 2" xfId="56656"/>
    <cellStyle name="Comma 2 5 2 2 3 3 2 2 2 2 2 2 2 2" xfId="57008"/>
    <cellStyle name="Comma 2 5 2 2 3 3 2 2 2 2 2 3" xfId="35185"/>
    <cellStyle name="Comma 2 5 2 2 3 3 2 2 2 2 3" xfId="34833"/>
    <cellStyle name="Comma 2 5 2 2 3 3 2 2 2 2 3 2" xfId="43557"/>
    <cellStyle name="Comma 2 5 2 2 3 3 2 2 2 3" xfId="13355"/>
    <cellStyle name="Comma 2 5 2 2 3 3 2 2 2 3 2" xfId="43205"/>
    <cellStyle name="Comma 2 5 2 2 3 3 2 2 2 3 2 2" xfId="48701"/>
    <cellStyle name="Comma 2 5 2 2 3 3 2 2 2 4" xfId="26840"/>
    <cellStyle name="Comma 2 5 2 2 3 3 2 2 3" xfId="13003"/>
    <cellStyle name="Comma 2 5 2 2 3 3 2 2 3 2" xfId="16572"/>
    <cellStyle name="Comma 2 5 2 2 3 3 2 2 3 2 2" xfId="48349"/>
    <cellStyle name="Comma 2 5 2 2 3 3 2 2 3 2 2 2" xfId="51900"/>
    <cellStyle name="Comma 2 5 2 2 3 3 2 2 3 3" xfId="30074"/>
    <cellStyle name="Comma 2 5 2 2 3 3 2 2 4" xfId="26487"/>
    <cellStyle name="Comma 2 5 2 2 3 3 2 2 4 2" xfId="38384"/>
    <cellStyle name="Comma 2 5 2 2 3 3 2 3" xfId="4951"/>
    <cellStyle name="Comma 2 5 2 2 3 3 2 3 2" xfId="16216"/>
    <cellStyle name="Comma 2 5 2 2 3 3 2 3 2 2" xfId="18524"/>
    <cellStyle name="Comma 2 5 2 2 3 3 2 3 2 2 2" xfId="51546"/>
    <cellStyle name="Comma 2 5 2 2 3 3 2 3 2 2 2 2" xfId="53850"/>
    <cellStyle name="Comma 2 5 2 2 3 3 2 3 2 3" xfId="32025"/>
    <cellStyle name="Comma 2 5 2 2 3 3 2 3 3" xfId="29720"/>
    <cellStyle name="Comma 2 5 2 2 3 3 2 3 3 2" xfId="40388"/>
    <cellStyle name="Comma 2 5 2 2 3 3 2 4" xfId="10154"/>
    <cellStyle name="Comma 2 5 2 2 3 3 2 4 2" xfId="38030"/>
    <cellStyle name="Comma 2 5 2 2 3 3 2 4 2 2" xfId="45517"/>
    <cellStyle name="Comma 2 5 2 2 3 3 2 5" xfId="23640"/>
    <cellStyle name="Comma 2 5 2 2 3 3 3" xfId="4590"/>
    <cellStyle name="Comma 2 5 2 2 3 3 3 2" xfId="6182"/>
    <cellStyle name="Comma 2 5 2 2 3 3 3 2 2" xfId="18171"/>
    <cellStyle name="Comma 2 5 2 2 3 3 3 2 2 2" xfId="19741"/>
    <cellStyle name="Comma 2 5 2 2 3 3 3 2 2 2 2" xfId="53497"/>
    <cellStyle name="Comma 2 5 2 2 3 3 3 2 2 2 2 2" xfId="55067"/>
    <cellStyle name="Comma 2 5 2 2 3 3 3 2 2 3" xfId="33243"/>
    <cellStyle name="Comma 2 5 2 2 3 3 3 2 3" xfId="31672"/>
    <cellStyle name="Comma 2 5 2 2 3 3 3 2 3 2" xfId="41612"/>
    <cellStyle name="Comma 2 5 2 2 3 3 3 3" xfId="11407"/>
    <cellStyle name="Comma 2 5 2 2 3 3 3 3 2" xfId="40029"/>
    <cellStyle name="Comma 2 5 2 2 3 3 3 3 2 2" xfId="46758"/>
    <cellStyle name="Comma 2 5 2 2 3 3 3 4" xfId="24895"/>
    <cellStyle name="Comma 2 5 2 2 3 3 4" xfId="9794"/>
    <cellStyle name="Comma 2 5 2 2 3 3 4 2" xfId="14565"/>
    <cellStyle name="Comma 2 5 2 2 3 3 4 2 2" xfId="45164"/>
    <cellStyle name="Comma 2 5 2 2 3 3 4 2 2 2" xfId="49906"/>
    <cellStyle name="Comma 2 5 2 2 3 3 4 3" xfId="28076"/>
    <cellStyle name="Comma 2 5 2 2 3 3 5" xfId="23287"/>
    <cellStyle name="Comma 2 5 2 2 3 3 5 2" xfId="36375"/>
    <cellStyle name="Comma 2 5 2 2 3 4" xfId="1663"/>
    <cellStyle name="Comma 2 5 2 2 3 4 2" xfId="5796"/>
    <cellStyle name="Comma 2 5 2 2 3 4 2 2" xfId="6925"/>
    <cellStyle name="Comma 2 5 2 2 3 4 2 2 2" xfId="19364"/>
    <cellStyle name="Comma 2 5 2 2 3 4 2 2 2 2" xfId="20478"/>
    <cellStyle name="Comma 2 5 2 2 3 4 2 2 2 2 2" xfId="54690"/>
    <cellStyle name="Comma 2 5 2 2 3 4 2 2 2 2 2 2" xfId="55804"/>
    <cellStyle name="Comma 2 5 2 2 3 4 2 2 2 3" xfId="33980"/>
    <cellStyle name="Comma 2 5 2 2 3 4 2 2 3" xfId="32865"/>
    <cellStyle name="Comma 2 5 2 2 3 4 2 2 3 2" xfId="42353"/>
    <cellStyle name="Comma 2 5 2 2 3 4 2 3" xfId="12149"/>
    <cellStyle name="Comma 2 5 2 2 3 4 2 3 2" xfId="41231"/>
    <cellStyle name="Comma 2 5 2 2 3 4 2 3 2 2" xfId="47496"/>
    <cellStyle name="Comma 2 5 2 2 3 4 2 4" xfId="25634"/>
    <cellStyle name="Comma 2 5 2 2 3 4 3" xfId="11018"/>
    <cellStyle name="Comma 2 5 2 2 3 4 3 2" xfId="15336"/>
    <cellStyle name="Comma 2 5 2 2 3 4 3 2 2" xfId="46377"/>
    <cellStyle name="Comma 2 5 2 2 3 4 3 2 2 2" xfId="50671"/>
    <cellStyle name="Comma 2 5 2 2 3 4 3 3" xfId="28845"/>
    <cellStyle name="Comma 2 5 2 2 3 4 4" xfId="24512"/>
    <cellStyle name="Comma 2 5 2 2 3 4 4 2" xfId="37147"/>
    <cellStyle name="Comma 2 5 2 2 3 5" xfId="3668"/>
    <cellStyle name="Comma 2 5 2 2 3 5 2" xfId="14179"/>
    <cellStyle name="Comma 2 5 2 2 3 5 2 2" xfId="17293"/>
    <cellStyle name="Comma 2 5 2 2 3 5 2 2 2" xfId="49524"/>
    <cellStyle name="Comma 2 5 2 2 3 5 2 2 2 2" xfId="52620"/>
    <cellStyle name="Comma 2 5 2 2 3 5 2 3" xfId="30794"/>
    <cellStyle name="Comma 2 5 2 2 3 5 3" xfId="27685"/>
    <cellStyle name="Comma 2 5 2 2 3 5 3 2" xfId="39121"/>
    <cellStyle name="Comma 2 5 2 2 3 6" xfId="8861"/>
    <cellStyle name="Comma 2 5 2 2 3 6 2" xfId="35991"/>
    <cellStyle name="Comma 2 5 2 2 3 6 2 2" xfId="44265"/>
    <cellStyle name="Comma 2 5 2 2 3 7" xfId="22373"/>
    <cellStyle name="Comma 2 5 2 2 4" xfId="779"/>
    <cellStyle name="Comma 2 5 2 2 4 2" xfId="1040"/>
    <cellStyle name="Comma 2 5 2 2 4 2 2" xfId="2835"/>
    <cellStyle name="Comma 2 5 2 2 4 2 2 2" xfId="3076"/>
    <cellStyle name="Comma 2 5 2 2 4 2 2 2 2" xfId="8051"/>
    <cellStyle name="Comma 2 5 2 2 4 2 2 2 2 2" xfId="8291"/>
    <cellStyle name="Comma 2 5 2 2 4 2 2 2 2 2 2" xfId="21603"/>
    <cellStyle name="Comma 2 5 2 2 4 2 2 2 2 2 2 2" xfId="21843"/>
    <cellStyle name="Comma 2 5 2 2 4 2 2 2 2 2 2 2 2" xfId="56929"/>
    <cellStyle name="Comma 2 5 2 2 4 2 2 2 2 2 2 2 2 2" xfId="57169"/>
    <cellStyle name="Comma 2 5 2 2 4 2 2 2 2 2 2 3" xfId="35346"/>
    <cellStyle name="Comma 2 5 2 2 4 2 2 2 2 2 3" xfId="35106"/>
    <cellStyle name="Comma 2 5 2 2 4 2 2 2 2 2 3 2" xfId="43718"/>
    <cellStyle name="Comma 2 5 2 2 4 2 2 2 2 3" xfId="13516"/>
    <cellStyle name="Comma 2 5 2 2 4 2 2 2 2 3 2" xfId="43478"/>
    <cellStyle name="Comma 2 5 2 2 4 2 2 2 2 3 2 2" xfId="48862"/>
    <cellStyle name="Comma 2 5 2 2 4 2 2 2 2 4" xfId="27001"/>
    <cellStyle name="Comma 2 5 2 2 4 2 2 2 3" xfId="13276"/>
    <cellStyle name="Comma 2 5 2 2 4 2 2 2 3 2" xfId="16733"/>
    <cellStyle name="Comma 2 5 2 2 4 2 2 2 3 2 2" xfId="48622"/>
    <cellStyle name="Comma 2 5 2 2 4 2 2 2 3 2 2 2" xfId="52061"/>
    <cellStyle name="Comma 2 5 2 2 4 2 2 2 3 3" xfId="30235"/>
    <cellStyle name="Comma 2 5 2 2 4 2 2 2 4" xfId="26760"/>
    <cellStyle name="Comma 2 5 2 2 4 2 2 2 4 2" xfId="38545"/>
    <cellStyle name="Comma 2 5 2 2 4 2 2 3" xfId="5113"/>
    <cellStyle name="Comma 2 5 2 2 4 2 2 3 2" xfId="16493"/>
    <cellStyle name="Comma 2 5 2 2 4 2 2 3 2 2" xfId="18686"/>
    <cellStyle name="Comma 2 5 2 2 4 2 2 3 2 2 2" xfId="51821"/>
    <cellStyle name="Comma 2 5 2 2 4 2 2 3 2 2 2 2" xfId="54012"/>
    <cellStyle name="Comma 2 5 2 2 4 2 2 3 2 3" xfId="32187"/>
    <cellStyle name="Comma 2 5 2 2 4 2 2 3 3" xfId="29995"/>
    <cellStyle name="Comma 2 5 2 2 4 2 2 3 3 2" xfId="40550"/>
    <cellStyle name="Comma 2 5 2 2 4 2 2 4" xfId="10316"/>
    <cellStyle name="Comma 2 5 2 2 4 2 2 4 2" xfId="38305"/>
    <cellStyle name="Comma 2 5 2 2 4 2 2 4 2 2" xfId="45679"/>
    <cellStyle name="Comma 2 5 2 2 4 2 2 5" xfId="23802"/>
    <cellStyle name="Comma 2 5 2 2 4 2 3" xfId="4871"/>
    <cellStyle name="Comma 2 5 2 2 4 2 3 2" xfId="6350"/>
    <cellStyle name="Comma 2 5 2 2 4 2 3 2 2" xfId="18445"/>
    <cellStyle name="Comma 2 5 2 2 4 2 3 2 2 2" xfId="19907"/>
    <cellStyle name="Comma 2 5 2 2 4 2 3 2 2 2 2" xfId="53771"/>
    <cellStyle name="Comma 2 5 2 2 4 2 3 2 2 2 2 2" xfId="55233"/>
    <cellStyle name="Comma 2 5 2 2 4 2 3 2 2 3" xfId="33409"/>
    <cellStyle name="Comma 2 5 2 2 4 2 3 2 3" xfId="31946"/>
    <cellStyle name="Comma 2 5 2 2 4 2 3 2 3 2" xfId="41779"/>
    <cellStyle name="Comma 2 5 2 2 4 2 3 3" xfId="11576"/>
    <cellStyle name="Comma 2 5 2 2 4 2 3 3 2" xfId="40308"/>
    <cellStyle name="Comma 2 5 2 2 4 2 3 3 2 2" xfId="46925"/>
    <cellStyle name="Comma 2 5 2 2 4 2 3 4" xfId="25062"/>
    <cellStyle name="Comma 2 5 2 2 4 2 4" xfId="10074"/>
    <cellStyle name="Comma 2 5 2 2 4 2 4 2" xfId="14733"/>
    <cellStyle name="Comma 2 5 2 2 4 2 4 2 2" xfId="45438"/>
    <cellStyle name="Comma 2 5 2 2 4 2 4 2 2 2" xfId="50072"/>
    <cellStyle name="Comma 2 5 2 2 4 2 4 3" xfId="28245"/>
    <cellStyle name="Comma 2 5 2 2 4 2 5" xfId="23561"/>
    <cellStyle name="Comma 2 5 2 2 4 2 5 2" xfId="36541"/>
    <cellStyle name="Comma 2 5 2 2 4 3" xfId="1845"/>
    <cellStyle name="Comma 2 5 2 2 4 3 2" xfId="6095"/>
    <cellStyle name="Comma 2 5 2 2 4 3 2 2" xfId="7095"/>
    <cellStyle name="Comma 2 5 2 2 4 3 2 2 2" xfId="19657"/>
    <cellStyle name="Comma 2 5 2 2 4 3 2 2 2 2" xfId="20648"/>
    <cellStyle name="Comma 2 5 2 2 4 3 2 2 2 2 2" xfId="54983"/>
    <cellStyle name="Comma 2 5 2 2 4 3 2 2 2 2 2 2" xfId="55974"/>
    <cellStyle name="Comma 2 5 2 2 4 3 2 2 2 3" xfId="34150"/>
    <cellStyle name="Comma 2 5 2 2 4 3 2 2 3" xfId="33158"/>
    <cellStyle name="Comma 2 5 2 2 4 3 2 2 3 2" xfId="42523"/>
    <cellStyle name="Comma 2 5 2 2 4 3 2 3" xfId="12320"/>
    <cellStyle name="Comma 2 5 2 2 4 3 2 3 2" xfId="41528"/>
    <cellStyle name="Comma 2 5 2 2 4 3 2 3 2 2" xfId="47667"/>
    <cellStyle name="Comma 2 5 2 2 4 3 2 4" xfId="25805"/>
    <cellStyle name="Comma 2 5 2 2 4 3 3" xfId="11321"/>
    <cellStyle name="Comma 2 5 2 2 4 3 3 2" xfId="15516"/>
    <cellStyle name="Comma 2 5 2 2 4 3 3 2 2" xfId="46674"/>
    <cellStyle name="Comma 2 5 2 2 4 3 3 2 2 2" xfId="50849"/>
    <cellStyle name="Comma 2 5 2 2 4 3 3 3" xfId="29023"/>
    <cellStyle name="Comma 2 5 2 2 4 3 4" xfId="24811"/>
    <cellStyle name="Comma 2 5 2 2 4 3 4 2" xfId="37326"/>
    <cellStyle name="Comma 2 5 2 2 4 4" xfId="3858"/>
    <cellStyle name="Comma 2 5 2 2 4 4 2" xfId="14479"/>
    <cellStyle name="Comma 2 5 2 2 4 4 2 2" xfId="17471"/>
    <cellStyle name="Comma 2 5 2 2 4 4 2 2 2" xfId="49821"/>
    <cellStyle name="Comma 2 5 2 2 4 4 2 2 2 2" xfId="52798"/>
    <cellStyle name="Comma 2 5 2 2 4 4 2 3" xfId="30972"/>
    <cellStyle name="Comma 2 5 2 2 4 4 3" xfId="27990"/>
    <cellStyle name="Comma 2 5 2 2 4 4 3 2" xfId="39307"/>
    <cellStyle name="Comma 2 5 2 2 4 5" xfId="9050"/>
    <cellStyle name="Comma 2 5 2 2 4 5 2" xfId="36289"/>
    <cellStyle name="Comma 2 5 2 2 4 5 2 2" xfId="44447"/>
    <cellStyle name="Comma 2 5 2 2 4 6" xfId="22558"/>
    <cellStyle name="Comma 2 5 2 2 5" xfId="1565"/>
    <cellStyle name="Comma 2 5 2 2 5 2" xfId="2303"/>
    <cellStyle name="Comma 2 5 2 2 5 2 2" xfId="6837"/>
    <cellStyle name="Comma 2 5 2 2 5 2 2 2" xfId="7537"/>
    <cellStyle name="Comma 2 5 2 2 5 2 2 2 2" xfId="20390"/>
    <cellStyle name="Comma 2 5 2 2 5 2 2 2 2 2" xfId="21089"/>
    <cellStyle name="Comma 2 5 2 2 5 2 2 2 2 2 2" xfId="55716"/>
    <cellStyle name="Comma 2 5 2 2 5 2 2 2 2 2 2 2" xfId="56415"/>
    <cellStyle name="Comma 2 5 2 2 5 2 2 2 2 3" xfId="34592"/>
    <cellStyle name="Comma 2 5 2 2 5 2 2 2 3" xfId="33892"/>
    <cellStyle name="Comma 2 5 2 2 5 2 2 2 3 2" xfId="42964"/>
    <cellStyle name="Comma 2 5 2 2 5 2 2 3" xfId="12762"/>
    <cellStyle name="Comma 2 5 2 2 5 2 2 3 2" xfId="42265"/>
    <cellStyle name="Comma 2 5 2 2 5 2 2 3 2 2" xfId="48108"/>
    <cellStyle name="Comma 2 5 2 2 5 2 2 4" xfId="26246"/>
    <cellStyle name="Comma 2 5 2 2 5 2 3" xfId="12061"/>
    <cellStyle name="Comma 2 5 2 2 5 2 3 2" xfId="15967"/>
    <cellStyle name="Comma 2 5 2 2 5 2 3 2 2" xfId="47408"/>
    <cellStyle name="Comma 2 5 2 2 5 2 3 2 2 2" xfId="51299"/>
    <cellStyle name="Comma 2 5 2 2 5 2 3 3" xfId="29473"/>
    <cellStyle name="Comma 2 5 2 2 5 2 4" xfId="25546"/>
    <cellStyle name="Comma 2 5 2 2 5 2 4 2" xfId="37781"/>
    <cellStyle name="Comma 2 5 2 2 5 3" xfId="4331"/>
    <cellStyle name="Comma 2 5 2 2 5 3 2" xfId="15241"/>
    <cellStyle name="Comma 2 5 2 2 5 3 2 2" xfId="17924"/>
    <cellStyle name="Comma 2 5 2 2 5 3 2 2 2" xfId="50578"/>
    <cellStyle name="Comma 2 5 2 2 5 3 2 2 2 2" xfId="53251"/>
    <cellStyle name="Comma 2 5 2 2 5 3 2 3" xfId="31426"/>
    <cellStyle name="Comma 2 5 2 2 5 3 3" xfId="28752"/>
    <cellStyle name="Comma 2 5 2 2 5 3 3 2" xfId="39774"/>
    <cellStyle name="Comma 2 5 2 2 5 4" xfId="9527"/>
    <cellStyle name="Comma 2 5 2 2 5 4 2" xfId="37053"/>
    <cellStyle name="Comma 2 5 2 2 5 4 2 2" xfId="44909"/>
    <cellStyle name="Comma 2 5 2 2 5 5" xfId="23025"/>
    <cellStyle name="Comma 2 5 2 2 6" xfId="3566"/>
    <cellStyle name="Comma 2 5 2 2 6 2" xfId="5542"/>
    <cellStyle name="Comma 2 5 2 2 6 2 2" xfId="17202"/>
    <cellStyle name="Comma 2 5 2 2 6 2 2 2" xfId="19115"/>
    <cellStyle name="Comma 2 5 2 2 6 2 2 2 2" xfId="52529"/>
    <cellStyle name="Comma 2 5 2 2 6 2 2 2 2 2" xfId="54441"/>
    <cellStyle name="Comma 2 5 2 2 6 2 2 3" xfId="32616"/>
    <cellStyle name="Comma 2 5 2 2 6 2 3" xfId="30703"/>
    <cellStyle name="Comma 2 5 2 2 6 2 3 2" xfId="40979"/>
    <cellStyle name="Comma 2 5 2 2 6 3" xfId="10749"/>
    <cellStyle name="Comma 2 5 2 2 6 3 2" xfId="39023"/>
    <cellStyle name="Comma 2 5 2 2 6 3 2 2" xfId="46111"/>
    <cellStyle name="Comma 2 5 2 2 6 4" xfId="24236"/>
    <cellStyle name="Comma 2 5 2 2 7" xfId="8757"/>
    <cellStyle name="Comma 2 5 2 2 7 2" xfId="13927"/>
    <cellStyle name="Comma 2 5 2 2 7 2 2" xfId="44170"/>
    <cellStyle name="Comma 2 5 2 2 7 2 2 2" xfId="49273"/>
    <cellStyle name="Comma 2 5 2 2 7 3" xfId="27413"/>
    <cellStyle name="Comma 2 5 2 2 8" xfId="22274"/>
    <cellStyle name="Comma 2 5 2 2 8 2" xfId="27899"/>
    <cellStyle name="Comma 2 5 2 3" xfId="225"/>
    <cellStyle name="Comma 2 5 2 3 2" xfId="532"/>
    <cellStyle name="Comma 2 5 2 3 2 2" xfId="588"/>
    <cellStyle name="Comma 2 5 2 3 2 2 2" xfId="1337"/>
    <cellStyle name="Comma 2 5 2 3 2 2 2 2" xfId="1384"/>
    <cellStyle name="Comma 2 5 2 3 2 2 2 2 2" xfId="3355"/>
    <cellStyle name="Comma 2 5 2 3 2 2 2 2 2 2" xfId="3402"/>
    <cellStyle name="Comma 2 5 2 3 2 2 2 2 2 2 2" xfId="8570"/>
    <cellStyle name="Comma 2 5 2 3 2 2 2 2 2 2 2 2" xfId="8617"/>
    <cellStyle name="Comma 2 5 2 3 2 2 2 2 2 2 2 2 2" xfId="22122"/>
    <cellStyle name="Comma 2 5 2 3 2 2 2 2 2 2 2 2 2 2" xfId="22169"/>
    <cellStyle name="Comma 2 5 2 3 2 2 2 2 2 2 2 2 2 2 2" xfId="57448"/>
    <cellStyle name="Comma 2 5 2 3 2 2 2 2 2 2 2 2 2 2 2 2" xfId="57495"/>
    <cellStyle name="Comma 2 5 2 3 2 2 2 2 2 2 2 2 2 3" xfId="35672"/>
    <cellStyle name="Comma 2 5 2 3 2 2 2 2 2 2 2 2 3" xfId="35625"/>
    <cellStyle name="Comma 2 5 2 3 2 2 2 2 2 2 2 2 3 2" xfId="44044"/>
    <cellStyle name="Comma 2 5 2 3 2 2 2 2 2 2 2 3" xfId="13842"/>
    <cellStyle name="Comma 2 5 2 3 2 2 2 2 2 2 2 3 2" xfId="43997"/>
    <cellStyle name="Comma 2 5 2 3 2 2 2 2 2 2 2 3 2 2" xfId="49188"/>
    <cellStyle name="Comma 2 5 2 3 2 2 2 2 2 2 2 4" xfId="27327"/>
    <cellStyle name="Comma 2 5 2 3 2 2 2 2 2 2 3" xfId="13795"/>
    <cellStyle name="Comma 2 5 2 3 2 2 2 2 2 2 3 2" xfId="17059"/>
    <cellStyle name="Comma 2 5 2 3 2 2 2 2 2 2 3 2 2" xfId="49141"/>
    <cellStyle name="Comma 2 5 2 3 2 2 2 2 2 2 3 2 2 2" xfId="52387"/>
    <cellStyle name="Comma 2 5 2 3 2 2 2 2 2 2 3 3" xfId="30561"/>
    <cellStyle name="Comma 2 5 2 3 2 2 2 2 2 2 4" xfId="27280"/>
    <cellStyle name="Comma 2 5 2 3 2 2 2 2 2 2 4 2" xfId="38871"/>
    <cellStyle name="Comma 2 5 2 3 2 2 2 2 2 3" xfId="5439"/>
    <cellStyle name="Comma 2 5 2 3 2 2 2 2 2 3 2" xfId="17012"/>
    <cellStyle name="Comma 2 5 2 3 2 2 2 2 2 3 2 2" xfId="19012"/>
    <cellStyle name="Comma 2 5 2 3 2 2 2 2 2 3 2 2 2" xfId="52340"/>
    <cellStyle name="Comma 2 5 2 3 2 2 2 2 2 3 2 2 2 2" xfId="54338"/>
    <cellStyle name="Comma 2 5 2 3 2 2 2 2 2 3 2 3" xfId="32513"/>
    <cellStyle name="Comma 2 5 2 3 2 2 2 2 2 3 3" xfId="30514"/>
    <cellStyle name="Comma 2 5 2 3 2 2 2 2 2 3 3 2" xfId="40876"/>
    <cellStyle name="Comma 2 5 2 3 2 2 2 2 2 4" xfId="10642"/>
    <cellStyle name="Comma 2 5 2 3 2 2 2 2 2 4 2" xfId="38824"/>
    <cellStyle name="Comma 2 5 2 3 2 2 2 2 2 4 2 2" xfId="46005"/>
    <cellStyle name="Comma 2 5 2 3 2 2 2 2 2 5" xfId="24128"/>
    <cellStyle name="Comma 2 5 2 3 2 2 2 2 3" xfId="5392"/>
    <cellStyle name="Comma 2 5 2 3 2 2 2 2 3 2" xfId="6692"/>
    <cellStyle name="Comma 2 5 2 3 2 2 2 2 3 2 2" xfId="18965"/>
    <cellStyle name="Comma 2 5 2 3 2 2 2 2 3 2 2 2" xfId="20245"/>
    <cellStyle name="Comma 2 5 2 3 2 2 2 2 3 2 2 2 2" xfId="54291"/>
    <cellStyle name="Comma 2 5 2 3 2 2 2 2 3 2 2 2 2 2" xfId="55571"/>
    <cellStyle name="Comma 2 5 2 3 2 2 2 2 3 2 2 3" xfId="33747"/>
    <cellStyle name="Comma 2 5 2 3 2 2 2 2 3 2 3" xfId="32466"/>
    <cellStyle name="Comma 2 5 2 3 2 2 2 2 3 2 3 2" xfId="42120"/>
    <cellStyle name="Comma 2 5 2 3 2 2 2 2 3 3" xfId="11915"/>
    <cellStyle name="Comma 2 5 2 3 2 2 2 2 3 3 2" xfId="40829"/>
    <cellStyle name="Comma 2 5 2 3 2 2 2 2 3 3 2 2" xfId="47263"/>
    <cellStyle name="Comma 2 5 2 3 2 2 2 2 3 4" xfId="25400"/>
    <cellStyle name="Comma 2 5 2 3 2 2 2 2 4" xfId="10595"/>
    <cellStyle name="Comma 2 5 2 3 2 2 2 2 4 2" xfId="15073"/>
    <cellStyle name="Comma 2 5 2 3 2 2 2 2 4 2 2" xfId="45958"/>
    <cellStyle name="Comma 2 5 2 3 2 2 2 2 4 2 2 2" xfId="50412"/>
    <cellStyle name="Comma 2 5 2 3 2 2 2 2 4 3" xfId="28586"/>
    <cellStyle name="Comma 2 5 2 3 2 2 2 2 5" xfId="24081"/>
    <cellStyle name="Comma 2 5 2 3 2 2 2 2 5 2" xfId="36881"/>
    <cellStyle name="Comma 2 5 2 3 2 2 2 3" xfId="2191"/>
    <cellStyle name="Comma 2 5 2 3 2 2 2 3 2" xfId="6645"/>
    <cellStyle name="Comma 2 5 2 3 2 2 2 3 2 2" xfId="7425"/>
    <cellStyle name="Comma 2 5 2 3 2 2 2 3 2 2 2" xfId="20198"/>
    <cellStyle name="Comma 2 5 2 3 2 2 2 3 2 2 2 2" xfId="20977"/>
    <cellStyle name="Comma 2 5 2 3 2 2 2 3 2 2 2 2 2" xfId="55524"/>
    <cellStyle name="Comma 2 5 2 3 2 2 2 3 2 2 2 2 2 2" xfId="56303"/>
    <cellStyle name="Comma 2 5 2 3 2 2 2 3 2 2 2 3" xfId="34480"/>
    <cellStyle name="Comma 2 5 2 3 2 2 2 3 2 2 3" xfId="33700"/>
    <cellStyle name="Comma 2 5 2 3 2 2 2 3 2 2 3 2" xfId="42852"/>
    <cellStyle name="Comma 2 5 2 3 2 2 2 3 2 3" xfId="12650"/>
    <cellStyle name="Comma 2 5 2 3 2 2 2 3 2 3 2" xfId="42073"/>
    <cellStyle name="Comma 2 5 2 3 2 2 2 3 2 3 2 2" xfId="47996"/>
    <cellStyle name="Comma 2 5 2 3 2 2 2 3 2 4" xfId="26134"/>
    <cellStyle name="Comma 2 5 2 3 2 2 2 3 3" xfId="11868"/>
    <cellStyle name="Comma 2 5 2 3 2 2 2 3 3 2" xfId="15855"/>
    <cellStyle name="Comma 2 5 2 3 2 2 2 3 3 2 2" xfId="47216"/>
    <cellStyle name="Comma 2 5 2 3 2 2 2 3 3 2 2 2" xfId="51187"/>
    <cellStyle name="Comma 2 5 2 3 2 2 2 3 3 3" xfId="29361"/>
    <cellStyle name="Comma 2 5 2 3 2 2 2 3 4" xfId="25353"/>
    <cellStyle name="Comma 2 5 2 3 2 2 2 3 4 2" xfId="37669"/>
    <cellStyle name="Comma 2 5 2 3 2 2 2 4" xfId="4207"/>
    <cellStyle name="Comma 2 5 2 3 2 2 2 4 2" xfId="15026"/>
    <cellStyle name="Comma 2 5 2 3 2 2 2 4 2 2" xfId="17800"/>
    <cellStyle name="Comma 2 5 2 3 2 2 2 4 2 2 2" xfId="50365"/>
    <cellStyle name="Comma 2 5 2 3 2 2 2 4 2 2 2 2" xfId="53127"/>
    <cellStyle name="Comma 2 5 2 3 2 2 2 4 2 3" xfId="31302"/>
    <cellStyle name="Comma 2 5 2 3 2 2 2 4 3" xfId="28539"/>
    <cellStyle name="Comma 2 5 2 3 2 2 2 4 3 2" xfId="39650"/>
    <cellStyle name="Comma 2 5 2 3 2 2 2 5" xfId="9398"/>
    <cellStyle name="Comma 2 5 2 3 2 2 2 5 2" xfId="36834"/>
    <cellStyle name="Comma 2 5 2 3 2 2 2 5 2 2" xfId="44780"/>
    <cellStyle name="Comma 2 5 2 3 2 2 2 6" xfId="22894"/>
    <cellStyle name="Comma 2 5 2 3 2 2 3" xfId="2144"/>
    <cellStyle name="Comma 2 5 2 3 2 2 3 2" xfId="2678"/>
    <cellStyle name="Comma 2 5 2 3 2 2 3 2 2" xfId="7378"/>
    <cellStyle name="Comma 2 5 2 3 2 2 3 2 2 2" xfId="7897"/>
    <cellStyle name="Comma 2 5 2 3 2 2 3 2 2 2 2" xfId="20930"/>
    <cellStyle name="Comma 2 5 2 3 2 2 3 2 2 2 2 2" xfId="21449"/>
    <cellStyle name="Comma 2 5 2 3 2 2 3 2 2 2 2 2 2" xfId="56256"/>
    <cellStyle name="Comma 2 5 2 3 2 2 3 2 2 2 2 2 2 2" xfId="56775"/>
    <cellStyle name="Comma 2 5 2 3 2 2 3 2 2 2 2 3" xfId="34952"/>
    <cellStyle name="Comma 2 5 2 3 2 2 3 2 2 2 3" xfId="34433"/>
    <cellStyle name="Comma 2 5 2 3 2 2 3 2 2 2 3 2" xfId="43324"/>
    <cellStyle name="Comma 2 5 2 3 2 2 3 2 2 3" xfId="13122"/>
    <cellStyle name="Comma 2 5 2 3 2 2 3 2 2 3 2" xfId="42805"/>
    <cellStyle name="Comma 2 5 2 3 2 2 3 2 2 3 2 2" xfId="48468"/>
    <cellStyle name="Comma 2 5 2 3 2 2 3 2 2 4" xfId="26606"/>
    <cellStyle name="Comma 2 5 2 3 2 2 3 2 3" xfId="12603"/>
    <cellStyle name="Comma 2 5 2 3 2 2 3 2 3 2" xfId="16337"/>
    <cellStyle name="Comma 2 5 2 3 2 2 3 2 3 2 2" xfId="47949"/>
    <cellStyle name="Comma 2 5 2 3 2 2 3 2 3 2 2 2" xfId="51667"/>
    <cellStyle name="Comma 2 5 2 3 2 2 3 2 3 3" xfId="29841"/>
    <cellStyle name="Comma 2 5 2 3 2 2 3 2 4" xfId="26087"/>
    <cellStyle name="Comma 2 5 2 3 2 2 3 2 4 2" xfId="38151"/>
    <cellStyle name="Comma 2 5 2 3 2 2 3 3" xfId="4714"/>
    <cellStyle name="Comma 2 5 2 3 2 2 3 3 2" xfId="15808"/>
    <cellStyle name="Comma 2 5 2 3 2 2 3 3 2 2" xfId="18291"/>
    <cellStyle name="Comma 2 5 2 3 2 2 3 3 2 2 2" xfId="51140"/>
    <cellStyle name="Comma 2 5 2 3 2 2 3 3 2 2 2 2" xfId="53617"/>
    <cellStyle name="Comma 2 5 2 3 2 2 3 3 2 3" xfId="31792"/>
    <cellStyle name="Comma 2 5 2 3 2 2 3 3 3" xfId="29314"/>
    <cellStyle name="Comma 2 5 2 3 2 2 3 3 3 2" xfId="40152"/>
    <cellStyle name="Comma 2 5 2 3 2 2 3 4" xfId="9917"/>
    <cellStyle name="Comma 2 5 2 3 2 2 3 4 2" xfId="37622"/>
    <cellStyle name="Comma 2 5 2 3 2 2 3 4 2 2" xfId="45284"/>
    <cellStyle name="Comma 2 5 2 3 2 2 3 5" xfId="23407"/>
    <cellStyle name="Comma 2 5 2 3 2 2 4" xfId="4160"/>
    <cellStyle name="Comma 2 5 2 3 2 2 4 2" xfId="5919"/>
    <cellStyle name="Comma 2 5 2 3 2 2 4 2 2" xfId="17753"/>
    <cellStyle name="Comma 2 5 2 3 2 2 4 2 2 2" xfId="19486"/>
    <cellStyle name="Comma 2 5 2 3 2 2 4 2 2 2 2" xfId="53080"/>
    <cellStyle name="Comma 2 5 2 3 2 2 4 2 2 2 2 2" xfId="54812"/>
    <cellStyle name="Comma 2 5 2 3 2 2 4 2 2 3" xfId="32987"/>
    <cellStyle name="Comma 2 5 2 3 2 2 4 2 3" xfId="31255"/>
    <cellStyle name="Comma 2 5 2 3 2 2 4 2 3 2" xfId="41353"/>
    <cellStyle name="Comma 2 5 2 3 2 2 4 3" xfId="11144"/>
    <cellStyle name="Comma 2 5 2 3 2 2 4 3 2" xfId="39603"/>
    <cellStyle name="Comma 2 5 2 3 2 2 4 3 2 2" xfId="46502"/>
    <cellStyle name="Comma 2 5 2 3 2 2 4 4" xfId="24637"/>
    <cellStyle name="Comma 2 5 2 3 2 2 5" xfId="9351"/>
    <cellStyle name="Comma 2 5 2 3 2 2 5 2" xfId="14303"/>
    <cellStyle name="Comma 2 5 2 3 2 2 5 2 2" xfId="44733"/>
    <cellStyle name="Comma 2 5 2 3 2 2 5 2 2 2" xfId="49648"/>
    <cellStyle name="Comma 2 5 2 3 2 2 5 3" xfId="27813"/>
    <cellStyle name="Comma 2 5 2 3 2 2 6" xfId="22847"/>
    <cellStyle name="Comma 2 5 2 3 2 2 6 2" xfId="36115"/>
    <cellStyle name="Comma 2 5 2 3 2 3" xfId="916"/>
    <cellStyle name="Comma 2 5 2 3 2 3 2" xfId="2626"/>
    <cellStyle name="Comma 2 5 2 3 2 3 2 2" xfId="2954"/>
    <cellStyle name="Comma 2 5 2 3 2 3 2 2 2" xfId="7846"/>
    <cellStyle name="Comma 2 5 2 3 2 3 2 2 2 2" xfId="8169"/>
    <cellStyle name="Comma 2 5 2 3 2 3 2 2 2 2 2" xfId="21398"/>
    <cellStyle name="Comma 2 5 2 3 2 3 2 2 2 2 2 2" xfId="21721"/>
    <cellStyle name="Comma 2 5 2 3 2 3 2 2 2 2 2 2 2" xfId="56724"/>
    <cellStyle name="Comma 2 5 2 3 2 3 2 2 2 2 2 2 2 2" xfId="57047"/>
    <cellStyle name="Comma 2 5 2 3 2 3 2 2 2 2 2 3" xfId="35224"/>
    <cellStyle name="Comma 2 5 2 3 2 3 2 2 2 2 3" xfId="34901"/>
    <cellStyle name="Comma 2 5 2 3 2 3 2 2 2 2 3 2" xfId="43596"/>
    <cellStyle name="Comma 2 5 2 3 2 3 2 2 2 3" xfId="13394"/>
    <cellStyle name="Comma 2 5 2 3 2 3 2 2 2 3 2" xfId="43273"/>
    <cellStyle name="Comma 2 5 2 3 2 3 2 2 2 3 2 2" xfId="48740"/>
    <cellStyle name="Comma 2 5 2 3 2 3 2 2 2 4" xfId="26879"/>
    <cellStyle name="Comma 2 5 2 3 2 3 2 2 3" xfId="13071"/>
    <cellStyle name="Comma 2 5 2 3 2 3 2 2 3 2" xfId="16611"/>
    <cellStyle name="Comma 2 5 2 3 2 3 2 2 3 2 2" xfId="48417"/>
    <cellStyle name="Comma 2 5 2 3 2 3 2 2 3 2 2 2" xfId="51939"/>
    <cellStyle name="Comma 2 5 2 3 2 3 2 2 3 3" xfId="30113"/>
    <cellStyle name="Comma 2 5 2 3 2 3 2 2 4" xfId="26555"/>
    <cellStyle name="Comma 2 5 2 3 2 3 2 2 4 2" xfId="38423"/>
    <cellStyle name="Comma 2 5 2 3 2 3 2 3" xfId="4990"/>
    <cellStyle name="Comma 2 5 2 3 2 3 2 3 2" xfId="16285"/>
    <cellStyle name="Comma 2 5 2 3 2 3 2 3 2 2" xfId="18563"/>
    <cellStyle name="Comma 2 5 2 3 2 3 2 3 2 2 2" xfId="51615"/>
    <cellStyle name="Comma 2 5 2 3 2 3 2 3 2 2 2 2" xfId="53889"/>
    <cellStyle name="Comma 2 5 2 3 2 3 2 3 2 3" xfId="32064"/>
    <cellStyle name="Comma 2 5 2 3 2 3 2 3 3" xfId="29789"/>
    <cellStyle name="Comma 2 5 2 3 2 3 2 3 3 2" xfId="40427"/>
    <cellStyle name="Comma 2 5 2 3 2 3 2 4" xfId="10193"/>
    <cellStyle name="Comma 2 5 2 3 2 3 2 4 2" xfId="38099"/>
    <cellStyle name="Comma 2 5 2 3 2 3 2 4 2 2" xfId="45556"/>
    <cellStyle name="Comma 2 5 2 3 2 3 2 5" xfId="23679"/>
    <cellStyle name="Comma 2 5 2 3 2 3 3" xfId="4661"/>
    <cellStyle name="Comma 2 5 2 3 2 3 3 2" xfId="6227"/>
    <cellStyle name="Comma 2 5 2 3 2 3 3 2 2" xfId="18240"/>
    <cellStyle name="Comma 2 5 2 3 2 3 3 2 2 2" xfId="19784"/>
    <cellStyle name="Comma 2 5 2 3 2 3 3 2 2 2 2" xfId="53566"/>
    <cellStyle name="Comma 2 5 2 3 2 3 3 2 2 2 2 2" xfId="55110"/>
    <cellStyle name="Comma 2 5 2 3 2 3 3 2 2 3" xfId="33286"/>
    <cellStyle name="Comma 2 5 2 3 2 3 3 2 3" xfId="31741"/>
    <cellStyle name="Comma 2 5 2 3 2 3 3 2 3 2" xfId="41656"/>
    <cellStyle name="Comma 2 5 2 3 2 3 3 3" xfId="11452"/>
    <cellStyle name="Comma 2 5 2 3 2 3 3 3 2" xfId="40100"/>
    <cellStyle name="Comma 2 5 2 3 2 3 3 3 2 2" xfId="46801"/>
    <cellStyle name="Comma 2 5 2 3 2 3 3 4" xfId="24938"/>
    <cellStyle name="Comma 2 5 2 3 2 3 4" xfId="9864"/>
    <cellStyle name="Comma 2 5 2 3 2 3 4 2" xfId="14610"/>
    <cellStyle name="Comma 2 5 2 3 2 3 4 2 2" xfId="45233"/>
    <cellStyle name="Comma 2 5 2 3 2 3 4 2 2 2" xfId="49949"/>
    <cellStyle name="Comma 2 5 2 3 2 3 4 3" xfId="28121"/>
    <cellStyle name="Comma 2 5 2 3 2 3 5" xfId="23356"/>
    <cellStyle name="Comma 2 5 2 3 2 3 5 2" xfId="36418"/>
    <cellStyle name="Comma 2 5 2 3 2 4" xfId="1712"/>
    <cellStyle name="Comma 2 5 2 3 2 4 2" xfId="5865"/>
    <cellStyle name="Comma 2 5 2 3 2 4 2 2" xfId="6965"/>
    <cellStyle name="Comma 2 5 2 3 2 4 2 2 2" xfId="19433"/>
    <cellStyle name="Comma 2 5 2 3 2 4 2 2 2 2" xfId="20518"/>
    <cellStyle name="Comma 2 5 2 3 2 4 2 2 2 2 2" xfId="54759"/>
    <cellStyle name="Comma 2 5 2 3 2 4 2 2 2 2 2 2" xfId="55844"/>
    <cellStyle name="Comma 2 5 2 3 2 4 2 2 2 3" xfId="34020"/>
    <cellStyle name="Comma 2 5 2 3 2 4 2 2 3" xfId="32934"/>
    <cellStyle name="Comma 2 5 2 3 2 4 2 2 3 2" xfId="42393"/>
    <cellStyle name="Comma 2 5 2 3 2 4 2 3" xfId="12189"/>
    <cellStyle name="Comma 2 5 2 3 2 4 2 3 2" xfId="41300"/>
    <cellStyle name="Comma 2 5 2 3 2 4 2 3 2 2" xfId="47536"/>
    <cellStyle name="Comma 2 5 2 3 2 4 2 4" xfId="25674"/>
    <cellStyle name="Comma 2 5 2 3 2 4 3" xfId="11089"/>
    <cellStyle name="Comma 2 5 2 3 2 4 3 2" xfId="15384"/>
    <cellStyle name="Comma 2 5 2 3 2 4 3 2 2" xfId="46448"/>
    <cellStyle name="Comma 2 5 2 3 2 4 3 2 2 2" xfId="50717"/>
    <cellStyle name="Comma 2 5 2 3 2 4 3 3" xfId="28891"/>
    <cellStyle name="Comma 2 5 2 3 2 4 4" xfId="24583"/>
    <cellStyle name="Comma 2 5 2 3 2 4 4 2" xfId="37194"/>
    <cellStyle name="Comma 2 5 2 3 2 5" xfId="3717"/>
    <cellStyle name="Comma 2 5 2 3 2 5 2" xfId="14250"/>
    <cellStyle name="Comma 2 5 2 3 2 5 2 2" xfId="17333"/>
    <cellStyle name="Comma 2 5 2 3 2 5 2 2 2" xfId="49595"/>
    <cellStyle name="Comma 2 5 2 3 2 5 2 2 2 2" xfId="52660"/>
    <cellStyle name="Comma 2 5 2 3 2 5 2 3" xfId="30834"/>
    <cellStyle name="Comma 2 5 2 3 2 5 3" xfId="27757"/>
    <cellStyle name="Comma 2 5 2 3 2 5 3 2" xfId="39168"/>
    <cellStyle name="Comma 2 5 2 3 2 6" xfId="8907"/>
    <cellStyle name="Comma 2 5 2 3 2 6 2" xfId="36062"/>
    <cellStyle name="Comma 2 5 2 3 2 6 2 2" xfId="44306"/>
    <cellStyle name="Comma 2 5 2 3 2 7" xfId="22414"/>
    <cellStyle name="Comma 2 5 2 3 3" xfId="860"/>
    <cellStyle name="Comma 2 5 2 3 3 2" xfId="1097"/>
    <cellStyle name="Comma 2 5 2 3 3 2 2" xfId="2907"/>
    <cellStyle name="Comma 2 5 2 3 3 2 2 2" xfId="3127"/>
    <cellStyle name="Comma 2 5 2 3 3 2 2 2 2" xfId="8122"/>
    <cellStyle name="Comma 2 5 2 3 3 2 2 2 2 2" xfId="8342"/>
    <cellStyle name="Comma 2 5 2 3 3 2 2 2 2 2 2" xfId="21674"/>
    <cellStyle name="Comma 2 5 2 3 3 2 2 2 2 2 2 2" xfId="21894"/>
    <cellStyle name="Comma 2 5 2 3 3 2 2 2 2 2 2 2 2" xfId="57000"/>
    <cellStyle name="Comma 2 5 2 3 3 2 2 2 2 2 2 2 2 2" xfId="57220"/>
    <cellStyle name="Comma 2 5 2 3 3 2 2 2 2 2 2 3" xfId="35397"/>
    <cellStyle name="Comma 2 5 2 3 3 2 2 2 2 2 3" xfId="35177"/>
    <cellStyle name="Comma 2 5 2 3 3 2 2 2 2 2 3 2" xfId="43769"/>
    <cellStyle name="Comma 2 5 2 3 3 2 2 2 2 3" xfId="13567"/>
    <cellStyle name="Comma 2 5 2 3 3 2 2 2 2 3 2" xfId="43549"/>
    <cellStyle name="Comma 2 5 2 3 3 2 2 2 2 3 2 2" xfId="48913"/>
    <cellStyle name="Comma 2 5 2 3 3 2 2 2 2 4" xfId="27052"/>
    <cellStyle name="Comma 2 5 2 3 3 2 2 2 3" xfId="13347"/>
    <cellStyle name="Comma 2 5 2 3 3 2 2 2 3 2" xfId="16784"/>
    <cellStyle name="Comma 2 5 2 3 3 2 2 2 3 2 2" xfId="48693"/>
    <cellStyle name="Comma 2 5 2 3 3 2 2 2 3 2 2 2" xfId="52112"/>
    <cellStyle name="Comma 2 5 2 3 3 2 2 2 3 3" xfId="30286"/>
    <cellStyle name="Comma 2 5 2 3 3 2 2 2 4" xfId="26832"/>
    <cellStyle name="Comma 2 5 2 3 3 2 2 2 4 2" xfId="38596"/>
    <cellStyle name="Comma 2 5 2 3 3 2 2 3" xfId="5164"/>
    <cellStyle name="Comma 2 5 2 3 3 2 2 3 2" xfId="16564"/>
    <cellStyle name="Comma 2 5 2 3 3 2 2 3 2 2" xfId="18737"/>
    <cellStyle name="Comma 2 5 2 3 3 2 2 3 2 2 2" xfId="51892"/>
    <cellStyle name="Comma 2 5 2 3 3 2 2 3 2 2 2 2" xfId="54063"/>
    <cellStyle name="Comma 2 5 2 3 3 2 2 3 2 3" xfId="32238"/>
    <cellStyle name="Comma 2 5 2 3 3 2 2 3 3" xfId="30066"/>
    <cellStyle name="Comma 2 5 2 3 3 2 2 3 3 2" xfId="40601"/>
    <cellStyle name="Comma 2 5 2 3 3 2 2 4" xfId="10367"/>
    <cellStyle name="Comma 2 5 2 3 3 2 2 4 2" xfId="38376"/>
    <cellStyle name="Comma 2 5 2 3 3 2 2 4 2 2" xfId="45730"/>
    <cellStyle name="Comma 2 5 2 3 3 2 2 5" xfId="23853"/>
    <cellStyle name="Comma 2 5 2 3 3 2 3" xfId="4943"/>
    <cellStyle name="Comma 2 5 2 3 3 2 3 2" xfId="6406"/>
    <cellStyle name="Comma 2 5 2 3 3 2 3 2 2" xfId="18516"/>
    <cellStyle name="Comma 2 5 2 3 3 2 3 2 2 2" xfId="19962"/>
    <cellStyle name="Comma 2 5 2 3 3 2 3 2 2 2 2" xfId="53842"/>
    <cellStyle name="Comma 2 5 2 3 3 2 3 2 2 2 2 2" xfId="55288"/>
    <cellStyle name="Comma 2 5 2 3 3 2 3 2 2 3" xfId="33464"/>
    <cellStyle name="Comma 2 5 2 3 3 2 3 2 3" xfId="32017"/>
    <cellStyle name="Comma 2 5 2 3 3 2 3 2 3 2" xfId="41835"/>
    <cellStyle name="Comma 2 5 2 3 3 2 3 3" xfId="11631"/>
    <cellStyle name="Comma 2 5 2 3 3 2 3 3 2" xfId="40380"/>
    <cellStyle name="Comma 2 5 2 3 3 2 3 3 2 2" xfId="46980"/>
    <cellStyle name="Comma 2 5 2 3 3 2 3 4" xfId="25117"/>
    <cellStyle name="Comma 2 5 2 3 3 2 4" xfId="10146"/>
    <cellStyle name="Comma 2 5 2 3 3 2 4 2" xfId="14789"/>
    <cellStyle name="Comma 2 5 2 3 3 2 4 2 2" xfId="45509"/>
    <cellStyle name="Comma 2 5 2 3 3 2 4 2 2 2" xfId="50128"/>
    <cellStyle name="Comma 2 5 2 3 3 2 4 3" xfId="28301"/>
    <cellStyle name="Comma 2 5 2 3 3 2 5" xfId="23632"/>
    <cellStyle name="Comma 2 5 2 3 3 2 5 2" xfId="36597"/>
    <cellStyle name="Comma 2 5 2 3 3 3" xfId="1905"/>
    <cellStyle name="Comma 2 5 2 3 3 3 2" xfId="6174"/>
    <cellStyle name="Comma 2 5 2 3 3 3 2 2" xfId="7149"/>
    <cellStyle name="Comma 2 5 2 3 3 3 2 2 2" xfId="19733"/>
    <cellStyle name="Comma 2 5 2 3 3 3 2 2 2 2" xfId="20701"/>
    <cellStyle name="Comma 2 5 2 3 3 3 2 2 2 2 2" xfId="55059"/>
    <cellStyle name="Comma 2 5 2 3 3 3 2 2 2 2 2 2" xfId="56027"/>
    <cellStyle name="Comma 2 5 2 3 3 3 2 2 2 3" xfId="34204"/>
    <cellStyle name="Comma 2 5 2 3 3 3 2 2 3" xfId="33235"/>
    <cellStyle name="Comma 2 5 2 3 3 3 2 2 3 2" xfId="42576"/>
    <cellStyle name="Comma 2 5 2 3 3 3 2 3" xfId="12374"/>
    <cellStyle name="Comma 2 5 2 3 3 3 2 3 2" xfId="41604"/>
    <cellStyle name="Comma 2 5 2 3 3 3 2 3 2 2" xfId="47720"/>
    <cellStyle name="Comma 2 5 2 3 3 3 2 4" xfId="25858"/>
    <cellStyle name="Comma 2 5 2 3 3 3 3" xfId="11399"/>
    <cellStyle name="Comma 2 5 2 3 3 3 3 2" xfId="15572"/>
    <cellStyle name="Comma 2 5 2 3 3 3 3 2 2" xfId="46750"/>
    <cellStyle name="Comma 2 5 2 3 3 3 3 2 2 2" xfId="50904"/>
    <cellStyle name="Comma 2 5 2 3 3 3 3 3" xfId="29078"/>
    <cellStyle name="Comma 2 5 2 3 3 3 4" xfId="24887"/>
    <cellStyle name="Comma 2 5 2 3 3 3 4 2" xfId="37384"/>
    <cellStyle name="Comma 2 5 2 3 3 4" xfId="3919"/>
    <cellStyle name="Comma 2 5 2 3 3 4 2" xfId="14557"/>
    <cellStyle name="Comma 2 5 2 3 3 4 2 2" xfId="17524"/>
    <cellStyle name="Comma 2 5 2 3 3 4 2 2 2" xfId="49898"/>
    <cellStyle name="Comma 2 5 2 3 3 4 2 2 2 2" xfId="52851"/>
    <cellStyle name="Comma 2 5 2 3 3 4 2 3" xfId="31026"/>
    <cellStyle name="Comma 2 5 2 3 3 4 3" xfId="28068"/>
    <cellStyle name="Comma 2 5 2 3 3 4 3 2" xfId="39364"/>
    <cellStyle name="Comma 2 5 2 3 3 5" xfId="9111"/>
    <cellStyle name="Comma 2 5 2 3 3 5 2" xfId="36367"/>
    <cellStyle name="Comma 2 5 2 3 3 5 2 2" xfId="44503"/>
    <cellStyle name="Comma 2 5 2 3 3 6" xfId="22617"/>
    <cellStyle name="Comma 2 5 2 3 4" xfId="1654"/>
    <cellStyle name="Comma 2 5 2 3 4 2" xfId="2354"/>
    <cellStyle name="Comma 2 5 2 3 4 2 2" xfId="6916"/>
    <cellStyle name="Comma 2 5 2 3 4 2 2 2" xfId="7588"/>
    <cellStyle name="Comma 2 5 2 3 4 2 2 2 2" xfId="20469"/>
    <cellStyle name="Comma 2 5 2 3 4 2 2 2 2 2" xfId="21140"/>
    <cellStyle name="Comma 2 5 2 3 4 2 2 2 2 2 2" xfId="55795"/>
    <cellStyle name="Comma 2 5 2 3 4 2 2 2 2 2 2 2" xfId="56466"/>
    <cellStyle name="Comma 2 5 2 3 4 2 2 2 2 3" xfId="34643"/>
    <cellStyle name="Comma 2 5 2 3 4 2 2 2 3" xfId="33971"/>
    <cellStyle name="Comma 2 5 2 3 4 2 2 2 3 2" xfId="43015"/>
    <cellStyle name="Comma 2 5 2 3 4 2 2 3" xfId="12813"/>
    <cellStyle name="Comma 2 5 2 3 4 2 2 3 2" xfId="42344"/>
    <cellStyle name="Comma 2 5 2 3 4 2 2 3 2 2" xfId="48159"/>
    <cellStyle name="Comma 2 5 2 3 4 2 2 4" xfId="26297"/>
    <cellStyle name="Comma 2 5 2 3 4 2 3" xfId="12140"/>
    <cellStyle name="Comma 2 5 2 3 4 2 3 2" xfId="16018"/>
    <cellStyle name="Comma 2 5 2 3 4 2 3 2 2" xfId="47487"/>
    <cellStyle name="Comma 2 5 2 3 4 2 3 2 2 2" xfId="51350"/>
    <cellStyle name="Comma 2 5 2 3 4 2 3 3" xfId="29524"/>
    <cellStyle name="Comma 2 5 2 3 4 2 4" xfId="25625"/>
    <cellStyle name="Comma 2 5 2 3 4 2 4 2" xfId="37832"/>
    <cellStyle name="Comma 2 5 2 3 4 3" xfId="4385"/>
    <cellStyle name="Comma 2 5 2 3 4 3 2" xfId="15327"/>
    <cellStyle name="Comma 2 5 2 3 4 3 2 2" xfId="17977"/>
    <cellStyle name="Comma 2 5 2 3 4 3 2 2 2" xfId="50662"/>
    <cellStyle name="Comma 2 5 2 3 4 3 2 2 2 2" xfId="53303"/>
    <cellStyle name="Comma 2 5 2 3 4 3 2 3" xfId="31478"/>
    <cellStyle name="Comma 2 5 2 3 4 3 3" xfId="28836"/>
    <cellStyle name="Comma 2 5 2 3 4 3 3 2" xfId="39827"/>
    <cellStyle name="Comma 2 5 2 3 4 4" xfId="9587"/>
    <cellStyle name="Comma 2 5 2 3 4 4 2" xfId="37138"/>
    <cellStyle name="Comma 2 5 2 3 4 4 2 2" xfId="44968"/>
    <cellStyle name="Comma 2 5 2 3 4 5" xfId="23088"/>
    <cellStyle name="Comma 2 5 2 3 5" xfId="3659"/>
    <cellStyle name="Comma 2 5 2 3 5 2" xfId="5595"/>
    <cellStyle name="Comma 2 5 2 3 5 2 2" xfId="17284"/>
    <cellStyle name="Comma 2 5 2 3 5 2 2 2" xfId="19167"/>
    <cellStyle name="Comma 2 5 2 3 5 2 2 2 2" xfId="52611"/>
    <cellStyle name="Comma 2 5 2 3 5 2 2 2 2 2" xfId="54493"/>
    <cellStyle name="Comma 2 5 2 3 5 2 2 3" xfId="32668"/>
    <cellStyle name="Comma 2 5 2 3 5 2 3" xfId="30785"/>
    <cellStyle name="Comma 2 5 2 3 5 2 3 2" xfId="41031"/>
    <cellStyle name="Comma 2 5 2 3 5 3" xfId="10807"/>
    <cellStyle name="Comma 2 5 2 3 5 3 2" xfId="39112"/>
    <cellStyle name="Comma 2 5 2 3 5 3 2 2" xfId="46169"/>
    <cellStyle name="Comma 2 5 2 3 5 4" xfId="24297"/>
    <cellStyle name="Comma 2 5 2 3 6" xfId="8852"/>
    <cellStyle name="Comma 2 5 2 3 6 2" xfId="13979"/>
    <cellStyle name="Comma 2 5 2 3 6 2 2" xfId="44256"/>
    <cellStyle name="Comma 2 5 2 3 6 2 2 2" xfId="49325"/>
    <cellStyle name="Comma 2 5 2 3 6 3" xfId="27471"/>
    <cellStyle name="Comma 2 5 2 3 7" xfId="22364"/>
    <cellStyle name="Comma 2 5 2 3 7 2" xfId="35791"/>
    <cellStyle name="Comma 2 5 2 4" xfId="364"/>
    <cellStyle name="Comma 2 5 2 4 2" xfId="1032"/>
    <cellStyle name="Comma 2 5 2 4 2 2" xfId="1212"/>
    <cellStyle name="Comma 2 5 2 4 2 2 2" xfId="3068"/>
    <cellStyle name="Comma 2 5 2 4 2 2 2 2" xfId="3230"/>
    <cellStyle name="Comma 2 5 2 4 2 2 2 2 2" xfId="8283"/>
    <cellStyle name="Comma 2 5 2 4 2 2 2 2 2 2" xfId="8445"/>
    <cellStyle name="Comma 2 5 2 4 2 2 2 2 2 2 2" xfId="21835"/>
    <cellStyle name="Comma 2 5 2 4 2 2 2 2 2 2 2 2" xfId="21997"/>
    <cellStyle name="Comma 2 5 2 4 2 2 2 2 2 2 2 2 2" xfId="57161"/>
    <cellStyle name="Comma 2 5 2 4 2 2 2 2 2 2 2 2 2 2" xfId="57323"/>
    <cellStyle name="Comma 2 5 2 4 2 2 2 2 2 2 2 3" xfId="35500"/>
    <cellStyle name="Comma 2 5 2 4 2 2 2 2 2 2 3" xfId="35338"/>
    <cellStyle name="Comma 2 5 2 4 2 2 2 2 2 2 3 2" xfId="43872"/>
    <cellStyle name="Comma 2 5 2 4 2 2 2 2 2 3" xfId="13670"/>
    <cellStyle name="Comma 2 5 2 4 2 2 2 2 2 3 2" xfId="43710"/>
    <cellStyle name="Comma 2 5 2 4 2 2 2 2 2 3 2 2" xfId="49016"/>
    <cellStyle name="Comma 2 5 2 4 2 2 2 2 2 4" xfId="27155"/>
    <cellStyle name="Comma 2 5 2 4 2 2 2 2 3" xfId="13508"/>
    <cellStyle name="Comma 2 5 2 4 2 2 2 2 3 2" xfId="16887"/>
    <cellStyle name="Comma 2 5 2 4 2 2 2 2 3 2 2" xfId="48854"/>
    <cellStyle name="Comma 2 5 2 4 2 2 2 2 3 2 2 2" xfId="52215"/>
    <cellStyle name="Comma 2 5 2 4 2 2 2 2 3 3" xfId="30389"/>
    <cellStyle name="Comma 2 5 2 4 2 2 2 2 4" xfId="26993"/>
    <cellStyle name="Comma 2 5 2 4 2 2 2 2 4 2" xfId="38699"/>
    <cellStyle name="Comma 2 5 2 4 2 2 2 3" xfId="5267"/>
    <cellStyle name="Comma 2 5 2 4 2 2 2 3 2" xfId="16725"/>
    <cellStyle name="Comma 2 5 2 4 2 2 2 3 2 2" xfId="18840"/>
    <cellStyle name="Comma 2 5 2 4 2 2 2 3 2 2 2" xfId="52053"/>
    <cellStyle name="Comma 2 5 2 4 2 2 2 3 2 2 2 2" xfId="54166"/>
    <cellStyle name="Comma 2 5 2 4 2 2 2 3 2 3" xfId="32341"/>
    <cellStyle name="Comma 2 5 2 4 2 2 2 3 3" xfId="30227"/>
    <cellStyle name="Comma 2 5 2 4 2 2 2 3 3 2" xfId="40704"/>
    <cellStyle name="Comma 2 5 2 4 2 2 2 4" xfId="10470"/>
    <cellStyle name="Comma 2 5 2 4 2 2 2 4 2" xfId="38537"/>
    <cellStyle name="Comma 2 5 2 4 2 2 2 4 2 2" xfId="45833"/>
    <cellStyle name="Comma 2 5 2 4 2 2 2 5" xfId="23956"/>
    <cellStyle name="Comma 2 5 2 4 2 2 3" xfId="5105"/>
    <cellStyle name="Comma 2 5 2 4 2 2 3 2" xfId="6520"/>
    <cellStyle name="Comma 2 5 2 4 2 2 3 2 2" xfId="18678"/>
    <cellStyle name="Comma 2 5 2 4 2 2 3 2 2 2" xfId="20073"/>
    <cellStyle name="Comma 2 5 2 4 2 2 3 2 2 2 2" xfId="54004"/>
    <cellStyle name="Comma 2 5 2 4 2 2 3 2 2 2 2 2" xfId="55399"/>
    <cellStyle name="Comma 2 5 2 4 2 2 3 2 2 3" xfId="33575"/>
    <cellStyle name="Comma 2 5 2 4 2 2 3 2 3" xfId="32179"/>
    <cellStyle name="Comma 2 5 2 4 2 2 3 2 3 2" xfId="41948"/>
    <cellStyle name="Comma 2 5 2 4 2 2 3 3" xfId="11743"/>
    <cellStyle name="Comma 2 5 2 4 2 2 3 3 2" xfId="40542"/>
    <cellStyle name="Comma 2 5 2 4 2 2 3 3 2 2" xfId="47091"/>
    <cellStyle name="Comma 2 5 2 4 2 2 3 4" xfId="25228"/>
    <cellStyle name="Comma 2 5 2 4 2 2 4" xfId="10308"/>
    <cellStyle name="Comma 2 5 2 4 2 2 4 2" xfId="14901"/>
    <cellStyle name="Comma 2 5 2 4 2 2 4 2 2" xfId="45671"/>
    <cellStyle name="Comma 2 5 2 4 2 2 4 2 2 2" xfId="50240"/>
    <cellStyle name="Comma 2 5 2 4 2 2 4 3" xfId="28414"/>
    <cellStyle name="Comma 2 5 2 4 2 2 5" xfId="23794"/>
    <cellStyle name="Comma 2 5 2 4 2 2 5 2" xfId="36709"/>
    <cellStyle name="Comma 2 5 2 4 2 3" xfId="2018"/>
    <cellStyle name="Comma 2 5 2 4 2 3 2" xfId="6342"/>
    <cellStyle name="Comma 2 5 2 4 2 3 2 2" xfId="7252"/>
    <cellStyle name="Comma 2 5 2 4 2 3 2 2 2" xfId="19899"/>
    <cellStyle name="Comma 2 5 2 4 2 3 2 2 2 2" xfId="20804"/>
    <cellStyle name="Comma 2 5 2 4 2 3 2 2 2 2 2" xfId="55225"/>
    <cellStyle name="Comma 2 5 2 4 2 3 2 2 2 2 2 2" xfId="56130"/>
    <cellStyle name="Comma 2 5 2 4 2 3 2 2 2 3" xfId="34307"/>
    <cellStyle name="Comma 2 5 2 4 2 3 2 2 3" xfId="33401"/>
    <cellStyle name="Comma 2 5 2 4 2 3 2 2 3 2" xfId="42679"/>
    <cellStyle name="Comma 2 5 2 4 2 3 2 3" xfId="12477"/>
    <cellStyle name="Comma 2 5 2 4 2 3 2 3 2" xfId="41771"/>
    <cellStyle name="Comma 2 5 2 4 2 3 2 3 2 2" xfId="47823"/>
    <cellStyle name="Comma 2 5 2 4 2 3 2 4" xfId="25961"/>
    <cellStyle name="Comma 2 5 2 4 2 3 3" xfId="11568"/>
    <cellStyle name="Comma 2 5 2 4 2 3 3 2" xfId="15682"/>
    <cellStyle name="Comma 2 5 2 4 2 3 3 2 2" xfId="46917"/>
    <cellStyle name="Comma 2 5 2 4 2 3 3 2 2 2" xfId="51014"/>
    <cellStyle name="Comma 2 5 2 4 2 3 3 3" xfId="29188"/>
    <cellStyle name="Comma 2 5 2 4 2 3 4" xfId="25054"/>
    <cellStyle name="Comma 2 5 2 4 2 3 4 2" xfId="37496"/>
    <cellStyle name="Comma 2 5 2 4 2 4" xfId="4034"/>
    <cellStyle name="Comma 2 5 2 4 2 4 2" xfId="14725"/>
    <cellStyle name="Comma 2 5 2 4 2 4 2 2" xfId="17627"/>
    <cellStyle name="Comma 2 5 2 4 2 4 2 2 2" xfId="50064"/>
    <cellStyle name="Comma 2 5 2 4 2 4 2 2 2 2" xfId="52954"/>
    <cellStyle name="Comma 2 5 2 4 2 4 2 3" xfId="31129"/>
    <cellStyle name="Comma 2 5 2 4 2 4 3" xfId="28237"/>
    <cellStyle name="Comma 2 5 2 4 2 4 3 2" xfId="39477"/>
    <cellStyle name="Comma 2 5 2 4 2 5" xfId="9225"/>
    <cellStyle name="Comma 2 5 2 4 2 5 2" xfId="36533"/>
    <cellStyle name="Comma 2 5 2 4 2 5 2 2" xfId="44607"/>
    <cellStyle name="Comma 2 5 2 4 2 6" xfId="22721"/>
    <cellStyle name="Comma 2 5 2 4 3" xfId="1837"/>
    <cellStyle name="Comma 2 5 2 4 3 2" xfId="2471"/>
    <cellStyle name="Comma 2 5 2 4 3 2 2" xfId="7087"/>
    <cellStyle name="Comma 2 5 2 4 3 2 2 2" xfId="7701"/>
    <cellStyle name="Comma 2 5 2 4 3 2 2 2 2" xfId="20640"/>
    <cellStyle name="Comma 2 5 2 4 3 2 2 2 2 2" xfId="21253"/>
    <cellStyle name="Comma 2 5 2 4 3 2 2 2 2 2 2" xfId="55966"/>
    <cellStyle name="Comma 2 5 2 4 3 2 2 2 2 2 2 2" xfId="56579"/>
    <cellStyle name="Comma 2 5 2 4 3 2 2 2 2 3" xfId="34756"/>
    <cellStyle name="Comma 2 5 2 4 3 2 2 2 3" xfId="34142"/>
    <cellStyle name="Comma 2 5 2 4 3 2 2 2 3 2" xfId="43128"/>
    <cellStyle name="Comma 2 5 2 4 3 2 2 3" xfId="12926"/>
    <cellStyle name="Comma 2 5 2 4 3 2 2 3 2" xfId="42515"/>
    <cellStyle name="Comma 2 5 2 4 3 2 2 3 2 2" xfId="48272"/>
    <cellStyle name="Comma 2 5 2 4 3 2 2 4" xfId="26410"/>
    <cellStyle name="Comma 2 5 2 4 3 2 3" xfId="12312"/>
    <cellStyle name="Comma 2 5 2 4 3 2 3 2" xfId="16134"/>
    <cellStyle name="Comma 2 5 2 4 3 2 3 2 2" xfId="47659"/>
    <cellStyle name="Comma 2 5 2 4 3 2 3 2 2 2" xfId="51465"/>
    <cellStyle name="Comma 2 5 2 4 3 2 3 3" xfId="29639"/>
    <cellStyle name="Comma 2 5 2 4 3 2 4" xfId="25797"/>
    <cellStyle name="Comma 2 5 2 4 3 2 4 2" xfId="37948"/>
    <cellStyle name="Comma 2 5 2 4 3 3" xfId="4506"/>
    <cellStyle name="Comma 2 5 2 4 3 3 2" xfId="15508"/>
    <cellStyle name="Comma 2 5 2 4 3 3 2 2" xfId="18094"/>
    <cellStyle name="Comma 2 5 2 4 3 3 2 2 2" xfId="50841"/>
    <cellStyle name="Comma 2 5 2 4 3 3 2 2 2 2" xfId="53420"/>
    <cellStyle name="Comma 2 5 2 4 3 3 2 3" xfId="31595"/>
    <cellStyle name="Comma 2 5 2 4 3 3 3" xfId="29015"/>
    <cellStyle name="Comma 2 5 2 4 3 3 3 2" xfId="39947"/>
    <cellStyle name="Comma 2 5 2 4 3 4" xfId="9710"/>
    <cellStyle name="Comma 2 5 2 4 3 4 2" xfId="37318"/>
    <cellStyle name="Comma 2 5 2 4 3 4 2 2" xfId="45087"/>
    <cellStyle name="Comma 2 5 2 4 3 5" xfId="23210"/>
    <cellStyle name="Comma 2 5 2 4 4" xfId="3849"/>
    <cellStyle name="Comma 2 5 2 4 4 2" xfId="5714"/>
    <cellStyle name="Comma 2 5 2 4 4 2 2" xfId="17462"/>
    <cellStyle name="Comma 2 5 2 4 4 2 2 2" xfId="19283"/>
    <cellStyle name="Comma 2 5 2 4 4 2 2 2 2" xfId="52789"/>
    <cellStyle name="Comma 2 5 2 4 4 2 2 2 2 2" xfId="54609"/>
    <cellStyle name="Comma 2 5 2 4 4 2 2 3" xfId="32784"/>
    <cellStyle name="Comma 2 5 2 4 4 2 3" xfId="30963"/>
    <cellStyle name="Comma 2 5 2 4 4 2 3 2" xfId="41149"/>
    <cellStyle name="Comma 2 5 2 4 4 3" xfId="10934"/>
    <cellStyle name="Comma 2 5 2 4 4 3 2" xfId="39298"/>
    <cellStyle name="Comma 2 5 2 4 4 3 2 2" xfId="46293"/>
    <cellStyle name="Comma 2 5 2 4 4 4" xfId="24425"/>
    <cellStyle name="Comma 2 5 2 4 5" xfId="9041"/>
    <cellStyle name="Comma 2 5 2 4 5 2" xfId="14097"/>
    <cellStyle name="Comma 2 5 2 4 5 2 2" xfId="44438"/>
    <cellStyle name="Comma 2 5 2 4 5 2 2 2" xfId="49442"/>
    <cellStyle name="Comma 2 5 2 4 5 3" xfId="27597"/>
    <cellStyle name="Comma 2 5 2 4 6" xfId="22549"/>
    <cellStyle name="Comma 2 5 2 4 6 2" xfId="35908"/>
    <cellStyle name="Comma 2 5 2 5" xfId="678"/>
    <cellStyle name="Comma 2 5 2 5 2" xfId="2295"/>
    <cellStyle name="Comma 2 5 2 5 2 2" xfId="2766"/>
    <cellStyle name="Comma 2 5 2 5 2 2 2" xfId="7529"/>
    <cellStyle name="Comma 2 5 2 5 2 2 2 2" xfId="7983"/>
    <cellStyle name="Comma 2 5 2 5 2 2 2 2 2" xfId="21081"/>
    <cellStyle name="Comma 2 5 2 5 2 2 2 2 2 2" xfId="21535"/>
    <cellStyle name="Comma 2 5 2 5 2 2 2 2 2 2 2" xfId="56407"/>
    <cellStyle name="Comma 2 5 2 5 2 2 2 2 2 2 2 2" xfId="56861"/>
    <cellStyle name="Comma 2 5 2 5 2 2 2 2 2 3" xfId="35038"/>
    <cellStyle name="Comma 2 5 2 5 2 2 2 2 3" xfId="34584"/>
    <cellStyle name="Comma 2 5 2 5 2 2 2 2 3 2" xfId="43410"/>
    <cellStyle name="Comma 2 5 2 5 2 2 2 3" xfId="13208"/>
    <cellStyle name="Comma 2 5 2 5 2 2 2 3 2" xfId="42956"/>
    <cellStyle name="Comma 2 5 2 5 2 2 2 3 2 2" xfId="48554"/>
    <cellStyle name="Comma 2 5 2 5 2 2 2 4" xfId="26692"/>
    <cellStyle name="Comma 2 5 2 5 2 2 3" xfId="12754"/>
    <cellStyle name="Comma 2 5 2 5 2 2 3 2" xfId="16425"/>
    <cellStyle name="Comma 2 5 2 5 2 2 3 2 2" xfId="48100"/>
    <cellStyle name="Comma 2 5 2 5 2 2 3 2 2 2" xfId="51753"/>
    <cellStyle name="Comma 2 5 2 5 2 2 3 3" xfId="29927"/>
    <cellStyle name="Comma 2 5 2 5 2 2 4" xfId="26238"/>
    <cellStyle name="Comma 2 5 2 5 2 2 4 2" xfId="38237"/>
    <cellStyle name="Comma 2 5 2 5 2 3" xfId="4802"/>
    <cellStyle name="Comma 2 5 2 5 2 3 2" xfId="15959"/>
    <cellStyle name="Comma 2 5 2 5 2 3 2 2" xfId="18377"/>
    <cellStyle name="Comma 2 5 2 5 2 3 2 2 2" xfId="51291"/>
    <cellStyle name="Comma 2 5 2 5 2 3 2 2 2 2" xfId="53703"/>
    <cellStyle name="Comma 2 5 2 5 2 3 2 3" xfId="31878"/>
    <cellStyle name="Comma 2 5 2 5 2 3 3" xfId="29465"/>
    <cellStyle name="Comma 2 5 2 5 2 3 3 2" xfId="40239"/>
    <cellStyle name="Comma 2 5 2 5 2 4" xfId="10005"/>
    <cellStyle name="Comma 2 5 2 5 2 4 2" xfId="37773"/>
    <cellStyle name="Comma 2 5 2 5 2 4 2 2" xfId="45370"/>
    <cellStyle name="Comma 2 5 2 5 2 5" xfId="23493"/>
    <cellStyle name="Comma 2 5 2 5 3" xfId="4323"/>
    <cellStyle name="Comma 2 5 2 5 3 2" xfId="6007"/>
    <cellStyle name="Comma 2 5 2 5 3 2 2" xfId="17916"/>
    <cellStyle name="Comma 2 5 2 5 3 2 2 2" xfId="19572"/>
    <cellStyle name="Comma 2 5 2 5 3 2 2 2 2" xfId="53243"/>
    <cellStyle name="Comma 2 5 2 5 3 2 2 2 2 2" xfId="54898"/>
    <cellStyle name="Comma 2 5 2 5 3 2 2 3" xfId="33073"/>
    <cellStyle name="Comma 2 5 2 5 3 2 3" xfId="31418"/>
    <cellStyle name="Comma 2 5 2 5 3 2 3 2" xfId="41441"/>
    <cellStyle name="Comma 2 5 2 5 3 3" xfId="11232"/>
    <cellStyle name="Comma 2 5 2 5 3 3 2" xfId="39766"/>
    <cellStyle name="Comma 2 5 2 5 3 3 2 2" xfId="46588"/>
    <cellStyle name="Comma 2 5 2 5 3 4" xfId="24725"/>
    <cellStyle name="Comma 2 5 2 5 4" xfId="9518"/>
    <cellStyle name="Comma 2 5 2 5 4 2" xfId="14389"/>
    <cellStyle name="Comma 2 5 2 5 4 2 2" xfId="44900"/>
    <cellStyle name="Comma 2 5 2 5 4 2 2 2" xfId="49734"/>
    <cellStyle name="Comma 2 5 2 5 4 3" xfId="27901"/>
    <cellStyle name="Comma 2 5 2 5 5" xfId="23016"/>
    <cellStyle name="Comma 2 5 2 5 5 2" xfId="36201"/>
    <cellStyle name="Comma 2 5 2 6" xfId="555"/>
    <cellStyle name="Comma 2 5 2 6 2" xfId="5534"/>
    <cellStyle name="Comma 2 5 2 6 2 2" xfId="5887"/>
    <cellStyle name="Comma 2 5 2 6 2 2 2" xfId="19107"/>
    <cellStyle name="Comma 2 5 2 6 2 2 2 2" xfId="19455"/>
    <cellStyle name="Comma 2 5 2 6 2 2 2 2 2" xfId="54433"/>
    <cellStyle name="Comma 2 5 2 6 2 2 2 2 2 2" xfId="54781"/>
    <cellStyle name="Comma 2 5 2 6 2 2 2 3" xfId="32956"/>
    <cellStyle name="Comma 2 5 2 6 2 2 3" xfId="32608"/>
    <cellStyle name="Comma 2 5 2 6 2 2 3 2" xfId="41322"/>
    <cellStyle name="Comma 2 5 2 6 2 3" xfId="11112"/>
    <cellStyle name="Comma 2 5 2 6 2 3 2" xfId="40971"/>
    <cellStyle name="Comma 2 5 2 6 2 3 2 2" xfId="46471"/>
    <cellStyle name="Comma 2 5 2 6 2 4" xfId="24605"/>
    <cellStyle name="Comma 2 5 2 6 3" xfId="10741"/>
    <cellStyle name="Comma 2 5 2 6 3 2" xfId="14272"/>
    <cellStyle name="Comma 2 5 2 6 3 2 2" xfId="46103"/>
    <cellStyle name="Comma 2 5 2 6 3 2 2 2" xfId="49617"/>
    <cellStyle name="Comma 2 5 2 6 3 3" xfId="27780"/>
    <cellStyle name="Comma 2 5 2 6 4" xfId="24227"/>
    <cellStyle name="Comma 2 5 2 6 4 2" xfId="36084"/>
    <cellStyle name="Comma 2 5 2 7" xfId="702"/>
    <cellStyle name="Comma 2 5 2 7 2" xfId="13919"/>
    <cellStyle name="Comma 2 5 2 7 2 2" xfId="14410"/>
    <cellStyle name="Comma 2 5 2 7 2 2 2" xfId="49265"/>
    <cellStyle name="Comma 2 5 2 7 2 2 2 2" xfId="49755"/>
    <cellStyle name="Comma 2 5 2 7 2 3" xfId="27923"/>
    <cellStyle name="Comma 2 5 2 7 3" xfId="27405"/>
    <cellStyle name="Comma 2 5 2 7 3 2" xfId="36223"/>
    <cellStyle name="Comma 2 5 2 8" xfId="3906"/>
    <cellStyle name="Comma 2 5 2 8 2" xfId="24211"/>
    <cellStyle name="Comma 2 5 2 8 2 2" xfId="39351"/>
    <cellStyle name="Comma 2 5 2 9" xfId="10932"/>
    <cellStyle name="Comma 2 5 3" xfId="211"/>
    <cellStyle name="Comma 2 5 3 2" xfId="261"/>
    <cellStyle name="Comma 2 5 3 2 2" xfId="577"/>
    <cellStyle name="Comma 2 5 3 2 2 2" xfId="607"/>
    <cellStyle name="Comma 2 5 3 2 2 2 2" xfId="1374"/>
    <cellStyle name="Comma 2 5 3 2 2 2 2 2" xfId="1403"/>
    <cellStyle name="Comma 2 5 3 2 2 2 2 2 2" xfId="3392"/>
    <cellStyle name="Comma 2 5 3 2 2 2 2 2 2 2" xfId="3421"/>
    <cellStyle name="Comma 2 5 3 2 2 2 2 2 2 2 2" xfId="8607"/>
    <cellStyle name="Comma 2 5 3 2 2 2 2 2 2 2 2 2" xfId="8636"/>
    <cellStyle name="Comma 2 5 3 2 2 2 2 2 2 2 2 2 2" xfId="22159"/>
    <cellStyle name="Comma 2 5 3 2 2 2 2 2 2 2 2 2 2 2" xfId="22188"/>
    <cellStyle name="Comma 2 5 3 2 2 2 2 2 2 2 2 2 2 2 2" xfId="57485"/>
    <cellStyle name="Comma 2 5 3 2 2 2 2 2 2 2 2 2 2 2 2 2" xfId="57514"/>
    <cellStyle name="Comma 2 5 3 2 2 2 2 2 2 2 2 2 2 3" xfId="35691"/>
    <cellStyle name="Comma 2 5 3 2 2 2 2 2 2 2 2 2 3" xfId="35662"/>
    <cellStyle name="Comma 2 5 3 2 2 2 2 2 2 2 2 2 3 2" xfId="44063"/>
    <cellStyle name="Comma 2 5 3 2 2 2 2 2 2 2 2 3" xfId="13861"/>
    <cellStyle name="Comma 2 5 3 2 2 2 2 2 2 2 2 3 2" xfId="44034"/>
    <cellStyle name="Comma 2 5 3 2 2 2 2 2 2 2 2 3 2 2" xfId="49207"/>
    <cellStyle name="Comma 2 5 3 2 2 2 2 2 2 2 2 4" xfId="27346"/>
    <cellStyle name="Comma 2 5 3 2 2 2 2 2 2 2 3" xfId="13832"/>
    <cellStyle name="Comma 2 5 3 2 2 2 2 2 2 2 3 2" xfId="17078"/>
    <cellStyle name="Comma 2 5 3 2 2 2 2 2 2 2 3 2 2" xfId="49178"/>
    <cellStyle name="Comma 2 5 3 2 2 2 2 2 2 2 3 2 2 2" xfId="52406"/>
    <cellStyle name="Comma 2 5 3 2 2 2 2 2 2 2 3 3" xfId="30580"/>
    <cellStyle name="Comma 2 5 3 2 2 2 2 2 2 2 4" xfId="27317"/>
    <cellStyle name="Comma 2 5 3 2 2 2 2 2 2 2 4 2" xfId="38890"/>
    <cellStyle name="Comma 2 5 3 2 2 2 2 2 2 3" xfId="5458"/>
    <cellStyle name="Comma 2 5 3 2 2 2 2 2 2 3 2" xfId="17049"/>
    <cellStyle name="Comma 2 5 3 2 2 2 2 2 2 3 2 2" xfId="19031"/>
    <cellStyle name="Comma 2 5 3 2 2 2 2 2 2 3 2 2 2" xfId="52377"/>
    <cellStyle name="Comma 2 5 3 2 2 2 2 2 2 3 2 2 2 2" xfId="54357"/>
    <cellStyle name="Comma 2 5 3 2 2 2 2 2 2 3 2 3" xfId="32532"/>
    <cellStyle name="Comma 2 5 3 2 2 2 2 2 2 3 3" xfId="30551"/>
    <cellStyle name="Comma 2 5 3 2 2 2 2 2 2 3 3 2" xfId="40895"/>
    <cellStyle name="Comma 2 5 3 2 2 2 2 2 2 4" xfId="10661"/>
    <cellStyle name="Comma 2 5 3 2 2 2 2 2 2 4 2" xfId="38861"/>
    <cellStyle name="Comma 2 5 3 2 2 2 2 2 2 4 2 2" xfId="46024"/>
    <cellStyle name="Comma 2 5 3 2 2 2 2 2 2 5" xfId="24147"/>
    <cellStyle name="Comma 2 5 3 2 2 2 2 2 3" xfId="5429"/>
    <cellStyle name="Comma 2 5 3 2 2 2 2 2 3 2" xfId="6711"/>
    <cellStyle name="Comma 2 5 3 2 2 2 2 2 3 2 2" xfId="19002"/>
    <cellStyle name="Comma 2 5 3 2 2 2 2 2 3 2 2 2" xfId="20264"/>
    <cellStyle name="Comma 2 5 3 2 2 2 2 2 3 2 2 2 2" xfId="54328"/>
    <cellStyle name="Comma 2 5 3 2 2 2 2 2 3 2 2 2 2 2" xfId="55590"/>
    <cellStyle name="Comma 2 5 3 2 2 2 2 2 3 2 2 3" xfId="33766"/>
    <cellStyle name="Comma 2 5 3 2 2 2 2 2 3 2 3" xfId="32503"/>
    <cellStyle name="Comma 2 5 3 2 2 2 2 2 3 2 3 2" xfId="42139"/>
    <cellStyle name="Comma 2 5 3 2 2 2 2 2 3 3" xfId="11934"/>
    <cellStyle name="Comma 2 5 3 2 2 2 2 2 3 3 2" xfId="40866"/>
    <cellStyle name="Comma 2 5 3 2 2 2 2 2 3 3 2 2" xfId="47282"/>
    <cellStyle name="Comma 2 5 3 2 2 2 2 2 3 4" xfId="25419"/>
    <cellStyle name="Comma 2 5 3 2 2 2 2 2 4" xfId="10632"/>
    <cellStyle name="Comma 2 5 3 2 2 2 2 2 4 2" xfId="15092"/>
    <cellStyle name="Comma 2 5 3 2 2 2 2 2 4 2 2" xfId="45995"/>
    <cellStyle name="Comma 2 5 3 2 2 2 2 2 4 2 2 2" xfId="50431"/>
    <cellStyle name="Comma 2 5 3 2 2 2 2 2 4 3" xfId="28605"/>
    <cellStyle name="Comma 2 5 3 2 2 2 2 2 5" xfId="24118"/>
    <cellStyle name="Comma 2 5 3 2 2 2 2 2 5 2" xfId="36900"/>
    <cellStyle name="Comma 2 5 3 2 2 2 2 3" xfId="2210"/>
    <cellStyle name="Comma 2 5 3 2 2 2 2 3 2" xfId="6682"/>
    <cellStyle name="Comma 2 5 3 2 2 2 2 3 2 2" xfId="7444"/>
    <cellStyle name="Comma 2 5 3 2 2 2 2 3 2 2 2" xfId="20235"/>
    <cellStyle name="Comma 2 5 3 2 2 2 2 3 2 2 2 2" xfId="20996"/>
    <cellStyle name="Comma 2 5 3 2 2 2 2 3 2 2 2 2 2" xfId="55561"/>
    <cellStyle name="Comma 2 5 3 2 2 2 2 3 2 2 2 2 2 2" xfId="56322"/>
    <cellStyle name="Comma 2 5 3 2 2 2 2 3 2 2 2 3" xfId="34499"/>
    <cellStyle name="Comma 2 5 3 2 2 2 2 3 2 2 3" xfId="33737"/>
    <cellStyle name="Comma 2 5 3 2 2 2 2 3 2 2 3 2" xfId="42871"/>
    <cellStyle name="Comma 2 5 3 2 2 2 2 3 2 3" xfId="12669"/>
    <cellStyle name="Comma 2 5 3 2 2 2 2 3 2 3 2" xfId="42110"/>
    <cellStyle name="Comma 2 5 3 2 2 2 2 3 2 3 2 2" xfId="48015"/>
    <cellStyle name="Comma 2 5 3 2 2 2 2 3 2 4" xfId="26153"/>
    <cellStyle name="Comma 2 5 3 2 2 2 2 3 3" xfId="11905"/>
    <cellStyle name="Comma 2 5 3 2 2 2 2 3 3 2" xfId="15874"/>
    <cellStyle name="Comma 2 5 3 2 2 2 2 3 3 2 2" xfId="47253"/>
    <cellStyle name="Comma 2 5 3 2 2 2 2 3 3 2 2 2" xfId="51206"/>
    <cellStyle name="Comma 2 5 3 2 2 2 2 3 3 3" xfId="29380"/>
    <cellStyle name="Comma 2 5 3 2 2 2 2 3 4" xfId="25390"/>
    <cellStyle name="Comma 2 5 3 2 2 2 2 3 4 2" xfId="37688"/>
    <cellStyle name="Comma 2 5 3 2 2 2 2 4" xfId="4226"/>
    <cellStyle name="Comma 2 5 3 2 2 2 2 4 2" xfId="15063"/>
    <cellStyle name="Comma 2 5 3 2 2 2 2 4 2 2" xfId="17819"/>
    <cellStyle name="Comma 2 5 3 2 2 2 2 4 2 2 2" xfId="50402"/>
    <cellStyle name="Comma 2 5 3 2 2 2 2 4 2 2 2 2" xfId="53146"/>
    <cellStyle name="Comma 2 5 3 2 2 2 2 4 2 3" xfId="31321"/>
    <cellStyle name="Comma 2 5 3 2 2 2 2 4 3" xfId="28576"/>
    <cellStyle name="Comma 2 5 3 2 2 2 2 4 3 2" xfId="39669"/>
    <cellStyle name="Comma 2 5 3 2 2 2 2 5" xfId="9417"/>
    <cellStyle name="Comma 2 5 3 2 2 2 2 5 2" xfId="36871"/>
    <cellStyle name="Comma 2 5 3 2 2 2 2 5 2 2" xfId="44799"/>
    <cellStyle name="Comma 2 5 3 2 2 2 2 6" xfId="22913"/>
    <cellStyle name="Comma 2 5 3 2 2 2 3" xfId="2181"/>
    <cellStyle name="Comma 2 5 3 2 2 2 3 2" xfId="2697"/>
    <cellStyle name="Comma 2 5 3 2 2 2 3 2 2" xfId="7415"/>
    <cellStyle name="Comma 2 5 3 2 2 2 3 2 2 2" xfId="7916"/>
    <cellStyle name="Comma 2 5 3 2 2 2 3 2 2 2 2" xfId="20967"/>
    <cellStyle name="Comma 2 5 3 2 2 2 3 2 2 2 2 2" xfId="21468"/>
    <cellStyle name="Comma 2 5 3 2 2 2 3 2 2 2 2 2 2" xfId="56293"/>
    <cellStyle name="Comma 2 5 3 2 2 2 3 2 2 2 2 2 2 2" xfId="56794"/>
    <cellStyle name="Comma 2 5 3 2 2 2 3 2 2 2 2 3" xfId="34971"/>
    <cellStyle name="Comma 2 5 3 2 2 2 3 2 2 2 3" xfId="34470"/>
    <cellStyle name="Comma 2 5 3 2 2 2 3 2 2 2 3 2" xfId="43343"/>
    <cellStyle name="Comma 2 5 3 2 2 2 3 2 2 3" xfId="13141"/>
    <cellStyle name="Comma 2 5 3 2 2 2 3 2 2 3 2" xfId="42842"/>
    <cellStyle name="Comma 2 5 3 2 2 2 3 2 2 3 2 2" xfId="48487"/>
    <cellStyle name="Comma 2 5 3 2 2 2 3 2 2 4" xfId="26625"/>
    <cellStyle name="Comma 2 5 3 2 2 2 3 2 3" xfId="12640"/>
    <cellStyle name="Comma 2 5 3 2 2 2 3 2 3 2" xfId="16356"/>
    <cellStyle name="Comma 2 5 3 2 2 2 3 2 3 2 2" xfId="47986"/>
    <cellStyle name="Comma 2 5 3 2 2 2 3 2 3 2 2 2" xfId="51686"/>
    <cellStyle name="Comma 2 5 3 2 2 2 3 2 3 3" xfId="29860"/>
    <cellStyle name="Comma 2 5 3 2 2 2 3 2 4" xfId="26124"/>
    <cellStyle name="Comma 2 5 3 2 2 2 3 2 4 2" xfId="38170"/>
    <cellStyle name="Comma 2 5 3 2 2 2 3 3" xfId="4733"/>
    <cellStyle name="Comma 2 5 3 2 2 2 3 3 2" xfId="15845"/>
    <cellStyle name="Comma 2 5 3 2 2 2 3 3 2 2" xfId="18310"/>
    <cellStyle name="Comma 2 5 3 2 2 2 3 3 2 2 2" xfId="51177"/>
    <cellStyle name="Comma 2 5 3 2 2 2 3 3 2 2 2 2" xfId="53636"/>
    <cellStyle name="Comma 2 5 3 2 2 2 3 3 2 3" xfId="31811"/>
    <cellStyle name="Comma 2 5 3 2 2 2 3 3 3" xfId="29351"/>
    <cellStyle name="Comma 2 5 3 2 2 2 3 3 3 2" xfId="40171"/>
    <cellStyle name="Comma 2 5 3 2 2 2 3 4" xfId="9936"/>
    <cellStyle name="Comma 2 5 3 2 2 2 3 4 2" xfId="37659"/>
    <cellStyle name="Comma 2 5 3 2 2 2 3 4 2 2" xfId="45303"/>
    <cellStyle name="Comma 2 5 3 2 2 2 3 5" xfId="23426"/>
    <cellStyle name="Comma 2 5 3 2 2 2 4" xfId="4197"/>
    <cellStyle name="Comma 2 5 3 2 2 2 4 2" xfId="5938"/>
    <cellStyle name="Comma 2 5 3 2 2 2 4 2 2" xfId="17790"/>
    <cellStyle name="Comma 2 5 3 2 2 2 4 2 2 2" xfId="19505"/>
    <cellStyle name="Comma 2 5 3 2 2 2 4 2 2 2 2" xfId="53117"/>
    <cellStyle name="Comma 2 5 3 2 2 2 4 2 2 2 2 2" xfId="54831"/>
    <cellStyle name="Comma 2 5 3 2 2 2 4 2 2 3" xfId="33006"/>
    <cellStyle name="Comma 2 5 3 2 2 2 4 2 3" xfId="31292"/>
    <cellStyle name="Comma 2 5 3 2 2 2 4 2 3 2" xfId="41372"/>
    <cellStyle name="Comma 2 5 3 2 2 2 4 3" xfId="11163"/>
    <cellStyle name="Comma 2 5 3 2 2 2 4 3 2" xfId="39640"/>
    <cellStyle name="Comma 2 5 3 2 2 2 4 3 2 2" xfId="46521"/>
    <cellStyle name="Comma 2 5 3 2 2 2 4 4" xfId="24656"/>
    <cellStyle name="Comma 2 5 3 2 2 2 5" xfId="9388"/>
    <cellStyle name="Comma 2 5 3 2 2 2 5 2" xfId="14322"/>
    <cellStyle name="Comma 2 5 3 2 2 2 5 2 2" xfId="44770"/>
    <cellStyle name="Comma 2 5 3 2 2 2 5 2 2 2" xfId="49667"/>
    <cellStyle name="Comma 2 5 3 2 2 2 5 3" xfId="27832"/>
    <cellStyle name="Comma 2 5 3 2 2 2 6" xfId="22884"/>
    <cellStyle name="Comma 2 5 3 2 2 2 6 2" xfId="36134"/>
    <cellStyle name="Comma 2 5 3 2 2 3" xfId="935"/>
    <cellStyle name="Comma 2 5 3 2 2 3 2" xfId="2667"/>
    <cellStyle name="Comma 2 5 3 2 2 3 2 2" xfId="2973"/>
    <cellStyle name="Comma 2 5 3 2 2 3 2 2 2" xfId="7886"/>
    <cellStyle name="Comma 2 5 3 2 2 3 2 2 2 2" xfId="8188"/>
    <cellStyle name="Comma 2 5 3 2 2 3 2 2 2 2 2" xfId="21438"/>
    <cellStyle name="Comma 2 5 3 2 2 3 2 2 2 2 2 2" xfId="21740"/>
    <cellStyle name="Comma 2 5 3 2 2 3 2 2 2 2 2 2 2" xfId="56764"/>
    <cellStyle name="Comma 2 5 3 2 2 3 2 2 2 2 2 2 2 2" xfId="57066"/>
    <cellStyle name="Comma 2 5 3 2 2 3 2 2 2 2 2 3" xfId="35243"/>
    <cellStyle name="Comma 2 5 3 2 2 3 2 2 2 2 3" xfId="34941"/>
    <cellStyle name="Comma 2 5 3 2 2 3 2 2 2 2 3 2" xfId="43615"/>
    <cellStyle name="Comma 2 5 3 2 2 3 2 2 2 3" xfId="13413"/>
    <cellStyle name="Comma 2 5 3 2 2 3 2 2 2 3 2" xfId="43313"/>
    <cellStyle name="Comma 2 5 3 2 2 3 2 2 2 3 2 2" xfId="48759"/>
    <cellStyle name="Comma 2 5 3 2 2 3 2 2 2 4" xfId="26898"/>
    <cellStyle name="Comma 2 5 3 2 2 3 2 2 3" xfId="13111"/>
    <cellStyle name="Comma 2 5 3 2 2 3 2 2 3 2" xfId="16630"/>
    <cellStyle name="Comma 2 5 3 2 2 3 2 2 3 2 2" xfId="48457"/>
    <cellStyle name="Comma 2 5 3 2 2 3 2 2 3 2 2 2" xfId="51958"/>
    <cellStyle name="Comma 2 5 3 2 2 3 2 2 3 3" xfId="30132"/>
    <cellStyle name="Comma 2 5 3 2 2 3 2 2 4" xfId="26595"/>
    <cellStyle name="Comma 2 5 3 2 2 3 2 2 4 2" xfId="38442"/>
    <cellStyle name="Comma 2 5 3 2 2 3 2 3" xfId="5009"/>
    <cellStyle name="Comma 2 5 3 2 2 3 2 3 2" xfId="16326"/>
    <cellStyle name="Comma 2 5 3 2 2 3 2 3 2 2" xfId="18582"/>
    <cellStyle name="Comma 2 5 3 2 2 3 2 3 2 2 2" xfId="51656"/>
    <cellStyle name="Comma 2 5 3 2 2 3 2 3 2 2 2 2" xfId="53908"/>
    <cellStyle name="Comma 2 5 3 2 2 3 2 3 2 3" xfId="32083"/>
    <cellStyle name="Comma 2 5 3 2 2 3 2 3 3" xfId="29830"/>
    <cellStyle name="Comma 2 5 3 2 2 3 2 3 3 2" xfId="40446"/>
    <cellStyle name="Comma 2 5 3 2 2 3 2 4" xfId="10212"/>
    <cellStyle name="Comma 2 5 3 2 2 3 2 4 2" xfId="38140"/>
    <cellStyle name="Comma 2 5 3 2 2 3 2 4 2 2" xfId="45575"/>
    <cellStyle name="Comma 2 5 3 2 2 3 2 5" xfId="23698"/>
    <cellStyle name="Comma 2 5 3 2 2 3 3" xfId="4703"/>
    <cellStyle name="Comma 2 5 3 2 2 3 3 2" xfId="6246"/>
    <cellStyle name="Comma 2 5 3 2 2 3 3 2 2" xfId="18280"/>
    <cellStyle name="Comma 2 5 3 2 2 3 3 2 2 2" xfId="19803"/>
    <cellStyle name="Comma 2 5 3 2 2 3 3 2 2 2 2" xfId="53606"/>
    <cellStyle name="Comma 2 5 3 2 2 3 3 2 2 2 2 2" xfId="55129"/>
    <cellStyle name="Comma 2 5 3 2 2 3 3 2 2 3" xfId="33305"/>
    <cellStyle name="Comma 2 5 3 2 2 3 3 2 3" xfId="31781"/>
    <cellStyle name="Comma 2 5 3 2 2 3 3 2 3 2" xfId="41675"/>
    <cellStyle name="Comma 2 5 3 2 2 3 3 3" xfId="11471"/>
    <cellStyle name="Comma 2 5 3 2 2 3 3 3 2" xfId="40141"/>
    <cellStyle name="Comma 2 5 3 2 2 3 3 3 2 2" xfId="46820"/>
    <cellStyle name="Comma 2 5 3 2 2 3 3 4" xfId="24957"/>
    <cellStyle name="Comma 2 5 3 2 2 3 4" xfId="9906"/>
    <cellStyle name="Comma 2 5 3 2 2 3 4 2" xfId="14629"/>
    <cellStyle name="Comma 2 5 3 2 2 3 4 2 2" xfId="45273"/>
    <cellStyle name="Comma 2 5 3 2 2 3 4 2 2 2" xfId="49968"/>
    <cellStyle name="Comma 2 5 3 2 2 3 4 3" xfId="28140"/>
    <cellStyle name="Comma 2 5 3 2 2 3 5" xfId="23396"/>
    <cellStyle name="Comma 2 5 3 2 2 3 5 2" xfId="36437"/>
    <cellStyle name="Comma 2 5 3 2 2 4" xfId="1731"/>
    <cellStyle name="Comma 2 5 3 2 2 4 2" xfId="5908"/>
    <cellStyle name="Comma 2 5 3 2 2 4 2 2" xfId="6984"/>
    <cellStyle name="Comma 2 5 3 2 2 4 2 2 2" xfId="19475"/>
    <cellStyle name="Comma 2 5 3 2 2 4 2 2 2 2" xfId="20537"/>
    <cellStyle name="Comma 2 5 3 2 2 4 2 2 2 2 2" xfId="54801"/>
    <cellStyle name="Comma 2 5 3 2 2 4 2 2 2 2 2 2" xfId="55863"/>
    <cellStyle name="Comma 2 5 3 2 2 4 2 2 2 3" xfId="34039"/>
    <cellStyle name="Comma 2 5 3 2 2 4 2 2 3" xfId="32976"/>
    <cellStyle name="Comma 2 5 3 2 2 4 2 2 3 2" xfId="42412"/>
    <cellStyle name="Comma 2 5 3 2 2 4 2 3" xfId="12208"/>
    <cellStyle name="Comma 2 5 3 2 2 4 2 3 2" xfId="41342"/>
    <cellStyle name="Comma 2 5 3 2 2 4 2 3 2 2" xfId="47555"/>
    <cellStyle name="Comma 2 5 3 2 2 4 2 4" xfId="25693"/>
    <cellStyle name="Comma 2 5 3 2 2 4 3" xfId="11133"/>
    <cellStyle name="Comma 2 5 3 2 2 4 3 2" xfId="15403"/>
    <cellStyle name="Comma 2 5 3 2 2 4 3 2 2" xfId="46491"/>
    <cellStyle name="Comma 2 5 3 2 2 4 3 2 2 2" xfId="50736"/>
    <cellStyle name="Comma 2 5 3 2 2 4 3 3" xfId="28910"/>
    <cellStyle name="Comma 2 5 3 2 2 4 4" xfId="24626"/>
    <cellStyle name="Comma 2 5 3 2 2 4 4 2" xfId="37213"/>
    <cellStyle name="Comma 2 5 3 2 2 5" xfId="3736"/>
    <cellStyle name="Comma 2 5 3 2 2 5 2" xfId="14292"/>
    <cellStyle name="Comma 2 5 3 2 2 5 2 2" xfId="17352"/>
    <cellStyle name="Comma 2 5 3 2 2 5 2 2 2" xfId="49637"/>
    <cellStyle name="Comma 2 5 3 2 2 5 2 2 2 2" xfId="52679"/>
    <cellStyle name="Comma 2 5 3 2 2 5 2 3" xfId="30853"/>
    <cellStyle name="Comma 2 5 3 2 2 5 3" xfId="27802"/>
    <cellStyle name="Comma 2 5 3 2 2 5 3 2" xfId="39187"/>
    <cellStyle name="Comma 2 5 3 2 2 6" xfId="8926"/>
    <cellStyle name="Comma 2 5 3 2 2 6 2" xfId="36104"/>
    <cellStyle name="Comma 2 5 3 2 2 6 2 2" xfId="44325"/>
    <cellStyle name="Comma 2 5 3 2 2 7" xfId="22433"/>
    <cellStyle name="Comma 2 5 3 2 3" xfId="905"/>
    <cellStyle name="Comma 2 5 3 2 3 2" xfId="1127"/>
    <cellStyle name="Comma 2 5 3 2 3 2 2" xfId="2944"/>
    <cellStyle name="Comma 2 5 3 2 3 2 2 2" xfId="3152"/>
    <cellStyle name="Comma 2 5 3 2 3 2 2 2 2" xfId="8159"/>
    <cellStyle name="Comma 2 5 3 2 3 2 2 2 2 2" xfId="8367"/>
    <cellStyle name="Comma 2 5 3 2 3 2 2 2 2 2 2" xfId="21711"/>
    <cellStyle name="Comma 2 5 3 2 3 2 2 2 2 2 2 2" xfId="21919"/>
    <cellStyle name="Comma 2 5 3 2 3 2 2 2 2 2 2 2 2" xfId="57037"/>
    <cellStyle name="Comma 2 5 3 2 3 2 2 2 2 2 2 2 2 2" xfId="57245"/>
    <cellStyle name="Comma 2 5 3 2 3 2 2 2 2 2 2 3" xfId="35422"/>
    <cellStyle name="Comma 2 5 3 2 3 2 2 2 2 2 3" xfId="35214"/>
    <cellStyle name="Comma 2 5 3 2 3 2 2 2 2 2 3 2" xfId="43794"/>
    <cellStyle name="Comma 2 5 3 2 3 2 2 2 2 3" xfId="13592"/>
    <cellStyle name="Comma 2 5 3 2 3 2 2 2 2 3 2" xfId="43586"/>
    <cellStyle name="Comma 2 5 3 2 3 2 2 2 2 3 2 2" xfId="48938"/>
    <cellStyle name="Comma 2 5 3 2 3 2 2 2 2 4" xfId="27077"/>
    <cellStyle name="Comma 2 5 3 2 3 2 2 2 3" xfId="13384"/>
    <cellStyle name="Comma 2 5 3 2 3 2 2 2 3 2" xfId="16809"/>
    <cellStyle name="Comma 2 5 3 2 3 2 2 2 3 2 2" xfId="48730"/>
    <cellStyle name="Comma 2 5 3 2 3 2 2 2 3 2 2 2" xfId="52137"/>
    <cellStyle name="Comma 2 5 3 2 3 2 2 2 3 3" xfId="30311"/>
    <cellStyle name="Comma 2 5 3 2 3 2 2 2 4" xfId="26869"/>
    <cellStyle name="Comma 2 5 3 2 3 2 2 2 4 2" xfId="38621"/>
    <cellStyle name="Comma 2 5 3 2 3 2 2 3" xfId="5189"/>
    <cellStyle name="Comma 2 5 3 2 3 2 2 3 2" xfId="16601"/>
    <cellStyle name="Comma 2 5 3 2 3 2 2 3 2 2" xfId="18762"/>
    <cellStyle name="Comma 2 5 3 2 3 2 2 3 2 2 2" xfId="51929"/>
    <cellStyle name="Comma 2 5 3 2 3 2 2 3 2 2 2 2" xfId="54088"/>
    <cellStyle name="Comma 2 5 3 2 3 2 2 3 2 3" xfId="32263"/>
    <cellStyle name="Comma 2 5 3 2 3 2 2 3 3" xfId="30103"/>
    <cellStyle name="Comma 2 5 3 2 3 2 2 3 3 2" xfId="40626"/>
    <cellStyle name="Comma 2 5 3 2 3 2 2 4" xfId="10392"/>
    <cellStyle name="Comma 2 5 3 2 3 2 2 4 2" xfId="38413"/>
    <cellStyle name="Comma 2 5 3 2 3 2 2 4 2 2" xfId="45755"/>
    <cellStyle name="Comma 2 5 3 2 3 2 2 5" xfId="23878"/>
    <cellStyle name="Comma 2 5 3 2 3 2 3" xfId="4980"/>
    <cellStyle name="Comma 2 5 3 2 3 2 3 2" xfId="6435"/>
    <cellStyle name="Comma 2 5 3 2 3 2 3 2 2" xfId="18553"/>
    <cellStyle name="Comma 2 5 3 2 3 2 3 2 2 2" xfId="19990"/>
    <cellStyle name="Comma 2 5 3 2 3 2 3 2 2 2 2" xfId="53879"/>
    <cellStyle name="Comma 2 5 3 2 3 2 3 2 2 2 2 2" xfId="55316"/>
    <cellStyle name="Comma 2 5 3 2 3 2 3 2 2 3" xfId="33492"/>
    <cellStyle name="Comma 2 5 3 2 3 2 3 2 3" xfId="32054"/>
    <cellStyle name="Comma 2 5 3 2 3 2 3 2 3 2" xfId="41863"/>
    <cellStyle name="Comma 2 5 3 2 3 2 3 3" xfId="11659"/>
    <cellStyle name="Comma 2 5 3 2 3 2 3 3 2" xfId="40417"/>
    <cellStyle name="Comma 2 5 3 2 3 2 3 3 2 2" xfId="47008"/>
    <cellStyle name="Comma 2 5 3 2 3 2 3 4" xfId="25145"/>
    <cellStyle name="Comma 2 5 3 2 3 2 4" xfId="10183"/>
    <cellStyle name="Comma 2 5 3 2 3 2 4 2" xfId="14818"/>
    <cellStyle name="Comma 2 5 3 2 3 2 4 2 2" xfId="45546"/>
    <cellStyle name="Comma 2 5 3 2 3 2 4 2 2 2" xfId="50157"/>
    <cellStyle name="Comma 2 5 3 2 3 2 4 3" xfId="28330"/>
    <cellStyle name="Comma 2 5 3 2 3 2 5" xfId="23669"/>
    <cellStyle name="Comma 2 5 3 2 3 2 5 2" xfId="36626"/>
    <cellStyle name="Comma 2 5 3 2 3 3" xfId="1935"/>
    <cellStyle name="Comma 2 5 3 2 3 3 2" xfId="6216"/>
    <cellStyle name="Comma 2 5 3 2 3 3 2 2" xfId="7174"/>
    <cellStyle name="Comma 2 5 3 2 3 3 2 2 2" xfId="19774"/>
    <cellStyle name="Comma 2 5 3 2 3 3 2 2 2 2" xfId="20726"/>
    <cellStyle name="Comma 2 5 3 2 3 3 2 2 2 2 2" xfId="55100"/>
    <cellStyle name="Comma 2 5 3 2 3 3 2 2 2 2 2 2" xfId="56052"/>
    <cellStyle name="Comma 2 5 3 2 3 3 2 2 2 3" xfId="34229"/>
    <cellStyle name="Comma 2 5 3 2 3 3 2 2 3" xfId="33276"/>
    <cellStyle name="Comma 2 5 3 2 3 3 2 2 3 2" xfId="42601"/>
    <cellStyle name="Comma 2 5 3 2 3 3 2 3" xfId="12399"/>
    <cellStyle name="Comma 2 5 3 2 3 3 2 3 2" xfId="41645"/>
    <cellStyle name="Comma 2 5 3 2 3 3 2 3 2 2" xfId="47745"/>
    <cellStyle name="Comma 2 5 3 2 3 3 2 4" xfId="25883"/>
    <cellStyle name="Comma 2 5 3 2 3 3 3" xfId="11441"/>
    <cellStyle name="Comma 2 5 3 2 3 3 3 2" xfId="15600"/>
    <cellStyle name="Comma 2 5 3 2 3 3 3 2 2" xfId="46791"/>
    <cellStyle name="Comma 2 5 3 2 3 3 3 2 2 2" xfId="50932"/>
    <cellStyle name="Comma 2 5 3 2 3 3 3 3" xfId="29106"/>
    <cellStyle name="Comma 2 5 3 2 3 3 4" xfId="24928"/>
    <cellStyle name="Comma 2 5 3 2 3 3 4 2" xfId="37413"/>
    <cellStyle name="Comma 2 5 3 2 3 4" xfId="3949"/>
    <cellStyle name="Comma 2 5 3 2 3 4 2" xfId="14600"/>
    <cellStyle name="Comma 2 5 3 2 3 4 2 2" xfId="17549"/>
    <cellStyle name="Comma 2 5 3 2 3 4 2 2 2" xfId="49939"/>
    <cellStyle name="Comma 2 5 3 2 3 4 2 2 2 2" xfId="52876"/>
    <cellStyle name="Comma 2 5 3 2 3 4 2 3" xfId="31051"/>
    <cellStyle name="Comma 2 5 3 2 3 4 3" xfId="28110"/>
    <cellStyle name="Comma 2 5 3 2 3 4 3 2" xfId="39393"/>
    <cellStyle name="Comma 2 5 3 2 3 5" xfId="9141"/>
    <cellStyle name="Comma 2 5 3 2 3 5 2" xfId="36408"/>
    <cellStyle name="Comma 2 5 3 2 3 5 2 2" xfId="44529"/>
    <cellStyle name="Comma 2 5 3 2 3 6" xfId="22643"/>
    <cellStyle name="Comma 2 5 3 2 4" xfId="1701"/>
    <cellStyle name="Comma 2 5 3 2 4 2" xfId="2383"/>
    <cellStyle name="Comma 2 5 3 2 4 2 2" xfId="6955"/>
    <cellStyle name="Comma 2 5 3 2 4 2 2 2" xfId="7616"/>
    <cellStyle name="Comma 2 5 3 2 4 2 2 2 2" xfId="20508"/>
    <cellStyle name="Comma 2 5 3 2 4 2 2 2 2 2" xfId="21168"/>
    <cellStyle name="Comma 2 5 3 2 4 2 2 2 2 2 2" xfId="55834"/>
    <cellStyle name="Comma 2 5 3 2 4 2 2 2 2 2 2 2" xfId="56494"/>
    <cellStyle name="Comma 2 5 3 2 4 2 2 2 2 3" xfId="34671"/>
    <cellStyle name="Comma 2 5 3 2 4 2 2 2 3" xfId="34010"/>
    <cellStyle name="Comma 2 5 3 2 4 2 2 2 3 2" xfId="43043"/>
    <cellStyle name="Comma 2 5 3 2 4 2 2 3" xfId="12841"/>
    <cellStyle name="Comma 2 5 3 2 4 2 2 3 2" xfId="42383"/>
    <cellStyle name="Comma 2 5 3 2 4 2 2 3 2 2" xfId="48187"/>
    <cellStyle name="Comma 2 5 3 2 4 2 2 4" xfId="26325"/>
    <cellStyle name="Comma 2 5 3 2 4 2 3" xfId="12179"/>
    <cellStyle name="Comma 2 5 3 2 4 2 3 2" xfId="16046"/>
    <cellStyle name="Comma 2 5 3 2 4 2 3 2 2" xfId="47526"/>
    <cellStyle name="Comma 2 5 3 2 4 2 3 2 2 2" xfId="51378"/>
    <cellStyle name="Comma 2 5 3 2 4 2 3 3" xfId="29552"/>
    <cellStyle name="Comma 2 5 3 2 4 2 4" xfId="25664"/>
    <cellStyle name="Comma 2 5 3 2 4 2 4 2" xfId="37861"/>
    <cellStyle name="Comma 2 5 3 2 4 3" xfId="4417"/>
    <cellStyle name="Comma 2 5 3 2 4 3 2" xfId="15373"/>
    <cellStyle name="Comma 2 5 3 2 4 3 2 2" xfId="18008"/>
    <cellStyle name="Comma 2 5 3 2 4 3 2 2 2" xfId="50707"/>
    <cellStyle name="Comma 2 5 3 2 4 3 2 2 2 2" xfId="53334"/>
    <cellStyle name="Comma 2 5 3 2 4 3 2 3" xfId="31509"/>
    <cellStyle name="Comma 2 5 3 2 4 3 3" xfId="28881"/>
    <cellStyle name="Comma 2 5 3 2 4 3 3 2" xfId="39859"/>
    <cellStyle name="Comma 2 5 3 2 4 4" xfId="9620"/>
    <cellStyle name="Comma 2 5 3 2 4 4 2" xfId="37184"/>
    <cellStyle name="Comma 2 5 3 2 4 4 2 2" xfId="45000"/>
    <cellStyle name="Comma 2 5 3 2 4 5" xfId="23121"/>
    <cellStyle name="Comma 2 5 3 2 5" xfId="3706"/>
    <cellStyle name="Comma 2 5 3 2 5 2" xfId="5624"/>
    <cellStyle name="Comma 2 5 3 2 5 2 2" xfId="17323"/>
    <cellStyle name="Comma 2 5 3 2 5 2 2 2" xfId="19196"/>
    <cellStyle name="Comma 2 5 3 2 5 2 2 2 2" xfId="52650"/>
    <cellStyle name="Comma 2 5 3 2 5 2 2 2 2 2" xfId="54522"/>
    <cellStyle name="Comma 2 5 3 2 5 2 2 3" xfId="32697"/>
    <cellStyle name="Comma 2 5 3 2 5 2 3" xfId="30824"/>
    <cellStyle name="Comma 2 5 3 2 5 2 3 2" xfId="41060"/>
    <cellStyle name="Comma 2 5 3 2 5 3" xfId="10840"/>
    <cellStyle name="Comma 2 5 3 2 5 3 2" xfId="39157"/>
    <cellStyle name="Comma 2 5 3 2 5 3 2 2" xfId="46202"/>
    <cellStyle name="Comma 2 5 3 2 5 4" xfId="24332"/>
    <cellStyle name="Comma 2 5 3 2 6" xfId="8895"/>
    <cellStyle name="Comma 2 5 3 2 6 2" xfId="14008"/>
    <cellStyle name="Comma 2 5 3 2 6 2 2" xfId="44295"/>
    <cellStyle name="Comma 2 5 3 2 6 2 2 2" xfId="49354"/>
    <cellStyle name="Comma 2 5 3 2 6 3" xfId="27502"/>
    <cellStyle name="Comma 2 5 3 2 7" xfId="22403"/>
    <cellStyle name="Comma 2 5 3 2 7 2" xfId="35820"/>
    <cellStyle name="Comma 2 5 3 3" xfId="402"/>
    <cellStyle name="Comma 2 5 3 3 2" xfId="1085"/>
    <cellStyle name="Comma 2 5 3 3 2 2" xfId="1233"/>
    <cellStyle name="Comma 2 5 3 3 2 2 2" xfId="3115"/>
    <cellStyle name="Comma 2 5 3 3 2 2 2 2" xfId="3251"/>
    <cellStyle name="Comma 2 5 3 3 2 2 2 2 2" xfId="8330"/>
    <cellStyle name="Comma 2 5 3 3 2 2 2 2 2 2" xfId="8466"/>
    <cellStyle name="Comma 2 5 3 3 2 2 2 2 2 2 2" xfId="21882"/>
    <cellStyle name="Comma 2 5 3 3 2 2 2 2 2 2 2 2" xfId="22018"/>
    <cellStyle name="Comma 2 5 3 3 2 2 2 2 2 2 2 2 2" xfId="57208"/>
    <cellStyle name="Comma 2 5 3 3 2 2 2 2 2 2 2 2 2 2" xfId="57344"/>
    <cellStyle name="Comma 2 5 3 3 2 2 2 2 2 2 2 3" xfId="35521"/>
    <cellStyle name="Comma 2 5 3 3 2 2 2 2 2 2 3" xfId="35385"/>
    <cellStyle name="Comma 2 5 3 3 2 2 2 2 2 2 3 2" xfId="43893"/>
    <cellStyle name="Comma 2 5 3 3 2 2 2 2 2 3" xfId="13691"/>
    <cellStyle name="Comma 2 5 3 3 2 2 2 2 2 3 2" xfId="43757"/>
    <cellStyle name="Comma 2 5 3 3 2 2 2 2 2 3 2 2" xfId="49037"/>
    <cellStyle name="Comma 2 5 3 3 2 2 2 2 2 4" xfId="27176"/>
    <cellStyle name="Comma 2 5 3 3 2 2 2 2 3" xfId="13555"/>
    <cellStyle name="Comma 2 5 3 3 2 2 2 2 3 2" xfId="16908"/>
    <cellStyle name="Comma 2 5 3 3 2 2 2 2 3 2 2" xfId="48901"/>
    <cellStyle name="Comma 2 5 3 3 2 2 2 2 3 2 2 2" xfId="52236"/>
    <cellStyle name="Comma 2 5 3 3 2 2 2 2 3 3" xfId="30410"/>
    <cellStyle name="Comma 2 5 3 3 2 2 2 2 4" xfId="27040"/>
    <cellStyle name="Comma 2 5 3 3 2 2 2 2 4 2" xfId="38720"/>
    <cellStyle name="Comma 2 5 3 3 2 2 2 3" xfId="5288"/>
    <cellStyle name="Comma 2 5 3 3 2 2 2 3 2" xfId="16772"/>
    <cellStyle name="Comma 2 5 3 3 2 2 2 3 2 2" xfId="18861"/>
    <cellStyle name="Comma 2 5 3 3 2 2 2 3 2 2 2" xfId="52100"/>
    <cellStyle name="Comma 2 5 3 3 2 2 2 3 2 2 2 2" xfId="54187"/>
    <cellStyle name="Comma 2 5 3 3 2 2 2 3 2 3" xfId="32362"/>
    <cellStyle name="Comma 2 5 3 3 2 2 2 3 3" xfId="30274"/>
    <cellStyle name="Comma 2 5 3 3 2 2 2 3 3 2" xfId="40725"/>
    <cellStyle name="Comma 2 5 3 3 2 2 2 4" xfId="10491"/>
    <cellStyle name="Comma 2 5 3 3 2 2 2 4 2" xfId="38584"/>
    <cellStyle name="Comma 2 5 3 3 2 2 2 4 2 2" xfId="45854"/>
    <cellStyle name="Comma 2 5 3 3 2 2 2 5" xfId="23977"/>
    <cellStyle name="Comma 2 5 3 3 2 2 3" xfId="5152"/>
    <cellStyle name="Comma 2 5 3 3 2 2 3 2" xfId="6541"/>
    <cellStyle name="Comma 2 5 3 3 2 2 3 2 2" xfId="18725"/>
    <cellStyle name="Comma 2 5 3 3 2 2 3 2 2 2" xfId="20094"/>
    <cellStyle name="Comma 2 5 3 3 2 2 3 2 2 2 2" xfId="54051"/>
    <cellStyle name="Comma 2 5 3 3 2 2 3 2 2 2 2 2" xfId="55420"/>
    <cellStyle name="Comma 2 5 3 3 2 2 3 2 2 3" xfId="33596"/>
    <cellStyle name="Comma 2 5 3 3 2 2 3 2 3" xfId="32226"/>
    <cellStyle name="Comma 2 5 3 3 2 2 3 2 3 2" xfId="41969"/>
    <cellStyle name="Comma 2 5 3 3 2 2 3 3" xfId="11764"/>
    <cellStyle name="Comma 2 5 3 3 2 2 3 3 2" xfId="40589"/>
    <cellStyle name="Comma 2 5 3 3 2 2 3 3 2 2" xfId="47112"/>
    <cellStyle name="Comma 2 5 3 3 2 2 3 4" xfId="25249"/>
    <cellStyle name="Comma 2 5 3 3 2 2 4" xfId="10355"/>
    <cellStyle name="Comma 2 5 3 3 2 2 4 2" xfId="14922"/>
    <cellStyle name="Comma 2 5 3 3 2 2 4 2 2" xfId="45718"/>
    <cellStyle name="Comma 2 5 3 3 2 2 4 2 2 2" xfId="50261"/>
    <cellStyle name="Comma 2 5 3 3 2 2 4 3" xfId="28435"/>
    <cellStyle name="Comma 2 5 3 3 2 2 5" xfId="23841"/>
    <cellStyle name="Comma 2 5 3 3 2 2 5 2" xfId="36730"/>
    <cellStyle name="Comma 2 5 3 3 2 3" xfId="2039"/>
    <cellStyle name="Comma 2 5 3 3 2 3 2" xfId="6394"/>
    <cellStyle name="Comma 2 5 3 3 2 3 2 2" xfId="7273"/>
    <cellStyle name="Comma 2 5 3 3 2 3 2 2 2" xfId="19950"/>
    <cellStyle name="Comma 2 5 3 3 2 3 2 2 2 2" xfId="20825"/>
    <cellStyle name="Comma 2 5 3 3 2 3 2 2 2 2 2" xfId="55276"/>
    <cellStyle name="Comma 2 5 3 3 2 3 2 2 2 2 2 2" xfId="56151"/>
    <cellStyle name="Comma 2 5 3 3 2 3 2 2 2 3" xfId="34328"/>
    <cellStyle name="Comma 2 5 3 3 2 3 2 2 3" xfId="33452"/>
    <cellStyle name="Comma 2 5 3 3 2 3 2 2 3 2" xfId="42700"/>
    <cellStyle name="Comma 2 5 3 3 2 3 2 3" xfId="12498"/>
    <cellStyle name="Comma 2 5 3 3 2 3 2 3 2" xfId="41823"/>
    <cellStyle name="Comma 2 5 3 3 2 3 2 3 2 2" xfId="47844"/>
    <cellStyle name="Comma 2 5 3 3 2 3 2 4" xfId="25982"/>
    <cellStyle name="Comma 2 5 3 3 2 3 3" xfId="11619"/>
    <cellStyle name="Comma 2 5 3 3 2 3 3 2" xfId="15703"/>
    <cellStyle name="Comma 2 5 3 3 2 3 3 2 2" xfId="46968"/>
    <cellStyle name="Comma 2 5 3 3 2 3 3 2 2 2" xfId="51035"/>
    <cellStyle name="Comma 2 5 3 3 2 3 3 3" xfId="29209"/>
    <cellStyle name="Comma 2 5 3 3 2 3 4" xfId="25105"/>
    <cellStyle name="Comma 2 5 3 3 2 3 4 2" xfId="37517"/>
    <cellStyle name="Comma 2 5 3 3 2 4" xfId="4055"/>
    <cellStyle name="Comma 2 5 3 3 2 4 2" xfId="14777"/>
    <cellStyle name="Comma 2 5 3 3 2 4 2 2" xfId="17648"/>
    <cellStyle name="Comma 2 5 3 3 2 4 2 2 2" xfId="50116"/>
    <cellStyle name="Comma 2 5 3 3 2 4 2 2 2 2" xfId="52975"/>
    <cellStyle name="Comma 2 5 3 3 2 4 2 3" xfId="31150"/>
    <cellStyle name="Comma 2 5 3 3 2 4 3" xfId="28289"/>
    <cellStyle name="Comma 2 5 3 3 2 4 3 2" xfId="39498"/>
    <cellStyle name="Comma 2 5 3 3 2 5" xfId="9246"/>
    <cellStyle name="Comma 2 5 3 3 2 5 2" xfId="36585"/>
    <cellStyle name="Comma 2 5 3 3 2 5 2 2" xfId="44628"/>
    <cellStyle name="Comma 2 5 3 3 2 6" xfId="22742"/>
    <cellStyle name="Comma 2 5 3 3 3" xfId="1893"/>
    <cellStyle name="Comma 2 5 3 3 3 2" xfId="2504"/>
    <cellStyle name="Comma 2 5 3 3 3 2 2" xfId="7137"/>
    <cellStyle name="Comma 2 5 3 3 3 2 2 2" xfId="7729"/>
    <cellStyle name="Comma 2 5 3 3 3 2 2 2 2" xfId="20689"/>
    <cellStyle name="Comma 2 5 3 3 3 2 2 2 2 2" xfId="21281"/>
    <cellStyle name="Comma 2 5 3 3 3 2 2 2 2 2 2" xfId="56015"/>
    <cellStyle name="Comma 2 5 3 3 3 2 2 2 2 2 2 2" xfId="56607"/>
    <cellStyle name="Comma 2 5 3 3 3 2 2 2 2 3" xfId="34784"/>
    <cellStyle name="Comma 2 5 3 3 3 2 2 2 3" xfId="34192"/>
    <cellStyle name="Comma 2 5 3 3 3 2 2 2 3 2" xfId="43156"/>
    <cellStyle name="Comma 2 5 3 3 3 2 2 3" xfId="12954"/>
    <cellStyle name="Comma 2 5 3 3 3 2 2 3 2" xfId="42564"/>
    <cellStyle name="Comma 2 5 3 3 3 2 2 3 2 2" xfId="48300"/>
    <cellStyle name="Comma 2 5 3 3 3 2 2 4" xfId="26438"/>
    <cellStyle name="Comma 2 5 3 3 3 2 3" xfId="12362"/>
    <cellStyle name="Comma 2 5 3 3 3 2 3 2" xfId="16165"/>
    <cellStyle name="Comma 2 5 3 3 3 2 3 2 2" xfId="47708"/>
    <cellStyle name="Comma 2 5 3 3 3 2 3 2 2 2" xfId="51496"/>
    <cellStyle name="Comma 2 5 3 3 3 2 3 3" xfId="29670"/>
    <cellStyle name="Comma 2 5 3 3 3 2 4" xfId="25846"/>
    <cellStyle name="Comma 2 5 3 3 3 2 4 2" xfId="37979"/>
    <cellStyle name="Comma 2 5 3 3 3 3" xfId="4539"/>
    <cellStyle name="Comma 2 5 3 3 3 3 2" xfId="15560"/>
    <cellStyle name="Comma 2 5 3 3 3 3 2 2" xfId="18122"/>
    <cellStyle name="Comma 2 5 3 3 3 3 2 2 2" xfId="50892"/>
    <cellStyle name="Comma 2 5 3 3 3 3 2 2 2 2" xfId="53448"/>
    <cellStyle name="Comma 2 5 3 3 3 3 2 3" xfId="31623"/>
    <cellStyle name="Comma 2 5 3 3 3 3 3" xfId="29066"/>
    <cellStyle name="Comma 2 5 3 3 3 3 3 2" xfId="39980"/>
    <cellStyle name="Comma 2 5 3 3 3 4" xfId="9742"/>
    <cellStyle name="Comma 2 5 3 3 3 4 2" xfId="37372"/>
    <cellStyle name="Comma 2 5 3 3 3 4 2 2" xfId="45115"/>
    <cellStyle name="Comma 2 5 3 3 3 5" xfId="23238"/>
    <cellStyle name="Comma 2 5 3 3 4" xfId="3907"/>
    <cellStyle name="Comma 2 5 3 3 4 2" xfId="5745"/>
    <cellStyle name="Comma 2 5 3 3 4 2 2" xfId="17512"/>
    <cellStyle name="Comma 2 5 3 3 4 2 2 2" xfId="19314"/>
    <cellStyle name="Comma 2 5 3 3 4 2 2 2 2" xfId="52839"/>
    <cellStyle name="Comma 2 5 3 3 4 2 2 2 2 2" xfId="54640"/>
    <cellStyle name="Comma 2 5 3 3 4 2 2 3" xfId="32815"/>
    <cellStyle name="Comma 2 5 3 3 4 2 3" xfId="31014"/>
    <cellStyle name="Comma 2 5 3 3 4 2 3 2" xfId="41180"/>
    <cellStyle name="Comma 2 5 3 3 4 3" xfId="10966"/>
    <cellStyle name="Comma 2 5 3 3 4 3 2" xfId="39352"/>
    <cellStyle name="Comma 2 5 3 3 4 3 2 2" xfId="46325"/>
    <cellStyle name="Comma 2 5 3 3 4 4" xfId="24459"/>
    <cellStyle name="Comma 2 5 3 3 5" xfId="9099"/>
    <cellStyle name="Comma 2 5 3 3 5 2" xfId="14129"/>
    <cellStyle name="Comma 2 5 3 3 5 2 2" xfId="44491"/>
    <cellStyle name="Comma 2 5 3 3 5 2 2 2" xfId="49474"/>
    <cellStyle name="Comma 2 5 3 3 5 3" xfId="27631"/>
    <cellStyle name="Comma 2 5 3 3 6" xfId="22604"/>
    <cellStyle name="Comma 2 5 3 3 6 2" xfId="35940"/>
    <cellStyle name="Comma 2 5 3 4" xfId="717"/>
    <cellStyle name="Comma 2 5 3 4 2" xfId="2342"/>
    <cellStyle name="Comma 2 5 3 4 2 2" xfId="2789"/>
    <cellStyle name="Comma 2 5 3 4 2 2 2" xfId="7576"/>
    <cellStyle name="Comma 2 5 3 4 2 2 2 2" xfId="8006"/>
    <cellStyle name="Comma 2 5 3 4 2 2 2 2 2" xfId="21128"/>
    <cellStyle name="Comma 2 5 3 4 2 2 2 2 2 2" xfId="21558"/>
    <cellStyle name="Comma 2 5 3 4 2 2 2 2 2 2 2" xfId="56454"/>
    <cellStyle name="Comma 2 5 3 4 2 2 2 2 2 2 2 2" xfId="56884"/>
    <cellStyle name="Comma 2 5 3 4 2 2 2 2 2 3" xfId="35061"/>
    <cellStyle name="Comma 2 5 3 4 2 2 2 2 3" xfId="34631"/>
    <cellStyle name="Comma 2 5 3 4 2 2 2 2 3 2" xfId="43433"/>
    <cellStyle name="Comma 2 5 3 4 2 2 2 3" xfId="13231"/>
    <cellStyle name="Comma 2 5 3 4 2 2 2 3 2" xfId="43003"/>
    <cellStyle name="Comma 2 5 3 4 2 2 2 3 2 2" xfId="48577"/>
    <cellStyle name="Comma 2 5 3 4 2 2 2 4" xfId="26715"/>
    <cellStyle name="Comma 2 5 3 4 2 2 3" xfId="12801"/>
    <cellStyle name="Comma 2 5 3 4 2 2 3 2" xfId="16448"/>
    <cellStyle name="Comma 2 5 3 4 2 2 3 2 2" xfId="48147"/>
    <cellStyle name="Comma 2 5 3 4 2 2 3 2 2 2" xfId="51776"/>
    <cellStyle name="Comma 2 5 3 4 2 2 3 3" xfId="29950"/>
    <cellStyle name="Comma 2 5 3 4 2 2 4" xfId="26285"/>
    <cellStyle name="Comma 2 5 3 4 2 2 4 2" xfId="38260"/>
    <cellStyle name="Comma 2 5 3 4 2 3" xfId="4825"/>
    <cellStyle name="Comma 2 5 3 4 2 3 2" xfId="16006"/>
    <cellStyle name="Comma 2 5 3 4 2 3 2 2" xfId="18400"/>
    <cellStyle name="Comma 2 5 3 4 2 3 2 2 2" xfId="51338"/>
    <cellStyle name="Comma 2 5 3 4 2 3 2 2 2 2" xfId="53726"/>
    <cellStyle name="Comma 2 5 3 4 2 3 2 3" xfId="31901"/>
    <cellStyle name="Comma 2 5 3 4 2 3 3" xfId="29512"/>
    <cellStyle name="Comma 2 5 3 4 2 3 3 2" xfId="40262"/>
    <cellStyle name="Comma 2 5 3 4 2 4" xfId="10028"/>
    <cellStyle name="Comma 2 5 3 4 2 4 2" xfId="37820"/>
    <cellStyle name="Comma 2 5 3 4 2 4 2 2" xfId="45393"/>
    <cellStyle name="Comma 2 5 3 4 2 5" xfId="23516"/>
    <cellStyle name="Comma 2 5 3 4 3" xfId="4373"/>
    <cellStyle name="Comma 2 5 3 4 3 2" xfId="6042"/>
    <cellStyle name="Comma 2 5 3 4 3 2 2" xfId="17965"/>
    <cellStyle name="Comma 2 5 3 4 3 2 2 2" xfId="19606"/>
    <cellStyle name="Comma 2 5 3 4 3 2 2 2 2" xfId="53291"/>
    <cellStyle name="Comma 2 5 3 4 3 2 2 2 2 2" xfId="54932"/>
    <cellStyle name="Comma 2 5 3 4 3 2 2 3" xfId="33107"/>
    <cellStyle name="Comma 2 5 3 4 3 2 3" xfId="31466"/>
    <cellStyle name="Comma 2 5 3 4 3 2 3 2" xfId="41476"/>
    <cellStyle name="Comma 2 5 3 4 3 3" xfId="11267"/>
    <cellStyle name="Comma 2 5 3 4 3 3 2" xfId="39815"/>
    <cellStyle name="Comma 2 5 3 4 3 3 2 2" xfId="46622"/>
    <cellStyle name="Comma 2 5 3 4 3 4" xfId="24759"/>
    <cellStyle name="Comma 2 5 3 4 4" xfId="9574"/>
    <cellStyle name="Comma 2 5 3 4 4 2" xfId="14425"/>
    <cellStyle name="Comma 2 5 3 4 4 2 2" xfId="44955"/>
    <cellStyle name="Comma 2 5 3 4 4 2 2 2" xfId="49770"/>
    <cellStyle name="Comma 2 5 3 4 4 3" xfId="27938"/>
    <cellStyle name="Comma 2 5 3 4 5" xfId="23075"/>
    <cellStyle name="Comma 2 5 3 4 5 2" xfId="36238"/>
    <cellStyle name="Comma 2 5 3 5" xfId="1496"/>
    <cellStyle name="Comma 2 5 3 5 2" xfId="5583"/>
    <cellStyle name="Comma 2 5 3 5 2 2" xfId="6787"/>
    <cellStyle name="Comma 2 5 3 5 2 2 2" xfId="19155"/>
    <cellStyle name="Comma 2 5 3 5 2 2 2 2" xfId="20340"/>
    <cellStyle name="Comma 2 5 3 5 2 2 2 2 2" xfId="54481"/>
    <cellStyle name="Comma 2 5 3 5 2 2 2 2 2 2" xfId="55666"/>
    <cellStyle name="Comma 2 5 3 5 2 2 2 3" xfId="33842"/>
    <cellStyle name="Comma 2 5 3 5 2 2 3" xfId="32656"/>
    <cellStyle name="Comma 2 5 3 5 2 2 3 2" xfId="42215"/>
    <cellStyle name="Comma 2 5 3 5 2 3" xfId="12010"/>
    <cellStyle name="Comma 2 5 3 5 2 3 2" xfId="41019"/>
    <cellStyle name="Comma 2 5 3 5 2 3 2 2" xfId="47358"/>
    <cellStyle name="Comma 2 5 3 5 2 4" xfId="25495"/>
    <cellStyle name="Comma 2 5 3 5 3" xfId="10794"/>
    <cellStyle name="Comma 2 5 3 5 3 2" xfId="15180"/>
    <cellStyle name="Comma 2 5 3 5 3 2 2" xfId="46156"/>
    <cellStyle name="Comma 2 5 3 5 3 2 2 2" xfId="50518"/>
    <cellStyle name="Comma 2 5 3 5 3 3" xfId="28692"/>
    <cellStyle name="Comma 2 5 3 5 4" xfId="24284"/>
    <cellStyle name="Comma 2 5 3 5 4 2" xfId="36990"/>
    <cellStyle name="Comma 2 5 3 6" xfId="3495"/>
    <cellStyle name="Comma 2 5 3 6 2" xfId="13967"/>
    <cellStyle name="Comma 2 5 3 6 2 2" xfId="17149"/>
    <cellStyle name="Comma 2 5 3 6 2 2 2" xfId="49313"/>
    <cellStyle name="Comma 2 5 3 6 2 2 2 2" xfId="52477"/>
    <cellStyle name="Comma 2 5 3 6 2 3" xfId="30651"/>
    <cellStyle name="Comma 2 5 3 6 3" xfId="27459"/>
    <cellStyle name="Comma 2 5 3 6 3 2" xfId="38962"/>
    <cellStyle name="Comma 2 5 3 7" xfId="5697"/>
    <cellStyle name="Comma 2 5 3 7 2" xfId="35779"/>
    <cellStyle name="Comma 2 5 3 7 2 2" xfId="41133"/>
    <cellStyle name="Comma 2 5 3 8" xfId="9700"/>
    <cellStyle name="Comma 2 5 4" xfId="348"/>
    <cellStyle name="Comma 2 5 4 2" xfId="410"/>
    <cellStyle name="Comma 2 5 4 2 2" xfId="1199"/>
    <cellStyle name="Comma 2 5 4 2 2 2" xfId="1241"/>
    <cellStyle name="Comma 2 5 4 2 2 2 2" xfId="3219"/>
    <cellStyle name="Comma 2 5 4 2 2 2 2 2" xfId="3259"/>
    <cellStyle name="Comma 2 5 4 2 2 2 2 2 2" xfId="8434"/>
    <cellStyle name="Comma 2 5 4 2 2 2 2 2 2 2" xfId="8474"/>
    <cellStyle name="Comma 2 5 4 2 2 2 2 2 2 2 2" xfId="21986"/>
    <cellStyle name="Comma 2 5 4 2 2 2 2 2 2 2 2 2" xfId="22026"/>
    <cellStyle name="Comma 2 5 4 2 2 2 2 2 2 2 2 2 2" xfId="57312"/>
    <cellStyle name="Comma 2 5 4 2 2 2 2 2 2 2 2 2 2 2" xfId="57352"/>
    <cellStyle name="Comma 2 5 4 2 2 2 2 2 2 2 2 3" xfId="35529"/>
    <cellStyle name="Comma 2 5 4 2 2 2 2 2 2 2 3" xfId="35489"/>
    <cellStyle name="Comma 2 5 4 2 2 2 2 2 2 2 3 2" xfId="43901"/>
    <cellStyle name="Comma 2 5 4 2 2 2 2 2 2 3" xfId="13699"/>
    <cellStyle name="Comma 2 5 4 2 2 2 2 2 2 3 2" xfId="43861"/>
    <cellStyle name="Comma 2 5 4 2 2 2 2 2 2 3 2 2" xfId="49045"/>
    <cellStyle name="Comma 2 5 4 2 2 2 2 2 2 4" xfId="27184"/>
    <cellStyle name="Comma 2 5 4 2 2 2 2 2 3" xfId="13659"/>
    <cellStyle name="Comma 2 5 4 2 2 2 2 2 3 2" xfId="16916"/>
    <cellStyle name="Comma 2 5 4 2 2 2 2 2 3 2 2" xfId="49005"/>
    <cellStyle name="Comma 2 5 4 2 2 2 2 2 3 2 2 2" xfId="52244"/>
    <cellStyle name="Comma 2 5 4 2 2 2 2 2 3 3" xfId="30418"/>
    <cellStyle name="Comma 2 5 4 2 2 2 2 2 4" xfId="27144"/>
    <cellStyle name="Comma 2 5 4 2 2 2 2 2 4 2" xfId="38728"/>
    <cellStyle name="Comma 2 5 4 2 2 2 2 3" xfId="5296"/>
    <cellStyle name="Comma 2 5 4 2 2 2 2 3 2" xfId="16876"/>
    <cellStyle name="Comma 2 5 4 2 2 2 2 3 2 2" xfId="18869"/>
    <cellStyle name="Comma 2 5 4 2 2 2 2 3 2 2 2" xfId="52204"/>
    <cellStyle name="Comma 2 5 4 2 2 2 2 3 2 2 2 2" xfId="54195"/>
    <cellStyle name="Comma 2 5 4 2 2 2 2 3 2 3" xfId="32370"/>
    <cellStyle name="Comma 2 5 4 2 2 2 2 3 3" xfId="30378"/>
    <cellStyle name="Comma 2 5 4 2 2 2 2 3 3 2" xfId="40733"/>
    <cellStyle name="Comma 2 5 4 2 2 2 2 4" xfId="10499"/>
    <cellStyle name="Comma 2 5 4 2 2 2 2 4 2" xfId="38688"/>
    <cellStyle name="Comma 2 5 4 2 2 2 2 4 2 2" xfId="45862"/>
    <cellStyle name="Comma 2 5 4 2 2 2 2 5" xfId="23985"/>
    <cellStyle name="Comma 2 5 4 2 2 2 3" xfId="5256"/>
    <cellStyle name="Comma 2 5 4 2 2 2 3 2" xfId="6549"/>
    <cellStyle name="Comma 2 5 4 2 2 2 3 2 2" xfId="18829"/>
    <cellStyle name="Comma 2 5 4 2 2 2 3 2 2 2" xfId="20102"/>
    <cellStyle name="Comma 2 5 4 2 2 2 3 2 2 2 2" xfId="54155"/>
    <cellStyle name="Comma 2 5 4 2 2 2 3 2 2 2 2 2" xfId="55428"/>
    <cellStyle name="Comma 2 5 4 2 2 2 3 2 2 3" xfId="33604"/>
    <cellStyle name="Comma 2 5 4 2 2 2 3 2 3" xfId="32330"/>
    <cellStyle name="Comma 2 5 4 2 2 2 3 2 3 2" xfId="41977"/>
    <cellStyle name="Comma 2 5 4 2 2 2 3 3" xfId="11772"/>
    <cellStyle name="Comma 2 5 4 2 2 2 3 3 2" xfId="40693"/>
    <cellStyle name="Comma 2 5 4 2 2 2 3 3 2 2" xfId="47120"/>
    <cellStyle name="Comma 2 5 4 2 2 2 3 4" xfId="25257"/>
    <cellStyle name="Comma 2 5 4 2 2 2 4" xfId="10459"/>
    <cellStyle name="Comma 2 5 4 2 2 2 4 2" xfId="14930"/>
    <cellStyle name="Comma 2 5 4 2 2 2 4 2 2" xfId="45822"/>
    <cellStyle name="Comma 2 5 4 2 2 2 4 2 2 2" xfId="50269"/>
    <cellStyle name="Comma 2 5 4 2 2 2 4 3" xfId="28443"/>
    <cellStyle name="Comma 2 5 4 2 2 2 5" xfId="23945"/>
    <cellStyle name="Comma 2 5 4 2 2 2 5 2" xfId="36738"/>
    <cellStyle name="Comma 2 5 4 2 2 3" xfId="2047"/>
    <cellStyle name="Comma 2 5 4 2 2 3 2" xfId="6507"/>
    <cellStyle name="Comma 2 5 4 2 2 3 2 2" xfId="7281"/>
    <cellStyle name="Comma 2 5 4 2 2 3 2 2 2" xfId="20061"/>
    <cellStyle name="Comma 2 5 4 2 2 3 2 2 2 2" xfId="20833"/>
    <cellStyle name="Comma 2 5 4 2 2 3 2 2 2 2 2" xfId="55387"/>
    <cellStyle name="Comma 2 5 4 2 2 3 2 2 2 2 2 2" xfId="56159"/>
    <cellStyle name="Comma 2 5 4 2 2 3 2 2 2 3" xfId="34336"/>
    <cellStyle name="Comma 2 5 4 2 2 3 2 2 3" xfId="33563"/>
    <cellStyle name="Comma 2 5 4 2 2 3 2 2 3 2" xfId="42708"/>
    <cellStyle name="Comma 2 5 4 2 2 3 2 3" xfId="12506"/>
    <cellStyle name="Comma 2 5 4 2 2 3 2 3 2" xfId="41935"/>
    <cellStyle name="Comma 2 5 4 2 2 3 2 3 2 2" xfId="47852"/>
    <cellStyle name="Comma 2 5 4 2 2 3 2 4" xfId="25990"/>
    <cellStyle name="Comma 2 5 4 2 2 3 3" xfId="11731"/>
    <cellStyle name="Comma 2 5 4 2 2 3 3 2" xfId="15711"/>
    <cellStyle name="Comma 2 5 4 2 2 3 3 2 2" xfId="47079"/>
    <cellStyle name="Comma 2 5 4 2 2 3 3 2 2 2" xfId="51043"/>
    <cellStyle name="Comma 2 5 4 2 2 3 3 3" xfId="29217"/>
    <cellStyle name="Comma 2 5 4 2 2 3 4" xfId="25216"/>
    <cellStyle name="Comma 2 5 4 2 2 3 4 2" xfId="37525"/>
    <cellStyle name="Comma 2 5 4 2 2 4" xfId="4063"/>
    <cellStyle name="Comma 2 5 4 2 2 4 2" xfId="14889"/>
    <cellStyle name="Comma 2 5 4 2 2 4 2 2" xfId="17656"/>
    <cellStyle name="Comma 2 5 4 2 2 4 2 2 2" xfId="50228"/>
    <cellStyle name="Comma 2 5 4 2 2 4 2 2 2 2" xfId="52983"/>
    <cellStyle name="Comma 2 5 4 2 2 4 2 3" xfId="31158"/>
    <cellStyle name="Comma 2 5 4 2 2 4 3" xfId="28402"/>
    <cellStyle name="Comma 2 5 4 2 2 4 3 2" xfId="39506"/>
    <cellStyle name="Comma 2 5 4 2 2 5" xfId="9254"/>
    <cellStyle name="Comma 2 5 4 2 2 5 2" xfId="36697"/>
    <cellStyle name="Comma 2 5 4 2 2 5 2 2" xfId="44636"/>
    <cellStyle name="Comma 2 5 4 2 2 6" xfId="22750"/>
    <cellStyle name="Comma 2 5 4 2 3" xfId="2007"/>
    <cellStyle name="Comma 2 5 4 2 3 2" xfId="2512"/>
    <cellStyle name="Comma 2 5 4 2 3 2 2" xfId="7241"/>
    <cellStyle name="Comma 2 5 4 2 3 2 2 2" xfId="7737"/>
    <cellStyle name="Comma 2 5 4 2 3 2 2 2 2" xfId="20793"/>
    <cellStyle name="Comma 2 5 4 2 3 2 2 2 2 2" xfId="21289"/>
    <cellStyle name="Comma 2 5 4 2 3 2 2 2 2 2 2" xfId="56119"/>
    <cellStyle name="Comma 2 5 4 2 3 2 2 2 2 2 2 2" xfId="56615"/>
    <cellStyle name="Comma 2 5 4 2 3 2 2 2 2 3" xfId="34792"/>
    <cellStyle name="Comma 2 5 4 2 3 2 2 2 3" xfId="34296"/>
    <cellStyle name="Comma 2 5 4 2 3 2 2 2 3 2" xfId="43164"/>
    <cellStyle name="Comma 2 5 4 2 3 2 2 3" xfId="12962"/>
    <cellStyle name="Comma 2 5 4 2 3 2 2 3 2" xfId="42668"/>
    <cellStyle name="Comma 2 5 4 2 3 2 2 3 2 2" xfId="48308"/>
    <cellStyle name="Comma 2 5 4 2 3 2 2 4" xfId="26446"/>
    <cellStyle name="Comma 2 5 4 2 3 2 3" xfId="12466"/>
    <cellStyle name="Comma 2 5 4 2 3 2 3 2" xfId="16173"/>
    <cellStyle name="Comma 2 5 4 2 3 2 3 2 2" xfId="47812"/>
    <cellStyle name="Comma 2 5 4 2 3 2 3 2 2 2" xfId="51504"/>
    <cellStyle name="Comma 2 5 4 2 3 2 3 3" xfId="29678"/>
    <cellStyle name="Comma 2 5 4 2 3 2 4" xfId="25950"/>
    <cellStyle name="Comma 2 5 4 2 3 2 4 2" xfId="37987"/>
    <cellStyle name="Comma 2 5 4 2 3 3" xfId="4547"/>
    <cellStyle name="Comma 2 5 4 2 3 3 2" xfId="15671"/>
    <cellStyle name="Comma 2 5 4 2 3 3 2 2" xfId="18130"/>
    <cellStyle name="Comma 2 5 4 2 3 3 2 2 2" xfId="51003"/>
    <cellStyle name="Comma 2 5 4 2 3 3 2 2 2 2" xfId="53456"/>
    <cellStyle name="Comma 2 5 4 2 3 3 2 3" xfId="31631"/>
    <cellStyle name="Comma 2 5 4 2 3 3 3" xfId="29177"/>
    <cellStyle name="Comma 2 5 4 2 3 3 3 2" xfId="39988"/>
    <cellStyle name="Comma 2 5 4 2 3 4" xfId="9750"/>
    <cellStyle name="Comma 2 5 4 2 3 4 2" xfId="37485"/>
    <cellStyle name="Comma 2 5 4 2 3 4 2 2" xfId="45123"/>
    <cellStyle name="Comma 2 5 4 2 3 5" xfId="23246"/>
    <cellStyle name="Comma 2 5 4 2 4" xfId="4021"/>
    <cellStyle name="Comma 2 5 4 2 4 2" xfId="5753"/>
    <cellStyle name="Comma 2 5 4 2 4 2 2" xfId="17616"/>
    <cellStyle name="Comma 2 5 4 2 4 2 2 2" xfId="19322"/>
    <cellStyle name="Comma 2 5 4 2 4 2 2 2 2" xfId="52943"/>
    <cellStyle name="Comma 2 5 4 2 4 2 2 2 2 2" xfId="54648"/>
    <cellStyle name="Comma 2 5 4 2 4 2 2 3" xfId="32823"/>
    <cellStyle name="Comma 2 5 4 2 4 2 3" xfId="31118"/>
    <cellStyle name="Comma 2 5 4 2 4 2 3 2" xfId="41188"/>
    <cellStyle name="Comma 2 5 4 2 4 3" xfId="10974"/>
    <cellStyle name="Comma 2 5 4 2 4 3 2" xfId="39465"/>
    <cellStyle name="Comma 2 5 4 2 4 3 2 2" xfId="46333"/>
    <cellStyle name="Comma 2 5 4 2 4 4" xfId="24467"/>
    <cellStyle name="Comma 2 5 4 2 5" xfId="9213"/>
    <cellStyle name="Comma 2 5 4 2 5 2" xfId="14137"/>
    <cellStyle name="Comma 2 5 4 2 5 2 2" xfId="44596"/>
    <cellStyle name="Comma 2 5 4 2 5 2 2 2" xfId="49482"/>
    <cellStyle name="Comma 2 5 4 2 5 3" xfId="27639"/>
    <cellStyle name="Comma 2 5 4 2 6" xfId="22710"/>
    <cellStyle name="Comma 2 5 4 2 6 2" xfId="35948"/>
    <cellStyle name="Comma 2 5 4 3" xfId="727"/>
    <cellStyle name="Comma 2 5 4 3 2" xfId="2458"/>
    <cellStyle name="Comma 2 5 4 3 2 2" xfId="2799"/>
    <cellStyle name="Comma 2 5 4 3 2 2 2" xfId="7689"/>
    <cellStyle name="Comma 2 5 4 3 2 2 2 2" xfId="8015"/>
    <cellStyle name="Comma 2 5 4 3 2 2 2 2 2" xfId="21241"/>
    <cellStyle name="Comma 2 5 4 3 2 2 2 2 2 2" xfId="21567"/>
    <cellStyle name="Comma 2 5 4 3 2 2 2 2 2 2 2" xfId="56567"/>
    <cellStyle name="Comma 2 5 4 3 2 2 2 2 2 2 2 2" xfId="56893"/>
    <cellStyle name="Comma 2 5 4 3 2 2 2 2 2 3" xfId="35070"/>
    <cellStyle name="Comma 2 5 4 3 2 2 2 2 3" xfId="34744"/>
    <cellStyle name="Comma 2 5 4 3 2 2 2 2 3 2" xfId="43442"/>
    <cellStyle name="Comma 2 5 4 3 2 2 2 3" xfId="13240"/>
    <cellStyle name="Comma 2 5 4 3 2 2 2 3 2" xfId="43116"/>
    <cellStyle name="Comma 2 5 4 3 2 2 2 3 2 2" xfId="48586"/>
    <cellStyle name="Comma 2 5 4 3 2 2 2 4" xfId="26724"/>
    <cellStyle name="Comma 2 5 4 3 2 2 3" xfId="12914"/>
    <cellStyle name="Comma 2 5 4 3 2 2 3 2" xfId="16457"/>
    <cellStyle name="Comma 2 5 4 3 2 2 3 2 2" xfId="48260"/>
    <cellStyle name="Comma 2 5 4 3 2 2 3 2 2 2" xfId="51785"/>
    <cellStyle name="Comma 2 5 4 3 2 2 3 3" xfId="29959"/>
    <cellStyle name="Comma 2 5 4 3 2 2 4" xfId="26398"/>
    <cellStyle name="Comma 2 5 4 3 2 2 4 2" xfId="38269"/>
    <cellStyle name="Comma 2 5 4 3 2 3" xfId="4835"/>
    <cellStyle name="Comma 2 5 4 3 2 3 2" xfId="16121"/>
    <cellStyle name="Comma 2 5 4 3 2 3 2 2" xfId="18409"/>
    <cellStyle name="Comma 2 5 4 3 2 3 2 2 2" xfId="51453"/>
    <cellStyle name="Comma 2 5 4 3 2 3 2 2 2 2" xfId="53735"/>
    <cellStyle name="Comma 2 5 4 3 2 3 2 3" xfId="31910"/>
    <cellStyle name="Comma 2 5 4 3 2 3 3" xfId="29627"/>
    <cellStyle name="Comma 2 5 4 3 2 3 3 2" xfId="40272"/>
    <cellStyle name="Comma 2 5 4 3 2 4" xfId="10038"/>
    <cellStyle name="Comma 2 5 4 3 2 4 2" xfId="37936"/>
    <cellStyle name="Comma 2 5 4 3 2 4 2 2" xfId="45402"/>
    <cellStyle name="Comma 2 5 4 3 2 5" xfId="23525"/>
    <cellStyle name="Comma 2 5 4 3 3" xfId="4493"/>
    <cellStyle name="Comma 2 5 4 3 3 2" xfId="6051"/>
    <cellStyle name="Comma 2 5 4 3 3 2 2" xfId="18082"/>
    <cellStyle name="Comma 2 5 4 3 3 2 2 2" xfId="19615"/>
    <cellStyle name="Comma 2 5 4 3 3 2 2 2 2" xfId="53408"/>
    <cellStyle name="Comma 2 5 4 3 3 2 2 2 2 2" xfId="54941"/>
    <cellStyle name="Comma 2 5 4 3 3 2 2 3" xfId="33116"/>
    <cellStyle name="Comma 2 5 4 3 3 2 3" xfId="31583"/>
    <cellStyle name="Comma 2 5 4 3 3 2 3 2" xfId="41485"/>
    <cellStyle name="Comma 2 5 4 3 3 3" xfId="11277"/>
    <cellStyle name="Comma 2 5 4 3 3 3 2" xfId="39935"/>
    <cellStyle name="Comma 2 5 4 3 3 3 2 2" xfId="46632"/>
    <cellStyle name="Comma 2 5 4 3 3 4" xfId="24769"/>
    <cellStyle name="Comma 2 5 4 3 4" xfId="9697"/>
    <cellStyle name="Comma 2 5 4 3 4 2" xfId="14434"/>
    <cellStyle name="Comma 2 5 4 3 4 2 2" xfId="45075"/>
    <cellStyle name="Comma 2 5 4 3 4 2 2 2" xfId="49779"/>
    <cellStyle name="Comma 2 5 4 3 4 3" xfId="27947"/>
    <cellStyle name="Comma 2 5 4 3 5" xfId="23198"/>
    <cellStyle name="Comma 2 5 4 3 5 2" xfId="36247"/>
    <cellStyle name="Comma 2 5 4 4" xfId="1511"/>
    <cellStyle name="Comma 2 5 4 4 2" xfId="5701"/>
    <cellStyle name="Comma 2 5 4 4 2 2" xfId="6801"/>
    <cellStyle name="Comma 2 5 4 4 2 2 2" xfId="19271"/>
    <cellStyle name="Comma 2 5 4 4 2 2 2 2" xfId="20354"/>
    <cellStyle name="Comma 2 5 4 4 2 2 2 2 2" xfId="54597"/>
    <cellStyle name="Comma 2 5 4 4 2 2 2 2 2 2" xfId="55680"/>
    <cellStyle name="Comma 2 5 4 4 2 2 2 3" xfId="33856"/>
    <cellStyle name="Comma 2 5 4 4 2 2 3" xfId="32772"/>
    <cellStyle name="Comma 2 5 4 4 2 2 3 2" xfId="42229"/>
    <cellStyle name="Comma 2 5 4 4 2 3" xfId="12025"/>
    <cellStyle name="Comma 2 5 4 4 2 3 2" xfId="41136"/>
    <cellStyle name="Comma 2 5 4 4 2 3 2 2" xfId="47372"/>
    <cellStyle name="Comma 2 5 4 4 2 4" xfId="25509"/>
    <cellStyle name="Comma 2 5 4 4 3" xfId="10919"/>
    <cellStyle name="Comma 2 5 4 4 3 2" xfId="15194"/>
    <cellStyle name="Comma 2 5 4 4 3 2 2" xfId="46279"/>
    <cellStyle name="Comma 2 5 4 4 3 2 2 2" xfId="50532"/>
    <cellStyle name="Comma 2 5 4 4 3 3" xfId="28706"/>
    <cellStyle name="Comma 2 5 4 4 4" xfId="24411"/>
    <cellStyle name="Comma 2 5 4 4 4 2" xfId="37004"/>
    <cellStyle name="Comma 2 5 4 5" xfId="3511"/>
    <cellStyle name="Comma 2 5 4 5 2" xfId="14085"/>
    <cellStyle name="Comma 2 5 4 5 2 2" xfId="17165"/>
    <cellStyle name="Comma 2 5 4 5 2 2 2" xfId="49430"/>
    <cellStyle name="Comma 2 5 4 5 2 2 2 2" xfId="52492"/>
    <cellStyle name="Comma 2 5 4 5 2 3" xfId="30666"/>
    <cellStyle name="Comma 2 5 4 5 3" xfId="27584"/>
    <cellStyle name="Comma 2 5 4 5 3 2" xfId="38977"/>
    <cellStyle name="Comma 2 5 4 6" xfId="8705"/>
    <cellStyle name="Comma 2 5 4 6 2" xfId="35896"/>
    <cellStyle name="Comma 2 5 4 6 2 2" xfId="44132"/>
    <cellStyle name="Comma 2 5 4 7" xfId="8873"/>
    <cellStyle name="Comma 2 5 5" xfId="434"/>
    <cellStyle name="Comma 2 5 5 2" xfId="723"/>
    <cellStyle name="Comma 2 5 5 2 2" xfId="2534"/>
    <cellStyle name="Comma 2 5 5 2 2 2" xfId="2795"/>
    <cellStyle name="Comma 2 5 5 2 2 2 2" xfId="7759"/>
    <cellStyle name="Comma 2 5 5 2 2 2 2 2" xfId="8011"/>
    <cellStyle name="Comma 2 5 5 2 2 2 2 2 2" xfId="21311"/>
    <cellStyle name="Comma 2 5 5 2 2 2 2 2 2 2" xfId="21563"/>
    <cellStyle name="Comma 2 5 5 2 2 2 2 2 2 2 2" xfId="56637"/>
    <cellStyle name="Comma 2 5 5 2 2 2 2 2 2 2 2 2" xfId="56889"/>
    <cellStyle name="Comma 2 5 5 2 2 2 2 2 2 3" xfId="35066"/>
    <cellStyle name="Comma 2 5 5 2 2 2 2 2 3" xfId="34814"/>
    <cellStyle name="Comma 2 5 5 2 2 2 2 2 3 2" xfId="43438"/>
    <cellStyle name="Comma 2 5 5 2 2 2 2 3" xfId="13236"/>
    <cellStyle name="Comma 2 5 5 2 2 2 2 3 2" xfId="43186"/>
    <cellStyle name="Comma 2 5 5 2 2 2 2 3 2 2" xfId="48582"/>
    <cellStyle name="Comma 2 5 5 2 2 2 2 4" xfId="26720"/>
    <cellStyle name="Comma 2 5 5 2 2 2 3" xfId="12984"/>
    <cellStyle name="Comma 2 5 5 2 2 2 3 2" xfId="16453"/>
    <cellStyle name="Comma 2 5 5 2 2 2 3 2 2" xfId="48330"/>
    <cellStyle name="Comma 2 5 5 2 2 2 3 2 2 2" xfId="51781"/>
    <cellStyle name="Comma 2 5 5 2 2 2 3 3" xfId="29955"/>
    <cellStyle name="Comma 2 5 5 2 2 2 4" xfId="26468"/>
    <cellStyle name="Comma 2 5 5 2 2 2 4 2" xfId="38265"/>
    <cellStyle name="Comma 2 5 5 2 2 3" xfId="4831"/>
    <cellStyle name="Comma 2 5 5 2 2 3 2" xfId="16195"/>
    <cellStyle name="Comma 2 5 5 2 2 3 2 2" xfId="18405"/>
    <cellStyle name="Comma 2 5 5 2 2 3 2 2 2" xfId="51526"/>
    <cellStyle name="Comma 2 5 5 2 2 3 2 2 2 2" xfId="53731"/>
    <cellStyle name="Comma 2 5 5 2 2 3 2 3" xfId="31906"/>
    <cellStyle name="Comma 2 5 5 2 2 3 3" xfId="29700"/>
    <cellStyle name="Comma 2 5 5 2 2 3 3 2" xfId="40268"/>
    <cellStyle name="Comma 2 5 5 2 2 4" xfId="10034"/>
    <cellStyle name="Comma 2 5 5 2 2 4 2" xfId="38009"/>
    <cellStyle name="Comma 2 5 5 2 2 4 2 2" xfId="45398"/>
    <cellStyle name="Comma 2 5 5 2 2 5" xfId="23521"/>
    <cellStyle name="Comma 2 5 5 2 3" xfId="4569"/>
    <cellStyle name="Comma 2 5 5 2 3 2" xfId="6047"/>
    <cellStyle name="Comma 2 5 5 2 3 2 2" xfId="18152"/>
    <cellStyle name="Comma 2 5 5 2 3 2 2 2" xfId="19611"/>
    <cellStyle name="Comma 2 5 5 2 3 2 2 2 2" xfId="53478"/>
    <cellStyle name="Comma 2 5 5 2 3 2 2 2 2 2" xfId="54937"/>
    <cellStyle name="Comma 2 5 5 2 3 2 2 3" xfId="33112"/>
    <cellStyle name="Comma 2 5 5 2 3 2 3" xfId="31653"/>
    <cellStyle name="Comma 2 5 5 2 3 2 3 2" xfId="41481"/>
    <cellStyle name="Comma 2 5 5 2 3 3" xfId="11273"/>
    <cellStyle name="Comma 2 5 5 2 3 3 2" xfId="40010"/>
    <cellStyle name="Comma 2 5 5 2 3 3 2 2" xfId="46628"/>
    <cellStyle name="Comma 2 5 5 2 3 4" xfId="24765"/>
    <cellStyle name="Comma 2 5 5 2 4" xfId="9772"/>
    <cellStyle name="Comma 2 5 5 2 4 2" xfId="14430"/>
    <cellStyle name="Comma 2 5 5 2 4 2 2" xfId="45145"/>
    <cellStyle name="Comma 2 5 5 2 4 2 2 2" xfId="49775"/>
    <cellStyle name="Comma 2 5 5 2 4 3" xfId="27943"/>
    <cellStyle name="Comma 2 5 5 2 5" xfId="23268"/>
    <cellStyle name="Comma 2 5 5 2 5 2" xfId="36243"/>
    <cellStyle name="Comma 2 5 5 3" xfId="1503"/>
    <cellStyle name="Comma 2 5 5 3 2" xfId="5777"/>
    <cellStyle name="Comma 2 5 5 3 2 2" xfId="6793"/>
    <cellStyle name="Comma 2 5 5 3 2 2 2" xfId="19345"/>
    <cellStyle name="Comma 2 5 5 3 2 2 2 2" xfId="20346"/>
    <cellStyle name="Comma 2 5 5 3 2 2 2 2 2" xfId="54671"/>
    <cellStyle name="Comma 2 5 5 3 2 2 2 2 2 2" xfId="55672"/>
    <cellStyle name="Comma 2 5 5 3 2 2 2 3" xfId="33848"/>
    <cellStyle name="Comma 2 5 5 3 2 2 3" xfId="32846"/>
    <cellStyle name="Comma 2 5 5 3 2 2 3 2" xfId="42221"/>
    <cellStyle name="Comma 2 5 5 3 2 3" xfId="12017"/>
    <cellStyle name="Comma 2 5 5 3 2 3 2" xfId="41212"/>
    <cellStyle name="Comma 2 5 5 3 2 3 2 2" xfId="47364"/>
    <cellStyle name="Comma 2 5 5 3 2 4" xfId="25501"/>
    <cellStyle name="Comma 2 5 5 3 3" xfId="10997"/>
    <cellStyle name="Comma 2 5 5 3 3 2" xfId="15186"/>
    <cellStyle name="Comma 2 5 5 3 3 2 2" xfId="46356"/>
    <cellStyle name="Comma 2 5 5 3 3 2 2 2" xfId="50524"/>
    <cellStyle name="Comma 2 5 5 3 3 3" xfId="28698"/>
    <cellStyle name="Comma 2 5 5 3 4" xfId="24490"/>
    <cellStyle name="Comma 2 5 5 3 4 2" xfId="36996"/>
    <cellStyle name="Comma 2 5 5 4" xfId="3503"/>
    <cellStyle name="Comma 2 5 5 4 2" xfId="14160"/>
    <cellStyle name="Comma 2 5 5 4 2 2" xfId="17157"/>
    <cellStyle name="Comma 2 5 5 4 2 2 2" xfId="49505"/>
    <cellStyle name="Comma 2 5 5 4 2 2 2 2" xfId="52484"/>
    <cellStyle name="Comma 2 5 5 4 2 3" xfId="30658"/>
    <cellStyle name="Comma 2 5 5 4 3" xfId="27662"/>
    <cellStyle name="Comma 2 5 5 4 3 2" xfId="38969"/>
    <cellStyle name="Comma 2 5 5 5" xfId="8697"/>
    <cellStyle name="Comma 2 5 5 5 2" xfId="35971"/>
    <cellStyle name="Comma 2 5 5 5 2 2" xfId="44124"/>
    <cellStyle name="Comma 2 5 5 6" xfId="9125"/>
    <cellStyle name="Comma 2 5 6" xfId="703"/>
    <cellStyle name="Comma 2 5 6 2" xfId="1508"/>
    <cellStyle name="Comma 2 5 6 2 2" xfId="6028"/>
    <cellStyle name="Comma 2 5 6 2 2 2" xfId="6798"/>
    <cellStyle name="Comma 2 5 6 2 2 2 2" xfId="19592"/>
    <cellStyle name="Comma 2 5 6 2 2 2 2 2" xfId="20351"/>
    <cellStyle name="Comma 2 5 6 2 2 2 2 2 2" xfId="54918"/>
    <cellStyle name="Comma 2 5 6 2 2 2 2 2 2 2" xfId="55677"/>
    <cellStyle name="Comma 2 5 6 2 2 2 2 3" xfId="33853"/>
    <cellStyle name="Comma 2 5 6 2 2 2 3" xfId="33093"/>
    <cellStyle name="Comma 2 5 6 2 2 2 3 2" xfId="42226"/>
    <cellStyle name="Comma 2 5 6 2 2 3" xfId="12022"/>
    <cellStyle name="Comma 2 5 6 2 2 3 2" xfId="41462"/>
    <cellStyle name="Comma 2 5 6 2 2 3 2 2" xfId="47369"/>
    <cellStyle name="Comma 2 5 6 2 2 4" xfId="25506"/>
    <cellStyle name="Comma 2 5 6 2 3" xfId="11253"/>
    <cellStyle name="Comma 2 5 6 2 3 2" xfId="15191"/>
    <cellStyle name="Comma 2 5 6 2 3 2 2" xfId="46608"/>
    <cellStyle name="Comma 2 5 6 2 3 2 2 2" xfId="50529"/>
    <cellStyle name="Comma 2 5 6 2 3 3" xfId="28703"/>
    <cellStyle name="Comma 2 5 6 2 4" xfId="24745"/>
    <cellStyle name="Comma 2 5 6 2 4 2" xfId="37001"/>
    <cellStyle name="Comma 2 5 6 3" xfId="3508"/>
    <cellStyle name="Comma 2 5 6 3 2" xfId="14411"/>
    <cellStyle name="Comma 2 5 6 3 2 2" xfId="17162"/>
    <cellStyle name="Comma 2 5 6 3 2 2 2" xfId="49756"/>
    <cellStyle name="Comma 2 5 6 3 2 2 2 2" xfId="52489"/>
    <cellStyle name="Comma 2 5 6 3 2 3" xfId="30663"/>
    <cellStyle name="Comma 2 5 6 3 3" xfId="27924"/>
    <cellStyle name="Comma 2 5 6 3 3 2" xfId="38974"/>
    <cellStyle name="Comma 2 5 6 4" xfId="8702"/>
    <cellStyle name="Comma 2 5 6 4 2" xfId="36224"/>
    <cellStyle name="Comma 2 5 6 4 2 2" xfId="44129"/>
    <cellStyle name="Comma 2 5 6 5" xfId="11230"/>
    <cellStyle name="Comma 2 5 7" xfId="700"/>
    <cellStyle name="Comma 2 5 7 2" xfId="3519"/>
    <cellStyle name="Comma 2 5 7 2 2" xfId="14408"/>
    <cellStyle name="Comma 2 5 7 2 2 2" xfId="17172"/>
    <cellStyle name="Comma 2 5 7 2 2 2 2" xfId="49753"/>
    <cellStyle name="Comma 2 5 7 2 2 2 2 2" xfId="52499"/>
    <cellStyle name="Comma 2 5 7 2 2 3" xfId="30673"/>
    <cellStyle name="Comma 2 5 7 2 3" xfId="27921"/>
    <cellStyle name="Comma 2 5 7 2 3 2" xfId="38985"/>
    <cellStyle name="Comma 2 5 7 3" xfId="8713"/>
    <cellStyle name="Comma 2 5 7 3 2" xfId="36221"/>
    <cellStyle name="Comma 2 5 7 3 2 2" xfId="44140"/>
    <cellStyle name="Comma 2 5 7 4" xfId="10124"/>
    <cellStyle name="Comma 2 5 8" xfId="3617"/>
    <cellStyle name="Comma 2 5 8 2" xfId="9059"/>
    <cellStyle name="Comma 2 5 8 2 2" xfId="39073"/>
    <cellStyle name="Comma 2 5 8 2 2 2" xfId="44455"/>
    <cellStyle name="Comma 2 5 8 3" xfId="22566"/>
    <cellStyle name="Comma 2 5 9" xfId="9095"/>
    <cellStyle name="Comma 2 5 9 2" xfId="27976"/>
    <cellStyle name="Comma 2 6" xfId="80"/>
    <cellStyle name="Comma 2 6 2" xfId="214"/>
    <cellStyle name="Comma 2 6 2 2" xfId="269"/>
    <cellStyle name="Comma 2 6 2 2 2" xfId="578"/>
    <cellStyle name="Comma 2 6 2 2 2 2" xfId="614"/>
    <cellStyle name="Comma 2 6 2 2 2 2 2" xfId="1375"/>
    <cellStyle name="Comma 2 6 2 2 2 2 2 2" xfId="1410"/>
    <cellStyle name="Comma 2 6 2 2 2 2 2 2 2" xfId="3393"/>
    <cellStyle name="Comma 2 6 2 2 2 2 2 2 2 2" xfId="3428"/>
    <cellStyle name="Comma 2 6 2 2 2 2 2 2 2 2 2" xfId="8608"/>
    <cellStyle name="Comma 2 6 2 2 2 2 2 2 2 2 2 2" xfId="8643"/>
    <cellStyle name="Comma 2 6 2 2 2 2 2 2 2 2 2 2 2" xfId="22160"/>
    <cellStyle name="Comma 2 6 2 2 2 2 2 2 2 2 2 2 2 2" xfId="22195"/>
    <cellStyle name="Comma 2 6 2 2 2 2 2 2 2 2 2 2 2 2 2" xfId="57486"/>
    <cellStyle name="Comma 2 6 2 2 2 2 2 2 2 2 2 2 2 2 2 2" xfId="57521"/>
    <cellStyle name="Comma 2 6 2 2 2 2 2 2 2 2 2 2 2 3" xfId="35698"/>
    <cellStyle name="Comma 2 6 2 2 2 2 2 2 2 2 2 2 3" xfId="35663"/>
    <cellStyle name="Comma 2 6 2 2 2 2 2 2 2 2 2 2 3 2" xfId="44070"/>
    <cellStyle name="Comma 2 6 2 2 2 2 2 2 2 2 2 3" xfId="13868"/>
    <cellStyle name="Comma 2 6 2 2 2 2 2 2 2 2 2 3 2" xfId="44035"/>
    <cellStyle name="Comma 2 6 2 2 2 2 2 2 2 2 2 3 2 2" xfId="49214"/>
    <cellStyle name="Comma 2 6 2 2 2 2 2 2 2 2 2 4" xfId="27353"/>
    <cellStyle name="Comma 2 6 2 2 2 2 2 2 2 2 3" xfId="13833"/>
    <cellStyle name="Comma 2 6 2 2 2 2 2 2 2 2 3 2" xfId="17085"/>
    <cellStyle name="Comma 2 6 2 2 2 2 2 2 2 2 3 2 2" xfId="49179"/>
    <cellStyle name="Comma 2 6 2 2 2 2 2 2 2 2 3 2 2 2" xfId="52413"/>
    <cellStyle name="Comma 2 6 2 2 2 2 2 2 2 2 3 3" xfId="30587"/>
    <cellStyle name="Comma 2 6 2 2 2 2 2 2 2 2 4" xfId="27318"/>
    <cellStyle name="Comma 2 6 2 2 2 2 2 2 2 2 4 2" xfId="38897"/>
    <cellStyle name="Comma 2 6 2 2 2 2 2 2 2 3" xfId="5465"/>
    <cellStyle name="Comma 2 6 2 2 2 2 2 2 2 3 2" xfId="17050"/>
    <cellStyle name="Comma 2 6 2 2 2 2 2 2 2 3 2 2" xfId="19038"/>
    <cellStyle name="Comma 2 6 2 2 2 2 2 2 2 3 2 2 2" xfId="52378"/>
    <cellStyle name="Comma 2 6 2 2 2 2 2 2 2 3 2 2 2 2" xfId="54364"/>
    <cellStyle name="Comma 2 6 2 2 2 2 2 2 2 3 2 3" xfId="32539"/>
    <cellStyle name="Comma 2 6 2 2 2 2 2 2 2 3 3" xfId="30552"/>
    <cellStyle name="Comma 2 6 2 2 2 2 2 2 2 3 3 2" xfId="40902"/>
    <cellStyle name="Comma 2 6 2 2 2 2 2 2 2 4" xfId="10668"/>
    <cellStyle name="Comma 2 6 2 2 2 2 2 2 2 4 2" xfId="38862"/>
    <cellStyle name="Comma 2 6 2 2 2 2 2 2 2 4 2 2" xfId="46031"/>
    <cellStyle name="Comma 2 6 2 2 2 2 2 2 2 5" xfId="24154"/>
    <cellStyle name="Comma 2 6 2 2 2 2 2 2 3" xfId="5430"/>
    <cellStyle name="Comma 2 6 2 2 2 2 2 2 3 2" xfId="6718"/>
    <cellStyle name="Comma 2 6 2 2 2 2 2 2 3 2 2" xfId="19003"/>
    <cellStyle name="Comma 2 6 2 2 2 2 2 2 3 2 2 2" xfId="20271"/>
    <cellStyle name="Comma 2 6 2 2 2 2 2 2 3 2 2 2 2" xfId="54329"/>
    <cellStyle name="Comma 2 6 2 2 2 2 2 2 3 2 2 2 2 2" xfId="55597"/>
    <cellStyle name="Comma 2 6 2 2 2 2 2 2 3 2 2 3" xfId="33773"/>
    <cellStyle name="Comma 2 6 2 2 2 2 2 2 3 2 3" xfId="32504"/>
    <cellStyle name="Comma 2 6 2 2 2 2 2 2 3 2 3 2" xfId="42146"/>
    <cellStyle name="Comma 2 6 2 2 2 2 2 2 3 3" xfId="11941"/>
    <cellStyle name="Comma 2 6 2 2 2 2 2 2 3 3 2" xfId="40867"/>
    <cellStyle name="Comma 2 6 2 2 2 2 2 2 3 3 2 2" xfId="47289"/>
    <cellStyle name="Comma 2 6 2 2 2 2 2 2 3 4" xfId="25426"/>
    <cellStyle name="Comma 2 6 2 2 2 2 2 2 4" xfId="10633"/>
    <cellStyle name="Comma 2 6 2 2 2 2 2 2 4 2" xfId="15099"/>
    <cellStyle name="Comma 2 6 2 2 2 2 2 2 4 2 2" xfId="45996"/>
    <cellStyle name="Comma 2 6 2 2 2 2 2 2 4 2 2 2" xfId="50438"/>
    <cellStyle name="Comma 2 6 2 2 2 2 2 2 4 3" xfId="28612"/>
    <cellStyle name="Comma 2 6 2 2 2 2 2 2 5" xfId="24119"/>
    <cellStyle name="Comma 2 6 2 2 2 2 2 2 5 2" xfId="36907"/>
    <cellStyle name="Comma 2 6 2 2 2 2 2 3" xfId="2217"/>
    <cellStyle name="Comma 2 6 2 2 2 2 2 3 2" xfId="6683"/>
    <cellStyle name="Comma 2 6 2 2 2 2 2 3 2 2" xfId="7451"/>
    <cellStyle name="Comma 2 6 2 2 2 2 2 3 2 2 2" xfId="20236"/>
    <cellStyle name="Comma 2 6 2 2 2 2 2 3 2 2 2 2" xfId="21003"/>
    <cellStyle name="Comma 2 6 2 2 2 2 2 3 2 2 2 2 2" xfId="55562"/>
    <cellStyle name="Comma 2 6 2 2 2 2 2 3 2 2 2 2 2 2" xfId="56329"/>
    <cellStyle name="Comma 2 6 2 2 2 2 2 3 2 2 2 3" xfId="34506"/>
    <cellStyle name="Comma 2 6 2 2 2 2 2 3 2 2 3" xfId="33738"/>
    <cellStyle name="Comma 2 6 2 2 2 2 2 3 2 2 3 2" xfId="42878"/>
    <cellStyle name="Comma 2 6 2 2 2 2 2 3 2 3" xfId="12676"/>
    <cellStyle name="Comma 2 6 2 2 2 2 2 3 2 3 2" xfId="42111"/>
    <cellStyle name="Comma 2 6 2 2 2 2 2 3 2 3 2 2" xfId="48022"/>
    <cellStyle name="Comma 2 6 2 2 2 2 2 3 2 4" xfId="26160"/>
    <cellStyle name="Comma 2 6 2 2 2 2 2 3 3" xfId="11906"/>
    <cellStyle name="Comma 2 6 2 2 2 2 2 3 3 2" xfId="15881"/>
    <cellStyle name="Comma 2 6 2 2 2 2 2 3 3 2 2" xfId="47254"/>
    <cellStyle name="Comma 2 6 2 2 2 2 2 3 3 2 2 2" xfId="51213"/>
    <cellStyle name="Comma 2 6 2 2 2 2 2 3 3 3" xfId="29387"/>
    <cellStyle name="Comma 2 6 2 2 2 2 2 3 4" xfId="25391"/>
    <cellStyle name="Comma 2 6 2 2 2 2 2 3 4 2" xfId="37695"/>
    <cellStyle name="Comma 2 6 2 2 2 2 2 4" xfId="4233"/>
    <cellStyle name="Comma 2 6 2 2 2 2 2 4 2" xfId="15064"/>
    <cellStyle name="Comma 2 6 2 2 2 2 2 4 2 2" xfId="17826"/>
    <cellStyle name="Comma 2 6 2 2 2 2 2 4 2 2 2" xfId="50403"/>
    <cellStyle name="Comma 2 6 2 2 2 2 2 4 2 2 2 2" xfId="53153"/>
    <cellStyle name="Comma 2 6 2 2 2 2 2 4 2 3" xfId="31328"/>
    <cellStyle name="Comma 2 6 2 2 2 2 2 4 3" xfId="28577"/>
    <cellStyle name="Comma 2 6 2 2 2 2 2 4 3 2" xfId="39676"/>
    <cellStyle name="Comma 2 6 2 2 2 2 2 5" xfId="9424"/>
    <cellStyle name="Comma 2 6 2 2 2 2 2 5 2" xfId="36872"/>
    <cellStyle name="Comma 2 6 2 2 2 2 2 5 2 2" xfId="44806"/>
    <cellStyle name="Comma 2 6 2 2 2 2 2 6" xfId="22920"/>
    <cellStyle name="Comma 2 6 2 2 2 2 3" xfId="2182"/>
    <cellStyle name="Comma 2 6 2 2 2 2 3 2" xfId="2704"/>
    <cellStyle name="Comma 2 6 2 2 2 2 3 2 2" xfId="7416"/>
    <cellStyle name="Comma 2 6 2 2 2 2 3 2 2 2" xfId="7923"/>
    <cellStyle name="Comma 2 6 2 2 2 2 3 2 2 2 2" xfId="20968"/>
    <cellStyle name="Comma 2 6 2 2 2 2 3 2 2 2 2 2" xfId="21475"/>
    <cellStyle name="Comma 2 6 2 2 2 2 3 2 2 2 2 2 2" xfId="56294"/>
    <cellStyle name="Comma 2 6 2 2 2 2 3 2 2 2 2 2 2 2" xfId="56801"/>
    <cellStyle name="Comma 2 6 2 2 2 2 3 2 2 2 2 3" xfId="34978"/>
    <cellStyle name="Comma 2 6 2 2 2 2 3 2 2 2 3" xfId="34471"/>
    <cellStyle name="Comma 2 6 2 2 2 2 3 2 2 2 3 2" xfId="43350"/>
    <cellStyle name="Comma 2 6 2 2 2 2 3 2 2 3" xfId="13148"/>
    <cellStyle name="Comma 2 6 2 2 2 2 3 2 2 3 2" xfId="42843"/>
    <cellStyle name="Comma 2 6 2 2 2 2 3 2 2 3 2 2" xfId="48494"/>
    <cellStyle name="Comma 2 6 2 2 2 2 3 2 2 4" xfId="26632"/>
    <cellStyle name="Comma 2 6 2 2 2 2 3 2 3" xfId="12641"/>
    <cellStyle name="Comma 2 6 2 2 2 2 3 2 3 2" xfId="16363"/>
    <cellStyle name="Comma 2 6 2 2 2 2 3 2 3 2 2" xfId="47987"/>
    <cellStyle name="Comma 2 6 2 2 2 2 3 2 3 2 2 2" xfId="51693"/>
    <cellStyle name="Comma 2 6 2 2 2 2 3 2 3 3" xfId="29867"/>
    <cellStyle name="Comma 2 6 2 2 2 2 3 2 4" xfId="26125"/>
    <cellStyle name="Comma 2 6 2 2 2 2 3 2 4 2" xfId="38177"/>
    <cellStyle name="Comma 2 6 2 2 2 2 3 3" xfId="4740"/>
    <cellStyle name="Comma 2 6 2 2 2 2 3 3 2" xfId="15846"/>
    <cellStyle name="Comma 2 6 2 2 2 2 3 3 2 2" xfId="18317"/>
    <cellStyle name="Comma 2 6 2 2 2 2 3 3 2 2 2" xfId="51178"/>
    <cellStyle name="Comma 2 6 2 2 2 2 3 3 2 2 2 2" xfId="53643"/>
    <cellStyle name="Comma 2 6 2 2 2 2 3 3 2 3" xfId="31818"/>
    <cellStyle name="Comma 2 6 2 2 2 2 3 3 3" xfId="29352"/>
    <cellStyle name="Comma 2 6 2 2 2 2 3 3 3 2" xfId="40178"/>
    <cellStyle name="Comma 2 6 2 2 2 2 3 4" xfId="9943"/>
    <cellStyle name="Comma 2 6 2 2 2 2 3 4 2" xfId="37660"/>
    <cellStyle name="Comma 2 6 2 2 2 2 3 4 2 2" xfId="45310"/>
    <cellStyle name="Comma 2 6 2 2 2 2 3 5" xfId="23433"/>
    <cellStyle name="Comma 2 6 2 2 2 2 4" xfId="4198"/>
    <cellStyle name="Comma 2 6 2 2 2 2 4 2" xfId="5945"/>
    <cellStyle name="Comma 2 6 2 2 2 2 4 2 2" xfId="17791"/>
    <cellStyle name="Comma 2 6 2 2 2 2 4 2 2 2" xfId="19512"/>
    <cellStyle name="Comma 2 6 2 2 2 2 4 2 2 2 2" xfId="53118"/>
    <cellStyle name="Comma 2 6 2 2 2 2 4 2 2 2 2 2" xfId="54838"/>
    <cellStyle name="Comma 2 6 2 2 2 2 4 2 2 3" xfId="33013"/>
    <cellStyle name="Comma 2 6 2 2 2 2 4 2 3" xfId="31293"/>
    <cellStyle name="Comma 2 6 2 2 2 2 4 2 3 2" xfId="41379"/>
    <cellStyle name="Comma 2 6 2 2 2 2 4 3" xfId="11170"/>
    <cellStyle name="Comma 2 6 2 2 2 2 4 3 2" xfId="39641"/>
    <cellStyle name="Comma 2 6 2 2 2 2 4 3 2 2" xfId="46528"/>
    <cellStyle name="Comma 2 6 2 2 2 2 4 4" xfId="24663"/>
    <cellStyle name="Comma 2 6 2 2 2 2 5" xfId="9389"/>
    <cellStyle name="Comma 2 6 2 2 2 2 5 2" xfId="14329"/>
    <cellStyle name="Comma 2 6 2 2 2 2 5 2 2" xfId="44771"/>
    <cellStyle name="Comma 2 6 2 2 2 2 5 2 2 2" xfId="49674"/>
    <cellStyle name="Comma 2 6 2 2 2 2 5 3" xfId="27839"/>
    <cellStyle name="Comma 2 6 2 2 2 2 6" xfId="22885"/>
    <cellStyle name="Comma 2 6 2 2 2 2 6 2" xfId="36141"/>
    <cellStyle name="Comma 2 6 2 2 2 3" xfId="942"/>
    <cellStyle name="Comma 2 6 2 2 2 3 2" xfId="2668"/>
    <cellStyle name="Comma 2 6 2 2 2 3 2 2" xfId="2980"/>
    <cellStyle name="Comma 2 6 2 2 2 3 2 2 2" xfId="7887"/>
    <cellStyle name="Comma 2 6 2 2 2 3 2 2 2 2" xfId="8195"/>
    <cellStyle name="Comma 2 6 2 2 2 3 2 2 2 2 2" xfId="21439"/>
    <cellStyle name="Comma 2 6 2 2 2 3 2 2 2 2 2 2" xfId="21747"/>
    <cellStyle name="Comma 2 6 2 2 2 3 2 2 2 2 2 2 2" xfId="56765"/>
    <cellStyle name="Comma 2 6 2 2 2 3 2 2 2 2 2 2 2 2" xfId="57073"/>
    <cellStyle name="Comma 2 6 2 2 2 3 2 2 2 2 2 3" xfId="35250"/>
    <cellStyle name="Comma 2 6 2 2 2 3 2 2 2 2 3" xfId="34942"/>
    <cellStyle name="Comma 2 6 2 2 2 3 2 2 2 2 3 2" xfId="43622"/>
    <cellStyle name="Comma 2 6 2 2 2 3 2 2 2 3" xfId="13420"/>
    <cellStyle name="Comma 2 6 2 2 2 3 2 2 2 3 2" xfId="43314"/>
    <cellStyle name="Comma 2 6 2 2 2 3 2 2 2 3 2 2" xfId="48766"/>
    <cellStyle name="Comma 2 6 2 2 2 3 2 2 2 4" xfId="26905"/>
    <cellStyle name="Comma 2 6 2 2 2 3 2 2 3" xfId="13112"/>
    <cellStyle name="Comma 2 6 2 2 2 3 2 2 3 2" xfId="16637"/>
    <cellStyle name="Comma 2 6 2 2 2 3 2 2 3 2 2" xfId="48458"/>
    <cellStyle name="Comma 2 6 2 2 2 3 2 2 3 2 2 2" xfId="51965"/>
    <cellStyle name="Comma 2 6 2 2 2 3 2 2 3 3" xfId="30139"/>
    <cellStyle name="Comma 2 6 2 2 2 3 2 2 4" xfId="26596"/>
    <cellStyle name="Comma 2 6 2 2 2 3 2 2 4 2" xfId="38449"/>
    <cellStyle name="Comma 2 6 2 2 2 3 2 3" xfId="5016"/>
    <cellStyle name="Comma 2 6 2 2 2 3 2 3 2" xfId="16327"/>
    <cellStyle name="Comma 2 6 2 2 2 3 2 3 2 2" xfId="18589"/>
    <cellStyle name="Comma 2 6 2 2 2 3 2 3 2 2 2" xfId="51657"/>
    <cellStyle name="Comma 2 6 2 2 2 3 2 3 2 2 2 2" xfId="53915"/>
    <cellStyle name="Comma 2 6 2 2 2 3 2 3 2 3" xfId="32090"/>
    <cellStyle name="Comma 2 6 2 2 2 3 2 3 3" xfId="29831"/>
    <cellStyle name="Comma 2 6 2 2 2 3 2 3 3 2" xfId="40453"/>
    <cellStyle name="Comma 2 6 2 2 2 3 2 4" xfId="10219"/>
    <cellStyle name="Comma 2 6 2 2 2 3 2 4 2" xfId="38141"/>
    <cellStyle name="Comma 2 6 2 2 2 3 2 4 2 2" xfId="45582"/>
    <cellStyle name="Comma 2 6 2 2 2 3 2 5" xfId="23705"/>
    <cellStyle name="Comma 2 6 2 2 2 3 3" xfId="4704"/>
    <cellStyle name="Comma 2 6 2 2 2 3 3 2" xfId="6253"/>
    <cellStyle name="Comma 2 6 2 2 2 3 3 2 2" xfId="18281"/>
    <cellStyle name="Comma 2 6 2 2 2 3 3 2 2 2" xfId="19810"/>
    <cellStyle name="Comma 2 6 2 2 2 3 3 2 2 2 2" xfId="53607"/>
    <cellStyle name="Comma 2 6 2 2 2 3 3 2 2 2 2 2" xfId="55136"/>
    <cellStyle name="Comma 2 6 2 2 2 3 3 2 2 3" xfId="33312"/>
    <cellStyle name="Comma 2 6 2 2 2 3 3 2 3" xfId="31782"/>
    <cellStyle name="Comma 2 6 2 2 2 3 3 2 3 2" xfId="41682"/>
    <cellStyle name="Comma 2 6 2 2 2 3 3 3" xfId="11478"/>
    <cellStyle name="Comma 2 6 2 2 2 3 3 3 2" xfId="40142"/>
    <cellStyle name="Comma 2 6 2 2 2 3 3 3 2 2" xfId="46827"/>
    <cellStyle name="Comma 2 6 2 2 2 3 3 4" xfId="24964"/>
    <cellStyle name="Comma 2 6 2 2 2 3 4" xfId="9907"/>
    <cellStyle name="Comma 2 6 2 2 2 3 4 2" xfId="14636"/>
    <cellStyle name="Comma 2 6 2 2 2 3 4 2 2" xfId="45274"/>
    <cellStyle name="Comma 2 6 2 2 2 3 4 2 2 2" xfId="49975"/>
    <cellStyle name="Comma 2 6 2 2 2 3 4 3" xfId="28147"/>
    <cellStyle name="Comma 2 6 2 2 2 3 5" xfId="23397"/>
    <cellStyle name="Comma 2 6 2 2 2 3 5 2" xfId="36444"/>
    <cellStyle name="Comma 2 6 2 2 2 4" xfId="1738"/>
    <cellStyle name="Comma 2 6 2 2 2 4 2" xfId="5909"/>
    <cellStyle name="Comma 2 6 2 2 2 4 2 2" xfId="6991"/>
    <cellStyle name="Comma 2 6 2 2 2 4 2 2 2" xfId="19476"/>
    <cellStyle name="Comma 2 6 2 2 2 4 2 2 2 2" xfId="20544"/>
    <cellStyle name="Comma 2 6 2 2 2 4 2 2 2 2 2" xfId="54802"/>
    <cellStyle name="Comma 2 6 2 2 2 4 2 2 2 2 2 2" xfId="55870"/>
    <cellStyle name="Comma 2 6 2 2 2 4 2 2 2 3" xfId="34046"/>
    <cellStyle name="Comma 2 6 2 2 2 4 2 2 3" xfId="32977"/>
    <cellStyle name="Comma 2 6 2 2 2 4 2 2 3 2" xfId="42419"/>
    <cellStyle name="Comma 2 6 2 2 2 4 2 3" xfId="12215"/>
    <cellStyle name="Comma 2 6 2 2 2 4 2 3 2" xfId="41343"/>
    <cellStyle name="Comma 2 6 2 2 2 4 2 3 2 2" xfId="47562"/>
    <cellStyle name="Comma 2 6 2 2 2 4 2 4" xfId="25700"/>
    <cellStyle name="Comma 2 6 2 2 2 4 3" xfId="11134"/>
    <cellStyle name="Comma 2 6 2 2 2 4 3 2" xfId="15410"/>
    <cellStyle name="Comma 2 6 2 2 2 4 3 2 2" xfId="46492"/>
    <cellStyle name="Comma 2 6 2 2 2 4 3 2 2 2" xfId="50743"/>
    <cellStyle name="Comma 2 6 2 2 2 4 3 3" xfId="28917"/>
    <cellStyle name="Comma 2 6 2 2 2 4 4" xfId="24627"/>
    <cellStyle name="Comma 2 6 2 2 2 4 4 2" xfId="37220"/>
    <cellStyle name="Comma 2 6 2 2 2 5" xfId="3743"/>
    <cellStyle name="Comma 2 6 2 2 2 5 2" xfId="14293"/>
    <cellStyle name="Comma 2 6 2 2 2 5 2 2" xfId="17359"/>
    <cellStyle name="Comma 2 6 2 2 2 5 2 2 2" xfId="49638"/>
    <cellStyle name="Comma 2 6 2 2 2 5 2 2 2 2" xfId="52686"/>
    <cellStyle name="Comma 2 6 2 2 2 5 2 3" xfId="30860"/>
    <cellStyle name="Comma 2 6 2 2 2 5 3" xfId="27803"/>
    <cellStyle name="Comma 2 6 2 2 2 5 3 2" xfId="39194"/>
    <cellStyle name="Comma 2 6 2 2 2 6" xfId="8933"/>
    <cellStyle name="Comma 2 6 2 2 2 6 2" xfId="36105"/>
    <cellStyle name="Comma 2 6 2 2 2 6 2 2" xfId="44332"/>
    <cellStyle name="Comma 2 6 2 2 2 7" xfId="22440"/>
    <cellStyle name="Comma 2 6 2 2 3" xfId="906"/>
    <cellStyle name="Comma 2 6 2 2 3 2" xfId="1135"/>
    <cellStyle name="Comma 2 6 2 2 3 2 2" xfId="2945"/>
    <cellStyle name="Comma 2 6 2 2 3 2 2 2" xfId="3160"/>
    <cellStyle name="Comma 2 6 2 2 3 2 2 2 2" xfId="8160"/>
    <cellStyle name="Comma 2 6 2 2 3 2 2 2 2 2" xfId="8375"/>
    <cellStyle name="Comma 2 6 2 2 3 2 2 2 2 2 2" xfId="21712"/>
    <cellStyle name="Comma 2 6 2 2 3 2 2 2 2 2 2 2" xfId="21927"/>
    <cellStyle name="Comma 2 6 2 2 3 2 2 2 2 2 2 2 2" xfId="57038"/>
    <cellStyle name="Comma 2 6 2 2 3 2 2 2 2 2 2 2 2 2" xfId="57253"/>
    <cellStyle name="Comma 2 6 2 2 3 2 2 2 2 2 2 3" xfId="35430"/>
    <cellStyle name="Comma 2 6 2 2 3 2 2 2 2 2 3" xfId="35215"/>
    <cellStyle name="Comma 2 6 2 2 3 2 2 2 2 2 3 2" xfId="43802"/>
    <cellStyle name="Comma 2 6 2 2 3 2 2 2 2 3" xfId="13600"/>
    <cellStyle name="Comma 2 6 2 2 3 2 2 2 2 3 2" xfId="43587"/>
    <cellStyle name="Comma 2 6 2 2 3 2 2 2 2 3 2 2" xfId="48946"/>
    <cellStyle name="Comma 2 6 2 2 3 2 2 2 2 4" xfId="27085"/>
    <cellStyle name="Comma 2 6 2 2 3 2 2 2 3" xfId="13385"/>
    <cellStyle name="Comma 2 6 2 2 3 2 2 2 3 2" xfId="16817"/>
    <cellStyle name="Comma 2 6 2 2 3 2 2 2 3 2 2" xfId="48731"/>
    <cellStyle name="Comma 2 6 2 2 3 2 2 2 3 2 2 2" xfId="52145"/>
    <cellStyle name="Comma 2 6 2 2 3 2 2 2 3 3" xfId="30319"/>
    <cellStyle name="Comma 2 6 2 2 3 2 2 2 4" xfId="26870"/>
    <cellStyle name="Comma 2 6 2 2 3 2 2 2 4 2" xfId="38629"/>
    <cellStyle name="Comma 2 6 2 2 3 2 2 3" xfId="5197"/>
    <cellStyle name="Comma 2 6 2 2 3 2 2 3 2" xfId="16602"/>
    <cellStyle name="Comma 2 6 2 2 3 2 2 3 2 2" xfId="18770"/>
    <cellStyle name="Comma 2 6 2 2 3 2 2 3 2 2 2" xfId="51930"/>
    <cellStyle name="Comma 2 6 2 2 3 2 2 3 2 2 2 2" xfId="54096"/>
    <cellStyle name="Comma 2 6 2 2 3 2 2 3 2 3" xfId="32271"/>
    <cellStyle name="Comma 2 6 2 2 3 2 2 3 3" xfId="30104"/>
    <cellStyle name="Comma 2 6 2 2 3 2 2 3 3 2" xfId="40634"/>
    <cellStyle name="Comma 2 6 2 2 3 2 2 4" xfId="10400"/>
    <cellStyle name="Comma 2 6 2 2 3 2 2 4 2" xfId="38414"/>
    <cellStyle name="Comma 2 6 2 2 3 2 2 4 2 2" xfId="45763"/>
    <cellStyle name="Comma 2 6 2 2 3 2 2 5" xfId="23886"/>
    <cellStyle name="Comma 2 6 2 2 3 2 3" xfId="4981"/>
    <cellStyle name="Comma 2 6 2 2 3 2 3 2" xfId="6443"/>
    <cellStyle name="Comma 2 6 2 2 3 2 3 2 2" xfId="18554"/>
    <cellStyle name="Comma 2 6 2 2 3 2 3 2 2 2" xfId="19998"/>
    <cellStyle name="Comma 2 6 2 2 3 2 3 2 2 2 2" xfId="53880"/>
    <cellStyle name="Comma 2 6 2 2 3 2 3 2 2 2 2 2" xfId="55324"/>
    <cellStyle name="Comma 2 6 2 2 3 2 3 2 2 3" xfId="33500"/>
    <cellStyle name="Comma 2 6 2 2 3 2 3 2 3" xfId="32055"/>
    <cellStyle name="Comma 2 6 2 2 3 2 3 2 3 2" xfId="41871"/>
    <cellStyle name="Comma 2 6 2 2 3 2 3 3" xfId="11667"/>
    <cellStyle name="Comma 2 6 2 2 3 2 3 3 2" xfId="40418"/>
    <cellStyle name="Comma 2 6 2 2 3 2 3 3 2 2" xfId="47016"/>
    <cellStyle name="Comma 2 6 2 2 3 2 3 4" xfId="25153"/>
    <cellStyle name="Comma 2 6 2 2 3 2 4" xfId="10184"/>
    <cellStyle name="Comma 2 6 2 2 3 2 4 2" xfId="14826"/>
    <cellStyle name="Comma 2 6 2 2 3 2 4 2 2" xfId="45547"/>
    <cellStyle name="Comma 2 6 2 2 3 2 4 2 2 2" xfId="50165"/>
    <cellStyle name="Comma 2 6 2 2 3 2 4 3" xfId="28338"/>
    <cellStyle name="Comma 2 6 2 2 3 2 5" xfId="23670"/>
    <cellStyle name="Comma 2 6 2 2 3 2 5 2" xfId="36634"/>
    <cellStyle name="Comma 2 6 2 2 3 3" xfId="1943"/>
    <cellStyle name="Comma 2 6 2 2 3 3 2" xfId="6217"/>
    <cellStyle name="Comma 2 6 2 2 3 3 2 2" xfId="7182"/>
    <cellStyle name="Comma 2 6 2 2 3 3 2 2 2" xfId="19775"/>
    <cellStyle name="Comma 2 6 2 2 3 3 2 2 2 2" xfId="20734"/>
    <cellStyle name="Comma 2 6 2 2 3 3 2 2 2 2 2" xfId="55101"/>
    <cellStyle name="Comma 2 6 2 2 3 3 2 2 2 2 2 2" xfId="56060"/>
    <cellStyle name="Comma 2 6 2 2 3 3 2 2 2 3" xfId="34237"/>
    <cellStyle name="Comma 2 6 2 2 3 3 2 2 3" xfId="33277"/>
    <cellStyle name="Comma 2 6 2 2 3 3 2 2 3 2" xfId="42609"/>
    <cellStyle name="Comma 2 6 2 2 3 3 2 3" xfId="12407"/>
    <cellStyle name="Comma 2 6 2 2 3 3 2 3 2" xfId="41646"/>
    <cellStyle name="Comma 2 6 2 2 3 3 2 3 2 2" xfId="47753"/>
    <cellStyle name="Comma 2 6 2 2 3 3 2 4" xfId="25891"/>
    <cellStyle name="Comma 2 6 2 2 3 3 3" xfId="11442"/>
    <cellStyle name="Comma 2 6 2 2 3 3 3 2" xfId="15608"/>
    <cellStyle name="Comma 2 6 2 2 3 3 3 2 2" xfId="46792"/>
    <cellStyle name="Comma 2 6 2 2 3 3 3 2 2 2" xfId="50940"/>
    <cellStyle name="Comma 2 6 2 2 3 3 3 3" xfId="29114"/>
    <cellStyle name="Comma 2 6 2 2 3 3 4" xfId="24929"/>
    <cellStyle name="Comma 2 6 2 2 3 3 4 2" xfId="37421"/>
    <cellStyle name="Comma 2 6 2 2 3 4" xfId="3957"/>
    <cellStyle name="Comma 2 6 2 2 3 4 2" xfId="14601"/>
    <cellStyle name="Comma 2 6 2 2 3 4 2 2" xfId="17557"/>
    <cellStyle name="Comma 2 6 2 2 3 4 2 2 2" xfId="49940"/>
    <cellStyle name="Comma 2 6 2 2 3 4 2 2 2 2" xfId="52884"/>
    <cellStyle name="Comma 2 6 2 2 3 4 2 3" xfId="31059"/>
    <cellStyle name="Comma 2 6 2 2 3 4 3" xfId="28111"/>
    <cellStyle name="Comma 2 6 2 2 3 4 3 2" xfId="39401"/>
    <cellStyle name="Comma 2 6 2 2 3 5" xfId="9149"/>
    <cellStyle name="Comma 2 6 2 2 3 5 2" xfId="36409"/>
    <cellStyle name="Comma 2 6 2 2 3 5 2 2" xfId="44537"/>
    <cellStyle name="Comma 2 6 2 2 3 6" xfId="22651"/>
    <cellStyle name="Comma 2 6 2 2 4" xfId="1702"/>
    <cellStyle name="Comma 2 6 2 2 4 2" xfId="2391"/>
    <cellStyle name="Comma 2 6 2 2 4 2 2" xfId="6956"/>
    <cellStyle name="Comma 2 6 2 2 4 2 2 2" xfId="7624"/>
    <cellStyle name="Comma 2 6 2 2 4 2 2 2 2" xfId="20509"/>
    <cellStyle name="Comma 2 6 2 2 4 2 2 2 2 2" xfId="21176"/>
    <cellStyle name="Comma 2 6 2 2 4 2 2 2 2 2 2" xfId="55835"/>
    <cellStyle name="Comma 2 6 2 2 4 2 2 2 2 2 2 2" xfId="56502"/>
    <cellStyle name="Comma 2 6 2 2 4 2 2 2 2 3" xfId="34679"/>
    <cellStyle name="Comma 2 6 2 2 4 2 2 2 3" xfId="34011"/>
    <cellStyle name="Comma 2 6 2 2 4 2 2 2 3 2" xfId="43051"/>
    <cellStyle name="Comma 2 6 2 2 4 2 2 3" xfId="12849"/>
    <cellStyle name="Comma 2 6 2 2 4 2 2 3 2" xfId="42384"/>
    <cellStyle name="Comma 2 6 2 2 4 2 2 3 2 2" xfId="48195"/>
    <cellStyle name="Comma 2 6 2 2 4 2 2 4" xfId="26333"/>
    <cellStyle name="Comma 2 6 2 2 4 2 3" xfId="12180"/>
    <cellStyle name="Comma 2 6 2 2 4 2 3 2" xfId="16054"/>
    <cellStyle name="Comma 2 6 2 2 4 2 3 2 2" xfId="47527"/>
    <cellStyle name="Comma 2 6 2 2 4 2 3 2 2 2" xfId="51386"/>
    <cellStyle name="Comma 2 6 2 2 4 2 3 3" xfId="29560"/>
    <cellStyle name="Comma 2 6 2 2 4 2 4" xfId="25665"/>
    <cellStyle name="Comma 2 6 2 2 4 2 4 2" xfId="37869"/>
    <cellStyle name="Comma 2 6 2 2 4 3" xfId="4425"/>
    <cellStyle name="Comma 2 6 2 2 4 3 2" xfId="15374"/>
    <cellStyle name="Comma 2 6 2 2 4 3 2 2" xfId="18016"/>
    <cellStyle name="Comma 2 6 2 2 4 3 2 2 2" xfId="50708"/>
    <cellStyle name="Comma 2 6 2 2 4 3 2 2 2 2" xfId="53342"/>
    <cellStyle name="Comma 2 6 2 2 4 3 2 3" xfId="31517"/>
    <cellStyle name="Comma 2 6 2 2 4 3 3" xfId="28882"/>
    <cellStyle name="Comma 2 6 2 2 4 3 3 2" xfId="39867"/>
    <cellStyle name="Comma 2 6 2 2 4 4" xfId="9628"/>
    <cellStyle name="Comma 2 6 2 2 4 4 2" xfId="37185"/>
    <cellStyle name="Comma 2 6 2 2 4 4 2 2" xfId="45008"/>
    <cellStyle name="Comma 2 6 2 2 4 5" xfId="23129"/>
    <cellStyle name="Comma 2 6 2 2 5" xfId="3707"/>
    <cellStyle name="Comma 2 6 2 2 5 2" xfId="5632"/>
    <cellStyle name="Comma 2 6 2 2 5 2 2" xfId="17324"/>
    <cellStyle name="Comma 2 6 2 2 5 2 2 2" xfId="19204"/>
    <cellStyle name="Comma 2 6 2 2 5 2 2 2 2" xfId="52651"/>
    <cellStyle name="Comma 2 6 2 2 5 2 2 2 2 2" xfId="54530"/>
    <cellStyle name="Comma 2 6 2 2 5 2 2 3" xfId="32705"/>
    <cellStyle name="Comma 2 6 2 2 5 2 3" xfId="30825"/>
    <cellStyle name="Comma 2 6 2 2 5 2 3 2" xfId="41068"/>
    <cellStyle name="Comma 2 6 2 2 5 3" xfId="10848"/>
    <cellStyle name="Comma 2 6 2 2 5 3 2" xfId="39158"/>
    <cellStyle name="Comma 2 6 2 2 5 3 2 2" xfId="46210"/>
    <cellStyle name="Comma 2 6 2 2 5 4" xfId="24340"/>
    <cellStyle name="Comma 2 6 2 2 6" xfId="8896"/>
    <cellStyle name="Comma 2 6 2 2 6 2" xfId="14016"/>
    <cellStyle name="Comma 2 6 2 2 6 2 2" xfId="44296"/>
    <cellStyle name="Comma 2 6 2 2 6 2 2 2" xfId="49362"/>
    <cellStyle name="Comma 2 6 2 2 6 3" xfId="27510"/>
    <cellStyle name="Comma 2 6 2 2 7" xfId="22404"/>
    <cellStyle name="Comma 2 6 2 2 7 2" xfId="35828"/>
    <cellStyle name="Comma 2 6 2 3" xfId="415"/>
    <cellStyle name="Comma 2 6 2 3 2" xfId="1088"/>
    <cellStyle name="Comma 2 6 2 3 2 2" xfId="1245"/>
    <cellStyle name="Comma 2 6 2 3 2 2 2" xfId="3118"/>
    <cellStyle name="Comma 2 6 2 3 2 2 2 2" xfId="3263"/>
    <cellStyle name="Comma 2 6 2 3 2 2 2 2 2" xfId="8333"/>
    <cellStyle name="Comma 2 6 2 3 2 2 2 2 2 2" xfId="8478"/>
    <cellStyle name="Comma 2 6 2 3 2 2 2 2 2 2 2" xfId="21885"/>
    <cellStyle name="Comma 2 6 2 3 2 2 2 2 2 2 2 2" xfId="22030"/>
    <cellStyle name="Comma 2 6 2 3 2 2 2 2 2 2 2 2 2" xfId="57211"/>
    <cellStyle name="Comma 2 6 2 3 2 2 2 2 2 2 2 2 2 2" xfId="57356"/>
    <cellStyle name="Comma 2 6 2 3 2 2 2 2 2 2 2 3" xfId="35533"/>
    <cellStyle name="Comma 2 6 2 3 2 2 2 2 2 2 3" xfId="35388"/>
    <cellStyle name="Comma 2 6 2 3 2 2 2 2 2 2 3 2" xfId="43905"/>
    <cellStyle name="Comma 2 6 2 3 2 2 2 2 2 3" xfId="13703"/>
    <cellStyle name="Comma 2 6 2 3 2 2 2 2 2 3 2" xfId="43760"/>
    <cellStyle name="Comma 2 6 2 3 2 2 2 2 2 3 2 2" xfId="49049"/>
    <cellStyle name="Comma 2 6 2 3 2 2 2 2 2 4" xfId="27188"/>
    <cellStyle name="Comma 2 6 2 3 2 2 2 2 3" xfId="13558"/>
    <cellStyle name="Comma 2 6 2 3 2 2 2 2 3 2" xfId="16920"/>
    <cellStyle name="Comma 2 6 2 3 2 2 2 2 3 2 2" xfId="48904"/>
    <cellStyle name="Comma 2 6 2 3 2 2 2 2 3 2 2 2" xfId="52248"/>
    <cellStyle name="Comma 2 6 2 3 2 2 2 2 3 3" xfId="30422"/>
    <cellStyle name="Comma 2 6 2 3 2 2 2 2 4" xfId="27043"/>
    <cellStyle name="Comma 2 6 2 3 2 2 2 2 4 2" xfId="38732"/>
    <cellStyle name="Comma 2 6 2 3 2 2 2 3" xfId="5300"/>
    <cellStyle name="Comma 2 6 2 3 2 2 2 3 2" xfId="16775"/>
    <cellStyle name="Comma 2 6 2 3 2 2 2 3 2 2" xfId="18873"/>
    <cellStyle name="Comma 2 6 2 3 2 2 2 3 2 2 2" xfId="52103"/>
    <cellStyle name="Comma 2 6 2 3 2 2 2 3 2 2 2 2" xfId="54199"/>
    <cellStyle name="Comma 2 6 2 3 2 2 2 3 2 3" xfId="32374"/>
    <cellStyle name="Comma 2 6 2 3 2 2 2 3 3" xfId="30277"/>
    <cellStyle name="Comma 2 6 2 3 2 2 2 3 3 2" xfId="40737"/>
    <cellStyle name="Comma 2 6 2 3 2 2 2 4" xfId="10503"/>
    <cellStyle name="Comma 2 6 2 3 2 2 2 4 2" xfId="38587"/>
    <cellStyle name="Comma 2 6 2 3 2 2 2 4 2 2" xfId="45866"/>
    <cellStyle name="Comma 2 6 2 3 2 2 2 5" xfId="23989"/>
    <cellStyle name="Comma 2 6 2 3 2 2 3" xfId="5155"/>
    <cellStyle name="Comma 2 6 2 3 2 2 3 2" xfId="6553"/>
    <cellStyle name="Comma 2 6 2 3 2 2 3 2 2" xfId="18728"/>
    <cellStyle name="Comma 2 6 2 3 2 2 3 2 2 2" xfId="20106"/>
    <cellStyle name="Comma 2 6 2 3 2 2 3 2 2 2 2" xfId="54054"/>
    <cellStyle name="Comma 2 6 2 3 2 2 3 2 2 2 2 2" xfId="55432"/>
    <cellStyle name="Comma 2 6 2 3 2 2 3 2 2 3" xfId="33608"/>
    <cellStyle name="Comma 2 6 2 3 2 2 3 2 3" xfId="32229"/>
    <cellStyle name="Comma 2 6 2 3 2 2 3 2 3 2" xfId="41981"/>
    <cellStyle name="Comma 2 6 2 3 2 2 3 3" xfId="11776"/>
    <cellStyle name="Comma 2 6 2 3 2 2 3 3 2" xfId="40592"/>
    <cellStyle name="Comma 2 6 2 3 2 2 3 3 2 2" xfId="47124"/>
    <cellStyle name="Comma 2 6 2 3 2 2 3 4" xfId="25261"/>
    <cellStyle name="Comma 2 6 2 3 2 2 4" xfId="10358"/>
    <cellStyle name="Comma 2 6 2 3 2 2 4 2" xfId="14934"/>
    <cellStyle name="Comma 2 6 2 3 2 2 4 2 2" xfId="45721"/>
    <cellStyle name="Comma 2 6 2 3 2 2 4 2 2 2" xfId="50273"/>
    <cellStyle name="Comma 2 6 2 3 2 2 4 3" xfId="28447"/>
    <cellStyle name="Comma 2 6 2 3 2 2 5" xfId="23844"/>
    <cellStyle name="Comma 2 6 2 3 2 2 5 2" xfId="36742"/>
    <cellStyle name="Comma 2 6 2 3 2 3" xfId="2051"/>
    <cellStyle name="Comma 2 6 2 3 2 3 2" xfId="6397"/>
    <cellStyle name="Comma 2 6 2 3 2 3 2 2" xfId="7285"/>
    <cellStyle name="Comma 2 6 2 3 2 3 2 2 2" xfId="19953"/>
    <cellStyle name="Comma 2 6 2 3 2 3 2 2 2 2" xfId="20837"/>
    <cellStyle name="Comma 2 6 2 3 2 3 2 2 2 2 2" xfId="55279"/>
    <cellStyle name="Comma 2 6 2 3 2 3 2 2 2 2 2 2" xfId="56163"/>
    <cellStyle name="Comma 2 6 2 3 2 3 2 2 2 3" xfId="34340"/>
    <cellStyle name="Comma 2 6 2 3 2 3 2 2 3" xfId="33455"/>
    <cellStyle name="Comma 2 6 2 3 2 3 2 2 3 2" xfId="42712"/>
    <cellStyle name="Comma 2 6 2 3 2 3 2 3" xfId="12510"/>
    <cellStyle name="Comma 2 6 2 3 2 3 2 3 2" xfId="41826"/>
    <cellStyle name="Comma 2 6 2 3 2 3 2 3 2 2" xfId="47856"/>
    <cellStyle name="Comma 2 6 2 3 2 3 2 4" xfId="25994"/>
    <cellStyle name="Comma 2 6 2 3 2 3 3" xfId="11622"/>
    <cellStyle name="Comma 2 6 2 3 2 3 3 2" xfId="15715"/>
    <cellStyle name="Comma 2 6 2 3 2 3 3 2 2" xfId="46971"/>
    <cellStyle name="Comma 2 6 2 3 2 3 3 2 2 2" xfId="51047"/>
    <cellStyle name="Comma 2 6 2 3 2 3 3 3" xfId="29221"/>
    <cellStyle name="Comma 2 6 2 3 2 3 4" xfId="25108"/>
    <cellStyle name="Comma 2 6 2 3 2 3 4 2" xfId="37529"/>
    <cellStyle name="Comma 2 6 2 3 2 4" xfId="4067"/>
    <cellStyle name="Comma 2 6 2 3 2 4 2" xfId="14780"/>
    <cellStyle name="Comma 2 6 2 3 2 4 2 2" xfId="17660"/>
    <cellStyle name="Comma 2 6 2 3 2 4 2 2 2" xfId="50119"/>
    <cellStyle name="Comma 2 6 2 3 2 4 2 2 2 2" xfId="52987"/>
    <cellStyle name="Comma 2 6 2 3 2 4 2 3" xfId="31162"/>
    <cellStyle name="Comma 2 6 2 3 2 4 3" xfId="28292"/>
    <cellStyle name="Comma 2 6 2 3 2 4 3 2" xfId="39510"/>
    <cellStyle name="Comma 2 6 2 3 2 5" xfId="9258"/>
    <cellStyle name="Comma 2 6 2 3 2 5 2" xfId="36588"/>
    <cellStyle name="Comma 2 6 2 3 2 5 2 2" xfId="44640"/>
    <cellStyle name="Comma 2 6 2 3 2 6" xfId="22754"/>
    <cellStyle name="Comma 2 6 2 3 3" xfId="1896"/>
    <cellStyle name="Comma 2 6 2 3 3 2" xfId="2517"/>
    <cellStyle name="Comma 2 6 2 3 3 2 2" xfId="7140"/>
    <cellStyle name="Comma 2 6 2 3 3 2 2 2" xfId="7742"/>
    <cellStyle name="Comma 2 6 2 3 3 2 2 2 2" xfId="20692"/>
    <cellStyle name="Comma 2 6 2 3 3 2 2 2 2 2" xfId="21294"/>
    <cellStyle name="Comma 2 6 2 3 3 2 2 2 2 2 2" xfId="56018"/>
    <cellStyle name="Comma 2 6 2 3 3 2 2 2 2 2 2 2" xfId="56620"/>
    <cellStyle name="Comma 2 6 2 3 3 2 2 2 2 3" xfId="34797"/>
    <cellStyle name="Comma 2 6 2 3 3 2 2 2 3" xfId="34195"/>
    <cellStyle name="Comma 2 6 2 3 3 2 2 2 3 2" xfId="43169"/>
    <cellStyle name="Comma 2 6 2 3 3 2 2 3" xfId="12967"/>
    <cellStyle name="Comma 2 6 2 3 3 2 2 3 2" xfId="42567"/>
    <cellStyle name="Comma 2 6 2 3 3 2 2 3 2 2" xfId="48313"/>
    <cellStyle name="Comma 2 6 2 3 3 2 2 4" xfId="26451"/>
    <cellStyle name="Comma 2 6 2 3 3 2 3" xfId="12365"/>
    <cellStyle name="Comma 2 6 2 3 3 2 3 2" xfId="16178"/>
    <cellStyle name="Comma 2 6 2 3 3 2 3 2 2" xfId="47711"/>
    <cellStyle name="Comma 2 6 2 3 3 2 3 2 2 2" xfId="51509"/>
    <cellStyle name="Comma 2 6 2 3 3 2 3 3" xfId="29683"/>
    <cellStyle name="Comma 2 6 2 3 3 2 4" xfId="25849"/>
    <cellStyle name="Comma 2 6 2 3 3 2 4 2" xfId="37992"/>
    <cellStyle name="Comma 2 6 2 3 3 3" xfId="4552"/>
    <cellStyle name="Comma 2 6 2 3 3 3 2" xfId="15563"/>
    <cellStyle name="Comma 2 6 2 3 3 3 2 2" xfId="18135"/>
    <cellStyle name="Comma 2 6 2 3 3 3 2 2 2" xfId="50895"/>
    <cellStyle name="Comma 2 6 2 3 3 3 2 2 2 2" xfId="53461"/>
    <cellStyle name="Comma 2 6 2 3 3 3 2 3" xfId="31636"/>
    <cellStyle name="Comma 2 6 2 3 3 3 3" xfId="29069"/>
    <cellStyle name="Comma 2 6 2 3 3 3 3 2" xfId="39993"/>
    <cellStyle name="Comma 2 6 2 3 3 4" xfId="9755"/>
    <cellStyle name="Comma 2 6 2 3 3 4 2" xfId="37375"/>
    <cellStyle name="Comma 2 6 2 3 3 4 2 2" xfId="45128"/>
    <cellStyle name="Comma 2 6 2 3 3 5" xfId="23251"/>
    <cellStyle name="Comma 2 6 2 3 4" xfId="3910"/>
    <cellStyle name="Comma 2 6 2 3 4 2" xfId="5758"/>
    <cellStyle name="Comma 2 6 2 3 4 2 2" xfId="17515"/>
    <cellStyle name="Comma 2 6 2 3 4 2 2 2" xfId="19327"/>
    <cellStyle name="Comma 2 6 2 3 4 2 2 2 2" xfId="52842"/>
    <cellStyle name="Comma 2 6 2 3 4 2 2 2 2 2" xfId="54653"/>
    <cellStyle name="Comma 2 6 2 3 4 2 2 3" xfId="32828"/>
    <cellStyle name="Comma 2 6 2 3 4 2 3" xfId="31017"/>
    <cellStyle name="Comma 2 6 2 3 4 2 3 2" xfId="41193"/>
    <cellStyle name="Comma 2 6 2 3 4 3" xfId="10979"/>
    <cellStyle name="Comma 2 6 2 3 4 3 2" xfId="39355"/>
    <cellStyle name="Comma 2 6 2 3 4 3 2 2" xfId="46338"/>
    <cellStyle name="Comma 2 6 2 3 4 4" xfId="24472"/>
    <cellStyle name="Comma 2 6 2 3 5" xfId="9102"/>
    <cellStyle name="Comma 2 6 2 3 5 2" xfId="14142"/>
    <cellStyle name="Comma 2 6 2 3 5 2 2" xfId="44494"/>
    <cellStyle name="Comma 2 6 2 3 5 2 2 2" xfId="49487"/>
    <cellStyle name="Comma 2 6 2 3 5 3" xfId="27644"/>
    <cellStyle name="Comma 2 6 2 3 6" xfId="22607"/>
    <cellStyle name="Comma 2 6 2 3 6 2" xfId="35953"/>
    <cellStyle name="Comma 2 6 2 4" xfId="735"/>
    <cellStyle name="Comma 2 6 2 4 2" xfId="2345"/>
    <cellStyle name="Comma 2 6 2 4 2 2" xfId="2806"/>
    <cellStyle name="Comma 2 6 2 4 2 2 2" xfId="7579"/>
    <cellStyle name="Comma 2 6 2 4 2 2 2 2" xfId="8022"/>
    <cellStyle name="Comma 2 6 2 4 2 2 2 2 2" xfId="21131"/>
    <cellStyle name="Comma 2 6 2 4 2 2 2 2 2 2" xfId="21574"/>
    <cellStyle name="Comma 2 6 2 4 2 2 2 2 2 2 2" xfId="56457"/>
    <cellStyle name="Comma 2 6 2 4 2 2 2 2 2 2 2 2" xfId="56900"/>
    <cellStyle name="Comma 2 6 2 4 2 2 2 2 2 3" xfId="35077"/>
    <cellStyle name="Comma 2 6 2 4 2 2 2 2 3" xfId="34634"/>
    <cellStyle name="Comma 2 6 2 4 2 2 2 2 3 2" xfId="43449"/>
    <cellStyle name="Comma 2 6 2 4 2 2 2 3" xfId="13247"/>
    <cellStyle name="Comma 2 6 2 4 2 2 2 3 2" xfId="43006"/>
    <cellStyle name="Comma 2 6 2 4 2 2 2 3 2 2" xfId="48593"/>
    <cellStyle name="Comma 2 6 2 4 2 2 2 4" xfId="26731"/>
    <cellStyle name="Comma 2 6 2 4 2 2 3" xfId="12804"/>
    <cellStyle name="Comma 2 6 2 4 2 2 3 2" xfId="16464"/>
    <cellStyle name="Comma 2 6 2 4 2 2 3 2 2" xfId="48150"/>
    <cellStyle name="Comma 2 6 2 4 2 2 3 2 2 2" xfId="51792"/>
    <cellStyle name="Comma 2 6 2 4 2 2 3 3" xfId="29966"/>
    <cellStyle name="Comma 2 6 2 4 2 2 4" xfId="26288"/>
    <cellStyle name="Comma 2 6 2 4 2 2 4 2" xfId="38276"/>
    <cellStyle name="Comma 2 6 2 4 2 3" xfId="4842"/>
    <cellStyle name="Comma 2 6 2 4 2 3 2" xfId="16009"/>
    <cellStyle name="Comma 2 6 2 4 2 3 2 2" xfId="18416"/>
    <cellStyle name="Comma 2 6 2 4 2 3 2 2 2" xfId="51341"/>
    <cellStyle name="Comma 2 6 2 4 2 3 2 2 2 2" xfId="53742"/>
    <cellStyle name="Comma 2 6 2 4 2 3 2 3" xfId="31917"/>
    <cellStyle name="Comma 2 6 2 4 2 3 3" xfId="29515"/>
    <cellStyle name="Comma 2 6 2 4 2 3 3 2" xfId="40279"/>
    <cellStyle name="Comma 2 6 2 4 2 4" xfId="10045"/>
    <cellStyle name="Comma 2 6 2 4 2 4 2" xfId="37823"/>
    <cellStyle name="Comma 2 6 2 4 2 4 2 2" xfId="45409"/>
    <cellStyle name="Comma 2 6 2 4 2 5" xfId="23532"/>
    <cellStyle name="Comma 2 6 2 4 3" xfId="4376"/>
    <cellStyle name="Comma 2 6 2 4 3 2" xfId="6058"/>
    <cellStyle name="Comma 2 6 2 4 3 2 2" xfId="17968"/>
    <cellStyle name="Comma 2 6 2 4 3 2 2 2" xfId="19622"/>
    <cellStyle name="Comma 2 6 2 4 3 2 2 2 2" xfId="53294"/>
    <cellStyle name="Comma 2 6 2 4 3 2 2 2 2 2" xfId="54948"/>
    <cellStyle name="Comma 2 6 2 4 3 2 2 3" xfId="33123"/>
    <cellStyle name="Comma 2 6 2 4 3 2 3" xfId="31469"/>
    <cellStyle name="Comma 2 6 2 4 3 2 3 2" xfId="41492"/>
    <cellStyle name="Comma 2 6 2 4 3 3" xfId="11284"/>
    <cellStyle name="Comma 2 6 2 4 3 3 2" xfId="39818"/>
    <cellStyle name="Comma 2 6 2 4 3 3 2 2" xfId="46639"/>
    <cellStyle name="Comma 2 6 2 4 3 4" xfId="24776"/>
    <cellStyle name="Comma 2 6 2 4 4" xfId="9577"/>
    <cellStyle name="Comma 2 6 2 4 4 2" xfId="14441"/>
    <cellStyle name="Comma 2 6 2 4 4 2 2" xfId="44958"/>
    <cellStyle name="Comma 2 6 2 4 4 2 2 2" xfId="49786"/>
    <cellStyle name="Comma 2 6 2 4 4 3" xfId="27954"/>
    <cellStyle name="Comma 2 6 2 4 5" xfId="23078"/>
    <cellStyle name="Comma 2 6 2 4 5 2" xfId="36254"/>
    <cellStyle name="Comma 2 6 2 5" xfId="1519"/>
    <cellStyle name="Comma 2 6 2 5 2" xfId="5586"/>
    <cellStyle name="Comma 2 6 2 5 2 2" xfId="6808"/>
    <cellStyle name="Comma 2 6 2 5 2 2 2" xfId="19158"/>
    <cellStyle name="Comma 2 6 2 5 2 2 2 2" xfId="20361"/>
    <cellStyle name="Comma 2 6 2 5 2 2 2 2 2" xfId="54484"/>
    <cellStyle name="Comma 2 6 2 5 2 2 2 2 2 2" xfId="55687"/>
    <cellStyle name="Comma 2 6 2 5 2 2 2 3" xfId="33863"/>
    <cellStyle name="Comma 2 6 2 5 2 2 3" xfId="32659"/>
    <cellStyle name="Comma 2 6 2 5 2 2 3 2" xfId="42236"/>
    <cellStyle name="Comma 2 6 2 5 2 3" xfId="12032"/>
    <cellStyle name="Comma 2 6 2 5 2 3 2" xfId="41022"/>
    <cellStyle name="Comma 2 6 2 5 2 3 2 2" xfId="47379"/>
    <cellStyle name="Comma 2 6 2 5 2 4" xfId="25516"/>
    <cellStyle name="Comma 2 6 2 5 3" xfId="10797"/>
    <cellStyle name="Comma 2 6 2 5 3 2" xfId="15201"/>
    <cellStyle name="Comma 2 6 2 5 3 2 2" xfId="46159"/>
    <cellStyle name="Comma 2 6 2 5 3 2 2 2" xfId="50539"/>
    <cellStyle name="Comma 2 6 2 5 3 3" xfId="28713"/>
    <cellStyle name="Comma 2 6 2 5 4" xfId="24287"/>
    <cellStyle name="Comma 2 6 2 5 4 2" xfId="37011"/>
    <cellStyle name="Comma 2 6 2 6" xfId="3520"/>
    <cellStyle name="Comma 2 6 2 6 2" xfId="13970"/>
    <cellStyle name="Comma 2 6 2 6 2 2" xfId="17173"/>
    <cellStyle name="Comma 2 6 2 6 2 2 2" xfId="49316"/>
    <cellStyle name="Comma 2 6 2 6 2 2 2 2" xfId="52500"/>
    <cellStyle name="Comma 2 6 2 6 2 3" xfId="30674"/>
    <cellStyle name="Comma 2 6 2 6 3" xfId="27462"/>
    <cellStyle name="Comma 2 6 2 6 3 2" xfId="38986"/>
    <cellStyle name="Comma 2 6 2 7" xfId="8714"/>
    <cellStyle name="Comma 2 6 2 7 2" xfId="35782"/>
    <cellStyle name="Comma 2 6 2 7 2 2" xfId="44141"/>
    <cellStyle name="Comma 2 6 2 8" xfId="8827"/>
    <cellStyle name="Comma 2 6 3" xfId="352"/>
    <cellStyle name="Comma 2 6 3 2" xfId="487"/>
    <cellStyle name="Comma 2 6 3 2 2" xfId="1201"/>
    <cellStyle name="Comma 2 6 3 2 2 2" xfId="1301"/>
    <cellStyle name="Comma 2 6 3 2 2 2 2" xfId="3221"/>
    <cellStyle name="Comma 2 6 3 2 2 2 2 2" xfId="3319"/>
    <cellStyle name="Comma 2 6 3 2 2 2 2 2 2" xfId="8436"/>
    <cellStyle name="Comma 2 6 3 2 2 2 2 2 2 2" xfId="8534"/>
    <cellStyle name="Comma 2 6 3 2 2 2 2 2 2 2 2" xfId="21988"/>
    <cellStyle name="Comma 2 6 3 2 2 2 2 2 2 2 2 2" xfId="22086"/>
    <cellStyle name="Comma 2 6 3 2 2 2 2 2 2 2 2 2 2" xfId="57314"/>
    <cellStyle name="Comma 2 6 3 2 2 2 2 2 2 2 2 2 2 2" xfId="57412"/>
    <cellStyle name="Comma 2 6 3 2 2 2 2 2 2 2 2 3" xfId="35589"/>
    <cellStyle name="Comma 2 6 3 2 2 2 2 2 2 2 3" xfId="35491"/>
    <cellStyle name="Comma 2 6 3 2 2 2 2 2 2 2 3 2" xfId="43961"/>
    <cellStyle name="Comma 2 6 3 2 2 2 2 2 2 3" xfId="13759"/>
    <cellStyle name="Comma 2 6 3 2 2 2 2 2 2 3 2" xfId="43863"/>
    <cellStyle name="Comma 2 6 3 2 2 2 2 2 2 3 2 2" xfId="49105"/>
    <cellStyle name="Comma 2 6 3 2 2 2 2 2 2 4" xfId="27244"/>
    <cellStyle name="Comma 2 6 3 2 2 2 2 2 3" xfId="13661"/>
    <cellStyle name="Comma 2 6 3 2 2 2 2 2 3 2" xfId="16976"/>
    <cellStyle name="Comma 2 6 3 2 2 2 2 2 3 2 2" xfId="49007"/>
    <cellStyle name="Comma 2 6 3 2 2 2 2 2 3 2 2 2" xfId="52304"/>
    <cellStyle name="Comma 2 6 3 2 2 2 2 2 3 3" xfId="30478"/>
    <cellStyle name="Comma 2 6 3 2 2 2 2 2 4" xfId="27146"/>
    <cellStyle name="Comma 2 6 3 2 2 2 2 2 4 2" xfId="38788"/>
    <cellStyle name="Comma 2 6 3 2 2 2 2 3" xfId="5356"/>
    <cellStyle name="Comma 2 6 3 2 2 2 2 3 2" xfId="16878"/>
    <cellStyle name="Comma 2 6 3 2 2 2 2 3 2 2" xfId="18929"/>
    <cellStyle name="Comma 2 6 3 2 2 2 2 3 2 2 2" xfId="52206"/>
    <cellStyle name="Comma 2 6 3 2 2 2 2 3 2 2 2 2" xfId="54255"/>
    <cellStyle name="Comma 2 6 3 2 2 2 2 3 2 3" xfId="32430"/>
    <cellStyle name="Comma 2 6 3 2 2 2 2 3 3" xfId="30380"/>
    <cellStyle name="Comma 2 6 3 2 2 2 2 3 3 2" xfId="40793"/>
    <cellStyle name="Comma 2 6 3 2 2 2 2 4" xfId="10559"/>
    <cellStyle name="Comma 2 6 3 2 2 2 2 4 2" xfId="38690"/>
    <cellStyle name="Comma 2 6 3 2 2 2 2 4 2 2" xfId="45922"/>
    <cellStyle name="Comma 2 6 3 2 2 2 2 5" xfId="24045"/>
    <cellStyle name="Comma 2 6 3 2 2 2 3" xfId="5258"/>
    <cellStyle name="Comma 2 6 3 2 2 2 3 2" xfId="6609"/>
    <cellStyle name="Comma 2 6 3 2 2 2 3 2 2" xfId="18831"/>
    <cellStyle name="Comma 2 6 3 2 2 2 3 2 2 2" xfId="20162"/>
    <cellStyle name="Comma 2 6 3 2 2 2 3 2 2 2 2" xfId="54157"/>
    <cellStyle name="Comma 2 6 3 2 2 2 3 2 2 2 2 2" xfId="55488"/>
    <cellStyle name="Comma 2 6 3 2 2 2 3 2 2 3" xfId="33664"/>
    <cellStyle name="Comma 2 6 3 2 2 2 3 2 3" xfId="32332"/>
    <cellStyle name="Comma 2 6 3 2 2 2 3 2 3 2" xfId="42037"/>
    <cellStyle name="Comma 2 6 3 2 2 2 3 3" xfId="11832"/>
    <cellStyle name="Comma 2 6 3 2 2 2 3 3 2" xfId="40695"/>
    <cellStyle name="Comma 2 6 3 2 2 2 3 3 2 2" xfId="47180"/>
    <cellStyle name="Comma 2 6 3 2 2 2 3 4" xfId="25317"/>
    <cellStyle name="Comma 2 6 3 2 2 2 4" xfId="10461"/>
    <cellStyle name="Comma 2 6 3 2 2 2 4 2" xfId="14990"/>
    <cellStyle name="Comma 2 6 3 2 2 2 4 2 2" xfId="45824"/>
    <cellStyle name="Comma 2 6 3 2 2 2 4 2 2 2" xfId="50329"/>
    <cellStyle name="Comma 2 6 3 2 2 2 4 3" xfId="28503"/>
    <cellStyle name="Comma 2 6 3 2 2 2 5" xfId="23947"/>
    <cellStyle name="Comma 2 6 3 2 2 2 5 2" xfId="36798"/>
    <cellStyle name="Comma 2 6 3 2 2 3" xfId="2107"/>
    <cellStyle name="Comma 2 6 3 2 2 3 2" xfId="6509"/>
    <cellStyle name="Comma 2 6 3 2 2 3 2 2" xfId="7341"/>
    <cellStyle name="Comma 2 6 3 2 2 3 2 2 2" xfId="20063"/>
    <cellStyle name="Comma 2 6 3 2 2 3 2 2 2 2" xfId="20893"/>
    <cellStyle name="Comma 2 6 3 2 2 3 2 2 2 2 2" xfId="55389"/>
    <cellStyle name="Comma 2 6 3 2 2 3 2 2 2 2 2 2" xfId="56219"/>
    <cellStyle name="Comma 2 6 3 2 2 3 2 2 2 3" xfId="34396"/>
    <cellStyle name="Comma 2 6 3 2 2 3 2 2 3" xfId="33565"/>
    <cellStyle name="Comma 2 6 3 2 2 3 2 2 3 2" xfId="42768"/>
    <cellStyle name="Comma 2 6 3 2 2 3 2 3" xfId="12566"/>
    <cellStyle name="Comma 2 6 3 2 2 3 2 3 2" xfId="41937"/>
    <cellStyle name="Comma 2 6 3 2 2 3 2 3 2 2" xfId="47912"/>
    <cellStyle name="Comma 2 6 3 2 2 3 2 4" xfId="26050"/>
    <cellStyle name="Comma 2 6 3 2 2 3 3" xfId="11733"/>
    <cellStyle name="Comma 2 6 3 2 2 3 3 2" xfId="15771"/>
    <cellStyle name="Comma 2 6 3 2 2 3 3 2 2" xfId="47081"/>
    <cellStyle name="Comma 2 6 3 2 2 3 3 2 2 2" xfId="51103"/>
    <cellStyle name="Comma 2 6 3 2 2 3 3 3" xfId="29277"/>
    <cellStyle name="Comma 2 6 3 2 2 3 4" xfId="25218"/>
    <cellStyle name="Comma 2 6 3 2 2 3 4 2" xfId="37585"/>
    <cellStyle name="Comma 2 6 3 2 2 4" xfId="4123"/>
    <cellStyle name="Comma 2 6 3 2 2 4 2" xfId="14891"/>
    <cellStyle name="Comma 2 6 3 2 2 4 2 2" xfId="17716"/>
    <cellStyle name="Comma 2 6 3 2 2 4 2 2 2" xfId="50230"/>
    <cellStyle name="Comma 2 6 3 2 2 4 2 2 2 2" xfId="53043"/>
    <cellStyle name="Comma 2 6 3 2 2 4 2 3" xfId="31218"/>
    <cellStyle name="Comma 2 6 3 2 2 4 3" xfId="28404"/>
    <cellStyle name="Comma 2 6 3 2 2 4 3 2" xfId="39566"/>
    <cellStyle name="Comma 2 6 3 2 2 5" xfId="9314"/>
    <cellStyle name="Comma 2 6 3 2 2 5 2" xfId="36699"/>
    <cellStyle name="Comma 2 6 3 2 2 5 2 2" xfId="44696"/>
    <cellStyle name="Comma 2 6 3 2 2 6" xfId="22810"/>
    <cellStyle name="Comma 2 6 3 2 3" xfId="2009"/>
    <cellStyle name="Comma 2 6 3 2 3 2" xfId="2585"/>
    <cellStyle name="Comma 2 6 3 2 3 2 2" xfId="7243"/>
    <cellStyle name="Comma 2 6 3 2 3 2 2 2" xfId="7806"/>
    <cellStyle name="Comma 2 6 3 2 3 2 2 2 2" xfId="20795"/>
    <cellStyle name="Comma 2 6 3 2 3 2 2 2 2 2" xfId="21358"/>
    <cellStyle name="Comma 2 6 3 2 3 2 2 2 2 2 2" xfId="56121"/>
    <cellStyle name="Comma 2 6 3 2 3 2 2 2 2 2 2 2" xfId="56684"/>
    <cellStyle name="Comma 2 6 3 2 3 2 2 2 2 3" xfId="34861"/>
    <cellStyle name="Comma 2 6 3 2 3 2 2 2 3" xfId="34298"/>
    <cellStyle name="Comma 2 6 3 2 3 2 2 2 3 2" xfId="43233"/>
    <cellStyle name="Comma 2 6 3 2 3 2 2 3" xfId="13031"/>
    <cellStyle name="Comma 2 6 3 2 3 2 2 3 2" xfId="42670"/>
    <cellStyle name="Comma 2 6 3 2 3 2 2 3 2 2" xfId="48377"/>
    <cellStyle name="Comma 2 6 3 2 3 2 2 4" xfId="26515"/>
    <cellStyle name="Comma 2 6 3 2 3 2 3" xfId="12468"/>
    <cellStyle name="Comma 2 6 3 2 3 2 3 2" xfId="16244"/>
    <cellStyle name="Comma 2 6 3 2 3 2 3 2 2" xfId="47814"/>
    <cellStyle name="Comma 2 6 3 2 3 2 3 2 2 2" xfId="51574"/>
    <cellStyle name="Comma 2 6 3 2 3 2 3 3" xfId="29748"/>
    <cellStyle name="Comma 2 6 3 2 3 2 4" xfId="25952"/>
    <cellStyle name="Comma 2 6 3 2 3 2 4 2" xfId="38058"/>
    <cellStyle name="Comma 2 6 3 2 3 3" xfId="4618"/>
    <cellStyle name="Comma 2 6 3 2 3 3 2" xfId="15673"/>
    <cellStyle name="Comma 2 6 3 2 3 3 2 2" xfId="18199"/>
    <cellStyle name="Comma 2 6 3 2 3 3 2 2 2" xfId="51005"/>
    <cellStyle name="Comma 2 6 3 2 3 3 2 2 2 2" xfId="53525"/>
    <cellStyle name="Comma 2 6 3 2 3 3 2 3" xfId="31700"/>
    <cellStyle name="Comma 2 6 3 2 3 3 3" xfId="29179"/>
    <cellStyle name="Comma 2 6 3 2 3 3 3 2" xfId="40057"/>
    <cellStyle name="Comma 2 6 3 2 3 4" xfId="9822"/>
    <cellStyle name="Comma 2 6 3 2 3 4 2" xfId="37487"/>
    <cellStyle name="Comma 2 6 3 2 3 4 2 2" xfId="45192"/>
    <cellStyle name="Comma 2 6 3 2 3 5" xfId="23315"/>
    <cellStyle name="Comma 2 6 3 2 4" xfId="4023"/>
    <cellStyle name="Comma 2 6 3 2 4 2" xfId="5824"/>
    <cellStyle name="Comma 2 6 3 2 4 2 2" xfId="17618"/>
    <cellStyle name="Comma 2 6 3 2 4 2 2 2" xfId="19392"/>
    <cellStyle name="Comma 2 6 3 2 4 2 2 2 2" xfId="52945"/>
    <cellStyle name="Comma 2 6 3 2 4 2 2 2 2 2" xfId="54718"/>
    <cellStyle name="Comma 2 6 3 2 4 2 2 3" xfId="32893"/>
    <cellStyle name="Comma 2 6 3 2 4 2 3" xfId="31120"/>
    <cellStyle name="Comma 2 6 3 2 4 2 3 2" xfId="41259"/>
    <cellStyle name="Comma 2 6 3 2 4 3" xfId="11046"/>
    <cellStyle name="Comma 2 6 3 2 4 3 2" xfId="39467"/>
    <cellStyle name="Comma 2 6 3 2 4 3 2 2" xfId="46405"/>
    <cellStyle name="Comma 2 6 3 2 4 4" xfId="24540"/>
    <cellStyle name="Comma 2 6 3 2 5" xfId="9215"/>
    <cellStyle name="Comma 2 6 3 2 5 2" xfId="14208"/>
    <cellStyle name="Comma 2 6 3 2 5 2 2" xfId="44598"/>
    <cellStyle name="Comma 2 6 3 2 5 2 2 2" xfId="49553"/>
    <cellStyle name="Comma 2 6 3 2 5 3" xfId="27714"/>
    <cellStyle name="Comma 2 6 3 2 6" xfId="22712"/>
    <cellStyle name="Comma 2 6 3 2 6 2" xfId="36020"/>
    <cellStyle name="Comma 2 6 3 3" xfId="812"/>
    <cellStyle name="Comma 2 6 3 3 2" xfId="2462"/>
    <cellStyle name="Comma 2 6 3 3 2 2" xfId="2867"/>
    <cellStyle name="Comma 2 6 3 3 2 2 2" xfId="7692"/>
    <cellStyle name="Comma 2 6 3 3 2 2 2 2" xfId="8083"/>
    <cellStyle name="Comma 2 6 3 3 2 2 2 2 2" xfId="21244"/>
    <cellStyle name="Comma 2 6 3 3 2 2 2 2 2 2" xfId="21635"/>
    <cellStyle name="Comma 2 6 3 3 2 2 2 2 2 2 2" xfId="56570"/>
    <cellStyle name="Comma 2 6 3 3 2 2 2 2 2 2 2 2" xfId="56961"/>
    <cellStyle name="Comma 2 6 3 3 2 2 2 2 2 3" xfId="35138"/>
    <cellStyle name="Comma 2 6 3 3 2 2 2 2 3" xfId="34747"/>
    <cellStyle name="Comma 2 6 3 3 2 2 2 2 3 2" xfId="43510"/>
    <cellStyle name="Comma 2 6 3 3 2 2 2 3" xfId="13308"/>
    <cellStyle name="Comma 2 6 3 3 2 2 2 3 2" xfId="43119"/>
    <cellStyle name="Comma 2 6 3 3 2 2 2 3 2 2" xfId="48654"/>
    <cellStyle name="Comma 2 6 3 3 2 2 2 4" xfId="26792"/>
    <cellStyle name="Comma 2 6 3 3 2 2 3" xfId="12917"/>
    <cellStyle name="Comma 2 6 3 3 2 2 3 2" xfId="16525"/>
    <cellStyle name="Comma 2 6 3 3 2 2 3 2 2" xfId="48263"/>
    <cellStyle name="Comma 2 6 3 3 2 2 3 2 2 2" xfId="51853"/>
    <cellStyle name="Comma 2 6 3 3 2 2 3 3" xfId="30027"/>
    <cellStyle name="Comma 2 6 3 3 2 2 4" xfId="26401"/>
    <cellStyle name="Comma 2 6 3 3 2 2 4 2" xfId="38337"/>
    <cellStyle name="Comma 2 6 3 3 2 3" xfId="4903"/>
    <cellStyle name="Comma 2 6 3 3 2 3 2" xfId="16125"/>
    <cellStyle name="Comma 2 6 3 3 2 3 2 2" xfId="18477"/>
    <cellStyle name="Comma 2 6 3 3 2 3 2 2 2" xfId="51456"/>
    <cellStyle name="Comma 2 6 3 3 2 3 2 2 2 2" xfId="53803"/>
    <cellStyle name="Comma 2 6 3 3 2 3 2 3" xfId="31978"/>
    <cellStyle name="Comma 2 6 3 3 2 3 3" xfId="29630"/>
    <cellStyle name="Comma 2 6 3 3 2 3 3 2" xfId="40340"/>
    <cellStyle name="Comma 2 6 3 3 2 4" xfId="10106"/>
    <cellStyle name="Comma 2 6 3 3 2 4 2" xfId="37939"/>
    <cellStyle name="Comma 2 6 3 3 2 4 2 2" xfId="45470"/>
    <cellStyle name="Comma 2 6 3 3 2 5" xfId="23593"/>
    <cellStyle name="Comma 2 6 3 3 3" xfId="4497"/>
    <cellStyle name="Comma 2 6 3 3 3 2" xfId="6128"/>
    <cellStyle name="Comma 2 6 3 3 3 2 2" xfId="18085"/>
    <cellStyle name="Comma 2 6 3 3 3 2 2 2" xfId="19689"/>
    <cellStyle name="Comma 2 6 3 3 3 2 2 2 2" xfId="53411"/>
    <cellStyle name="Comma 2 6 3 3 3 2 2 2 2 2" xfId="55015"/>
    <cellStyle name="Comma 2 6 3 3 3 2 2 3" xfId="33190"/>
    <cellStyle name="Comma 2 6 3 3 3 2 3" xfId="31586"/>
    <cellStyle name="Comma 2 6 3 3 3 2 3 2" xfId="41560"/>
    <cellStyle name="Comma 2 6 3 3 3 3" xfId="11354"/>
    <cellStyle name="Comma 2 6 3 3 3 3 2" xfId="39938"/>
    <cellStyle name="Comma 2 6 3 3 3 3 2 2" xfId="46706"/>
    <cellStyle name="Comma 2 6 3 3 3 4" xfId="24843"/>
    <cellStyle name="Comma 2 6 3 3 4" xfId="9701"/>
    <cellStyle name="Comma 2 6 3 3 4 2" xfId="14511"/>
    <cellStyle name="Comma 2 6 3 3 4 2 2" xfId="45078"/>
    <cellStyle name="Comma 2 6 3 3 4 2 2 2" xfId="49853"/>
    <cellStyle name="Comma 2 6 3 3 4 3" xfId="28023"/>
    <cellStyle name="Comma 2 6 3 3 5" xfId="23201"/>
    <cellStyle name="Comma 2 6 3 3 5 2" xfId="36321"/>
    <cellStyle name="Comma 2 6 3 4" xfId="1601"/>
    <cellStyle name="Comma 2 6 3 4 2" xfId="5704"/>
    <cellStyle name="Comma 2 6 3 4 2 2" xfId="6872"/>
    <cellStyle name="Comma 2 6 3 4 2 2 2" xfId="19274"/>
    <cellStyle name="Comma 2 6 3 4 2 2 2 2" xfId="20425"/>
    <cellStyle name="Comma 2 6 3 4 2 2 2 2 2" xfId="54600"/>
    <cellStyle name="Comma 2 6 3 4 2 2 2 2 2 2" xfId="55751"/>
    <cellStyle name="Comma 2 6 3 4 2 2 2 3" xfId="33927"/>
    <cellStyle name="Comma 2 6 3 4 2 2 3" xfId="32775"/>
    <cellStyle name="Comma 2 6 3 4 2 2 3 2" xfId="42300"/>
    <cellStyle name="Comma 2 6 3 4 2 3" xfId="12096"/>
    <cellStyle name="Comma 2 6 3 4 2 3 2" xfId="41139"/>
    <cellStyle name="Comma 2 6 3 4 2 3 2 2" xfId="47443"/>
    <cellStyle name="Comma 2 6 3 4 2 4" xfId="25581"/>
    <cellStyle name="Comma 2 6 3 4 3" xfId="10923"/>
    <cellStyle name="Comma 2 6 3 4 3 2" xfId="15277"/>
    <cellStyle name="Comma 2 6 3 4 3 2 2" xfId="46283"/>
    <cellStyle name="Comma 2 6 3 4 3 2 2 2" xfId="50613"/>
    <cellStyle name="Comma 2 6 3 4 3 3" xfId="28787"/>
    <cellStyle name="Comma 2 6 3 4 4" xfId="24415"/>
    <cellStyle name="Comma 2 6 3 4 4 2" xfId="37088"/>
    <cellStyle name="Comma 2 6 3 5" xfId="3604"/>
    <cellStyle name="Comma 2 6 3 5 2" xfId="14088"/>
    <cellStyle name="Comma 2 6 3 5 2 2" xfId="17240"/>
    <cellStyle name="Comma 2 6 3 5 2 2 2" xfId="49433"/>
    <cellStyle name="Comma 2 6 3 5 2 2 2 2" xfId="52567"/>
    <cellStyle name="Comma 2 6 3 5 2 3" xfId="30741"/>
    <cellStyle name="Comma 2 6 3 5 3" xfId="27588"/>
    <cellStyle name="Comma 2 6 3 5 3 2" xfId="39061"/>
    <cellStyle name="Comma 2 6 3 6" xfId="8798"/>
    <cellStyle name="Comma 2 6 3 6 2" xfId="35899"/>
    <cellStyle name="Comma 2 6 3 6 2 2" xfId="44210"/>
    <cellStyle name="Comma 2 6 3 7" xfId="22315"/>
    <cellStyle name="Comma 2 6 4" xfId="666"/>
    <cellStyle name="Comma 2 6 4 2" xfId="993"/>
    <cellStyle name="Comma 2 6 4 2 2" xfId="2755"/>
    <cellStyle name="Comma 2 6 4 2 2 2" xfId="3031"/>
    <cellStyle name="Comma 2 6 4 2 2 2 2" xfId="7974"/>
    <cellStyle name="Comma 2 6 4 2 2 2 2 2" xfId="8246"/>
    <cellStyle name="Comma 2 6 4 2 2 2 2 2 2" xfId="21526"/>
    <cellStyle name="Comma 2 6 4 2 2 2 2 2 2 2" xfId="21798"/>
    <cellStyle name="Comma 2 6 4 2 2 2 2 2 2 2 2" xfId="56852"/>
    <cellStyle name="Comma 2 6 4 2 2 2 2 2 2 2 2 2" xfId="57124"/>
    <cellStyle name="Comma 2 6 4 2 2 2 2 2 2 3" xfId="35301"/>
    <cellStyle name="Comma 2 6 4 2 2 2 2 2 3" xfId="35029"/>
    <cellStyle name="Comma 2 6 4 2 2 2 2 2 3 2" xfId="43673"/>
    <cellStyle name="Comma 2 6 4 2 2 2 2 3" xfId="13471"/>
    <cellStyle name="Comma 2 6 4 2 2 2 2 3 2" xfId="43401"/>
    <cellStyle name="Comma 2 6 4 2 2 2 2 3 2 2" xfId="48817"/>
    <cellStyle name="Comma 2 6 4 2 2 2 2 4" xfId="26956"/>
    <cellStyle name="Comma 2 6 4 2 2 2 3" xfId="13199"/>
    <cellStyle name="Comma 2 6 4 2 2 2 3 2" xfId="16688"/>
    <cellStyle name="Comma 2 6 4 2 2 2 3 2 2" xfId="48545"/>
    <cellStyle name="Comma 2 6 4 2 2 2 3 2 2 2" xfId="52016"/>
    <cellStyle name="Comma 2 6 4 2 2 2 3 3" xfId="30190"/>
    <cellStyle name="Comma 2 6 4 2 2 2 4" xfId="26683"/>
    <cellStyle name="Comma 2 6 4 2 2 2 4 2" xfId="38500"/>
    <cellStyle name="Comma 2 6 4 2 2 3" xfId="5067"/>
    <cellStyle name="Comma 2 6 4 2 2 3 2" xfId="16414"/>
    <cellStyle name="Comma 2 6 4 2 2 3 2 2" xfId="18640"/>
    <cellStyle name="Comma 2 6 4 2 2 3 2 2 2" xfId="51744"/>
    <cellStyle name="Comma 2 6 4 2 2 3 2 2 2 2" xfId="53966"/>
    <cellStyle name="Comma 2 6 4 2 2 3 2 3" xfId="32141"/>
    <cellStyle name="Comma 2 6 4 2 2 3 3" xfId="29918"/>
    <cellStyle name="Comma 2 6 4 2 2 3 3 2" xfId="40504"/>
    <cellStyle name="Comma 2 6 4 2 2 4" xfId="10270"/>
    <cellStyle name="Comma 2 6 4 2 2 4 2" xfId="38228"/>
    <cellStyle name="Comma 2 6 4 2 2 4 2 2" xfId="45633"/>
    <cellStyle name="Comma 2 6 4 2 2 5" xfId="23756"/>
    <cellStyle name="Comma 2 6 4 2 3" xfId="4791"/>
    <cellStyle name="Comma 2 6 4 2 3 2" xfId="6304"/>
    <cellStyle name="Comma 2 6 4 2 3 2 2" xfId="18368"/>
    <cellStyle name="Comma 2 6 4 2 3 2 2 2" xfId="19861"/>
    <cellStyle name="Comma 2 6 4 2 3 2 2 2 2" xfId="53694"/>
    <cellStyle name="Comma 2 6 4 2 3 2 2 2 2 2" xfId="55187"/>
    <cellStyle name="Comma 2 6 4 2 3 2 2 3" xfId="33363"/>
    <cellStyle name="Comma 2 6 4 2 3 2 3" xfId="31869"/>
    <cellStyle name="Comma 2 6 4 2 3 2 3 2" xfId="41733"/>
    <cellStyle name="Comma 2 6 4 2 3 3" xfId="11529"/>
    <cellStyle name="Comma 2 6 4 2 3 3 2" xfId="40229"/>
    <cellStyle name="Comma 2 6 4 2 3 3 2 2" xfId="46878"/>
    <cellStyle name="Comma 2 6 4 2 3 4" xfId="25015"/>
    <cellStyle name="Comma 2 6 4 2 4" xfId="9994"/>
    <cellStyle name="Comma 2 6 4 2 4 2" xfId="14687"/>
    <cellStyle name="Comma 2 6 4 2 4 2 2" xfId="45361"/>
    <cellStyle name="Comma 2 6 4 2 4 2 2 2" xfId="50026"/>
    <cellStyle name="Comma 2 6 4 2 4 3" xfId="28198"/>
    <cellStyle name="Comma 2 6 4 2 5" xfId="23484"/>
    <cellStyle name="Comma 2 6 4 2 5 2" xfId="36495"/>
    <cellStyle name="Comma 2 6 4 3" xfId="1789"/>
    <cellStyle name="Comma 2 6 4 3 2" xfId="5997"/>
    <cellStyle name="Comma 2 6 4 3 2 2" xfId="7042"/>
    <cellStyle name="Comma 2 6 4 3 2 2 2" xfId="19563"/>
    <cellStyle name="Comma 2 6 4 3 2 2 2 2" xfId="20595"/>
    <cellStyle name="Comma 2 6 4 3 2 2 2 2 2" xfId="54889"/>
    <cellStyle name="Comma 2 6 4 3 2 2 2 2 2 2" xfId="55921"/>
    <cellStyle name="Comma 2 6 4 3 2 2 2 3" xfId="34097"/>
    <cellStyle name="Comma 2 6 4 3 2 2 3" xfId="33064"/>
    <cellStyle name="Comma 2 6 4 3 2 2 3 2" xfId="42470"/>
    <cellStyle name="Comma 2 6 4 3 2 3" xfId="12266"/>
    <cellStyle name="Comma 2 6 4 3 2 3 2" xfId="41431"/>
    <cellStyle name="Comma 2 6 4 3 2 3 2 2" xfId="47613"/>
    <cellStyle name="Comma 2 6 4 3 2 4" xfId="25751"/>
    <cellStyle name="Comma 2 6 4 3 3" xfId="11222"/>
    <cellStyle name="Comma 2 6 4 3 3 2" xfId="15461"/>
    <cellStyle name="Comma 2 6 4 3 3 2 2" xfId="46579"/>
    <cellStyle name="Comma 2 6 4 3 3 2 2 2" xfId="50794"/>
    <cellStyle name="Comma 2 6 4 3 3 3" xfId="28968"/>
    <cellStyle name="Comma 2 6 4 3 4" xfId="24714"/>
    <cellStyle name="Comma 2 6 4 3 4 2" xfId="37271"/>
    <cellStyle name="Comma 2 6 4 4" xfId="3795"/>
    <cellStyle name="Comma 2 6 4 4 2" xfId="14380"/>
    <cellStyle name="Comma 2 6 4 4 2 2" xfId="17411"/>
    <cellStyle name="Comma 2 6 4 4 2 2 2" xfId="49725"/>
    <cellStyle name="Comma 2 6 4 4 2 2 2 2" xfId="52738"/>
    <cellStyle name="Comma 2 6 4 4 2 3" xfId="30912"/>
    <cellStyle name="Comma 2 6 4 4 3" xfId="27891"/>
    <cellStyle name="Comma 2 6 4 4 3 2" xfId="39246"/>
    <cellStyle name="Comma 2 6 4 5" xfId="8985"/>
    <cellStyle name="Comma 2 6 4 5 2" xfId="36192"/>
    <cellStyle name="Comma 2 6 4 5 2 2" xfId="44384"/>
    <cellStyle name="Comma 2 6 4 6" xfId="22492"/>
    <cellStyle name="Comma 2 6 5" xfId="689"/>
    <cellStyle name="Comma 2 6 5 2" xfId="1616"/>
    <cellStyle name="Comma 2 6 5 2 2" xfId="6018"/>
    <cellStyle name="Comma 2 6 5 2 2 2" xfId="6885"/>
    <cellStyle name="Comma 2 6 5 2 2 2 2" xfId="19583"/>
    <cellStyle name="Comma 2 6 5 2 2 2 2 2" xfId="20438"/>
    <cellStyle name="Comma 2 6 5 2 2 2 2 2 2" xfId="54909"/>
    <cellStyle name="Comma 2 6 5 2 2 2 2 2 2 2" xfId="55764"/>
    <cellStyle name="Comma 2 6 5 2 2 2 2 3" xfId="33940"/>
    <cellStyle name="Comma 2 6 5 2 2 2 3" xfId="33084"/>
    <cellStyle name="Comma 2 6 5 2 2 2 3 2" xfId="42313"/>
    <cellStyle name="Comma 2 6 5 2 2 3" xfId="12109"/>
    <cellStyle name="Comma 2 6 5 2 2 3 2" xfId="41452"/>
    <cellStyle name="Comma 2 6 5 2 2 3 2 2" xfId="47456"/>
    <cellStyle name="Comma 2 6 5 2 2 4" xfId="25594"/>
    <cellStyle name="Comma 2 6 5 2 3" xfId="11243"/>
    <cellStyle name="Comma 2 6 5 2 3 2" xfId="15291"/>
    <cellStyle name="Comma 2 6 5 2 3 2 2" xfId="46599"/>
    <cellStyle name="Comma 2 6 5 2 3 2 2 2" xfId="50626"/>
    <cellStyle name="Comma 2 6 5 2 3 3" xfId="28800"/>
    <cellStyle name="Comma 2 6 5 2 4" xfId="24736"/>
    <cellStyle name="Comma 2 6 5 2 4 2" xfId="37102"/>
    <cellStyle name="Comma 2 6 5 3" xfId="3620"/>
    <cellStyle name="Comma 2 6 5 3 2" xfId="14400"/>
    <cellStyle name="Comma 2 6 5 3 2 2" xfId="17253"/>
    <cellStyle name="Comma 2 6 5 3 2 2 2" xfId="49745"/>
    <cellStyle name="Comma 2 6 5 3 2 2 2 2" xfId="52580"/>
    <cellStyle name="Comma 2 6 5 3 2 3" xfId="30754"/>
    <cellStyle name="Comma 2 6 5 3 3" xfId="27912"/>
    <cellStyle name="Comma 2 6 5 3 3 2" xfId="39075"/>
    <cellStyle name="Comma 2 6 5 4" xfId="8814"/>
    <cellStyle name="Comma 2 6 5 4 2" xfId="36212"/>
    <cellStyle name="Comma 2 6 5 4 2 2" xfId="44223"/>
    <cellStyle name="Comma 2 6 5 5" xfId="22330"/>
    <cellStyle name="Comma 2 6 6" xfId="1469"/>
    <cellStyle name="Comma 2 6 6 2" xfId="1676"/>
    <cellStyle name="Comma 2 6 6 2 2" xfId="15156"/>
    <cellStyle name="Comma 2 6 6 2 2 2" xfId="15349"/>
    <cellStyle name="Comma 2 6 6 2 2 2 2" xfId="50495"/>
    <cellStyle name="Comma 2 6 6 2 2 2 2 2" xfId="50683"/>
    <cellStyle name="Comma 2 6 6 2 2 3" xfId="28857"/>
    <cellStyle name="Comma 2 6 6 2 3" xfId="28669"/>
    <cellStyle name="Comma 2 6 6 2 3 2" xfId="37159"/>
    <cellStyle name="Comma 2 6 6 3" xfId="5712"/>
    <cellStyle name="Comma 2 6 6 3 2" xfId="36966"/>
    <cellStyle name="Comma 2 6 6 3 2 2" xfId="41147"/>
    <cellStyle name="Comma 2 6 6 4" xfId="6079"/>
    <cellStyle name="Comma 2 6 7" xfId="4826"/>
    <cellStyle name="Comma 2 6 7 2" xfId="11268"/>
    <cellStyle name="Comma 2 6 7 2 2" xfId="40263"/>
    <cellStyle name="Comma 2 6 7 2 2 2" xfId="46623"/>
    <cellStyle name="Comma 2 6 7 3" xfId="24760"/>
    <cellStyle name="Comma 2 6 8" xfId="16423"/>
    <cellStyle name="Comma 2 6 8 2" xfId="24723"/>
    <cellStyle name="Comma 2 7" xfId="146"/>
    <cellStyle name="Comma 2 7 2" xfId="407"/>
    <cellStyle name="Comma 2 7 2 2" xfId="533"/>
    <cellStyle name="Comma 2 7 2 2 2" xfId="1238"/>
    <cellStyle name="Comma 2 7 2 2 2 2" xfId="1338"/>
    <cellStyle name="Comma 2 7 2 2 2 2 2" xfId="3256"/>
    <cellStyle name="Comma 2 7 2 2 2 2 2 2" xfId="3356"/>
    <cellStyle name="Comma 2 7 2 2 2 2 2 2 2" xfId="8471"/>
    <cellStyle name="Comma 2 7 2 2 2 2 2 2 2 2" xfId="8571"/>
    <cellStyle name="Comma 2 7 2 2 2 2 2 2 2 2 2" xfId="22023"/>
    <cellStyle name="Comma 2 7 2 2 2 2 2 2 2 2 2 2" xfId="22123"/>
    <cellStyle name="Comma 2 7 2 2 2 2 2 2 2 2 2 2 2" xfId="57349"/>
    <cellStyle name="Comma 2 7 2 2 2 2 2 2 2 2 2 2 2 2" xfId="57449"/>
    <cellStyle name="Comma 2 7 2 2 2 2 2 2 2 2 2 3" xfId="35626"/>
    <cellStyle name="Comma 2 7 2 2 2 2 2 2 2 2 3" xfId="35526"/>
    <cellStyle name="Comma 2 7 2 2 2 2 2 2 2 2 3 2" xfId="43998"/>
    <cellStyle name="Comma 2 7 2 2 2 2 2 2 2 3" xfId="13796"/>
    <cellStyle name="Comma 2 7 2 2 2 2 2 2 2 3 2" xfId="43898"/>
    <cellStyle name="Comma 2 7 2 2 2 2 2 2 2 3 2 2" xfId="49142"/>
    <cellStyle name="Comma 2 7 2 2 2 2 2 2 2 4" xfId="27281"/>
    <cellStyle name="Comma 2 7 2 2 2 2 2 2 3" xfId="13696"/>
    <cellStyle name="Comma 2 7 2 2 2 2 2 2 3 2" xfId="17013"/>
    <cellStyle name="Comma 2 7 2 2 2 2 2 2 3 2 2" xfId="49042"/>
    <cellStyle name="Comma 2 7 2 2 2 2 2 2 3 2 2 2" xfId="52341"/>
    <cellStyle name="Comma 2 7 2 2 2 2 2 2 3 3" xfId="30515"/>
    <cellStyle name="Comma 2 7 2 2 2 2 2 2 4" xfId="27181"/>
    <cellStyle name="Comma 2 7 2 2 2 2 2 2 4 2" xfId="38825"/>
    <cellStyle name="Comma 2 7 2 2 2 2 2 3" xfId="5393"/>
    <cellStyle name="Comma 2 7 2 2 2 2 2 3 2" xfId="16913"/>
    <cellStyle name="Comma 2 7 2 2 2 2 2 3 2 2" xfId="18966"/>
    <cellStyle name="Comma 2 7 2 2 2 2 2 3 2 2 2" xfId="52241"/>
    <cellStyle name="Comma 2 7 2 2 2 2 2 3 2 2 2 2" xfId="54292"/>
    <cellStyle name="Comma 2 7 2 2 2 2 2 3 2 3" xfId="32467"/>
    <cellStyle name="Comma 2 7 2 2 2 2 2 3 3" xfId="30415"/>
    <cellStyle name="Comma 2 7 2 2 2 2 2 3 3 2" xfId="40830"/>
    <cellStyle name="Comma 2 7 2 2 2 2 2 4" xfId="10596"/>
    <cellStyle name="Comma 2 7 2 2 2 2 2 4 2" xfId="38725"/>
    <cellStyle name="Comma 2 7 2 2 2 2 2 4 2 2" xfId="45959"/>
    <cellStyle name="Comma 2 7 2 2 2 2 2 5" xfId="24082"/>
    <cellStyle name="Comma 2 7 2 2 2 2 3" xfId="5293"/>
    <cellStyle name="Comma 2 7 2 2 2 2 3 2" xfId="6646"/>
    <cellStyle name="Comma 2 7 2 2 2 2 3 2 2" xfId="18866"/>
    <cellStyle name="Comma 2 7 2 2 2 2 3 2 2 2" xfId="20199"/>
    <cellStyle name="Comma 2 7 2 2 2 2 3 2 2 2 2" xfId="54192"/>
    <cellStyle name="Comma 2 7 2 2 2 2 3 2 2 2 2 2" xfId="55525"/>
    <cellStyle name="Comma 2 7 2 2 2 2 3 2 2 3" xfId="33701"/>
    <cellStyle name="Comma 2 7 2 2 2 2 3 2 3" xfId="32367"/>
    <cellStyle name="Comma 2 7 2 2 2 2 3 2 3 2" xfId="42074"/>
    <cellStyle name="Comma 2 7 2 2 2 2 3 3" xfId="11869"/>
    <cellStyle name="Comma 2 7 2 2 2 2 3 3 2" xfId="40730"/>
    <cellStyle name="Comma 2 7 2 2 2 2 3 3 2 2" xfId="47217"/>
    <cellStyle name="Comma 2 7 2 2 2 2 3 4" xfId="25354"/>
    <cellStyle name="Comma 2 7 2 2 2 2 4" xfId="10496"/>
    <cellStyle name="Comma 2 7 2 2 2 2 4 2" xfId="15027"/>
    <cellStyle name="Comma 2 7 2 2 2 2 4 2 2" xfId="45859"/>
    <cellStyle name="Comma 2 7 2 2 2 2 4 2 2 2" xfId="50366"/>
    <cellStyle name="Comma 2 7 2 2 2 2 4 3" xfId="28540"/>
    <cellStyle name="Comma 2 7 2 2 2 2 5" xfId="23982"/>
    <cellStyle name="Comma 2 7 2 2 2 2 5 2" xfId="36835"/>
    <cellStyle name="Comma 2 7 2 2 2 3" xfId="2145"/>
    <cellStyle name="Comma 2 7 2 2 2 3 2" xfId="6546"/>
    <cellStyle name="Comma 2 7 2 2 2 3 2 2" xfId="7379"/>
    <cellStyle name="Comma 2 7 2 2 2 3 2 2 2" xfId="20099"/>
    <cellStyle name="Comma 2 7 2 2 2 3 2 2 2 2" xfId="20931"/>
    <cellStyle name="Comma 2 7 2 2 2 3 2 2 2 2 2" xfId="55425"/>
    <cellStyle name="Comma 2 7 2 2 2 3 2 2 2 2 2 2" xfId="56257"/>
    <cellStyle name="Comma 2 7 2 2 2 3 2 2 2 3" xfId="34434"/>
    <cellStyle name="Comma 2 7 2 2 2 3 2 2 3" xfId="33601"/>
    <cellStyle name="Comma 2 7 2 2 2 3 2 2 3 2" xfId="42806"/>
    <cellStyle name="Comma 2 7 2 2 2 3 2 3" xfId="12604"/>
    <cellStyle name="Comma 2 7 2 2 2 3 2 3 2" xfId="41974"/>
    <cellStyle name="Comma 2 7 2 2 2 3 2 3 2 2" xfId="47950"/>
    <cellStyle name="Comma 2 7 2 2 2 3 2 4" xfId="26088"/>
    <cellStyle name="Comma 2 7 2 2 2 3 3" xfId="11769"/>
    <cellStyle name="Comma 2 7 2 2 2 3 3 2" xfId="15809"/>
    <cellStyle name="Comma 2 7 2 2 2 3 3 2 2" xfId="47117"/>
    <cellStyle name="Comma 2 7 2 2 2 3 3 2 2 2" xfId="51141"/>
    <cellStyle name="Comma 2 7 2 2 2 3 3 3" xfId="29315"/>
    <cellStyle name="Comma 2 7 2 2 2 3 4" xfId="25254"/>
    <cellStyle name="Comma 2 7 2 2 2 3 4 2" xfId="37623"/>
    <cellStyle name="Comma 2 7 2 2 2 4" xfId="4161"/>
    <cellStyle name="Comma 2 7 2 2 2 4 2" xfId="14927"/>
    <cellStyle name="Comma 2 7 2 2 2 4 2 2" xfId="17754"/>
    <cellStyle name="Comma 2 7 2 2 2 4 2 2 2" xfId="50266"/>
    <cellStyle name="Comma 2 7 2 2 2 4 2 2 2 2" xfId="53081"/>
    <cellStyle name="Comma 2 7 2 2 2 4 2 3" xfId="31256"/>
    <cellStyle name="Comma 2 7 2 2 2 4 3" xfId="28440"/>
    <cellStyle name="Comma 2 7 2 2 2 4 3 2" xfId="39604"/>
    <cellStyle name="Comma 2 7 2 2 2 5" xfId="9352"/>
    <cellStyle name="Comma 2 7 2 2 2 5 2" xfId="36735"/>
    <cellStyle name="Comma 2 7 2 2 2 5 2 2" xfId="44734"/>
    <cellStyle name="Comma 2 7 2 2 2 6" xfId="22848"/>
    <cellStyle name="Comma 2 7 2 2 3" xfId="2044"/>
    <cellStyle name="Comma 2 7 2 2 3 2" xfId="2627"/>
    <cellStyle name="Comma 2 7 2 2 3 2 2" xfId="7278"/>
    <cellStyle name="Comma 2 7 2 2 3 2 2 2" xfId="7847"/>
    <cellStyle name="Comma 2 7 2 2 3 2 2 2 2" xfId="20830"/>
    <cellStyle name="Comma 2 7 2 2 3 2 2 2 2 2" xfId="21399"/>
    <cellStyle name="Comma 2 7 2 2 3 2 2 2 2 2 2" xfId="56156"/>
    <cellStyle name="Comma 2 7 2 2 3 2 2 2 2 2 2 2" xfId="56725"/>
    <cellStyle name="Comma 2 7 2 2 3 2 2 2 2 3" xfId="34902"/>
    <cellStyle name="Comma 2 7 2 2 3 2 2 2 3" xfId="34333"/>
    <cellStyle name="Comma 2 7 2 2 3 2 2 2 3 2" xfId="43274"/>
    <cellStyle name="Comma 2 7 2 2 3 2 2 3" xfId="13072"/>
    <cellStyle name="Comma 2 7 2 2 3 2 2 3 2" xfId="42705"/>
    <cellStyle name="Comma 2 7 2 2 3 2 2 3 2 2" xfId="48418"/>
    <cellStyle name="Comma 2 7 2 2 3 2 2 4" xfId="26556"/>
    <cellStyle name="Comma 2 7 2 2 3 2 3" xfId="12503"/>
    <cellStyle name="Comma 2 7 2 2 3 2 3 2" xfId="16286"/>
    <cellStyle name="Comma 2 7 2 2 3 2 3 2 2" xfId="47849"/>
    <cellStyle name="Comma 2 7 2 2 3 2 3 2 2 2" xfId="51616"/>
    <cellStyle name="Comma 2 7 2 2 3 2 3 3" xfId="29790"/>
    <cellStyle name="Comma 2 7 2 2 3 2 4" xfId="25987"/>
    <cellStyle name="Comma 2 7 2 2 3 2 4 2" xfId="38100"/>
    <cellStyle name="Comma 2 7 2 2 3 3" xfId="4662"/>
    <cellStyle name="Comma 2 7 2 2 3 3 2" xfId="15708"/>
    <cellStyle name="Comma 2 7 2 2 3 3 2 2" xfId="18241"/>
    <cellStyle name="Comma 2 7 2 2 3 3 2 2 2" xfId="51040"/>
    <cellStyle name="Comma 2 7 2 2 3 3 2 2 2 2" xfId="53567"/>
    <cellStyle name="Comma 2 7 2 2 3 3 2 3" xfId="31742"/>
    <cellStyle name="Comma 2 7 2 2 3 3 3" xfId="29214"/>
    <cellStyle name="Comma 2 7 2 2 3 3 3 2" xfId="40101"/>
    <cellStyle name="Comma 2 7 2 2 3 4" xfId="9865"/>
    <cellStyle name="Comma 2 7 2 2 3 4 2" xfId="37522"/>
    <cellStyle name="Comma 2 7 2 2 3 4 2 2" xfId="45234"/>
    <cellStyle name="Comma 2 7 2 2 3 5" xfId="23357"/>
    <cellStyle name="Comma 2 7 2 2 4" xfId="4060"/>
    <cellStyle name="Comma 2 7 2 2 4 2" xfId="5866"/>
    <cellStyle name="Comma 2 7 2 2 4 2 2" xfId="17653"/>
    <cellStyle name="Comma 2 7 2 2 4 2 2 2" xfId="19434"/>
    <cellStyle name="Comma 2 7 2 2 4 2 2 2 2" xfId="52980"/>
    <cellStyle name="Comma 2 7 2 2 4 2 2 2 2 2" xfId="54760"/>
    <cellStyle name="Comma 2 7 2 2 4 2 2 3" xfId="32935"/>
    <cellStyle name="Comma 2 7 2 2 4 2 3" xfId="31155"/>
    <cellStyle name="Comma 2 7 2 2 4 2 3 2" xfId="41301"/>
    <cellStyle name="Comma 2 7 2 2 4 3" xfId="11090"/>
    <cellStyle name="Comma 2 7 2 2 4 3 2" xfId="39503"/>
    <cellStyle name="Comma 2 7 2 2 4 3 2 2" xfId="46449"/>
    <cellStyle name="Comma 2 7 2 2 4 4" xfId="24584"/>
    <cellStyle name="Comma 2 7 2 2 5" xfId="9251"/>
    <cellStyle name="Comma 2 7 2 2 5 2" xfId="14251"/>
    <cellStyle name="Comma 2 7 2 2 5 2 2" xfId="44633"/>
    <cellStyle name="Comma 2 7 2 2 5 2 2 2" xfId="49596"/>
    <cellStyle name="Comma 2 7 2 2 5 3" xfId="27758"/>
    <cellStyle name="Comma 2 7 2 2 6" xfId="22747"/>
    <cellStyle name="Comma 2 7 2 2 6 2" xfId="36063"/>
    <cellStyle name="Comma 2 7 2 3" xfId="861"/>
    <cellStyle name="Comma 2 7 2 3 2" xfId="2509"/>
    <cellStyle name="Comma 2 7 2 3 2 2" xfId="2908"/>
    <cellStyle name="Comma 2 7 2 3 2 2 2" xfId="7734"/>
    <cellStyle name="Comma 2 7 2 3 2 2 2 2" xfId="8123"/>
    <cellStyle name="Comma 2 7 2 3 2 2 2 2 2" xfId="21286"/>
    <cellStyle name="Comma 2 7 2 3 2 2 2 2 2 2" xfId="21675"/>
    <cellStyle name="Comma 2 7 2 3 2 2 2 2 2 2 2" xfId="56612"/>
    <cellStyle name="Comma 2 7 2 3 2 2 2 2 2 2 2 2" xfId="57001"/>
    <cellStyle name="Comma 2 7 2 3 2 2 2 2 2 3" xfId="35178"/>
    <cellStyle name="Comma 2 7 2 3 2 2 2 2 3" xfId="34789"/>
    <cellStyle name="Comma 2 7 2 3 2 2 2 2 3 2" xfId="43550"/>
    <cellStyle name="Comma 2 7 2 3 2 2 2 3" xfId="13348"/>
    <cellStyle name="Comma 2 7 2 3 2 2 2 3 2" xfId="43161"/>
    <cellStyle name="Comma 2 7 2 3 2 2 2 3 2 2" xfId="48694"/>
    <cellStyle name="Comma 2 7 2 3 2 2 2 4" xfId="26833"/>
    <cellStyle name="Comma 2 7 2 3 2 2 3" xfId="12959"/>
    <cellStyle name="Comma 2 7 2 3 2 2 3 2" xfId="16565"/>
    <cellStyle name="Comma 2 7 2 3 2 2 3 2 2" xfId="48305"/>
    <cellStyle name="Comma 2 7 2 3 2 2 3 2 2 2" xfId="51893"/>
    <cellStyle name="Comma 2 7 2 3 2 2 3 3" xfId="30067"/>
    <cellStyle name="Comma 2 7 2 3 2 2 4" xfId="26443"/>
    <cellStyle name="Comma 2 7 2 3 2 2 4 2" xfId="38377"/>
    <cellStyle name="Comma 2 7 2 3 2 3" xfId="4944"/>
    <cellStyle name="Comma 2 7 2 3 2 3 2" xfId="16170"/>
    <cellStyle name="Comma 2 7 2 3 2 3 2 2" xfId="18517"/>
    <cellStyle name="Comma 2 7 2 3 2 3 2 2 2" xfId="51501"/>
    <cellStyle name="Comma 2 7 2 3 2 3 2 2 2 2" xfId="53843"/>
    <cellStyle name="Comma 2 7 2 3 2 3 2 3" xfId="32018"/>
    <cellStyle name="Comma 2 7 2 3 2 3 3" xfId="29675"/>
    <cellStyle name="Comma 2 7 2 3 2 3 3 2" xfId="40381"/>
    <cellStyle name="Comma 2 7 2 3 2 4" xfId="10147"/>
    <cellStyle name="Comma 2 7 2 3 2 4 2" xfId="37984"/>
    <cellStyle name="Comma 2 7 2 3 2 4 2 2" xfId="45510"/>
    <cellStyle name="Comma 2 7 2 3 2 5" xfId="23633"/>
    <cellStyle name="Comma 2 7 2 3 3" xfId="4544"/>
    <cellStyle name="Comma 2 7 2 3 3 2" xfId="6175"/>
    <cellStyle name="Comma 2 7 2 3 3 2 2" xfId="18127"/>
    <cellStyle name="Comma 2 7 2 3 3 2 2 2" xfId="19734"/>
    <cellStyle name="Comma 2 7 2 3 3 2 2 2 2" xfId="53453"/>
    <cellStyle name="Comma 2 7 2 3 3 2 2 2 2 2" xfId="55060"/>
    <cellStyle name="Comma 2 7 2 3 3 2 2 3" xfId="33236"/>
    <cellStyle name="Comma 2 7 2 3 3 2 3" xfId="31628"/>
    <cellStyle name="Comma 2 7 2 3 3 2 3 2" xfId="41605"/>
    <cellStyle name="Comma 2 7 2 3 3 3" xfId="11400"/>
    <cellStyle name="Comma 2 7 2 3 3 3 2" xfId="39985"/>
    <cellStyle name="Comma 2 7 2 3 3 3 2 2" xfId="46751"/>
    <cellStyle name="Comma 2 7 2 3 3 4" xfId="24888"/>
    <cellStyle name="Comma 2 7 2 3 4" xfId="9747"/>
    <cellStyle name="Comma 2 7 2 3 4 2" xfId="14558"/>
    <cellStyle name="Comma 2 7 2 3 4 2 2" xfId="45120"/>
    <cellStyle name="Comma 2 7 2 3 4 2 2 2" xfId="49899"/>
    <cellStyle name="Comma 2 7 2 3 4 3" xfId="28069"/>
    <cellStyle name="Comma 2 7 2 3 5" xfId="23243"/>
    <cellStyle name="Comma 2 7 2 3 5 2" xfId="36368"/>
    <cellStyle name="Comma 2 7 2 4" xfId="1655"/>
    <cellStyle name="Comma 2 7 2 4 2" xfId="5750"/>
    <cellStyle name="Comma 2 7 2 4 2 2" xfId="6917"/>
    <cellStyle name="Comma 2 7 2 4 2 2 2" xfId="19319"/>
    <cellStyle name="Comma 2 7 2 4 2 2 2 2" xfId="20470"/>
    <cellStyle name="Comma 2 7 2 4 2 2 2 2 2" xfId="54645"/>
    <cellStyle name="Comma 2 7 2 4 2 2 2 2 2 2" xfId="55796"/>
    <cellStyle name="Comma 2 7 2 4 2 2 2 3" xfId="33972"/>
    <cellStyle name="Comma 2 7 2 4 2 2 3" xfId="32820"/>
    <cellStyle name="Comma 2 7 2 4 2 2 3 2" xfId="42345"/>
    <cellStyle name="Comma 2 7 2 4 2 3" xfId="12141"/>
    <cellStyle name="Comma 2 7 2 4 2 3 2" xfId="41185"/>
    <cellStyle name="Comma 2 7 2 4 2 3 2 2" xfId="47488"/>
    <cellStyle name="Comma 2 7 2 4 2 4" xfId="25626"/>
    <cellStyle name="Comma 2 7 2 4 3" xfId="10971"/>
    <cellStyle name="Comma 2 7 2 4 3 2" xfId="15328"/>
    <cellStyle name="Comma 2 7 2 4 3 2 2" xfId="46330"/>
    <cellStyle name="Comma 2 7 2 4 3 2 2 2" xfId="50663"/>
    <cellStyle name="Comma 2 7 2 4 3 3" xfId="28837"/>
    <cellStyle name="Comma 2 7 2 4 4" xfId="24464"/>
    <cellStyle name="Comma 2 7 2 4 4 2" xfId="37139"/>
    <cellStyle name="Comma 2 7 2 5" xfId="3660"/>
    <cellStyle name="Comma 2 7 2 5 2" xfId="14134"/>
    <cellStyle name="Comma 2 7 2 5 2 2" xfId="17285"/>
    <cellStyle name="Comma 2 7 2 5 2 2 2" xfId="49479"/>
    <cellStyle name="Comma 2 7 2 5 2 2 2 2" xfId="52612"/>
    <cellStyle name="Comma 2 7 2 5 2 3" xfId="30786"/>
    <cellStyle name="Comma 2 7 2 5 3" xfId="27636"/>
    <cellStyle name="Comma 2 7 2 5 3 2" xfId="39113"/>
    <cellStyle name="Comma 2 7 2 6" xfId="8853"/>
    <cellStyle name="Comma 2 7 2 6 2" xfId="35945"/>
    <cellStyle name="Comma 2 7 2 6 2 2" xfId="44257"/>
    <cellStyle name="Comma 2 7 2 7" xfId="22365"/>
    <cellStyle name="Comma 2 7 3" xfId="724"/>
    <cellStyle name="Comma 2 7 3 2" xfId="1033"/>
    <cellStyle name="Comma 2 7 3 2 2" xfId="2796"/>
    <cellStyle name="Comma 2 7 3 2 2 2" xfId="3069"/>
    <cellStyle name="Comma 2 7 3 2 2 2 2" xfId="8012"/>
    <cellStyle name="Comma 2 7 3 2 2 2 2 2" xfId="8284"/>
    <cellStyle name="Comma 2 7 3 2 2 2 2 2 2" xfId="21564"/>
    <cellStyle name="Comma 2 7 3 2 2 2 2 2 2 2" xfId="21836"/>
    <cellStyle name="Comma 2 7 3 2 2 2 2 2 2 2 2" xfId="56890"/>
    <cellStyle name="Comma 2 7 3 2 2 2 2 2 2 2 2 2" xfId="57162"/>
    <cellStyle name="Comma 2 7 3 2 2 2 2 2 2 3" xfId="35339"/>
    <cellStyle name="Comma 2 7 3 2 2 2 2 2 3" xfId="35067"/>
    <cellStyle name="Comma 2 7 3 2 2 2 2 2 3 2" xfId="43711"/>
    <cellStyle name="Comma 2 7 3 2 2 2 2 3" xfId="13509"/>
    <cellStyle name="Comma 2 7 3 2 2 2 2 3 2" xfId="43439"/>
    <cellStyle name="Comma 2 7 3 2 2 2 2 3 2 2" xfId="48855"/>
    <cellStyle name="Comma 2 7 3 2 2 2 2 4" xfId="26994"/>
    <cellStyle name="Comma 2 7 3 2 2 2 3" xfId="13237"/>
    <cellStyle name="Comma 2 7 3 2 2 2 3 2" xfId="16726"/>
    <cellStyle name="Comma 2 7 3 2 2 2 3 2 2" xfId="48583"/>
    <cellStyle name="Comma 2 7 3 2 2 2 3 2 2 2" xfId="52054"/>
    <cellStyle name="Comma 2 7 3 2 2 2 3 3" xfId="30228"/>
    <cellStyle name="Comma 2 7 3 2 2 2 4" xfId="26721"/>
    <cellStyle name="Comma 2 7 3 2 2 2 4 2" xfId="38538"/>
    <cellStyle name="Comma 2 7 3 2 2 3" xfId="5106"/>
    <cellStyle name="Comma 2 7 3 2 2 3 2" xfId="16454"/>
    <cellStyle name="Comma 2 7 3 2 2 3 2 2" xfId="18679"/>
    <cellStyle name="Comma 2 7 3 2 2 3 2 2 2" xfId="51782"/>
    <cellStyle name="Comma 2 7 3 2 2 3 2 2 2 2" xfId="54005"/>
    <cellStyle name="Comma 2 7 3 2 2 3 2 3" xfId="32180"/>
    <cellStyle name="Comma 2 7 3 2 2 3 3" xfId="29956"/>
    <cellStyle name="Comma 2 7 3 2 2 3 3 2" xfId="40543"/>
    <cellStyle name="Comma 2 7 3 2 2 4" xfId="10309"/>
    <cellStyle name="Comma 2 7 3 2 2 4 2" xfId="38266"/>
    <cellStyle name="Comma 2 7 3 2 2 4 2 2" xfId="45672"/>
    <cellStyle name="Comma 2 7 3 2 2 5" xfId="23795"/>
    <cellStyle name="Comma 2 7 3 2 3" xfId="4832"/>
    <cellStyle name="Comma 2 7 3 2 3 2" xfId="6343"/>
    <cellStyle name="Comma 2 7 3 2 3 2 2" xfId="18406"/>
    <cellStyle name="Comma 2 7 3 2 3 2 2 2" xfId="19900"/>
    <cellStyle name="Comma 2 7 3 2 3 2 2 2 2" xfId="53732"/>
    <cellStyle name="Comma 2 7 3 2 3 2 2 2 2 2" xfId="55226"/>
    <cellStyle name="Comma 2 7 3 2 3 2 2 3" xfId="33402"/>
    <cellStyle name="Comma 2 7 3 2 3 2 3" xfId="31907"/>
    <cellStyle name="Comma 2 7 3 2 3 2 3 2" xfId="41772"/>
    <cellStyle name="Comma 2 7 3 2 3 3" xfId="11569"/>
    <cellStyle name="Comma 2 7 3 2 3 3 2" xfId="40269"/>
    <cellStyle name="Comma 2 7 3 2 3 3 2 2" xfId="46918"/>
    <cellStyle name="Comma 2 7 3 2 3 4" xfId="25055"/>
    <cellStyle name="Comma 2 7 3 2 4" xfId="10035"/>
    <cellStyle name="Comma 2 7 3 2 4 2" xfId="14726"/>
    <cellStyle name="Comma 2 7 3 2 4 2 2" xfId="45399"/>
    <cellStyle name="Comma 2 7 3 2 4 2 2 2" xfId="50065"/>
    <cellStyle name="Comma 2 7 3 2 4 3" xfId="28238"/>
    <cellStyle name="Comma 2 7 3 2 5" xfId="23522"/>
    <cellStyle name="Comma 2 7 3 2 5 2" xfId="36534"/>
    <cellStyle name="Comma 2 7 3 3" xfId="1838"/>
    <cellStyle name="Comma 2 7 3 3 2" xfId="6048"/>
    <cellStyle name="Comma 2 7 3 3 2 2" xfId="7088"/>
    <cellStyle name="Comma 2 7 3 3 2 2 2" xfId="19612"/>
    <cellStyle name="Comma 2 7 3 3 2 2 2 2" xfId="20641"/>
    <cellStyle name="Comma 2 7 3 3 2 2 2 2 2" xfId="54938"/>
    <cellStyle name="Comma 2 7 3 3 2 2 2 2 2 2" xfId="55967"/>
    <cellStyle name="Comma 2 7 3 3 2 2 2 3" xfId="34143"/>
    <cellStyle name="Comma 2 7 3 3 2 2 3" xfId="33113"/>
    <cellStyle name="Comma 2 7 3 3 2 2 3 2" xfId="42516"/>
    <cellStyle name="Comma 2 7 3 3 2 3" xfId="12313"/>
    <cellStyle name="Comma 2 7 3 3 2 3 2" xfId="41482"/>
    <cellStyle name="Comma 2 7 3 3 2 3 2 2" xfId="47660"/>
    <cellStyle name="Comma 2 7 3 3 2 4" xfId="25798"/>
    <cellStyle name="Comma 2 7 3 3 3" xfId="11274"/>
    <cellStyle name="Comma 2 7 3 3 3 2" xfId="15509"/>
    <cellStyle name="Comma 2 7 3 3 3 2 2" xfId="46629"/>
    <cellStyle name="Comma 2 7 3 3 3 2 2 2" xfId="50842"/>
    <cellStyle name="Comma 2 7 3 3 3 3" xfId="29016"/>
    <cellStyle name="Comma 2 7 3 3 4" xfId="24766"/>
    <cellStyle name="Comma 2 7 3 3 4 2" xfId="37319"/>
    <cellStyle name="Comma 2 7 3 4" xfId="3850"/>
    <cellStyle name="Comma 2 7 3 4 2" xfId="14431"/>
    <cellStyle name="Comma 2 7 3 4 2 2" xfId="17463"/>
    <cellStyle name="Comma 2 7 3 4 2 2 2" xfId="49776"/>
    <cellStyle name="Comma 2 7 3 4 2 2 2 2" xfId="52790"/>
    <cellStyle name="Comma 2 7 3 4 2 3" xfId="30964"/>
    <cellStyle name="Comma 2 7 3 4 3" xfId="27944"/>
    <cellStyle name="Comma 2 7 3 4 3 2" xfId="39299"/>
    <cellStyle name="Comma 2 7 3 5" xfId="9042"/>
    <cellStyle name="Comma 2 7 3 5 2" xfId="36244"/>
    <cellStyle name="Comma 2 7 3 5 2 2" xfId="44439"/>
    <cellStyle name="Comma 2 7 3 6" xfId="22550"/>
    <cellStyle name="Comma 2 7 4" xfId="1506"/>
    <cellStyle name="Comma 2 7 4 2" xfId="2296"/>
    <cellStyle name="Comma 2 7 4 2 2" xfId="6796"/>
    <cellStyle name="Comma 2 7 4 2 2 2" xfId="7530"/>
    <cellStyle name="Comma 2 7 4 2 2 2 2" xfId="20349"/>
    <cellStyle name="Comma 2 7 4 2 2 2 2 2" xfId="21082"/>
    <cellStyle name="Comma 2 7 4 2 2 2 2 2 2" xfId="55675"/>
    <cellStyle name="Comma 2 7 4 2 2 2 2 2 2 2" xfId="56408"/>
    <cellStyle name="Comma 2 7 4 2 2 2 2 3" xfId="34585"/>
    <cellStyle name="Comma 2 7 4 2 2 2 3" xfId="33851"/>
    <cellStyle name="Comma 2 7 4 2 2 2 3 2" xfId="42957"/>
    <cellStyle name="Comma 2 7 4 2 2 3" xfId="12755"/>
    <cellStyle name="Comma 2 7 4 2 2 3 2" xfId="42224"/>
    <cellStyle name="Comma 2 7 4 2 2 3 2 2" xfId="48101"/>
    <cellStyle name="Comma 2 7 4 2 2 4" xfId="26239"/>
    <cellStyle name="Comma 2 7 4 2 3" xfId="12020"/>
    <cellStyle name="Comma 2 7 4 2 3 2" xfId="15960"/>
    <cellStyle name="Comma 2 7 4 2 3 2 2" xfId="47367"/>
    <cellStyle name="Comma 2 7 4 2 3 2 2 2" xfId="51292"/>
    <cellStyle name="Comma 2 7 4 2 3 3" xfId="29466"/>
    <cellStyle name="Comma 2 7 4 2 4" xfId="25504"/>
    <cellStyle name="Comma 2 7 4 2 4 2" xfId="37774"/>
    <cellStyle name="Comma 2 7 4 3" xfId="4324"/>
    <cellStyle name="Comma 2 7 4 3 2" xfId="15189"/>
    <cellStyle name="Comma 2 7 4 3 2 2" xfId="17917"/>
    <cellStyle name="Comma 2 7 4 3 2 2 2" xfId="50527"/>
    <cellStyle name="Comma 2 7 4 3 2 2 2 2" xfId="53244"/>
    <cellStyle name="Comma 2 7 4 3 2 3" xfId="31419"/>
    <cellStyle name="Comma 2 7 4 3 3" xfId="28701"/>
    <cellStyle name="Comma 2 7 4 3 3 2" xfId="39767"/>
    <cellStyle name="Comma 2 7 4 4" xfId="9519"/>
    <cellStyle name="Comma 2 7 4 4 2" xfId="36999"/>
    <cellStyle name="Comma 2 7 4 4 2 2" xfId="44901"/>
    <cellStyle name="Comma 2 7 4 5" xfId="23017"/>
    <cellStyle name="Comma 2 7 5" xfId="3506"/>
    <cellStyle name="Comma 2 7 5 2" xfId="5535"/>
    <cellStyle name="Comma 2 7 5 2 2" xfId="17160"/>
    <cellStyle name="Comma 2 7 5 2 2 2" xfId="19108"/>
    <cellStyle name="Comma 2 7 5 2 2 2 2" xfId="52487"/>
    <cellStyle name="Comma 2 7 5 2 2 2 2 2" xfId="54434"/>
    <cellStyle name="Comma 2 7 5 2 2 3" xfId="32609"/>
    <cellStyle name="Comma 2 7 5 2 3" xfId="30661"/>
    <cellStyle name="Comma 2 7 5 2 3 2" xfId="40972"/>
    <cellStyle name="Comma 2 7 5 3" xfId="10742"/>
    <cellStyle name="Comma 2 7 5 3 2" xfId="38972"/>
    <cellStyle name="Comma 2 7 5 3 2 2" xfId="46104"/>
    <cellStyle name="Comma 2 7 5 4" xfId="24228"/>
    <cellStyle name="Comma 2 7 6" xfId="8700"/>
    <cellStyle name="Comma 2 7 6 2" xfId="13920"/>
    <cellStyle name="Comma 2 7 6 2 2" xfId="44127"/>
    <cellStyle name="Comma 2 7 6 2 2 2" xfId="49266"/>
    <cellStyle name="Comma 2 7 6 3" xfId="27406"/>
    <cellStyle name="Comma 2 7 7" xfId="1651"/>
    <cellStyle name="Comma 2 7 7 2" xfId="27890"/>
    <cellStyle name="Comma 2 8" xfId="246"/>
    <cellStyle name="Comma 2 8 2" xfId="813"/>
    <cellStyle name="Comma 2 8 2 2" xfId="1112"/>
    <cellStyle name="Comma 2 8 2 2 2" xfId="2868"/>
    <cellStyle name="Comma 2 8 2 2 2 2" xfId="3138"/>
    <cellStyle name="Comma 2 8 2 2 2 2 2" xfId="8084"/>
    <cellStyle name="Comma 2 8 2 2 2 2 2 2" xfId="8353"/>
    <cellStyle name="Comma 2 8 2 2 2 2 2 2 2" xfId="21636"/>
    <cellStyle name="Comma 2 8 2 2 2 2 2 2 2 2" xfId="21905"/>
    <cellStyle name="Comma 2 8 2 2 2 2 2 2 2 2 2" xfId="56962"/>
    <cellStyle name="Comma 2 8 2 2 2 2 2 2 2 2 2 2" xfId="57231"/>
    <cellStyle name="Comma 2 8 2 2 2 2 2 2 2 3" xfId="35408"/>
    <cellStyle name="Comma 2 8 2 2 2 2 2 2 3" xfId="35139"/>
    <cellStyle name="Comma 2 8 2 2 2 2 2 2 3 2" xfId="43780"/>
    <cellStyle name="Comma 2 8 2 2 2 2 2 3" xfId="13578"/>
    <cellStyle name="Comma 2 8 2 2 2 2 2 3 2" xfId="43511"/>
    <cellStyle name="Comma 2 8 2 2 2 2 2 3 2 2" xfId="48924"/>
    <cellStyle name="Comma 2 8 2 2 2 2 2 4" xfId="27063"/>
    <cellStyle name="Comma 2 8 2 2 2 2 3" xfId="13309"/>
    <cellStyle name="Comma 2 8 2 2 2 2 3 2" xfId="16795"/>
    <cellStyle name="Comma 2 8 2 2 2 2 3 2 2" xfId="48655"/>
    <cellStyle name="Comma 2 8 2 2 2 2 3 2 2 2" xfId="52123"/>
    <cellStyle name="Comma 2 8 2 2 2 2 3 3" xfId="30297"/>
    <cellStyle name="Comma 2 8 2 2 2 2 4" xfId="26793"/>
    <cellStyle name="Comma 2 8 2 2 2 2 4 2" xfId="38607"/>
    <cellStyle name="Comma 2 8 2 2 2 3" xfId="5175"/>
    <cellStyle name="Comma 2 8 2 2 2 3 2" xfId="16526"/>
    <cellStyle name="Comma 2 8 2 2 2 3 2 2" xfId="18748"/>
    <cellStyle name="Comma 2 8 2 2 2 3 2 2 2" xfId="51854"/>
    <cellStyle name="Comma 2 8 2 2 2 3 2 2 2 2" xfId="54074"/>
    <cellStyle name="Comma 2 8 2 2 2 3 2 3" xfId="32249"/>
    <cellStyle name="Comma 2 8 2 2 2 3 3" xfId="30028"/>
    <cellStyle name="Comma 2 8 2 2 2 3 3 2" xfId="40612"/>
    <cellStyle name="Comma 2 8 2 2 2 4" xfId="10378"/>
    <cellStyle name="Comma 2 8 2 2 2 4 2" xfId="38338"/>
    <cellStyle name="Comma 2 8 2 2 2 4 2 2" xfId="45741"/>
    <cellStyle name="Comma 2 8 2 2 2 5" xfId="23864"/>
    <cellStyle name="Comma 2 8 2 2 3" xfId="4904"/>
    <cellStyle name="Comma 2 8 2 2 3 2" xfId="6420"/>
    <cellStyle name="Comma 2 8 2 2 3 2 2" xfId="18478"/>
    <cellStyle name="Comma 2 8 2 2 3 2 2 2" xfId="19975"/>
    <cellStyle name="Comma 2 8 2 2 3 2 2 2 2" xfId="53804"/>
    <cellStyle name="Comma 2 8 2 2 3 2 2 2 2 2" xfId="55301"/>
    <cellStyle name="Comma 2 8 2 2 3 2 2 3" xfId="33477"/>
    <cellStyle name="Comma 2 8 2 2 3 2 3" xfId="31979"/>
    <cellStyle name="Comma 2 8 2 2 3 2 3 2" xfId="41848"/>
    <cellStyle name="Comma 2 8 2 2 3 3" xfId="11644"/>
    <cellStyle name="Comma 2 8 2 2 3 3 2" xfId="40341"/>
    <cellStyle name="Comma 2 8 2 2 3 3 2 2" xfId="46993"/>
    <cellStyle name="Comma 2 8 2 2 3 4" xfId="25130"/>
    <cellStyle name="Comma 2 8 2 2 4" xfId="10107"/>
    <cellStyle name="Comma 2 8 2 2 4 2" xfId="14803"/>
    <cellStyle name="Comma 2 8 2 2 4 2 2" xfId="45471"/>
    <cellStyle name="Comma 2 8 2 2 4 2 2 2" xfId="50142"/>
    <cellStyle name="Comma 2 8 2 2 4 3" xfId="28315"/>
    <cellStyle name="Comma 2 8 2 2 5" xfId="23594"/>
    <cellStyle name="Comma 2 8 2 2 5 2" xfId="36611"/>
    <cellStyle name="Comma 2 8 2 3" xfId="1920"/>
    <cellStyle name="Comma 2 8 2 3 2" xfId="6129"/>
    <cellStyle name="Comma 2 8 2 3 2 2" xfId="7160"/>
    <cellStyle name="Comma 2 8 2 3 2 2 2" xfId="19690"/>
    <cellStyle name="Comma 2 8 2 3 2 2 2 2" xfId="20712"/>
    <cellStyle name="Comma 2 8 2 3 2 2 2 2 2" xfId="55016"/>
    <cellStyle name="Comma 2 8 2 3 2 2 2 2 2 2" xfId="56038"/>
    <cellStyle name="Comma 2 8 2 3 2 2 2 3" xfId="34215"/>
    <cellStyle name="Comma 2 8 2 3 2 2 3" xfId="33191"/>
    <cellStyle name="Comma 2 8 2 3 2 2 3 2" xfId="42587"/>
    <cellStyle name="Comma 2 8 2 3 2 3" xfId="12385"/>
    <cellStyle name="Comma 2 8 2 3 2 3 2" xfId="41561"/>
    <cellStyle name="Comma 2 8 2 3 2 3 2 2" xfId="47731"/>
    <cellStyle name="Comma 2 8 2 3 2 4" xfId="25869"/>
    <cellStyle name="Comma 2 8 2 3 3" xfId="11355"/>
    <cellStyle name="Comma 2 8 2 3 3 2" xfId="15586"/>
    <cellStyle name="Comma 2 8 2 3 3 2 2" xfId="46707"/>
    <cellStyle name="Comma 2 8 2 3 3 2 2 2" xfId="50918"/>
    <cellStyle name="Comma 2 8 2 3 3 3" xfId="29092"/>
    <cellStyle name="Comma 2 8 2 3 4" xfId="24844"/>
    <cellStyle name="Comma 2 8 2 3 4 2" xfId="37399"/>
    <cellStyle name="Comma 2 8 2 4" xfId="3934"/>
    <cellStyle name="Comma 2 8 2 4 2" xfId="14512"/>
    <cellStyle name="Comma 2 8 2 4 2 2" xfId="17535"/>
    <cellStyle name="Comma 2 8 2 4 2 2 2" xfId="49854"/>
    <cellStyle name="Comma 2 8 2 4 2 2 2 2" xfId="52862"/>
    <cellStyle name="Comma 2 8 2 4 2 3" xfId="31037"/>
    <cellStyle name="Comma 2 8 2 4 3" xfId="28024"/>
    <cellStyle name="Comma 2 8 2 4 3 2" xfId="39378"/>
    <cellStyle name="Comma 2 8 2 5" xfId="9126"/>
    <cellStyle name="Comma 2 8 2 5 2" xfId="36322"/>
    <cellStyle name="Comma 2 8 2 5 2 2" xfId="44515"/>
    <cellStyle name="Comma 2 8 2 6" xfId="22629"/>
    <cellStyle name="Comma 2 8 3" xfId="1602"/>
    <cellStyle name="Comma 2 8 3 2" xfId="2369"/>
    <cellStyle name="Comma 2 8 3 2 2" xfId="6873"/>
    <cellStyle name="Comma 2 8 3 2 2 2" xfId="7602"/>
    <cellStyle name="Comma 2 8 3 2 2 2 2" xfId="20426"/>
    <cellStyle name="Comma 2 8 3 2 2 2 2 2" xfId="21154"/>
    <cellStyle name="Comma 2 8 3 2 2 2 2 2 2" xfId="55752"/>
    <cellStyle name="Comma 2 8 3 2 2 2 2 2 2 2" xfId="56480"/>
    <cellStyle name="Comma 2 8 3 2 2 2 2 3" xfId="34657"/>
    <cellStyle name="Comma 2 8 3 2 2 2 3" xfId="33928"/>
    <cellStyle name="Comma 2 8 3 2 2 2 3 2" xfId="43029"/>
    <cellStyle name="Comma 2 8 3 2 2 3" xfId="12827"/>
    <cellStyle name="Comma 2 8 3 2 2 3 2" xfId="42301"/>
    <cellStyle name="Comma 2 8 3 2 2 3 2 2" xfId="48173"/>
    <cellStyle name="Comma 2 8 3 2 2 4" xfId="26311"/>
    <cellStyle name="Comma 2 8 3 2 3" xfId="12097"/>
    <cellStyle name="Comma 2 8 3 2 3 2" xfId="16032"/>
    <cellStyle name="Comma 2 8 3 2 3 2 2" xfId="47444"/>
    <cellStyle name="Comma 2 8 3 2 3 2 2 2" xfId="51364"/>
    <cellStyle name="Comma 2 8 3 2 3 3" xfId="29538"/>
    <cellStyle name="Comma 2 8 3 2 4" xfId="25582"/>
    <cellStyle name="Comma 2 8 3 2 4 2" xfId="37847"/>
    <cellStyle name="Comma 2 8 3 3" xfId="4403"/>
    <cellStyle name="Comma 2 8 3 3 2" xfId="15278"/>
    <cellStyle name="Comma 2 8 3 3 2 2" xfId="17994"/>
    <cellStyle name="Comma 2 8 3 3 2 2 2" xfId="50614"/>
    <cellStyle name="Comma 2 8 3 3 2 2 2 2" xfId="53320"/>
    <cellStyle name="Comma 2 8 3 3 2 3" xfId="31495"/>
    <cellStyle name="Comma 2 8 3 3 3" xfId="28788"/>
    <cellStyle name="Comma 2 8 3 3 3 2" xfId="39845"/>
    <cellStyle name="Comma 2 8 3 4" xfId="9606"/>
    <cellStyle name="Comma 2 8 3 4 2" xfId="37089"/>
    <cellStyle name="Comma 2 8 3 4 2 2" xfId="44986"/>
    <cellStyle name="Comma 2 8 3 5" xfId="23107"/>
    <cellStyle name="Comma 2 8 4" xfId="3605"/>
    <cellStyle name="Comma 2 8 4 2" xfId="5610"/>
    <cellStyle name="Comma 2 8 4 2 2" xfId="17241"/>
    <cellStyle name="Comma 2 8 4 2 2 2" xfId="19182"/>
    <cellStyle name="Comma 2 8 4 2 2 2 2" xfId="52568"/>
    <cellStyle name="Comma 2 8 4 2 2 2 2 2" xfId="54508"/>
    <cellStyle name="Comma 2 8 4 2 2 3" xfId="32683"/>
    <cellStyle name="Comma 2 8 4 2 3" xfId="30742"/>
    <cellStyle name="Comma 2 8 4 2 3 2" xfId="41046"/>
    <cellStyle name="Comma 2 8 4 3" xfId="10826"/>
    <cellStyle name="Comma 2 8 4 3 2" xfId="39062"/>
    <cellStyle name="Comma 2 8 4 3 2 2" xfId="46188"/>
    <cellStyle name="Comma 2 8 4 4" xfId="24318"/>
    <cellStyle name="Comma 2 8 5" xfId="8799"/>
    <cellStyle name="Comma 2 8 5 2" xfId="13994"/>
    <cellStyle name="Comma 2 8 5 2 2" xfId="44211"/>
    <cellStyle name="Comma 2 8 5 2 2 2" xfId="49340"/>
    <cellStyle name="Comma 2 8 5 3" xfId="27488"/>
    <cellStyle name="Comma 2 8 6" xfId="22316"/>
    <cellStyle name="Comma 2 8 6 2" xfId="35806"/>
    <cellStyle name="Comma 2 9" xfId="442"/>
    <cellStyle name="Comma 2 9 2" xfId="1813"/>
    <cellStyle name="Comma 2 9 2 2" xfId="2541"/>
    <cellStyle name="Comma 2 9 2 2 2" xfId="7065"/>
    <cellStyle name="Comma 2 9 2 2 2 2" xfId="7764"/>
    <cellStyle name="Comma 2 9 2 2 2 2 2" xfId="20618"/>
    <cellStyle name="Comma 2 9 2 2 2 2 2 2" xfId="21316"/>
    <cellStyle name="Comma 2 9 2 2 2 2 2 2 2" xfId="55944"/>
    <cellStyle name="Comma 2 9 2 2 2 2 2 2 2 2" xfId="56642"/>
    <cellStyle name="Comma 2 9 2 2 2 2 2 3" xfId="34819"/>
    <cellStyle name="Comma 2 9 2 2 2 2 3" xfId="34120"/>
    <cellStyle name="Comma 2 9 2 2 2 2 3 2" xfId="43191"/>
    <cellStyle name="Comma 2 9 2 2 2 3" xfId="12989"/>
    <cellStyle name="Comma 2 9 2 2 2 3 2" xfId="42493"/>
    <cellStyle name="Comma 2 9 2 2 2 3 2 2" xfId="48335"/>
    <cellStyle name="Comma 2 9 2 2 2 4" xfId="26473"/>
    <cellStyle name="Comma 2 9 2 2 3" xfId="12289"/>
    <cellStyle name="Comma 2 9 2 2 3 2" xfId="16201"/>
    <cellStyle name="Comma 2 9 2 2 3 2 2" xfId="47636"/>
    <cellStyle name="Comma 2 9 2 2 3 2 2 2" xfId="51532"/>
    <cellStyle name="Comma 2 9 2 2 3 3" xfId="29706"/>
    <cellStyle name="Comma 2 9 2 2 4" xfId="25774"/>
    <cellStyle name="Comma 2 9 2 2 4 2" xfId="38015"/>
    <cellStyle name="Comma 2 9 2 3" xfId="4576"/>
    <cellStyle name="Comma 2 9 2 3 2" xfId="15485"/>
    <cellStyle name="Comma 2 9 2 3 2 2" xfId="18157"/>
    <cellStyle name="Comma 2 9 2 3 2 2 2" xfId="50818"/>
    <cellStyle name="Comma 2 9 2 3 2 2 2 2" xfId="53483"/>
    <cellStyle name="Comma 2 9 2 3 2 3" xfId="31658"/>
    <cellStyle name="Comma 2 9 2 3 3" xfId="28992"/>
    <cellStyle name="Comma 2 9 2 3 3 2" xfId="40015"/>
    <cellStyle name="Comma 2 9 2 4" xfId="9779"/>
    <cellStyle name="Comma 2 9 2 4 2" xfId="37295"/>
    <cellStyle name="Comma 2 9 2 4 2 2" xfId="45150"/>
    <cellStyle name="Comma 2 9 2 5" xfId="23273"/>
    <cellStyle name="Comma 2 9 3" xfId="3822"/>
    <cellStyle name="Comma 2 9 3 2" xfId="5782"/>
    <cellStyle name="Comma 2 9 3 2 2" xfId="17437"/>
    <cellStyle name="Comma 2 9 3 2 2 2" xfId="19350"/>
    <cellStyle name="Comma 2 9 3 2 2 2 2" xfId="52764"/>
    <cellStyle name="Comma 2 9 3 2 2 2 2 2" xfId="54676"/>
    <cellStyle name="Comma 2 9 3 2 2 3" xfId="32851"/>
    <cellStyle name="Comma 2 9 3 2 3" xfId="30938"/>
    <cellStyle name="Comma 2 9 3 2 3 2" xfId="41217"/>
    <cellStyle name="Comma 2 9 3 3" xfId="11002"/>
    <cellStyle name="Comma 2 9 3 3 2" xfId="39272"/>
    <cellStyle name="Comma 2 9 3 3 2 2" xfId="46361"/>
    <cellStyle name="Comma 2 9 3 4" xfId="24496"/>
    <cellStyle name="Comma 2 9 4" xfId="9014"/>
    <cellStyle name="Comma 2 9 4 2" xfId="14165"/>
    <cellStyle name="Comma 2 9 4 2 2" xfId="44412"/>
    <cellStyle name="Comma 2 9 4 2 2 2" xfId="49510"/>
    <cellStyle name="Comma 2 9 4 3" xfId="27669"/>
    <cellStyle name="Comma 2 9 5" xfId="22523"/>
    <cellStyle name="Comma 2 9 5 2" xfId="35977"/>
    <cellStyle name="Comma 3" xfId="5"/>
    <cellStyle name="Comma 3 10" xfId="343"/>
    <cellStyle name="Comma 3 11" xfId="342"/>
    <cellStyle name="Comma 3 12" xfId="3479"/>
    <cellStyle name="Comma 3 13" xfId="8741"/>
    <cellStyle name="Comma 3 2" xfId="6"/>
    <cellStyle name="Comma 3 2 10" xfId="762"/>
    <cellStyle name="Comma 3 2 11" xfId="3540"/>
    <cellStyle name="Comma 3 2 2" xfId="39"/>
    <cellStyle name="Comma 3 2 3" xfId="61"/>
    <cellStyle name="Comma 3 2 4" xfId="105"/>
    <cellStyle name="Comma 3 2 5" xfId="172"/>
    <cellStyle name="Comma 3 2 6" xfId="296"/>
    <cellStyle name="Comma 3 2 7" xfId="287"/>
    <cellStyle name="Comma 3 2 8" xfId="676"/>
    <cellStyle name="Comma 3 2 9" xfId="883"/>
    <cellStyle name="Comma 3 3" xfId="7"/>
    <cellStyle name="Comma 3 3 10" xfId="3527"/>
    <cellStyle name="Comma 3 3 11" xfId="3532"/>
    <cellStyle name="Comma 3 3 2" xfId="40"/>
    <cellStyle name="Comma 3 3 3" xfId="62"/>
    <cellStyle name="Comma 3 3 4" xfId="104"/>
    <cellStyle name="Comma 3 3 5" xfId="143"/>
    <cellStyle name="Comma 3 3 6" xfId="245"/>
    <cellStyle name="Comma 3 3 7" xfId="241"/>
    <cellStyle name="Comma 3 3 8" xfId="665"/>
    <cellStyle name="Comma 3 3 9" xfId="747"/>
    <cellStyle name="Comma 3 4" xfId="38"/>
    <cellStyle name="Comma 3 5" xfId="60"/>
    <cellStyle name="Comma 3 6" xfId="103"/>
    <cellStyle name="Comma 3 7" xfId="144"/>
    <cellStyle name="Comma 3 8" xfId="135"/>
    <cellStyle name="Comma 3 9" xfId="351"/>
    <cellStyle name="Comma 4" xfId="8"/>
    <cellStyle name="Comma 5" xfId="9"/>
    <cellStyle name="Comma 5 10" xfId="1481"/>
    <cellStyle name="Comma 5 11" xfId="8721"/>
    <cellStyle name="Comma 5 2" xfId="42"/>
    <cellStyle name="Comma 5 3" xfId="64"/>
    <cellStyle name="Comma 5 4" xfId="102"/>
    <cellStyle name="Comma 5 5" xfId="171"/>
    <cellStyle name="Comma 5 6" xfId="295"/>
    <cellStyle name="Comma 5 7" xfId="441"/>
    <cellStyle name="Comma 5 8" xfId="345"/>
    <cellStyle name="Comma 5 9" xfId="753"/>
    <cellStyle name="Comma 6" xfId="83"/>
    <cellStyle name="Comma 6 2" xfId="176"/>
    <cellStyle name="Comma 6 3" xfId="270"/>
    <cellStyle name="Comma 6 4" xfId="488"/>
    <cellStyle name="Comma 6 5" xfId="994"/>
    <cellStyle name="Comma 6 6" xfId="1836"/>
    <cellStyle name="Comma 6 7" xfId="3867"/>
    <cellStyle name="Comma 6 8" xfId="10738"/>
    <cellStyle name="Comma 6 9" xfId="27678"/>
    <cellStyle name="Comma 7" xfId="10"/>
    <cellStyle name="Comma 7 10" xfId="1521"/>
    <cellStyle name="Comma 7 11" xfId="2790"/>
    <cellStyle name="Comma 7 2" xfId="43"/>
    <cellStyle name="Comma 7 3" xfId="65"/>
    <cellStyle name="Comma 7 4" xfId="99"/>
    <cellStyle name="Comma 7 5" xfId="142"/>
    <cellStyle name="Comma 7 6" xfId="244"/>
    <cellStyle name="Comma 7 7" xfId="386"/>
    <cellStyle name="Comma 7 8" xfId="1064"/>
    <cellStyle name="Comma 7 9" xfId="746"/>
    <cellStyle name="Currency 2" xfId="11"/>
    <cellStyle name="Currency 2 10" xfId="1513"/>
    <cellStyle name="Currency 2 11" xfId="3924"/>
    <cellStyle name="Currency 2 2" xfId="44"/>
    <cellStyle name="Currency 2 3" xfId="66"/>
    <cellStyle name="Currency 2 4" xfId="68"/>
    <cellStyle name="Currency 2 5" xfId="168"/>
    <cellStyle name="Currency 2 6" xfId="210"/>
    <cellStyle name="Currency 2 7" xfId="347"/>
    <cellStyle name="Currency 2 8" xfId="876"/>
    <cellStyle name="Currency 2 9" xfId="772"/>
    <cellStyle name="Hyperlink" xfId="12" builtinId="8"/>
    <cellStyle name="Hyperlink 2" xfId="13"/>
    <cellStyle name="Hyperlink_AppA_Muncde_2010" xfId="14"/>
    <cellStyle name="Hyperlink_Bills" xfId="15"/>
    <cellStyle name="Normal" xfId="0" builtinId="0"/>
    <cellStyle name="Normal 10" xfId="16"/>
    <cellStyle name="Normal 11" xfId="17"/>
    <cellStyle name="Normal 11 10" xfId="6209"/>
    <cellStyle name="Normal 11 11" xfId="1541"/>
    <cellStyle name="Normal 11 2" xfId="47"/>
    <cellStyle name="Normal 11 3" xfId="69"/>
    <cellStyle name="Normal 11 4" xfId="97"/>
    <cellStyle name="Normal 11 5" xfId="141"/>
    <cellStyle name="Normal 11 6" xfId="247"/>
    <cellStyle name="Normal 11 7" xfId="385"/>
    <cellStyle name="Normal 11 8" xfId="556"/>
    <cellStyle name="Normal 11 9" xfId="1671"/>
    <cellStyle name="Normal 12 2" xfId="718"/>
    <cellStyle name="Normal 12 3" xfId="1497"/>
    <cellStyle name="Normal 12 4" xfId="3496"/>
    <cellStyle name="Normal 12 5" xfId="1480"/>
    <cellStyle name="Normal 12 6" xfId="9033"/>
    <cellStyle name="Normal 13 2" xfId="362"/>
    <cellStyle name="Normal 13 3" xfId="2461"/>
    <cellStyle name="Normal 13 4" xfId="3656"/>
    <cellStyle name="Normal 13 5" xfId="8849"/>
    <cellStyle name="Normal 14 2" xfId="3618"/>
    <cellStyle name="Normal 14 3" xfId="8812"/>
    <cellStyle name="Normal 14 4" xfId="22328"/>
    <cellStyle name="Normal 15 2" xfId="9638"/>
    <cellStyle name="Normal 15 3" xfId="23139"/>
    <cellStyle name="Normal 16 2" xfId="24715"/>
    <cellStyle name="Normal 2" xfId="18"/>
    <cellStyle name="Normal 2 10" xfId="1081"/>
    <cellStyle name="Normal 2 10 2" xfId="3819"/>
    <cellStyle name="Normal 2 10 2 2" xfId="6391"/>
    <cellStyle name="Normal 2 10 2 2 2" xfId="17434"/>
    <cellStyle name="Normal 2 10 2 2 2 2" xfId="19947"/>
    <cellStyle name="Normal 2 10 2 2 2 2 2" xfId="52761"/>
    <cellStyle name="Normal 2 10 2 2 2 2 2 2" xfId="55273"/>
    <cellStyle name="Normal 2 10 2 2 2 3" xfId="33449"/>
    <cellStyle name="Normal 2 10 2 2 3" xfId="30935"/>
    <cellStyle name="Normal 2 10 2 2 3 2" xfId="41820"/>
    <cellStyle name="Normal 2 10 2 3" xfId="11616"/>
    <cellStyle name="Normal 2 10 2 3 2" xfId="39269"/>
    <cellStyle name="Normal 2 10 2 3 2 2" xfId="46965"/>
    <cellStyle name="Normal 2 10 2 4" xfId="25102"/>
    <cellStyle name="Normal 2 10 3" xfId="9010"/>
    <cellStyle name="Normal 2 10 3 2" xfId="14773"/>
    <cellStyle name="Normal 2 10 3 2 2" xfId="44408"/>
    <cellStyle name="Normal 2 10 3 2 2 2" xfId="50112"/>
    <cellStyle name="Normal 2 10 3 3" xfId="28285"/>
    <cellStyle name="Normal 2 10 4" xfId="22519"/>
    <cellStyle name="Normal 2 10 4 2" xfId="36581"/>
    <cellStyle name="Normal 2 11" xfId="2645"/>
    <cellStyle name="Normal 2 11 2" xfId="9542"/>
    <cellStyle name="Normal 2 11 2 2" xfId="16304"/>
    <cellStyle name="Normal 2 11 2 2 2" xfId="44924"/>
    <cellStyle name="Normal 2 11 2 2 2 2" xfId="51634"/>
    <cellStyle name="Normal 2 11 2 3" xfId="29808"/>
    <cellStyle name="Normal 2 11 3" xfId="23042"/>
    <cellStyle name="Normal 2 11 3 2" xfId="38118"/>
    <cellStyle name="Normal 2 12" xfId="6452"/>
    <cellStyle name="Normal 2 12 2" xfId="27615"/>
    <cellStyle name="Normal 2 12 2 2" xfId="41880"/>
    <cellStyle name="Normal 2 13" xfId="16415"/>
    <cellStyle name="Normal 2 2" xfId="19"/>
    <cellStyle name="Normal 2 2 10" xfId="4522"/>
    <cellStyle name="Normal 2 2 10 2" xfId="9539"/>
    <cellStyle name="Normal 2 2 10 2 2" xfId="39963"/>
    <cellStyle name="Normal 2 2 10 2 2 2" xfId="44921"/>
    <cellStyle name="Normal 2 2 10 3" xfId="23039"/>
    <cellStyle name="Normal 2 2 11" xfId="4574"/>
    <cellStyle name="Normal 2 2 11 2" xfId="27441"/>
    <cellStyle name="Normal 2 2 2" xfId="48"/>
    <cellStyle name="Normal 2 2 2 10" xfId="3886"/>
    <cellStyle name="Normal 2 2 2 10 2" xfId="27520"/>
    <cellStyle name="Normal 2 2 2 10 2 2" xfId="39334"/>
    <cellStyle name="Normal 2 2 2 11" xfId="15164"/>
    <cellStyle name="Normal 2 2 2 2" xfId="49"/>
    <cellStyle name="Normal 2 2 2 2 10" xfId="9729"/>
    <cellStyle name="Normal 2 2 2 2 10 2" xfId="23140"/>
    <cellStyle name="Normal 2 2 2 2 2" xfId="100"/>
    <cellStyle name="Normal 2 2 2 2 2 10" xfId="9170"/>
    <cellStyle name="Normal 2 2 2 2 2 2" xfId="101"/>
    <cellStyle name="Normal 2 2 2 2 2 2 2" xfId="185"/>
    <cellStyle name="Normal 2 2 2 2 2 2 2 2" xfId="186"/>
    <cellStyle name="Normal 2 2 2 2 2 2 2 2 2" xfId="334"/>
    <cellStyle name="Normal 2 2 2 2 2 2 2 2 2 2" xfId="335"/>
    <cellStyle name="Normal 2 2 2 2 2 2 2 2 2 2 2" xfId="663"/>
    <cellStyle name="Normal 2 2 2 2 2 2 2 2 2 2 2 2" xfId="664"/>
    <cellStyle name="Normal 2 2 2 2 2 2 2 2 2 2 2 2 2" xfId="1459"/>
    <cellStyle name="Normal 2 2 2 2 2 2 2 2 2 2 2 2 2 2" xfId="1460"/>
    <cellStyle name="Normal 2 2 2 2 2 2 2 2 2 2 2 2 2 2 2" xfId="3477"/>
    <cellStyle name="Normal 2 2 2 2 2 2 2 2 2 2 2 2 2 2 2 2" xfId="3478"/>
    <cellStyle name="Normal 2 2 2 2 2 2 2 2 2 2 2 2 2 2 2 2 2" xfId="8692"/>
    <cellStyle name="Normal 2 2 2 2 2 2 2 2 2 2 2 2 2 2 2 2 2 2" xfId="8693"/>
    <cellStyle name="Normal 2 2 2 2 2 2 2 2 2 2 2 2 2 2 2 2 2 2 2" xfId="22244"/>
    <cellStyle name="Normal 2 2 2 2 2 2 2 2 2 2 2 2 2 2 2 2 2 2 2 2" xfId="22245"/>
    <cellStyle name="Normal 2 2 2 2 2 2 2 2 2 2 2 2 2 2 2 2 2 2 2 2 2" xfId="57570"/>
    <cellStyle name="Normal 2 2 2 2 2 2 2 2 2 2 2 2 2 2 2 2 2 2 2 2 2 2" xfId="57571"/>
    <cellStyle name="Normal 2 2 2 2 2 2 2 2 2 2 2 2 2 2 2 2 2 2 2 3" xfId="35748"/>
    <cellStyle name="Normal 2 2 2 2 2 2 2 2 2 2 2 2 2 2 2 2 2 2 3" xfId="35747"/>
    <cellStyle name="Normal 2 2 2 2 2 2 2 2 2 2 2 2 2 2 2 2 2 2 3 2" xfId="44120"/>
    <cellStyle name="Normal 2 2 2 2 2 2 2 2 2 2 2 2 2 2 2 2 2 3" xfId="13918"/>
    <cellStyle name="Normal 2 2 2 2 2 2 2 2 2 2 2 2 2 2 2 2 2 3 2" xfId="44119"/>
    <cellStyle name="Normal 2 2 2 2 2 2 2 2 2 2 2 2 2 2 2 2 2 3 2 2" xfId="49264"/>
    <cellStyle name="Normal 2 2 2 2 2 2 2 2 2 2 2 2 2 2 2 2 2 4" xfId="27403"/>
    <cellStyle name="Normal 2 2 2 2 2 2 2 2 2 2 2 2 2 2 2 2 3" xfId="13917"/>
    <cellStyle name="Normal 2 2 2 2 2 2 2 2 2 2 2 2 2 2 2 2 3 2" xfId="17135"/>
    <cellStyle name="Normal 2 2 2 2 2 2 2 2 2 2 2 2 2 2 2 2 3 2 2" xfId="49263"/>
    <cellStyle name="Normal 2 2 2 2 2 2 2 2 2 2 2 2 2 2 2 2 3 2 2 2" xfId="52463"/>
    <cellStyle name="Normal 2 2 2 2 2 2 2 2 2 2 2 2 2 2 2 2 3 3" xfId="30637"/>
    <cellStyle name="Normal 2 2 2 2 2 2 2 2 2 2 2 2 2 2 2 2 4" xfId="27402"/>
    <cellStyle name="Normal 2 2 2 2 2 2 2 2 2 2 2 2 2 2 2 2 4 2" xfId="38947"/>
    <cellStyle name="Normal 2 2 2 2 2 2 2 2 2 2 2 2 2 2 2 3" xfId="5515"/>
    <cellStyle name="Normal 2 2 2 2 2 2 2 2 2 2 2 2 2 2 2 3 2" xfId="17134"/>
    <cellStyle name="Normal 2 2 2 2 2 2 2 2 2 2 2 2 2 2 2 3 2 2" xfId="19088"/>
    <cellStyle name="Normal 2 2 2 2 2 2 2 2 2 2 2 2 2 2 2 3 2 2 2" xfId="52462"/>
    <cellStyle name="Normal 2 2 2 2 2 2 2 2 2 2 2 2 2 2 2 3 2 2 2 2" xfId="54414"/>
    <cellStyle name="Normal 2 2 2 2 2 2 2 2 2 2 2 2 2 2 2 3 2 3" xfId="32589"/>
    <cellStyle name="Normal 2 2 2 2 2 2 2 2 2 2 2 2 2 2 2 3 3" xfId="30636"/>
    <cellStyle name="Normal 2 2 2 2 2 2 2 2 2 2 2 2 2 2 2 3 3 2" xfId="40952"/>
    <cellStyle name="Normal 2 2 2 2 2 2 2 2 2 2 2 2 2 2 2 4" xfId="10718"/>
    <cellStyle name="Normal 2 2 2 2 2 2 2 2 2 2 2 2 2 2 2 4 2" xfId="38946"/>
    <cellStyle name="Normal 2 2 2 2 2 2 2 2 2 2 2 2 2 2 2 4 2 2" xfId="46081"/>
    <cellStyle name="Normal 2 2 2 2 2 2 2 2 2 2 2 2 2 2 2 5" xfId="24204"/>
    <cellStyle name="Normal 2 2 2 2 2 2 2 2 2 2 2 2 2 2 3" xfId="5514"/>
    <cellStyle name="Normal 2 2 2 2 2 2 2 2 2 2 2 2 2 2 3 2" xfId="6768"/>
    <cellStyle name="Normal 2 2 2 2 2 2 2 2 2 2 2 2 2 2 3 2 2" xfId="19087"/>
    <cellStyle name="Normal 2 2 2 2 2 2 2 2 2 2 2 2 2 2 3 2 2 2" xfId="20321"/>
    <cellStyle name="Normal 2 2 2 2 2 2 2 2 2 2 2 2 2 2 3 2 2 2 2" xfId="54413"/>
    <cellStyle name="Normal 2 2 2 2 2 2 2 2 2 2 2 2 2 2 3 2 2 2 2 2" xfId="55647"/>
    <cellStyle name="Normal 2 2 2 2 2 2 2 2 2 2 2 2 2 2 3 2 2 3" xfId="33823"/>
    <cellStyle name="Normal 2 2 2 2 2 2 2 2 2 2 2 2 2 2 3 2 3" xfId="32588"/>
    <cellStyle name="Normal 2 2 2 2 2 2 2 2 2 2 2 2 2 2 3 2 3 2" xfId="42196"/>
    <cellStyle name="Normal 2 2 2 2 2 2 2 2 2 2 2 2 2 2 3 3" xfId="11991"/>
    <cellStyle name="Normal 2 2 2 2 2 2 2 2 2 2 2 2 2 2 3 3 2" xfId="40951"/>
    <cellStyle name="Normal 2 2 2 2 2 2 2 2 2 2 2 2 2 2 3 3 2 2" xfId="47339"/>
    <cellStyle name="Normal 2 2 2 2 2 2 2 2 2 2 2 2 2 2 3 4" xfId="25476"/>
    <cellStyle name="Normal 2 2 2 2 2 2 2 2 2 2 2 2 2 2 4" xfId="10717"/>
    <cellStyle name="Normal 2 2 2 2 2 2 2 2 2 2 2 2 2 2 4 2" xfId="15149"/>
    <cellStyle name="Normal 2 2 2 2 2 2 2 2 2 2 2 2 2 2 4 2 2" xfId="46080"/>
    <cellStyle name="Normal 2 2 2 2 2 2 2 2 2 2 2 2 2 2 4 2 2 2" xfId="50488"/>
    <cellStyle name="Normal 2 2 2 2 2 2 2 2 2 2 2 2 2 2 4 3" xfId="28662"/>
    <cellStyle name="Normal 2 2 2 2 2 2 2 2 2 2 2 2 2 2 5" xfId="24203"/>
    <cellStyle name="Normal 2 2 2 2 2 2 2 2 2 2 2 2 2 2 5 2" xfId="36957"/>
    <cellStyle name="Normal 2 2 2 2 2 2 2 2 2 2 2 2 2 3" xfId="2267"/>
    <cellStyle name="Normal 2 2 2 2 2 2 2 2 2 2 2 2 2 3 2" xfId="6767"/>
    <cellStyle name="Normal 2 2 2 2 2 2 2 2 2 2 2 2 2 3 2 2" xfId="7501"/>
    <cellStyle name="Normal 2 2 2 2 2 2 2 2 2 2 2 2 2 3 2 2 2" xfId="20320"/>
    <cellStyle name="Normal 2 2 2 2 2 2 2 2 2 2 2 2 2 3 2 2 2 2" xfId="21053"/>
    <cellStyle name="Normal 2 2 2 2 2 2 2 2 2 2 2 2 2 3 2 2 2 2 2" xfId="55646"/>
    <cellStyle name="Normal 2 2 2 2 2 2 2 2 2 2 2 2 2 3 2 2 2 2 2 2" xfId="56379"/>
    <cellStyle name="Normal 2 2 2 2 2 2 2 2 2 2 2 2 2 3 2 2 2 3" xfId="34556"/>
    <cellStyle name="Normal 2 2 2 2 2 2 2 2 2 2 2 2 2 3 2 2 3" xfId="33822"/>
    <cellStyle name="Normal 2 2 2 2 2 2 2 2 2 2 2 2 2 3 2 2 3 2" xfId="42928"/>
    <cellStyle name="Normal 2 2 2 2 2 2 2 2 2 2 2 2 2 3 2 3" xfId="12726"/>
    <cellStyle name="Normal 2 2 2 2 2 2 2 2 2 2 2 2 2 3 2 3 2" xfId="42195"/>
    <cellStyle name="Normal 2 2 2 2 2 2 2 2 2 2 2 2 2 3 2 3 2 2" xfId="48072"/>
    <cellStyle name="Normal 2 2 2 2 2 2 2 2 2 2 2 2 2 3 2 4" xfId="26210"/>
    <cellStyle name="Normal 2 2 2 2 2 2 2 2 2 2 2 2 2 3 3" xfId="11990"/>
    <cellStyle name="Normal 2 2 2 2 2 2 2 2 2 2 2 2 2 3 3 2" xfId="15931"/>
    <cellStyle name="Normal 2 2 2 2 2 2 2 2 2 2 2 2 2 3 3 2 2" xfId="47338"/>
    <cellStyle name="Normal 2 2 2 2 2 2 2 2 2 2 2 2 2 3 3 2 2 2" xfId="51263"/>
    <cellStyle name="Normal 2 2 2 2 2 2 2 2 2 2 2 2 2 3 3 3" xfId="29437"/>
    <cellStyle name="Normal 2 2 2 2 2 2 2 2 2 2 2 2 2 3 4" xfId="25475"/>
    <cellStyle name="Normal 2 2 2 2 2 2 2 2 2 2 2 2 2 3 4 2" xfId="37745"/>
    <cellStyle name="Normal 2 2 2 2 2 2 2 2 2 2 2 2 2 4" xfId="4283"/>
    <cellStyle name="Normal 2 2 2 2 2 2 2 2 2 2 2 2 2 4 2" xfId="15148"/>
    <cellStyle name="Normal 2 2 2 2 2 2 2 2 2 2 2 2 2 4 2 2" xfId="17876"/>
    <cellStyle name="Normal 2 2 2 2 2 2 2 2 2 2 2 2 2 4 2 2 2" xfId="50487"/>
    <cellStyle name="Normal 2 2 2 2 2 2 2 2 2 2 2 2 2 4 2 2 2 2" xfId="53203"/>
    <cellStyle name="Normal 2 2 2 2 2 2 2 2 2 2 2 2 2 4 2 3" xfId="31378"/>
    <cellStyle name="Normal 2 2 2 2 2 2 2 2 2 2 2 2 2 4 3" xfId="28661"/>
    <cellStyle name="Normal 2 2 2 2 2 2 2 2 2 2 2 2 2 4 3 2" xfId="39726"/>
    <cellStyle name="Normal 2 2 2 2 2 2 2 2 2 2 2 2 2 5" xfId="9474"/>
    <cellStyle name="Normal 2 2 2 2 2 2 2 2 2 2 2 2 2 5 2" xfId="36956"/>
    <cellStyle name="Normal 2 2 2 2 2 2 2 2 2 2 2 2 2 5 2 2" xfId="44856"/>
    <cellStyle name="Normal 2 2 2 2 2 2 2 2 2 2 2 2 2 6" xfId="22970"/>
    <cellStyle name="Normal 2 2 2 2 2 2 2 2 2 2 2 2 3" xfId="2266"/>
    <cellStyle name="Normal 2 2 2 2 2 2 2 2 2 2 2 2 3 2" xfId="2754"/>
    <cellStyle name="Normal 2 2 2 2 2 2 2 2 2 2 2 2 3 2 2" xfId="7500"/>
    <cellStyle name="Normal 2 2 2 2 2 2 2 2 2 2 2 2 3 2 2 2" xfId="7973"/>
    <cellStyle name="Normal 2 2 2 2 2 2 2 2 2 2 2 2 3 2 2 2 2" xfId="21052"/>
    <cellStyle name="Normal 2 2 2 2 2 2 2 2 2 2 2 2 3 2 2 2 2 2" xfId="21525"/>
    <cellStyle name="Normal 2 2 2 2 2 2 2 2 2 2 2 2 3 2 2 2 2 2 2" xfId="56378"/>
    <cellStyle name="Normal 2 2 2 2 2 2 2 2 2 2 2 2 3 2 2 2 2 2 2 2" xfId="56851"/>
    <cellStyle name="Normal 2 2 2 2 2 2 2 2 2 2 2 2 3 2 2 2 2 3" xfId="35028"/>
    <cellStyle name="Normal 2 2 2 2 2 2 2 2 2 2 2 2 3 2 2 2 3" xfId="34555"/>
    <cellStyle name="Normal 2 2 2 2 2 2 2 2 2 2 2 2 3 2 2 2 3 2" xfId="43400"/>
    <cellStyle name="Normal 2 2 2 2 2 2 2 2 2 2 2 2 3 2 2 3" xfId="13198"/>
    <cellStyle name="Normal 2 2 2 2 2 2 2 2 2 2 2 2 3 2 2 3 2" xfId="42927"/>
    <cellStyle name="Normal 2 2 2 2 2 2 2 2 2 2 2 2 3 2 2 3 2 2" xfId="48544"/>
    <cellStyle name="Normal 2 2 2 2 2 2 2 2 2 2 2 2 3 2 2 4" xfId="26682"/>
    <cellStyle name="Normal 2 2 2 2 2 2 2 2 2 2 2 2 3 2 3" xfId="12725"/>
    <cellStyle name="Normal 2 2 2 2 2 2 2 2 2 2 2 2 3 2 3 2" xfId="16413"/>
    <cellStyle name="Normal 2 2 2 2 2 2 2 2 2 2 2 2 3 2 3 2 2" xfId="48071"/>
    <cellStyle name="Normal 2 2 2 2 2 2 2 2 2 2 2 2 3 2 3 2 2 2" xfId="51743"/>
    <cellStyle name="Normal 2 2 2 2 2 2 2 2 2 2 2 2 3 2 3 3" xfId="29917"/>
    <cellStyle name="Normal 2 2 2 2 2 2 2 2 2 2 2 2 3 2 4" xfId="26209"/>
    <cellStyle name="Normal 2 2 2 2 2 2 2 2 2 2 2 2 3 2 4 2" xfId="38227"/>
    <cellStyle name="Normal 2 2 2 2 2 2 2 2 2 2 2 2 3 3" xfId="4790"/>
    <cellStyle name="Normal 2 2 2 2 2 2 2 2 2 2 2 2 3 3 2" xfId="15930"/>
    <cellStyle name="Normal 2 2 2 2 2 2 2 2 2 2 2 2 3 3 2 2" xfId="18367"/>
    <cellStyle name="Normal 2 2 2 2 2 2 2 2 2 2 2 2 3 3 2 2 2" xfId="51262"/>
    <cellStyle name="Normal 2 2 2 2 2 2 2 2 2 2 2 2 3 3 2 2 2 2" xfId="53693"/>
    <cellStyle name="Normal 2 2 2 2 2 2 2 2 2 2 2 2 3 3 2 3" xfId="31868"/>
    <cellStyle name="Normal 2 2 2 2 2 2 2 2 2 2 2 2 3 3 3" xfId="29436"/>
    <cellStyle name="Normal 2 2 2 2 2 2 2 2 2 2 2 2 3 3 3 2" xfId="40228"/>
    <cellStyle name="Normal 2 2 2 2 2 2 2 2 2 2 2 2 3 4" xfId="9993"/>
    <cellStyle name="Normal 2 2 2 2 2 2 2 2 2 2 2 2 3 4 2" xfId="37744"/>
    <cellStyle name="Normal 2 2 2 2 2 2 2 2 2 2 2 2 3 4 2 2" xfId="45360"/>
    <cellStyle name="Normal 2 2 2 2 2 2 2 2 2 2 2 2 3 5" xfId="23483"/>
    <cellStyle name="Normal 2 2 2 2 2 2 2 2 2 2 2 2 4" xfId="4282"/>
    <cellStyle name="Normal 2 2 2 2 2 2 2 2 2 2 2 2 4 2" xfId="5995"/>
    <cellStyle name="Normal 2 2 2 2 2 2 2 2 2 2 2 2 4 2 2" xfId="17875"/>
    <cellStyle name="Normal 2 2 2 2 2 2 2 2 2 2 2 2 4 2 2 2" xfId="19562"/>
    <cellStyle name="Normal 2 2 2 2 2 2 2 2 2 2 2 2 4 2 2 2 2" xfId="53202"/>
    <cellStyle name="Normal 2 2 2 2 2 2 2 2 2 2 2 2 4 2 2 2 2 2" xfId="54888"/>
    <cellStyle name="Normal 2 2 2 2 2 2 2 2 2 2 2 2 4 2 2 3" xfId="33063"/>
    <cellStyle name="Normal 2 2 2 2 2 2 2 2 2 2 2 2 4 2 3" xfId="31377"/>
    <cellStyle name="Normal 2 2 2 2 2 2 2 2 2 2 2 2 4 2 3 2" xfId="41429"/>
    <cellStyle name="Normal 2 2 2 2 2 2 2 2 2 2 2 2 4 3" xfId="11220"/>
    <cellStyle name="Normal 2 2 2 2 2 2 2 2 2 2 2 2 4 3 2" xfId="39725"/>
    <cellStyle name="Normal 2 2 2 2 2 2 2 2 2 2 2 2 4 3 2 2" xfId="46578"/>
    <cellStyle name="Normal 2 2 2 2 2 2 2 2 2 2 2 2 4 4" xfId="24713"/>
    <cellStyle name="Normal 2 2 2 2 2 2 2 2 2 2 2 2 5" xfId="9473"/>
    <cellStyle name="Normal 2 2 2 2 2 2 2 2 2 2 2 2 5 2" xfId="14379"/>
    <cellStyle name="Normal 2 2 2 2 2 2 2 2 2 2 2 2 5 2 2" xfId="44855"/>
    <cellStyle name="Normal 2 2 2 2 2 2 2 2 2 2 2 2 5 2 2 2" xfId="49724"/>
    <cellStyle name="Normal 2 2 2 2 2 2 2 2 2 2 2 2 5 3" xfId="27889"/>
    <cellStyle name="Normal 2 2 2 2 2 2 2 2 2 2 2 2 6" xfId="22969"/>
    <cellStyle name="Normal 2 2 2 2 2 2 2 2 2 2 2 2 6 2" xfId="36191"/>
    <cellStyle name="Normal 2 2 2 2 2 2 2 2 2 2 2 3" xfId="992"/>
    <cellStyle name="Normal 2 2 2 2 2 2 2 2 2 2 2 3 2" xfId="2753"/>
    <cellStyle name="Normal 2 2 2 2 2 2 2 2 2 2 2 3 2 2" xfId="3030"/>
    <cellStyle name="Normal 2 2 2 2 2 2 2 2 2 2 2 3 2 2 2" xfId="7972"/>
    <cellStyle name="Normal 2 2 2 2 2 2 2 2 2 2 2 3 2 2 2 2" xfId="8245"/>
    <cellStyle name="Normal 2 2 2 2 2 2 2 2 2 2 2 3 2 2 2 2 2" xfId="21524"/>
    <cellStyle name="Normal 2 2 2 2 2 2 2 2 2 2 2 3 2 2 2 2 2 2" xfId="21797"/>
    <cellStyle name="Normal 2 2 2 2 2 2 2 2 2 2 2 3 2 2 2 2 2 2 2" xfId="56850"/>
    <cellStyle name="Normal 2 2 2 2 2 2 2 2 2 2 2 3 2 2 2 2 2 2 2 2" xfId="57123"/>
    <cellStyle name="Normal 2 2 2 2 2 2 2 2 2 2 2 3 2 2 2 2 2 3" xfId="35300"/>
    <cellStyle name="Normal 2 2 2 2 2 2 2 2 2 2 2 3 2 2 2 2 3" xfId="35027"/>
    <cellStyle name="Normal 2 2 2 2 2 2 2 2 2 2 2 3 2 2 2 2 3 2" xfId="43672"/>
    <cellStyle name="Normal 2 2 2 2 2 2 2 2 2 2 2 3 2 2 2 3" xfId="13470"/>
    <cellStyle name="Normal 2 2 2 2 2 2 2 2 2 2 2 3 2 2 2 3 2" xfId="43399"/>
    <cellStyle name="Normal 2 2 2 2 2 2 2 2 2 2 2 3 2 2 2 3 2 2" xfId="48816"/>
    <cellStyle name="Normal 2 2 2 2 2 2 2 2 2 2 2 3 2 2 2 4" xfId="26955"/>
    <cellStyle name="Normal 2 2 2 2 2 2 2 2 2 2 2 3 2 2 3" xfId="13197"/>
    <cellStyle name="Normal 2 2 2 2 2 2 2 2 2 2 2 3 2 2 3 2" xfId="16687"/>
    <cellStyle name="Normal 2 2 2 2 2 2 2 2 2 2 2 3 2 2 3 2 2" xfId="48543"/>
    <cellStyle name="Normal 2 2 2 2 2 2 2 2 2 2 2 3 2 2 3 2 2 2" xfId="52015"/>
    <cellStyle name="Normal 2 2 2 2 2 2 2 2 2 2 2 3 2 2 3 3" xfId="30189"/>
    <cellStyle name="Normal 2 2 2 2 2 2 2 2 2 2 2 3 2 2 4" xfId="26681"/>
    <cellStyle name="Normal 2 2 2 2 2 2 2 2 2 2 2 3 2 2 4 2" xfId="38499"/>
    <cellStyle name="Normal 2 2 2 2 2 2 2 2 2 2 2 3 2 3" xfId="5066"/>
    <cellStyle name="Normal 2 2 2 2 2 2 2 2 2 2 2 3 2 3 2" xfId="16412"/>
    <cellStyle name="Normal 2 2 2 2 2 2 2 2 2 2 2 3 2 3 2 2" xfId="18639"/>
    <cellStyle name="Normal 2 2 2 2 2 2 2 2 2 2 2 3 2 3 2 2 2" xfId="51742"/>
    <cellStyle name="Normal 2 2 2 2 2 2 2 2 2 2 2 3 2 3 2 2 2 2" xfId="53965"/>
    <cellStyle name="Normal 2 2 2 2 2 2 2 2 2 2 2 3 2 3 2 3" xfId="32140"/>
    <cellStyle name="Normal 2 2 2 2 2 2 2 2 2 2 2 3 2 3 3" xfId="29916"/>
    <cellStyle name="Normal 2 2 2 2 2 2 2 2 2 2 2 3 2 3 3 2" xfId="40503"/>
    <cellStyle name="Normal 2 2 2 2 2 2 2 2 2 2 2 3 2 4" xfId="10269"/>
    <cellStyle name="Normal 2 2 2 2 2 2 2 2 2 2 2 3 2 4 2" xfId="38226"/>
    <cellStyle name="Normal 2 2 2 2 2 2 2 2 2 2 2 3 2 4 2 2" xfId="45632"/>
    <cellStyle name="Normal 2 2 2 2 2 2 2 2 2 2 2 3 2 5" xfId="23755"/>
    <cellStyle name="Normal 2 2 2 2 2 2 2 2 2 2 2 3 3" xfId="4789"/>
    <cellStyle name="Normal 2 2 2 2 2 2 2 2 2 2 2 3 3 2" xfId="6303"/>
    <cellStyle name="Normal 2 2 2 2 2 2 2 2 2 2 2 3 3 2 2" xfId="18366"/>
    <cellStyle name="Normal 2 2 2 2 2 2 2 2 2 2 2 3 3 2 2 2" xfId="19860"/>
    <cellStyle name="Normal 2 2 2 2 2 2 2 2 2 2 2 3 3 2 2 2 2" xfId="53692"/>
    <cellStyle name="Normal 2 2 2 2 2 2 2 2 2 2 2 3 3 2 2 2 2 2" xfId="55186"/>
    <cellStyle name="Normal 2 2 2 2 2 2 2 2 2 2 2 3 3 2 2 3" xfId="33362"/>
    <cellStyle name="Normal 2 2 2 2 2 2 2 2 2 2 2 3 3 2 3" xfId="31867"/>
    <cellStyle name="Normal 2 2 2 2 2 2 2 2 2 2 2 3 3 2 3 2" xfId="41732"/>
    <cellStyle name="Normal 2 2 2 2 2 2 2 2 2 2 2 3 3 3" xfId="11528"/>
    <cellStyle name="Normal 2 2 2 2 2 2 2 2 2 2 2 3 3 3 2" xfId="40227"/>
    <cellStyle name="Normal 2 2 2 2 2 2 2 2 2 2 2 3 3 3 2 2" xfId="46877"/>
    <cellStyle name="Normal 2 2 2 2 2 2 2 2 2 2 2 3 3 4" xfId="25014"/>
    <cellStyle name="Normal 2 2 2 2 2 2 2 2 2 2 2 3 4" xfId="9992"/>
    <cellStyle name="Normal 2 2 2 2 2 2 2 2 2 2 2 3 4 2" xfId="14686"/>
    <cellStyle name="Normal 2 2 2 2 2 2 2 2 2 2 2 3 4 2 2" xfId="45359"/>
    <cellStyle name="Normal 2 2 2 2 2 2 2 2 2 2 2 3 4 2 2 2" xfId="50025"/>
    <cellStyle name="Normal 2 2 2 2 2 2 2 2 2 2 2 3 4 3" xfId="28197"/>
    <cellStyle name="Normal 2 2 2 2 2 2 2 2 2 2 2 3 5" xfId="23482"/>
    <cellStyle name="Normal 2 2 2 2 2 2 2 2 2 2 2 3 5 2" xfId="36494"/>
    <cellStyle name="Normal 2 2 2 2 2 2 2 2 2 2 2 4" xfId="1788"/>
    <cellStyle name="Normal 2 2 2 2 2 2 2 2 2 2 2 4 2" xfId="5994"/>
    <cellStyle name="Normal 2 2 2 2 2 2 2 2 2 2 2 4 2 2" xfId="7041"/>
    <cellStyle name="Normal 2 2 2 2 2 2 2 2 2 2 2 4 2 2 2" xfId="19561"/>
    <cellStyle name="Normal 2 2 2 2 2 2 2 2 2 2 2 4 2 2 2 2" xfId="20594"/>
    <cellStyle name="Normal 2 2 2 2 2 2 2 2 2 2 2 4 2 2 2 2 2" xfId="54887"/>
    <cellStyle name="Normal 2 2 2 2 2 2 2 2 2 2 2 4 2 2 2 2 2 2" xfId="55920"/>
    <cellStyle name="Normal 2 2 2 2 2 2 2 2 2 2 2 4 2 2 2 3" xfId="34096"/>
    <cellStyle name="Normal 2 2 2 2 2 2 2 2 2 2 2 4 2 2 3" xfId="33062"/>
    <cellStyle name="Normal 2 2 2 2 2 2 2 2 2 2 2 4 2 2 3 2" xfId="42469"/>
    <cellStyle name="Normal 2 2 2 2 2 2 2 2 2 2 2 4 2 3" xfId="12265"/>
    <cellStyle name="Normal 2 2 2 2 2 2 2 2 2 2 2 4 2 3 2" xfId="41428"/>
    <cellStyle name="Normal 2 2 2 2 2 2 2 2 2 2 2 4 2 3 2 2" xfId="47612"/>
    <cellStyle name="Normal 2 2 2 2 2 2 2 2 2 2 2 4 2 4" xfId="25750"/>
    <cellStyle name="Normal 2 2 2 2 2 2 2 2 2 2 2 4 3" xfId="11219"/>
    <cellStyle name="Normal 2 2 2 2 2 2 2 2 2 2 2 4 3 2" xfId="15460"/>
    <cellStyle name="Normal 2 2 2 2 2 2 2 2 2 2 2 4 3 2 2" xfId="46577"/>
    <cellStyle name="Normal 2 2 2 2 2 2 2 2 2 2 2 4 3 2 2 2" xfId="50793"/>
    <cellStyle name="Normal 2 2 2 2 2 2 2 2 2 2 2 4 3 3" xfId="28967"/>
    <cellStyle name="Normal 2 2 2 2 2 2 2 2 2 2 2 4 4" xfId="24712"/>
    <cellStyle name="Normal 2 2 2 2 2 2 2 2 2 2 2 4 4 2" xfId="37270"/>
    <cellStyle name="Normal 2 2 2 2 2 2 2 2 2 2 2 5" xfId="3794"/>
    <cellStyle name="Normal 2 2 2 2 2 2 2 2 2 2 2 5 2" xfId="14378"/>
    <cellStyle name="Normal 2 2 2 2 2 2 2 2 2 2 2 5 2 2" xfId="17410"/>
    <cellStyle name="Normal 2 2 2 2 2 2 2 2 2 2 2 5 2 2 2" xfId="49723"/>
    <cellStyle name="Normal 2 2 2 2 2 2 2 2 2 2 2 5 2 2 2 2" xfId="52737"/>
    <cellStyle name="Normal 2 2 2 2 2 2 2 2 2 2 2 5 2 3" xfId="30911"/>
    <cellStyle name="Normal 2 2 2 2 2 2 2 2 2 2 2 5 3" xfId="27888"/>
    <cellStyle name="Normal 2 2 2 2 2 2 2 2 2 2 2 5 3 2" xfId="39245"/>
    <cellStyle name="Normal 2 2 2 2 2 2 2 2 2 2 2 6" xfId="8984"/>
    <cellStyle name="Normal 2 2 2 2 2 2 2 2 2 2 2 6 2" xfId="36190"/>
    <cellStyle name="Normal 2 2 2 2 2 2 2 2 2 2 2 6 2 2" xfId="44383"/>
    <cellStyle name="Normal 2 2 2 2 2 2 2 2 2 2 2 7" xfId="22491"/>
    <cellStyle name="Normal 2 2 2 2 2 2 2 2 2 2 3" xfId="991"/>
    <cellStyle name="Normal 2 2 2 2 2 2 2 2 2 2 3 2" xfId="1196"/>
    <cellStyle name="Normal 2 2 2 2 2 2 2 2 2 2 3 2 2" xfId="3029"/>
    <cellStyle name="Normal 2 2 2 2 2 2 2 2 2 2 3 2 2 2" xfId="3216"/>
    <cellStyle name="Normal 2 2 2 2 2 2 2 2 2 2 3 2 2 2 2" xfId="8244"/>
    <cellStyle name="Normal 2 2 2 2 2 2 2 2 2 2 3 2 2 2 2 2" xfId="8431"/>
    <cellStyle name="Normal 2 2 2 2 2 2 2 2 2 2 3 2 2 2 2 2 2" xfId="21796"/>
    <cellStyle name="Normal 2 2 2 2 2 2 2 2 2 2 3 2 2 2 2 2 2 2" xfId="21983"/>
    <cellStyle name="Normal 2 2 2 2 2 2 2 2 2 2 3 2 2 2 2 2 2 2 2" xfId="57122"/>
    <cellStyle name="Normal 2 2 2 2 2 2 2 2 2 2 3 2 2 2 2 2 2 2 2 2" xfId="57309"/>
    <cellStyle name="Normal 2 2 2 2 2 2 2 2 2 2 3 2 2 2 2 2 2 3" xfId="35486"/>
    <cellStyle name="Normal 2 2 2 2 2 2 2 2 2 2 3 2 2 2 2 2 3" xfId="35299"/>
    <cellStyle name="Normal 2 2 2 2 2 2 2 2 2 2 3 2 2 2 2 2 3 2" xfId="43858"/>
    <cellStyle name="Normal 2 2 2 2 2 2 2 2 2 2 3 2 2 2 2 3" xfId="13656"/>
    <cellStyle name="Normal 2 2 2 2 2 2 2 2 2 2 3 2 2 2 2 3 2" xfId="43671"/>
    <cellStyle name="Normal 2 2 2 2 2 2 2 2 2 2 3 2 2 2 2 3 2 2" xfId="49002"/>
    <cellStyle name="Normal 2 2 2 2 2 2 2 2 2 2 3 2 2 2 2 4" xfId="27141"/>
    <cellStyle name="Normal 2 2 2 2 2 2 2 2 2 2 3 2 2 2 3" xfId="13469"/>
    <cellStyle name="Normal 2 2 2 2 2 2 2 2 2 2 3 2 2 2 3 2" xfId="16873"/>
    <cellStyle name="Normal 2 2 2 2 2 2 2 2 2 2 3 2 2 2 3 2 2" xfId="48815"/>
    <cellStyle name="Normal 2 2 2 2 2 2 2 2 2 2 3 2 2 2 3 2 2 2" xfId="52201"/>
    <cellStyle name="Normal 2 2 2 2 2 2 2 2 2 2 3 2 2 2 3 3" xfId="30375"/>
    <cellStyle name="Normal 2 2 2 2 2 2 2 2 2 2 3 2 2 2 4" xfId="26954"/>
    <cellStyle name="Normal 2 2 2 2 2 2 2 2 2 2 3 2 2 2 4 2" xfId="38685"/>
    <cellStyle name="Normal 2 2 2 2 2 2 2 2 2 2 3 2 2 3" xfId="5253"/>
    <cellStyle name="Normal 2 2 2 2 2 2 2 2 2 2 3 2 2 3 2" xfId="16686"/>
    <cellStyle name="Normal 2 2 2 2 2 2 2 2 2 2 3 2 2 3 2 2" xfId="18826"/>
    <cellStyle name="Normal 2 2 2 2 2 2 2 2 2 2 3 2 2 3 2 2 2" xfId="52014"/>
    <cellStyle name="Normal 2 2 2 2 2 2 2 2 2 2 3 2 2 3 2 2 2 2" xfId="54152"/>
    <cellStyle name="Normal 2 2 2 2 2 2 2 2 2 2 3 2 2 3 2 3" xfId="32327"/>
    <cellStyle name="Normal 2 2 2 2 2 2 2 2 2 2 3 2 2 3 3" xfId="30188"/>
    <cellStyle name="Normal 2 2 2 2 2 2 2 2 2 2 3 2 2 3 3 2" xfId="40690"/>
    <cellStyle name="Normal 2 2 2 2 2 2 2 2 2 2 3 2 2 4" xfId="10456"/>
    <cellStyle name="Normal 2 2 2 2 2 2 2 2 2 2 3 2 2 4 2" xfId="38498"/>
    <cellStyle name="Normal 2 2 2 2 2 2 2 2 2 2 3 2 2 4 2 2" xfId="45819"/>
    <cellStyle name="Normal 2 2 2 2 2 2 2 2 2 2 3 2 2 5" xfId="23942"/>
    <cellStyle name="Normal 2 2 2 2 2 2 2 2 2 2 3 2 3" xfId="5065"/>
    <cellStyle name="Normal 2 2 2 2 2 2 2 2 2 2 3 2 3 2" xfId="6504"/>
    <cellStyle name="Normal 2 2 2 2 2 2 2 2 2 2 3 2 3 2 2" xfId="18638"/>
    <cellStyle name="Normal 2 2 2 2 2 2 2 2 2 2 3 2 3 2 2 2" xfId="20058"/>
    <cellStyle name="Normal 2 2 2 2 2 2 2 2 2 2 3 2 3 2 2 2 2" xfId="53964"/>
    <cellStyle name="Normal 2 2 2 2 2 2 2 2 2 2 3 2 3 2 2 2 2 2" xfId="55384"/>
    <cellStyle name="Normal 2 2 2 2 2 2 2 2 2 2 3 2 3 2 2 3" xfId="33560"/>
    <cellStyle name="Normal 2 2 2 2 2 2 2 2 2 2 3 2 3 2 3" xfId="32139"/>
    <cellStyle name="Normal 2 2 2 2 2 2 2 2 2 2 3 2 3 2 3 2" xfId="41932"/>
    <cellStyle name="Normal 2 2 2 2 2 2 2 2 2 2 3 2 3 3" xfId="11728"/>
    <cellStyle name="Normal 2 2 2 2 2 2 2 2 2 2 3 2 3 3 2" xfId="40502"/>
    <cellStyle name="Normal 2 2 2 2 2 2 2 2 2 2 3 2 3 3 2 2" xfId="47076"/>
    <cellStyle name="Normal 2 2 2 2 2 2 2 2 2 2 3 2 3 4" xfId="25213"/>
    <cellStyle name="Normal 2 2 2 2 2 2 2 2 2 2 3 2 4" xfId="10268"/>
    <cellStyle name="Normal 2 2 2 2 2 2 2 2 2 2 3 2 4 2" xfId="14886"/>
    <cellStyle name="Normal 2 2 2 2 2 2 2 2 2 2 3 2 4 2 2" xfId="45631"/>
    <cellStyle name="Normal 2 2 2 2 2 2 2 2 2 2 3 2 4 2 2 2" xfId="50225"/>
    <cellStyle name="Normal 2 2 2 2 2 2 2 2 2 2 3 2 4 3" xfId="28399"/>
    <cellStyle name="Normal 2 2 2 2 2 2 2 2 2 2 3 2 5" xfId="23754"/>
    <cellStyle name="Normal 2 2 2 2 2 2 2 2 2 2 3 2 5 2" xfId="36694"/>
    <cellStyle name="Normal 2 2 2 2 2 2 2 2 2 2 3 3" xfId="2004"/>
    <cellStyle name="Normal 2 2 2 2 2 2 2 2 2 2 3 3 2" xfId="6302"/>
    <cellStyle name="Normal 2 2 2 2 2 2 2 2 2 2 3 3 2 2" xfId="7238"/>
    <cellStyle name="Normal 2 2 2 2 2 2 2 2 2 2 3 3 2 2 2" xfId="19859"/>
    <cellStyle name="Normal 2 2 2 2 2 2 2 2 2 2 3 3 2 2 2 2" xfId="20790"/>
    <cellStyle name="Normal 2 2 2 2 2 2 2 2 2 2 3 3 2 2 2 2 2" xfId="55185"/>
    <cellStyle name="Normal 2 2 2 2 2 2 2 2 2 2 3 3 2 2 2 2 2 2" xfId="56116"/>
    <cellStyle name="Normal 2 2 2 2 2 2 2 2 2 2 3 3 2 2 2 3" xfId="34293"/>
    <cellStyle name="Normal 2 2 2 2 2 2 2 2 2 2 3 3 2 2 3" xfId="33361"/>
    <cellStyle name="Normal 2 2 2 2 2 2 2 2 2 2 3 3 2 2 3 2" xfId="42665"/>
    <cellStyle name="Normal 2 2 2 2 2 2 2 2 2 2 3 3 2 3" xfId="12463"/>
    <cellStyle name="Normal 2 2 2 2 2 2 2 2 2 2 3 3 2 3 2" xfId="41731"/>
    <cellStyle name="Normal 2 2 2 2 2 2 2 2 2 2 3 3 2 3 2 2" xfId="47809"/>
    <cellStyle name="Normal 2 2 2 2 2 2 2 2 2 2 3 3 2 4" xfId="25947"/>
    <cellStyle name="Normal 2 2 2 2 2 2 2 2 2 2 3 3 3" xfId="11527"/>
    <cellStyle name="Normal 2 2 2 2 2 2 2 2 2 2 3 3 3 2" xfId="15668"/>
    <cellStyle name="Normal 2 2 2 2 2 2 2 2 2 2 3 3 3 2 2" xfId="46876"/>
    <cellStyle name="Normal 2 2 2 2 2 2 2 2 2 2 3 3 3 2 2 2" xfId="51000"/>
    <cellStyle name="Normal 2 2 2 2 2 2 2 2 2 2 3 3 3 3" xfId="29174"/>
    <cellStyle name="Normal 2 2 2 2 2 2 2 2 2 2 3 3 4" xfId="25013"/>
    <cellStyle name="Normal 2 2 2 2 2 2 2 2 2 2 3 3 4 2" xfId="37482"/>
    <cellStyle name="Normal 2 2 2 2 2 2 2 2 2 2 3 4" xfId="4018"/>
    <cellStyle name="Normal 2 2 2 2 2 2 2 2 2 2 3 4 2" xfId="14685"/>
    <cellStyle name="Normal 2 2 2 2 2 2 2 2 2 2 3 4 2 2" xfId="17613"/>
    <cellStyle name="Normal 2 2 2 2 2 2 2 2 2 2 3 4 2 2 2" xfId="50024"/>
    <cellStyle name="Normal 2 2 2 2 2 2 2 2 2 2 3 4 2 2 2 2" xfId="52940"/>
    <cellStyle name="Normal 2 2 2 2 2 2 2 2 2 2 3 4 2 3" xfId="31115"/>
    <cellStyle name="Normal 2 2 2 2 2 2 2 2 2 2 3 4 3" xfId="28196"/>
    <cellStyle name="Normal 2 2 2 2 2 2 2 2 2 2 3 4 3 2" xfId="39462"/>
    <cellStyle name="Normal 2 2 2 2 2 2 2 2 2 2 3 5" xfId="9210"/>
    <cellStyle name="Normal 2 2 2 2 2 2 2 2 2 2 3 5 2" xfId="36493"/>
    <cellStyle name="Normal 2 2 2 2 2 2 2 2 2 2 3 5 2 2" xfId="44593"/>
    <cellStyle name="Normal 2 2 2 2 2 2 2 2 2 2 3 6" xfId="22707"/>
    <cellStyle name="Normal 2 2 2 2 2 2 2 2 2 2 4" xfId="1787"/>
    <cellStyle name="Normal 2 2 2 2 2 2 2 2 2 2 4 2" xfId="2449"/>
    <cellStyle name="Normal 2 2 2 2 2 2 2 2 2 2 4 2 2" xfId="7040"/>
    <cellStyle name="Normal 2 2 2 2 2 2 2 2 2 2 4 2 2 2" xfId="7681"/>
    <cellStyle name="Normal 2 2 2 2 2 2 2 2 2 2 4 2 2 2 2" xfId="20593"/>
    <cellStyle name="Normal 2 2 2 2 2 2 2 2 2 2 4 2 2 2 2 2" xfId="21233"/>
    <cellStyle name="Normal 2 2 2 2 2 2 2 2 2 2 4 2 2 2 2 2 2" xfId="55919"/>
    <cellStyle name="Normal 2 2 2 2 2 2 2 2 2 2 4 2 2 2 2 2 2 2" xfId="56559"/>
    <cellStyle name="Normal 2 2 2 2 2 2 2 2 2 2 4 2 2 2 2 3" xfId="34736"/>
    <cellStyle name="Normal 2 2 2 2 2 2 2 2 2 2 4 2 2 2 3" xfId="34095"/>
    <cellStyle name="Normal 2 2 2 2 2 2 2 2 2 2 4 2 2 2 3 2" xfId="43108"/>
    <cellStyle name="Normal 2 2 2 2 2 2 2 2 2 2 4 2 2 3" xfId="12906"/>
    <cellStyle name="Normal 2 2 2 2 2 2 2 2 2 2 4 2 2 3 2" xfId="42468"/>
    <cellStyle name="Normal 2 2 2 2 2 2 2 2 2 2 4 2 2 3 2 2" xfId="48252"/>
    <cellStyle name="Normal 2 2 2 2 2 2 2 2 2 2 4 2 2 4" xfId="26390"/>
    <cellStyle name="Normal 2 2 2 2 2 2 2 2 2 2 4 2 3" xfId="12264"/>
    <cellStyle name="Normal 2 2 2 2 2 2 2 2 2 2 4 2 3 2" xfId="16112"/>
    <cellStyle name="Normal 2 2 2 2 2 2 2 2 2 2 4 2 3 2 2" xfId="47611"/>
    <cellStyle name="Normal 2 2 2 2 2 2 2 2 2 2 4 2 3 2 2 2" xfId="51444"/>
    <cellStyle name="Normal 2 2 2 2 2 2 2 2 2 2 4 2 3 3" xfId="29618"/>
    <cellStyle name="Normal 2 2 2 2 2 2 2 2 2 2 4 2 4" xfId="25749"/>
    <cellStyle name="Normal 2 2 2 2 2 2 2 2 2 2 4 2 4 2" xfId="37927"/>
    <cellStyle name="Normal 2 2 2 2 2 2 2 2 2 2 4 3" xfId="4484"/>
    <cellStyle name="Normal 2 2 2 2 2 2 2 2 2 2 4 3 2" xfId="15459"/>
    <cellStyle name="Normal 2 2 2 2 2 2 2 2 2 2 4 3 2 2" xfId="18074"/>
    <cellStyle name="Normal 2 2 2 2 2 2 2 2 2 2 4 3 2 2 2" xfId="50792"/>
    <cellStyle name="Normal 2 2 2 2 2 2 2 2 2 2 4 3 2 2 2 2" xfId="53400"/>
    <cellStyle name="Normal 2 2 2 2 2 2 2 2 2 2 4 3 2 3" xfId="31575"/>
    <cellStyle name="Normal 2 2 2 2 2 2 2 2 2 2 4 3 3" xfId="28966"/>
    <cellStyle name="Normal 2 2 2 2 2 2 2 2 2 2 4 3 3 2" xfId="39926"/>
    <cellStyle name="Normal 2 2 2 2 2 2 2 2 2 2 4 4" xfId="9689"/>
    <cellStyle name="Normal 2 2 2 2 2 2 2 2 2 2 4 4 2" xfId="37269"/>
    <cellStyle name="Normal 2 2 2 2 2 2 2 2 2 2 4 4 2 2" xfId="45067"/>
    <cellStyle name="Normal 2 2 2 2 2 2 2 2 2 2 4 5" xfId="23190"/>
    <cellStyle name="Normal 2 2 2 2 2 2 2 2 2 2 5" xfId="3793"/>
    <cellStyle name="Normal 2 2 2 2 2 2 2 2 2 2 5 2" xfId="5691"/>
    <cellStyle name="Normal 2 2 2 2 2 2 2 2 2 2 5 2 2" xfId="17409"/>
    <cellStyle name="Normal 2 2 2 2 2 2 2 2 2 2 5 2 2 2" xfId="19263"/>
    <cellStyle name="Normal 2 2 2 2 2 2 2 2 2 2 5 2 2 2 2" xfId="52736"/>
    <cellStyle name="Normal 2 2 2 2 2 2 2 2 2 2 5 2 2 2 2 2" xfId="54589"/>
    <cellStyle name="Normal 2 2 2 2 2 2 2 2 2 2 5 2 2 3" xfId="32764"/>
    <cellStyle name="Normal 2 2 2 2 2 2 2 2 2 2 5 2 3" xfId="30910"/>
    <cellStyle name="Normal 2 2 2 2 2 2 2 2 2 2 5 2 3 2" xfId="41127"/>
    <cellStyle name="Normal 2 2 2 2 2 2 2 2 2 2 5 3" xfId="10909"/>
    <cellStyle name="Normal 2 2 2 2 2 2 2 2 2 2 5 3 2" xfId="39244"/>
    <cellStyle name="Normal 2 2 2 2 2 2 2 2 2 2 5 3 2 2" xfId="46271"/>
    <cellStyle name="Normal 2 2 2 2 2 2 2 2 2 2 5 4" xfId="24402"/>
    <cellStyle name="Normal 2 2 2 2 2 2 2 2 2 2 6" xfId="8983"/>
    <cellStyle name="Normal 2 2 2 2 2 2 2 2 2 2 6 2" xfId="14075"/>
    <cellStyle name="Normal 2 2 2 2 2 2 2 2 2 2 6 2 2" xfId="44382"/>
    <cellStyle name="Normal 2 2 2 2 2 2 2 2 2 2 6 2 2 2" xfId="49421"/>
    <cellStyle name="Normal 2 2 2 2 2 2 2 2 2 2 6 3" xfId="27574"/>
    <cellStyle name="Normal 2 2 2 2 2 2 2 2 2 2 7" xfId="22490"/>
    <cellStyle name="Normal 2 2 2 2 2 2 2 2 2 2 7 2" xfId="35887"/>
    <cellStyle name="Normal 2 2 2 2 2 2 2 2 2 3" xfId="481"/>
    <cellStyle name="Normal 2 2 2 2 2 2 2 2 2 3 2" xfId="1195"/>
    <cellStyle name="Normal 2 2 2 2 2 2 2 2 2 3 2 2" xfId="1296"/>
    <cellStyle name="Normal 2 2 2 2 2 2 2 2 2 3 2 2 2" xfId="3215"/>
    <cellStyle name="Normal 2 2 2 2 2 2 2 2 2 3 2 2 2 2" xfId="3314"/>
    <cellStyle name="Normal 2 2 2 2 2 2 2 2 2 3 2 2 2 2 2" xfId="8430"/>
    <cellStyle name="Normal 2 2 2 2 2 2 2 2 2 3 2 2 2 2 2 2" xfId="8529"/>
    <cellStyle name="Normal 2 2 2 2 2 2 2 2 2 3 2 2 2 2 2 2 2" xfId="21982"/>
    <cellStyle name="Normal 2 2 2 2 2 2 2 2 2 3 2 2 2 2 2 2 2 2" xfId="22081"/>
    <cellStyle name="Normal 2 2 2 2 2 2 2 2 2 3 2 2 2 2 2 2 2 2 2" xfId="57308"/>
    <cellStyle name="Normal 2 2 2 2 2 2 2 2 2 3 2 2 2 2 2 2 2 2 2 2" xfId="57407"/>
    <cellStyle name="Normal 2 2 2 2 2 2 2 2 2 3 2 2 2 2 2 2 2 3" xfId="35584"/>
    <cellStyle name="Normal 2 2 2 2 2 2 2 2 2 3 2 2 2 2 2 2 3" xfId="35485"/>
    <cellStyle name="Normal 2 2 2 2 2 2 2 2 2 3 2 2 2 2 2 2 3 2" xfId="43956"/>
    <cellStyle name="Normal 2 2 2 2 2 2 2 2 2 3 2 2 2 2 2 3" xfId="13754"/>
    <cellStyle name="Normal 2 2 2 2 2 2 2 2 2 3 2 2 2 2 2 3 2" xfId="43857"/>
    <cellStyle name="Normal 2 2 2 2 2 2 2 2 2 3 2 2 2 2 2 3 2 2" xfId="49100"/>
    <cellStyle name="Normal 2 2 2 2 2 2 2 2 2 3 2 2 2 2 2 4" xfId="27239"/>
    <cellStyle name="Normal 2 2 2 2 2 2 2 2 2 3 2 2 2 2 3" xfId="13655"/>
    <cellStyle name="Normal 2 2 2 2 2 2 2 2 2 3 2 2 2 2 3 2" xfId="16971"/>
    <cellStyle name="Normal 2 2 2 2 2 2 2 2 2 3 2 2 2 2 3 2 2" xfId="49001"/>
    <cellStyle name="Normal 2 2 2 2 2 2 2 2 2 3 2 2 2 2 3 2 2 2" xfId="52299"/>
    <cellStyle name="Normal 2 2 2 2 2 2 2 2 2 3 2 2 2 2 3 3" xfId="30473"/>
    <cellStyle name="Normal 2 2 2 2 2 2 2 2 2 3 2 2 2 2 4" xfId="27140"/>
    <cellStyle name="Normal 2 2 2 2 2 2 2 2 2 3 2 2 2 2 4 2" xfId="38783"/>
    <cellStyle name="Normal 2 2 2 2 2 2 2 2 2 3 2 2 2 3" xfId="5351"/>
    <cellStyle name="Normal 2 2 2 2 2 2 2 2 2 3 2 2 2 3 2" xfId="16872"/>
    <cellStyle name="Normal 2 2 2 2 2 2 2 2 2 3 2 2 2 3 2 2" xfId="18924"/>
    <cellStyle name="Normal 2 2 2 2 2 2 2 2 2 3 2 2 2 3 2 2 2" xfId="52200"/>
    <cellStyle name="Normal 2 2 2 2 2 2 2 2 2 3 2 2 2 3 2 2 2 2" xfId="54250"/>
    <cellStyle name="Normal 2 2 2 2 2 2 2 2 2 3 2 2 2 3 2 3" xfId="32425"/>
    <cellStyle name="Normal 2 2 2 2 2 2 2 2 2 3 2 2 2 3 3" xfId="30374"/>
    <cellStyle name="Normal 2 2 2 2 2 2 2 2 2 3 2 2 2 3 3 2" xfId="40788"/>
    <cellStyle name="Normal 2 2 2 2 2 2 2 2 2 3 2 2 2 4" xfId="10554"/>
    <cellStyle name="Normal 2 2 2 2 2 2 2 2 2 3 2 2 2 4 2" xfId="38684"/>
    <cellStyle name="Normal 2 2 2 2 2 2 2 2 2 3 2 2 2 4 2 2" xfId="45917"/>
    <cellStyle name="Normal 2 2 2 2 2 2 2 2 2 3 2 2 2 5" xfId="24040"/>
    <cellStyle name="Normal 2 2 2 2 2 2 2 2 2 3 2 2 3" xfId="5252"/>
    <cellStyle name="Normal 2 2 2 2 2 2 2 2 2 3 2 2 3 2" xfId="6604"/>
    <cellStyle name="Normal 2 2 2 2 2 2 2 2 2 3 2 2 3 2 2" xfId="18825"/>
    <cellStyle name="Normal 2 2 2 2 2 2 2 2 2 3 2 2 3 2 2 2" xfId="20157"/>
    <cellStyle name="Normal 2 2 2 2 2 2 2 2 2 3 2 2 3 2 2 2 2" xfId="54151"/>
    <cellStyle name="Normal 2 2 2 2 2 2 2 2 2 3 2 2 3 2 2 2 2 2" xfId="55483"/>
    <cellStyle name="Normal 2 2 2 2 2 2 2 2 2 3 2 2 3 2 2 3" xfId="33659"/>
    <cellStyle name="Normal 2 2 2 2 2 2 2 2 2 3 2 2 3 2 3" xfId="32326"/>
    <cellStyle name="Normal 2 2 2 2 2 2 2 2 2 3 2 2 3 2 3 2" xfId="42032"/>
    <cellStyle name="Normal 2 2 2 2 2 2 2 2 2 3 2 2 3 3" xfId="11827"/>
    <cellStyle name="Normal 2 2 2 2 2 2 2 2 2 3 2 2 3 3 2" xfId="40689"/>
    <cellStyle name="Normal 2 2 2 2 2 2 2 2 2 3 2 2 3 3 2 2" xfId="47175"/>
    <cellStyle name="Normal 2 2 2 2 2 2 2 2 2 3 2 2 3 4" xfId="25312"/>
    <cellStyle name="Normal 2 2 2 2 2 2 2 2 2 3 2 2 4" xfId="10455"/>
    <cellStyle name="Normal 2 2 2 2 2 2 2 2 2 3 2 2 4 2" xfId="14985"/>
    <cellStyle name="Normal 2 2 2 2 2 2 2 2 2 3 2 2 4 2 2" xfId="45818"/>
    <cellStyle name="Normal 2 2 2 2 2 2 2 2 2 3 2 2 4 2 2 2" xfId="50324"/>
    <cellStyle name="Normal 2 2 2 2 2 2 2 2 2 3 2 2 4 3" xfId="28498"/>
    <cellStyle name="Normal 2 2 2 2 2 2 2 2 2 3 2 2 5" xfId="23941"/>
    <cellStyle name="Normal 2 2 2 2 2 2 2 2 2 3 2 2 5 2" xfId="36793"/>
    <cellStyle name="Normal 2 2 2 2 2 2 2 2 2 3 2 3" xfId="2102"/>
    <cellStyle name="Normal 2 2 2 2 2 2 2 2 2 3 2 3 2" xfId="6503"/>
    <cellStyle name="Normal 2 2 2 2 2 2 2 2 2 3 2 3 2 2" xfId="7336"/>
    <cellStyle name="Normal 2 2 2 2 2 2 2 2 2 3 2 3 2 2 2" xfId="20057"/>
    <cellStyle name="Normal 2 2 2 2 2 2 2 2 2 3 2 3 2 2 2 2" xfId="20888"/>
    <cellStyle name="Normal 2 2 2 2 2 2 2 2 2 3 2 3 2 2 2 2 2" xfId="55383"/>
    <cellStyle name="Normal 2 2 2 2 2 2 2 2 2 3 2 3 2 2 2 2 2 2" xfId="56214"/>
    <cellStyle name="Normal 2 2 2 2 2 2 2 2 2 3 2 3 2 2 2 3" xfId="34391"/>
    <cellStyle name="Normal 2 2 2 2 2 2 2 2 2 3 2 3 2 2 3" xfId="33559"/>
    <cellStyle name="Normal 2 2 2 2 2 2 2 2 2 3 2 3 2 2 3 2" xfId="42763"/>
    <cellStyle name="Normal 2 2 2 2 2 2 2 2 2 3 2 3 2 3" xfId="12561"/>
    <cellStyle name="Normal 2 2 2 2 2 2 2 2 2 3 2 3 2 3 2" xfId="41931"/>
    <cellStyle name="Normal 2 2 2 2 2 2 2 2 2 3 2 3 2 3 2 2" xfId="47907"/>
    <cellStyle name="Normal 2 2 2 2 2 2 2 2 2 3 2 3 2 4" xfId="26045"/>
    <cellStyle name="Normal 2 2 2 2 2 2 2 2 2 3 2 3 3" xfId="11727"/>
    <cellStyle name="Normal 2 2 2 2 2 2 2 2 2 3 2 3 3 2" xfId="15766"/>
    <cellStyle name="Normal 2 2 2 2 2 2 2 2 2 3 2 3 3 2 2" xfId="47075"/>
    <cellStyle name="Normal 2 2 2 2 2 2 2 2 2 3 2 3 3 2 2 2" xfId="51098"/>
    <cellStyle name="Normal 2 2 2 2 2 2 2 2 2 3 2 3 3 3" xfId="29272"/>
    <cellStyle name="Normal 2 2 2 2 2 2 2 2 2 3 2 3 4" xfId="25212"/>
    <cellStyle name="Normal 2 2 2 2 2 2 2 2 2 3 2 3 4 2" xfId="37580"/>
    <cellStyle name="Normal 2 2 2 2 2 2 2 2 2 3 2 4" xfId="4118"/>
    <cellStyle name="Normal 2 2 2 2 2 2 2 2 2 3 2 4 2" xfId="14885"/>
    <cellStyle name="Normal 2 2 2 2 2 2 2 2 2 3 2 4 2 2" xfId="17711"/>
    <cellStyle name="Normal 2 2 2 2 2 2 2 2 2 3 2 4 2 2 2" xfId="50224"/>
    <cellStyle name="Normal 2 2 2 2 2 2 2 2 2 3 2 4 2 2 2 2" xfId="53038"/>
    <cellStyle name="Normal 2 2 2 2 2 2 2 2 2 3 2 4 2 3" xfId="31213"/>
    <cellStyle name="Normal 2 2 2 2 2 2 2 2 2 3 2 4 3" xfId="28398"/>
    <cellStyle name="Normal 2 2 2 2 2 2 2 2 2 3 2 4 3 2" xfId="39561"/>
    <cellStyle name="Normal 2 2 2 2 2 2 2 2 2 3 2 5" xfId="9309"/>
    <cellStyle name="Normal 2 2 2 2 2 2 2 2 2 3 2 5 2" xfId="36693"/>
    <cellStyle name="Normal 2 2 2 2 2 2 2 2 2 3 2 5 2 2" xfId="44691"/>
    <cellStyle name="Normal 2 2 2 2 2 2 2 2 2 3 2 6" xfId="22805"/>
    <cellStyle name="Normal 2 2 2 2 2 2 2 2 2 3 3" xfId="2003"/>
    <cellStyle name="Normal 2 2 2 2 2 2 2 2 2 3 3 2" xfId="2580"/>
    <cellStyle name="Normal 2 2 2 2 2 2 2 2 2 3 3 2 2" xfId="7237"/>
    <cellStyle name="Normal 2 2 2 2 2 2 2 2 2 3 3 2 2 2" xfId="7801"/>
    <cellStyle name="Normal 2 2 2 2 2 2 2 2 2 3 3 2 2 2 2" xfId="20789"/>
    <cellStyle name="Normal 2 2 2 2 2 2 2 2 2 3 3 2 2 2 2 2" xfId="21353"/>
    <cellStyle name="Normal 2 2 2 2 2 2 2 2 2 3 3 2 2 2 2 2 2" xfId="56115"/>
    <cellStyle name="Normal 2 2 2 2 2 2 2 2 2 3 3 2 2 2 2 2 2 2" xfId="56679"/>
    <cellStyle name="Normal 2 2 2 2 2 2 2 2 2 3 3 2 2 2 2 3" xfId="34856"/>
    <cellStyle name="Normal 2 2 2 2 2 2 2 2 2 3 3 2 2 2 3" xfId="34292"/>
    <cellStyle name="Normal 2 2 2 2 2 2 2 2 2 3 3 2 2 2 3 2" xfId="43228"/>
    <cellStyle name="Normal 2 2 2 2 2 2 2 2 2 3 3 2 2 3" xfId="13026"/>
    <cellStyle name="Normal 2 2 2 2 2 2 2 2 2 3 3 2 2 3 2" xfId="42664"/>
    <cellStyle name="Normal 2 2 2 2 2 2 2 2 2 3 3 2 2 3 2 2" xfId="48372"/>
    <cellStyle name="Normal 2 2 2 2 2 2 2 2 2 3 3 2 2 4" xfId="26510"/>
    <cellStyle name="Normal 2 2 2 2 2 2 2 2 2 3 3 2 3" xfId="12462"/>
    <cellStyle name="Normal 2 2 2 2 2 2 2 2 2 3 3 2 3 2" xfId="16239"/>
    <cellStyle name="Normal 2 2 2 2 2 2 2 2 2 3 3 2 3 2 2" xfId="47808"/>
    <cellStyle name="Normal 2 2 2 2 2 2 2 2 2 3 3 2 3 2 2 2" xfId="51569"/>
    <cellStyle name="Normal 2 2 2 2 2 2 2 2 2 3 3 2 3 3" xfId="29743"/>
    <cellStyle name="Normal 2 2 2 2 2 2 2 2 2 3 3 2 4" xfId="25946"/>
    <cellStyle name="Normal 2 2 2 2 2 2 2 2 2 3 3 2 4 2" xfId="38053"/>
    <cellStyle name="Normal 2 2 2 2 2 2 2 2 2 3 3 3" xfId="4613"/>
    <cellStyle name="Normal 2 2 2 2 2 2 2 2 2 3 3 3 2" xfId="15667"/>
    <cellStyle name="Normal 2 2 2 2 2 2 2 2 2 3 3 3 2 2" xfId="18194"/>
    <cellStyle name="Normal 2 2 2 2 2 2 2 2 2 3 3 3 2 2 2" xfId="50999"/>
    <cellStyle name="Normal 2 2 2 2 2 2 2 2 2 3 3 3 2 2 2 2" xfId="53520"/>
    <cellStyle name="Normal 2 2 2 2 2 2 2 2 2 3 3 3 2 3" xfId="31695"/>
    <cellStyle name="Normal 2 2 2 2 2 2 2 2 2 3 3 3 3" xfId="29173"/>
    <cellStyle name="Normal 2 2 2 2 2 2 2 2 2 3 3 3 3 2" xfId="40052"/>
    <cellStyle name="Normal 2 2 2 2 2 2 2 2 2 3 3 4" xfId="9817"/>
    <cellStyle name="Normal 2 2 2 2 2 2 2 2 2 3 3 4 2" xfId="37481"/>
    <cellStyle name="Normal 2 2 2 2 2 2 2 2 2 3 3 4 2 2" xfId="45187"/>
    <cellStyle name="Normal 2 2 2 2 2 2 2 2 2 3 3 5" xfId="23310"/>
    <cellStyle name="Normal 2 2 2 2 2 2 2 2 2 3 4" xfId="4017"/>
    <cellStyle name="Normal 2 2 2 2 2 2 2 2 2 3 4 2" xfId="5819"/>
    <cellStyle name="Normal 2 2 2 2 2 2 2 2 2 3 4 2 2" xfId="17612"/>
    <cellStyle name="Normal 2 2 2 2 2 2 2 2 2 3 4 2 2 2" xfId="19387"/>
    <cellStyle name="Normal 2 2 2 2 2 2 2 2 2 3 4 2 2 2 2" xfId="52939"/>
    <cellStyle name="Normal 2 2 2 2 2 2 2 2 2 3 4 2 2 2 2 2" xfId="54713"/>
    <cellStyle name="Normal 2 2 2 2 2 2 2 2 2 3 4 2 2 3" xfId="32888"/>
    <cellStyle name="Normal 2 2 2 2 2 2 2 2 2 3 4 2 3" xfId="31114"/>
    <cellStyle name="Normal 2 2 2 2 2 2 2 2 2 3 4 2 3 2" xfId="41254"/>
    <cellStyle name="Normal 2 2 2 2 2 2 2 2 2 3 4 3" xfId="11041"/>
    <cellStyle name="Normal 2 2 2 2 2 2 2 2 2 3 4 3 2" xfId="39461"/>
    <cellStyle name="Normal 2 2 2 2 2 2 2 2 2 3 4 3 2 2" xfId="46400"/>
    <cellStyle name="Normal 2 2 2 2 2 2 2 2 2 3 4 4" xfId="24535"/>
    <cellStyle name="Normal 2 2 2 2 2 2 2 2 2 3 5" xfId="9209"/>
    <cellStyle name="Normal 2 2 2 2 2 2 2 2 2 3 5 2" xfId="14202"/>
    <cellStyle name="Normal 2 2 2 2 2 2 2 2 2 3 5 2 2" xfId="44592"/>
    <cellStyle name="Normal 2 2 2 2 2 2 2 2 2 3 5 2 2 2" xfId="49547"/>
    <cellStyle name="Normal 2 2 2 2 2 2 2 2 2 3 5 3" xfId="27708"/>
    <cellStyle name="Normal 2 2 2 2 2 2 2 2 2 3 6" xfId="22706"/>
    <cellStyle name="Normal 2 2 2 2 2 2 2 2 2 3 6 2" xfId="36014"/>
    <cellStyle name="Normal 2 2 2 2 2 2 2 2 2 4" xfId="802"/>
    <cellStyle name="Normal 2 2 2 2 2 2 2 2 2 4 2" xfId="2448"/>
    <cellStyle name="Normal 2 2 2 2 2 2 2 2 2 4 2 2" xfId="2858"/>
    <cellStyle name="Normal 2 2 2 2 2 2 2 2 2 4 2 2 2" xfId="7680"/>
    <cellStyle name="Normal 2 2 2 2 2 2 2 2 2 4 2 2 2 2" xfId="8074"/>
    <cellStyle name="Normal 2 2 2 2 2 2 2 2 2 4 2 2 2 2 2" xfId="21232"/>
    <cellStyle name="Normal 2 2 2 2 2 2 2 2 2 4 2 2 2 2 2 2" xfId="21626"/>
    <cellStyle name="Normal 2 2 2 2 2 2 2 2 2 4 2 2 2 2 2 2 2" xfId="56558"/>
    <cellStyle name="Normal 2 2 2 2 2 2 2 2 2 4 2 2 2 2 2 2 2 2" xfId="56952"/>
    <cellStyle name="Normal 2 2 2 2 2 2 2 2 2 4 2 2 2 2 2 3" xfId="35129"/>
    <cellStyle name="Normal 2 2 2 2 2 2 2 2 2 4 2 2 2 2 3" xfId="34735"/>
    <cellStyle name="Normal 2 2 2 2 2 2 2 2 2 4 2 2 2 2 3 2" xfId="43501"/>
    <cellStyle name="Normal 2 2 2 2 2 2 2 2 2 4 2 2 2 3" xfId="13299"/>
    <cellStyle name="Normal 2 2 2 2 2 2 2 2 2 4 2 2 2 3 2" xfId="43107"/>
    <cellStyle name="Normal 2 2 2 2 2 2 2 2 2 4 2 2 2 3 2 2" xfId="48645"/>
    <cellStyle name="Normal 2 2 2 2 2 2 2 2 2 4 2 2 2 4" xfId="26783"/>
    <cellStyle name="Normal 2 2 2 2 2 2 2 2 2 4 2 2 3" xfId="12905"/>
    <cellStyle name="Normal 2 2 2 2 2 2 2 2 2 4 2 2 3 2" xfId="16516"/>
    <cellStyle name="Normal 2 2 2 2 2 2 2 2 2 4 2 2 3 2 2" xfId="48251"/>
    <cellStyle name="Normal 2 2 2 2 2 2 2 2 2 4 2 2 3 2 2 2" xfId="51844"/>
    <cellStyle name="Normal 2 2 2 2 2 2 2 2 2 4 2 2 3 3" xfId="30018"/>
    <cellStyle name="Normal 2 2 2 2 2 2 2 2 2 4 2 2 4" xfId="26389"/>
    <cellStyle name="Normal 2 2 2 2 2 2 2 2 2 4 2 2 4 2" xfId="38328"/>
    <cellStyle name="Normal 2 2 2 2 2 2 2 2 2 4 2 3" xfId="4894"/>
    <cellStyle name="Normal 2 2 2 2 2 2 2 2 2 4 2 3 2" xfId="16111"/>
    <cellStyle name="Normal 2 2 2 2 2 2 2 2 2 4 2 3 2 2" xfId="18468"/>
    <cellStyle name="Normal 2 2 2 2 2 2 2 2 2 4 2 3 2 2 2" xfId="51443"/>
    <cellStyle name="Normal 2 2 2 2 2 2 2 2 2 4 2 3 2 2 2 2" xfId="53794"/>
    <cellStyle name="Normal 2 2 2 2 2 2 2 2 2 4 2 3 2 3" xfId="31969"/>
    <cellStyle name="Normal 2 2 2 2 2 2 2 2 2 4 2 3 3" xfId="29617"/>
    <cellStyle name="Normal 2 2 2 2 2 2 2 2 2 4 2 3 3 2" xfId="40331"/>
    <cellStyle name="Normal 2 2 2 2 2 2 2 2 2 4 2 4" xfId="10097"/>
    <cellStyle name="Normal 2 2 2 2 2 2 2 2 2 4 2 4 2" xfId="37926"/>
    <cellStyle name="Normal 2 2 2 2 2 2 2 2 2 4 2 4 2 2" xfId="45461"/>
    <cellStyle name="Normal 2 2 2 2 2 2 2 2 2 4 2 5" xfId="23584"/>
    <cellStyle name="Normal 2 2 2 2 2 2 2 2 2 4 3" xfId="4483"/>
    <cellStyle name="Normal 2 2 2 2 2 2 2 2 2 4 3 2" xfId="6118"/>
    <cellStyle name="Normal 2 2 2 2 2 2 2 2 2 4 3 2 2" xfId="18073"/>
    <cellStyle name="Normal 2 2 2 2 2 2 2 2 2 4 3 2 2 2" xfId="19680"/>
    <cellStyle name="Normal 2 2 2 2 2 2 2 2 2 4 3 2 2 2 2" xfId="53399"/>
    <cellStyle name="Normal 2 2 2 2 2 2 2 2 2 4 3 2 2 2 2 2" xfId="55006"/>
    <cellStyle name="Normal 2 2 2 2 2 2 2 2 2 4 3 2 2 3" xfId="33181"/>
    <cellStyle name="Normal 2 2 2 2 2 2 2 2 2 4 3 2 3" xfId="31574"/>
    <cellStyle name="Normal 2 2 2 2 2 2 2 2 2 4 3 2 3 2" xfId="41551"/>
    <cellStyle name="Normal 2 2 2 2 2 2 2 2 2 4 3 3" xfId="11344"/>
    <cellStyle name="Normal 2 2 2 2 2 2 2 2 2 4 3 3 2" xfId="39925"/>
    <cellStyle name="Normal 2 2 2 2 2 2 2 2 2 4 3 3 2 2" xfId="46697"/>
    <cellStyle name="Normal 2 2 2 2 2 2 2 2 2 4 3 4" xfId="24834"/>
    <cellStyle name="Normal 2 2 2 2 2 2 2 2 2 4 4" xfId="9688"/>
    <cellStyle name="Normal 2 2 2 2 2 2 2 2 2 4 4 2" xfId="14502"/>
    <cellStyle name="Normal 2 2 2 2 2 2 2 2 2 4 4 2 2" xfId="45066"/>
    <cellStyle name="Normal 2 2 2 2 2 2 2 2 2 4 4 2 2 2" xfId="49844"/>
    <cellStyle name="Normal 2 2 2 2 2 2 2 2 2 4 4 3" xfId="28013"/>
    <cellStyle name="Normal 2 2 2 2 2 2 2 2 2 4 5" xfId="23189"/>
    <cellStyle name="Normal 2 2 2 2 2 2 2 2 2 4 5 2" xfId="36312"/>
    <cellStyle name="Normal 2 2 2 2 2 2 2 2 2 5" xfId="1589"/>
    <cellStyle name="Normal 2 2 2 2 2 2 2 2 2 5 2" xfId="5690"/>
    <cellStyle name="Normal 2 2 2 2 2 2 2 2 2 5 2 2" xfId="6861"/>
    <cellStyle name="Normal 2 2 2 2 2 2 2 2 2 5 2 2 2" xfId="19262"/>
    <cellStyle name="Normal 2 2 2 2 2 2 2 2 2 5 2 2 2 2" xfId="20414"/>
    <cellStyle name="Normal 2 2 2 2 2 2 2 2 2 5 2 2 2 2 2" xfId="54588"/>
    <cellStyle name="Normal 2 2 2 2 2 2 2 2 2 5 2 2 2 2 2 2" xfId="55740"/>
    <cellStyle name="Normal 2 2 2 2 2 2 2 2 2 5 2 2 2 3" xfId="33916"/>
    <cellStyle name="Normal 2 2 2 2 2 2 2 2 2 5 2 2 3" xfId="32763"/>
    <cellStyle name="Normal 2 2 2 2 2 2 2 2 2 5 2 2 3 2" xfId="42289"/>
    <cellStyle name="Normal 2 2 2 2 2 2 2 2 2 5 2 3" xfId="12085"/>
    <cellStyle name="Normal 2 2 2 2 2 2 2 2 2 5 2 3 2" xfId="41126"/>
    <cellStyle name="Normal 2 2 2 2 2 2 2 2 2 5 2 3 2 2" xfId="47432"/>
    <cellStyle name="Normal 2 2 2 2 2 2 2 2 2 5 2 4" xfId="25570"/>
    <cellStyle name="Normal 2 2 2 2 2 2 2 2 2 5 3" xfId="10908"/>
    <cellStyle name="Normal 2 2 2 2 2 2 2 2 2 5 3 2" xfId="15265"/>
    <cellStyle name="Normal 2 2 2 2 2 2 2 2 2 5 3 2 2" xfId="46270"/>
    <cellStyle name="Normal 2 2 2 2 2 2 2 2 2 5 3 2 2 2" xfId="50602"/>
    <cellStyle name="Normal 2 2 2 2 2 2 2 2 2 5 3 3" xfId="28776"/>
    <cellStyle name="Normal 2 2 2 2 2 2 2 2 2 5 4" xfId="24401"/>
    <cellStyle name="Normal 2 2 2 2 2 2 2 2 2 5 4 2" xfId="37077"/>
    <cellStyle name="Normal 2 2 2 2 2 2 2 2 2 6" xfId="3590"/>
    <cellStyle name="Normal 2 2 2 2 2 2 2 2 2 6 2" xfId="14074"/>
    <cellStyle name="Normal 2 2 2 2 2 2 2 2 2 6 2 2" xfId="17226"/>
    <cellStyle name="Normal 2 2 2 2 2 2 2 2 2 6 2 2 2" xfId="49420"/>
    <cellStyle name="Normal 2 2 2 2 2 2 2 2 2 6 2 2 2 2" xfId="52553"/>
    <cellStyle name="Normal 2 2 2 2 2 2 2 2 2 6 2 3" xfId="30727"/>
    <cellStyle name="Normal 2 2 2 2 2 2 2 2 2 6 3" xfId="27573"/>
    <cellStyle name="Normal 2 2 2 2 2 2 2 2 2 6 3 2" xfId="39047"/>
    <cellStyle name="Normal 2 2 2 2 2 2 2 2 2 7" xfId="8781"/>
    <cellStyle name="Normal 2 2 2 2 2 2 2 2 2 7 2" xfId="35886"/>
    <cellStyle name="Normal 2 2 2 2 2 2 2 2 2 7 2 2" xfId="44194"/>
    <cellStyle name="Normal 2 2 2 2 2 2 2 2 2 8" xfId="22298"/>
    <cellStyle name="Normal 2 2 2 2 2 2 2 2 3" xfId="480"/>
    <cellStyle name="Normal 2 2 2 2 2 2 2 2 3 2" xfId="567"/>
    <cellStyle name="Normal 2 2 2 2 2 2 2 2 3 2 2" xfId="1295"/>
    <cellStyle name="Normal 2 2 2 2 2 2 2 2 3 2 2 2" xfId="1365"/>
    <cellStyle name="Normal 2 2 2 2 2 2 2 2 3 2 2 2 2" xfId="3313"/>
    <cellStyle name="Normal 2 2 2 2 2 2 2 2 3 2 2 2 2 2" xfId="3383"/>
    <cellStyle name="Normal 2 2 2 2 2 2 2 2 3 2 2 2 2 2 2" xfId="8528"/>
    <cellStyle name="Normal 2 2 2 2 2 2 2 2 3 2 2 2 2 2 2 2" xfId="8598"/>
    <cellStyle name="Normal 2 2 2 2 2 2 2 2 3 2 2 2 2 2 2 2 2" xfId="22080"/>
    <cellStyle name="Normal 2 2 2 2 2 2 2 2 3 2 2 2 2 2 2 2 2 2" xfId="22150"/>
    <cellStyle name="Normal 2 2 2 2 2 2 2 2 3 2 2 2 2 2 2 2 2 2 2" xfId="57406"/>
    <cellStyle name="Normal 2 2 2 2 2 2 2 2 3 2 2 2 2 2 2 2 2 2 2 2" xfId="57476"/>
    <cellStyle name="Normal 2 2 2 2 2 2 2 2 3 2 2 2 2 2 2 2 2 3" xfId="35653"/>
    <cellStyle name="Normal 2 2 2 2 2 2 2 2 3 2 2 2 2 2 2 2 3" xfId="35583"/>
    <cellStyle name="Normal 2 2 2 2 2 2 2 2 3 2 2 2 2 2 2 2 3 2" xfId="44025"/>
    <cellStyle name="Normal 2 2 2 2 2 2 2 2 3 2 2 2 2 2 2 3" xfId="13823"/>
    <cellStyle name="Normal 2 2 2 2 2 2 2 2 3 2 2 2 2 2 2 3 2" xfId="43955"/>
    <cellStyle name="Normal 2 2 2 2 2 2 2 2 3 2 2 2 2 2 2 3 2 2" xfId="49169"/>
    <cellStyle name="Normal 2 2 2 2 2 2 2 2 3 2 2 2 2 2 2 4" xfId="27308"/>
    <cellStyle name="Normal 2 2 2 2 2 2 2 2 3 2 2 2 2 2 3" xfId="13753"/>
    <cellStyle name="Normal 2 2 2 2 2 2 2 2 3 2 2 2 2 2 3 2" xfId="17040"/>
    <cellStyle name="Normal 2 2 2 2 2 2 2 2 3 2 2 2 2 2 3 2 2" xfId="49099"/>
    <cellStyle name="Normal 2 2 2 2 2 2 2 2 3 2 2 2 2 2 3 2 2 2" xfId="52368"/>
    <cellStyle name="Normal 2 2 2 2 2 2 2 2 3 2 2 2 2 2 3 3" xfId="30542"/>
    <cellStyle name="Normal 2 2 2 2 2 2 2 2 3 2 2 2 2 2 4" xfId="27238"/>
    <cellStyle name="Normal 2 2 2 2 2 2 2 2 3 2 2 2 2 2 4 2" xfId="38852"/>
    <cellStyle name="Normal 2 2 2 2 2 2 2 2 3 2 2 2 2 3" xfId="5420"/>
    <cellStyle name="Normal 2 2 2 2 2 2 2 2 3 2 2 2 2 3 2" xfId="16970"/>
    <cellStyle name="Normal 2 2 2 2 2 2 2 2 3 2 2 2 2 3 2 2" xfId="18993"/>
    <cellStyle name="Normal 2 2 2 2 2 2 2 2 3 2 2 2 2 3 2 2 2" xfId="52298"/>
    <cellStyle name="Normal 2 2 2 2 2 2 2 2 3 2 2 2 2 3 2 2 2 2" xfId="54319"/>
    <cellStyle name="Normal 2 2 2 2 2 2 2 2 3 2 2 2 2 3 2 3" xfId="32494"/>
    <cellStyle name="Normal 2 2 2 2 2 2 2 2 3 2 2 2 2 3 3" xfId="30472"/>
    <cellStyle name="Normal 2 2 2 2 2 2 2 2 3 2 2 2 2 3 3 2" xfId="40857"/>
    <cellStyle name="Normal 2 2 2 2 2 2 2 2 3 2 2 2 2 4" xfId="10623"/>
    <cellStyle name="Normal 2 2 2 2 2 2 2 2 3 2 2 2 2 4 2" xfId="38782"/>
    <cellStyle name="Normal 2 2 2 2 2 2 2 2 3 2 2 2 2 4 2 2" xfId="45986"/>
    <cellStyle name="Normal 2 2 2 2 2 2 2 2 3 2 2 2 2 5" xfId="24109"/>
    <cellStyle name="Normal 2 2 2 2 2 2 2 2 3 2 2 2 3" xfId="5350"/>
    <cellStyle name="Normal 2 2 2 2 2 2 2 2 3 2 2 2 3 2" xfId="6673"/>
    <cellStyle name="Normal 2 2 2 2 2 2 2 2 3 2 2 2 3 2 2" xfId="18923"/>
    <cellStyle name="Normal 2 2 2 2 2 2 2 2 3 2 2 2 3 2 2 2" xfId="20226"/>
    <cellStyle name="Normal 2 2 2 2 2 2 2 2 3 2 2 2 3 2 2 2 2" xfId="54249"/>
    <cellStyle name="Normal 2 2 2 2 2 2 2 2 3 2 2 2 3 2 2 2 2 2" xfId="55552"/>
    <cellStyle name="Normal 2 2 2 2 2 2 2 2 3 2 2 2 3 2 2 3" xfId="33728"/>
    <cellStyle name="Normal 2 2 2 2 2 2 2 2 3 2 2 2 3 2 3" xfId="32424"/>
    <cellStyle name="Normal 2 2 2 2 2 2 2 2 3 2 2 2 3 2 3 2" xfId="42101"/>
    <cellStyle name="Normal 2 2 2 2 2 2 2 2 3 2 2 2 3 3" xfId="11896"/>
    <cellStyle name="Normal 2 2 2 2 2 2 2 2 3 2 2 2 3 3 2" xfId="40787"/>
    <cellStyle name="Normal 2 2 2 2 2 2 2 2 3 2 2 2 3 3 2 2" xfId="47244"/>
    <cellStyle name="Normal 2 2 2 2 2 2 2 2 3 2 2 2 3 4" xfId="25381"/>
    <cellStyle name="Normal 2 2 2 2 2 2 2 2 3 2 2 2 4" xfId="10553"/>
    <cellStyle name="Normal 2 2 2 2 2 2 2 2 3 2 2 2 4 2" xfId="15054"/>
    <cellStyle name="Normal 2 2 2 2 2 2 2 2 3 2 2 2 4 2 2" xfId="45916"/>
    <cellStyle name="Normal 2 2 2 2 2 2 2 2 3 2 2 2 4 2 2 2" xfId="50393"/>
    <cellStyle name="Normal 2 2 2 2 2 2 2 2 3 2 2 2 4 3" xfId="28567"/>
    <cellStyle name="Normal 2 2 2 2 2 2 2 2 3 2 2 2 5" xfId="24039"/>
    <cellStyle name="Normal 2 2 2 2 2 2 2 2 3 2 2 2 5 2" xfId="36862"/>
    <cellStyle name="Normal 2 2 2 2 2 2 2 2 3 2 2 3" xfId="2172"/>
    <cellStyle name="Normal 2 2 2 2 2 2 2 2 3 2 2 3 2" xfId="6603"/>
    <cellStyle name="Normal 2 2 2 2 2 2 2 2 3 2 2 3 2 2" xfId="7406"/>
    <cellStyle name="Normal 2 2 2 2 2 2 2 2 3 2 2 3 2 2 2" xfId="20156"/>
    <cellStyle name="Normal 2 2 2 2 2 2 2 2 3 2 2 3 2 2 2 2" xfId="20958"/>
    <cellStyle name="Normal 2 2 2 2 2 2 2 2 3 2 2 3 2 2 2 2 2" xfId="55482"/>
    <cellStyle name="Normal 2 2 2 2 2 2 2 2 3 2 2 3 2 2 2 2 2 2" xfId="56284"/>
    <cellStyle name="Normal 2 2 2 2 2 2 2 2 3 2 2 3 2 2 2 3" xfId="34461"/>
    <cellStyle name="Normal 2 2 2 2 2 2 2 2 3 2 2 3 2 2 3" xfId="33658"/>
    <cellStyle name="Normal 2 2 2 2 2 2 2 2 3 2 2 3 2 2 3 2" xfId="42833"/>
    <cellStyle name="Normal 2 2 2 2 2 2 2 2 3 2 2 3 2 3" xfId="12631"/>
    <cellStyle name="Normal 2 2 2 2 2 2 2 2 3 2 2 3 2 3 2" xfId="42031"/>
    <cellStyle name="Normal 2 2 2 2 2 2 2 2 3 2 2 3 2 3 2 2" xfId="47977"/>
    <cellStyle name="Normal 2 2 2 2 2 2 2 2 3 2 2 3 2 4" xfId="26115"/>
    <cellStyle name="Normal 2 2 2 2 2 2 2 2 3 2 2 3 3" xfId="11826"/>
    <cellStyle name="Normal 2 2 2 2 2 2 2 2 3 2 2 3 3 2" xfId="15836"/>
    <cellStyle name="Normal 2 2 2 2 2 2 2 2 3 2 2 3 3 2 2" xfId="47174"/>
    <cellStyle name="Normal 2 2 2 2 2 2 2 2 3 2 2 3 3 2 2 2" xfId="51168"/>
    <cellStyle name="Normal 2 2 2 2 2 2 2 2 3 2 2 3 3 3" xfId="29342"/>
    <cellStyle name="Normal 2 2 2 2 2 2 2 2 3 2 2 3 4" xfId="25311"/>
    <cellStyle name="Normal 2 2 2 2 2 2 2 2 3 2 2 3 4 2" xfId="37650"/>
    <cellStyle name="Normal 2 2 2 2 2 2 2 2 3 2 2 4" xfId="4188"/>
    <cellStyle name="Normal 2 2 2 2 2 2 2 2 3 2 2 4 2" xfId="14984"/>
    <cellStyle name="Normal 2 2 2 2 2 2 2 2 3 2 2 4 2 2" xfId="17781"/>
    <cellStyle name="Normal 2 2 2 2 2 2 2 2 3 2 2 4 2 2 2" xfId="50323"/>
    <cellStyle name="Normal 2 2 2 2 2 2 2 2 3 2 2 4 2 2 2 2" xfId="53108"/>
    <cellStyle name="Normal 2 2 2 2 2 2 2 2 3 2 2 4 2 3" xfId="31283"/>
    <cellStyle name="Normal 2 2 2 2 2 2 2 2 3 2 2 4 3" xfId="28497"/>
    <cellStyle name="Normal 2 2 2 2 2 2 2 2 3 2 2 4 3 2" xfId="39631"/>
    <cellStyle name="Normal 2 2 2 2 2 2 2 2 3 2 2 5" xfId="9379"/>
    <cellStyle name="Normal 2 2 2 2 2 2 2 2 3 2 2 5 2" xfId="36792"/>
    <cellStyle name="Normal 2 2 2 2 2 2 2 2 3 2 2 5 2 2" xfId="44761"/>
    <cellStyle name="Normal 2 2 2 2 2 2 2 2 3 2 2 6" xfId="22875"/>
    <cellStyle name="Normal 2 2 2 2 2 2 2 2 3 2 3" xfId="2101"/>
    <cellStyle name="Normal 2 2 2 2 2 2 2 2 3 2 3 2" xfId="2658"/>
    <cellStyle name="Normal 2 2 2 2 2 2 2 2 3 2 3 2 2" xfId="7335"/>
    <cellStyle name="Normal 2 2 2 2 2 2 2 2 3 2 3 2 2 2" xfId="7877"/>
    <cellStyle name="Normal 2 2 2 2 2 2 2 2 3 2 3 2 2 2 2" xfId="20887"/>
    <cellStyle name="Normal 2 2 2 2 2 2 2 2 3 2 3 2 2 2 2 2" xfId="21429"/>
    <cellStyle name="Normal 2 2 2 2 2 2 2 2 3 2 3 2 2 2 2 2 2" xfId="56213"/>
    <cellStyle name="Normal 2 2 2 2 2 2 2 2 3 2 3 2 2 2 2 2 2 2" xfId="56755"/>
    <cellStyle name="Normal 2 2 2 2 2 2 2 2 3 2 3 2 2 2 2 3" xfId="34932"/>
    <cellStyle name="Normal 2 2 2 2 2 2 2 2 3 2 3 2 2 2 3" xfId="34390"/>
    <cellStyle name="Normal 2 2 2 2 2 2 2 2 3 2 3 2 2 2 3 2" xfId="43304"/>
    <cellStyle name="Normal 2 2 2 2 2 2 2 2 3 2 3 2 2 3" xfId="13102"/>
    <cellStyle name="Normal 2 2 2 2 2 2 2 2 3 2 3 2 2 3 2" xfId="42762"/>
    <cellStyle name="Normal 2 2 2 2 2 2 2 2 3 2 3 2 2 3 2 2" xfId="48448"/>
    <cellStyle name="Normal 2 2 2 2 2 2 2 2 3 2 3 2 2 4" xfId="26586"/>
    <cellStyle name="Normal 2 2 2 2 2 2 2 2 3 2 3 2 3" xfId="12560"/>
    <cellStyle name="Normal 2 2 2 2 2 2 2 2 3 2 3 2 3 2" xfId="16317"/>
    <cellStyle name="Normal 2 2 2 2 2 2 2 2 3 2 3 2 3 2 2" xfId="47906"/>
    <cellStyle name="Normal 2 2 2 2 2 2 2 2 3 2 3 2 3 2 2 2" xfId="51647"/>
    <cellStyle name="Normal 2 2 2 2 2 2 2 2 3 2 3 2 3 3" xfId="29821"/>
    <cellStyle name="Normal 2 2 2 2 2 2 2 2 3 2 3 2 4" xfId="26044"/>
    <cellStyle name="Normal 2 2 2 2 2 2 2 2 3 2 3 2 4 2" xfId="38131"/>
    <cellStyle name="Normal 2 2 2 2 2 2 2 2 3 2 3 3" xfId="4693"/>
    <cellStyle name="Normal 2 2 2 2 2 2 2 2 3 2 3 3 2" xfId="15765"/>
    <cellStyle name="Normal 2 2 2 2 2 2 2 2 3 2 3 3 2 2" xfId="18271"/>
    <cellStyle name="Normal 2 2 2 2 2 2 2 2 3 2 3 3 2 2 2" xfId="51097"/>
    <cellStyle name="Normal 2 2 2 2 2 2 2 2 3 2 3 3 2 2 2 2" xfId="53597"/>
    <cellStyle name="Normal 2 2 2 2 2 2 2 2 3 2 3 3 2 3" xfId="31772"/>
    <cellStyle name="Normal 2 2 2 2 2 2 2 2 3 2 3 3 3" xfId="29271"/>
    <cellStyle name="Normal 2 2 2 2 2 2 2 2 3 2 3 3 3 2" xfId="40132"/>
    <cellStyle name="Normal 2 2 2 2 2 2 2 2 3 2 3 4" xfId="9896"/>
    <cellStyle name="Normal 2 2 2 2 2 2 2 2 3 2 3 4 2" xfId="37579"/>
    <cellStyle name="Normal 2 2 2 2 2 2 2 2 3 2 3 4 2 2" xfId="45264"/>
    <cellStyle name="Normal 2 2 2 2 2 2 2 2 3 2 3 5" xfId="23387"/>
    <cellStyle name="Normal 2 2 2 2 2 2 2 2 3 2 4" xfId="4117"/>
    <cellStyle name="Normal 2 2 2 2 2 2 2 2 3 2 4 2" xfId="5899"/>
    <cellStyle name="Normal 2 2 2 2 2 2 2 2 3 2 4 2 2" xfId="17710"/>
    <cellStyle name="Normal 2 2 2 2 2 2 2 2 3 2 4 2 2 2" xfId="19466"/>
    <cellStyle name="Normal 2 2 2 2 2 2 2 2 3 2 4 2 2 2 2" xfId="53037"/>
    <cellStyle name="Normal 2 2 2 2 2 2 2 2 3 2 4 2 2 2 2 2" xfId="54792"/>
    <cellStyle name="Normal 2 2 2 2 2 2 2 2 3 2 4 2 2 3" xfId="32967"/>
    <cellStyle name="Normal 2 2 2 2 2 2 2 2 3 2 4 2 3" xfId="31212"/>
    <cellStyle name="Normal 2 2 2 2 2 2 2 2 3 2 4 2 3 2" xfId="41333"/>
    <cellStyle name="Normal 2 2 2 2 2 2 2 2 3 2 4 3" xfId="11124"/>
    <cellStyle name="Normal 2 2 2 2 2 2 2 2 3 2 4 3 2" xfId="39560"/>
    <cellStyle name="Normal 2 2 2 2 2 2 2 2 3 2 4 3 2 2" xfId="46482"/>
    <cellStyle name="Normal 2 2 2 2 2 2 2 2 3 2 4 4" xfId="24616"/>
    <cellStyle name="Normal 2 2 2 2 2 2 2 2 3 2 5" xfId="9308"/>
    <cellStyle name="Normal 2 2 2 2 2 2 2 2 3 2 5 2" xfId="14283"/>
    <cellStyle name="Normal 2 2 2 2 2 2 2 2 3 2 5 2 2" xfId="44690"/>
    <cellStyle name="Normal 2 2 2 2 2 2 2 2 3 2 5 2 2 2" xfId="49628"/>
    <cellStyle name="Normal 2 2 2 2 2 2 2 2 3 2 5 3" xfId="27792"/>
    <cellStyle name="Normal 2 2 2 2 2 2 2 2 3 2 6" xfId="22804"/>
    <cellStyle name="Normal 2 2 2 2 2 2 2 2 3 2 6 2" xfId="36095"/>
    <cellStyle name="Normal 2 2 2 2 2 2 2 2 3 3" xfId="895"/>
    <cellStyle name="Normal 2 2 2 2 2 2 2 2 3 3 2" xfId="2579"/>
    <cellStyle name="Normal 2 2 2 2 2 2 2 2 3 3 2 2" xfId="2935"/>
    <cellStyle name="Normal 2 2 2 2 2 2 2 2 3 3 2 2 2" xfId="7800"/>
    <cellStyle name="Normal 2 2 2 2 2 2 2 2 3 3 2 2 2 2" xfId="8150"/>
    <cellStyle name="Normal 2 2 2 2 2 2 2 2 3 3 2 2 2 2 2" xfId="21352"/>
    <cellStyle name="Normal 2 2 2 2 2 2 2 2 3 3 2 2 2 2 2 2" xfId="21702"/>
    <cellStyle name="Normal 2 2 2 2 2 2 2 2 3 3 2 2 2 2 2 2 2" xfId="56678"/>
    <cellStyle name="Normal 2 2 2 2 2 2 2 2 3 3 2 2 2 2 2 2 2 2" xfId="57028"/>
    <cellStyle name="Normal 2 2 2 2 2 2 2 2 3 3 2 2 2 2 2 3" xfId="35205"/>
    <cellStyle name="Normal 2 2 2 2 2 2 2 2 3 3 2 2 2 2 3" xfId="34855"/>
    <cellStyle name="Normal 2 2 2 2 2 2 2 2 3 3 2 2 2 2 3 2" xfId="43577"/>
    <cellStyle name="Normal 2 2 2 2 2 2 2 2 3 3 2 2 2 3" xfId="13375"/>
    <cellStyle name="Normal 2 2 2 2 2 2 2 2 3 3 2 2 2 3 2" xfId="43227"/>
    <cellStyle name="Normal 2 2 2 2 2 2 2 2 3 3 2 2 2 3 2 2" xfId="48721"/>
    <cellStyle name="Normal 2 2 2 2 2 2 2 2 3 3 2 2 2 4" xfId="26860"/>
    <cellStyle name="Normal 2 2 2 2 2 2 2 2 3 3 2 2 3" xfId="13025"/>
    <cellStyle name="Normal 2 2 2 2 2 2 2 2 3 3 2 2 3 2" xfId="16592"/>
    <cellStyle name="Normal 2 2 2 2 2 2 2 2 3 3 2 2 3 2 2" xfId="48371"/>
    <cellStyle name="Normal 2 2 2 2 2 2 2 2 3 3 2 2 3 2 2 2" xfId="51920"/>
    <cellStyle name="Normal 2 2 2 2 2 2 2 2 3 3 2 2 3 3" xfId="30094"/>
    <cellStyle name="Normal 2 2 2 2 2 2 2 2 3 3 2 2 4" xfId="26509"/>
    <cellStyle name="Normal 2 2 2 2 2 2 2 2 3 3 2 2 4 2" xfId="38404"/>
    <cellStyle name="Normal 2 2 2 2 2 2 2 2 3 3 2 3" xfId="4971"/>
    <cellStyle name="Normal 2 2 2 2 2 2 2 2 3 3 2 3 2" xfId="16238"/>
    <cellStyle name="Normal 2 2 2 2 2 2 2 2 3 3 2 3 2 2" xfId="18544"/>
    <cellStyle name="Normal 2 2 2 2 2 2 2 2 3 3 2 3 2 2 2" xfId="51568"/>
    <cellStyle name="Normal 2 2 2 2 2 2 2 2 3 3 2 3 2 2 2 2" xfId="53870"/>
    <cellStyle name="Normal 2 2 2 2 2 2 2 2 3 3 2 3 2 3" xfId="32045"/>
    <cellStyle name="Normal 2 2 2 2 2 2 2 2 3 3 2 3 3" xfId="29742"/>
    <cellStyle name="Normal 2 2 2 2 2 2 2 2 3 3 2 3 3 2" xfId="40408"/>
    <cellStyle name="Normal 2 2 2 2 2 2 2 2 3 3 2 4" xfId="10174"/>
    <cellStyle name="Normal 2 2 2 2 2 2 2 2 3 3 2 4 2" xfId="38052"/>
    <cellStyle name="Normal 2 2 2 2 2 2 2 2 3 3 2 4 2 2" xfId="45537"/>
    <cellStyle name="Normal 2 2 2 2 2 2 2 2 3 3 2 5" xfId="23660"/>
    <cellStyle name="Normal 2 2 2 2 2 2 2 2 3 3 3" xfId="4612"/>
    <cellStyle name="Normal 2 2 2 2 2 2 2 2 3 3 3 2" xfId="6206"/>
    <cellStyle name="Normal 2 2 2 2 2 2 2 2 3 3 3 2 2" xfId="18193"/>
    <cellStyle name="Normal 2 2 2 2 2 2 2 2 3 3 3 2 2 2" xfId="19765"/>
    <cellStyle name="Normal 2 2 2 2 2 2 2 2 3 3 3 2 2 2 2" xfId="53519"/>
    <cellStyle name="Normal 2 2 2 2 2 2 2 2 3 3 3 2 2 2 2 2" xfId="55091"/>
    <cellStyle name="Normal 2 2 2 2 2 2 2 2 3 3 3 2 2 3" xfId="33267"/>
    <cellStyle name="Normal 2 2 2 2 2 2 2 2 3 3 3 2 3" xfId="31694"/>
    <cellStyle name="Normal 2 2 2 2 2 2 2 2 3 3 3 2 3 2" xfId="41636"/>
    <cellStyle name="Normal 2 2 2 2 2 2 2 2 3 3 3 3" xfId="11431"/>
    <cellStyle name="Normal 2 2 2 2 2 2 2 2 3 3 3 3 2" xfId="40051"/>
    <cellStyle name="Normal 2 2 2 2 2 2 2 2 3 3 3 3 2 2" xfId="46782"/>
    <cellStyle name="Normal 2 2 2 2 2 2 2 2 3 3 3 4" xfId="24919"/>
    <cellStyle name="Normal 2 2 2 2 2 2 2 2 3 3 4" xfId="9816"/>
    <cellStyle name="Normal 2 2 2 2 2 2 2 2 3 3 4 2" xfId="14591"/>
    <cellStyle name="Normal 2 2 2 2 2 2 2 2 3 3 4 2 2" xfId="45186"/>
    <cellStyle name="Normal 2 2 2 2 2 2 2 2 3 3 4 2 2 2" xfId="49930"/>
    <cellStyle name="Normal 2 2 2 2 2 2 2 2 3 3 4 3" xfId="28101"/>
    <cellStyle name="Normal 2 2 2 2 2 2 2 2 3 3 5" xfId="23309"/>
    <cellStyle name="Normal 2 2 2 2 2 2 2 2 3 3 5 2" xfId="36399"/>
    <cellStyle name="Normal 2 2 2 2 2 2 2 2 3 4" xfId="1691"/>
    <cellStyle name="Normal 2 2 2 2 2 2 2 2 3 4 2" xfId="5818"/>
    <cellStyle name="Normal 2 2 2 2 2 2 2 2 3 4 2 2" xfId="6946"/>
    <cellStyle name="Normal 2 2 2 2 2 2 2 2 3 4 2 2 2" xfId="19386"/>
    <cellStyle name="Normal 2 2 2 2 2 2 2 2 3 4 2 2 2 2" xfId="20499"/>
    <cellStyle name="Normal 2 2 2 2 2 2 2 2 3 4 2 2 2 2 2" xfId="54712"/>
    <cellStyle name="Normal 2 2 2 2 2 2 2 2 3 4 2 2 2 2 2 2" xfId="55825"/>
    <cellStyle name="Normal 2 2 2 2 2 2 2 2 3 4 2 2 2 3" xfId="34001"/>
    <cellStyle name="Normal 2 2 2 2 2 2 2 2 3 4 2 2 3" xfId="32887"/>
    <cellStyle name="Normal 2 2 2 2 2 2 2 2 3 4 2 2 3 2" xfId="42374"/>
    <cellStyle name="Normal 2 2 2 2 2 2 2 2 3 4 2 3" xfId="12170"/>
    <cellStyle name="Normal 2 2 2 2 2 2 2 2 3 4 2 3 2" xfId="41253"/>
    <cellStyle name="Normal 2 2 2 2 2 2 2 2 3 4 2 3 2 2" xfId="47517"/>
    <cellStyle name="Normal 2 2 2 2 2 2 2 2 3 4 2 4" xfId="25655"/>
    <cellStyle name="Normal 2 2 2 2 2 2 2 2 3 4 3" xfId="11040"/>
    <cellStyle name="Normal 2 2 2 2 2 2 2 2 3 4 3 2" xfId="15363"/>
    <cellStyle name="Normal 2 2 2 2 2 2 2 2 3 4 3 2 2" xfId="46399"/>
    <cellStyle name="Normal 2 2 2 2 2 2 2 2 3 4 3 2 2 2" xfId="50697"/>
    <cellStyle name="Normal 2 2 2 2 2 2 2 2 3 4 3 3" xfId="28871"/>
    <cellStyle name="Normal 2 2 2 2 2 2 2 2 3 4 4" xfId="24534"/>
    <cellStyle name="Normal 2 2 2 2 2 2 2 2 3 4 4 2" xfId="37174"/>
    <cellStyle name="Normal 2 2 2 2 2 2 2 2 3 5" xfId="3696"/>
    <cellStyle name="Normal 2 2 2 2 2 2 2 2 3 5 2" xfId="14201"/>
    <cellStyle name="Normal 2 2 2 2 2 2 2 2 3 5 2 2" xfId="17314"/>
    <cellStyle name="Normal 2 2 2 2 2 2 2 2 3 5 2 2 2" xfId="49546"/>
    <cellStyle name="Normal 2 2 2 2 2 2 2 2 3 5 2 2 2 2" xfId="52641"/>
    <cellStyle name="Normal 2 2 2 2 2 2 2 2 3 5 2 3" xfId="30815"/>
    <cellStyle name="Normal 2 2 2 2 2 2 2 2 3 5 3" xfId="27707"/>
    <cellStyle name="Normal 2 2 2 2 2 2 2 2 3 5 3 2" xfId="39147"/>
    <cellStyle name="Normal 2 2 2 2 2 2 2 2 3 6" xfId="8885"/>
    <cellStyle name="Normal 2 2 2 2 2 2 2 2 3 6 2" xfId="36013"/>
    <cellStyle name="Normal 2 2 2 2 2 2 2 2 3 6 2 2" xfId="44286"/>
    <cellStyle name="Normal 2 2 2 2 2 2 2 2 3 7" xfId="22394"/>
    <cellStyle name="Normal 2 2 2 2 2 2 2 2 4" xfId="801"/>
    <cellStyle name="Normal 2 2 2 2 2 2 2 2 4 2" xfId="1063"/>
    <cellStyle name="Normal 2 2 2 2 2 2 2 2 4 2 2" xfId="2857"/>
    <cellStyle name="Normal 2 2 2 2 2 2 2 2 4 2 2 2" xfId="3099"/>
    <cellStyle name="Normal 2 2 2 2 2 2 2 2 4 2 2 2 2" xfId="8073"/>
    <cellStyle name="Normal 2 2 2 2 2 2 2 2 4 2 2 2 2 2" xfId="8314"/>
    <cellStyle name="Normal 2 2 2 2 2 2 2 2 4 2 2 2 2 2 2" xfId="21625"/>
    <cellStyle name="Normal 2 2 2 2 2 2 2 2 4 2 2 2 2 2 2 2" xfId="21866"/>
    <cellStyle name="Normal 2 2 2 2 2 2 2 2 4 2 2 2 2 2 2 2 2" xfId="56951"/>
    <cellStyle name="Normal 2 2 2 2 2 2 2 2 4 2 2 2 2 2 2 2 2 2" xfId="57192"/>
    <cellStyle name="Normal 2 2 2 2 2 2 2 2 4 2 2 2 2 2 2 3" xfId="35369"/>
    <cellStyle name="Normal 2 2 2 2 2 2 2 2 4 2 2 2 2 2 3" xfId="35128"/>
    <cellStyle name="Normal 2 2 2 2 2 2 2 2 4 2 2 2 2 2 3 2" xfId="43741"/>
    <cellStyle name="Normal 2 2 2 2 2 2 2 2 4 2 2 2 2 3" xfId="13539"/>
    <cellStyle name="Normal 2 2 2 2 2 2 2 2 4 2 2 2 2 3 2" xfId="43500"/>
    <cellStyle name="Normal 2 2 2 2 2 2 2 2 4 2 2 2 2 3 2 2" xfId="48885"/>
    <cellStyle name="Normal 2 2 2 2 2 2 2 2 4 2 2 2 2 4" xfId="27024"/>
    <cellStyle name="Normal 2 2 2 2 2 2 2 2 4 2 2 2 3" xfId="13298"/>
    <cellStyle name="Normal 2 2 2 2 2 2 2 2 4 2 2 2 3 2" xfId="16756"/>
    <cellStyle name="Normal 2 2 2 2 2 2 2 2 4 2 2 2 3 2 2" xfId="48644"/>
    <cellStyle name="Normal 2 2 2 2 2 2 2 2 4 2 2 2 3 2 2 2" xfId="52084"/>
    <cellStyle name="Normal 2 2 2 2 2 2 2 2 4 2 2 2 3 3" xfId="30258"/>
    <cellStyle name="Normal 2 2 2 2 2 2 2 2 4 2 2 2 4" xfId="26782"/>
    <cellStyle name="Normal 2 2 2 2 2 2 2 2 4 2 2 2 4 2" xfId="38568"/>
    <cellStyle name="Normal 2 2 2 2 2 2 2 2 4 2 2 3" xfId="5136"/>
    <cellStyle name="Normal 2 2 2 2 2 2 2 2 4 2 2 3 2" xfId="16515"/>
    <cellStyle name="Normal 2 2 2 2 2 2 2 2 4 2 2 3 2 2" xfId="18709"/>
    <cellStyle name="Normal 2 2 2 2 2 2 2 2 4 2 2 3 2 2 2" xfId="51843"/>
    <cellStyle name="Normal 2 2 2 2 2 2 2 2 4 2 2 3 2 2 2 2" xfId="54035"/>
    <cellStyle name="Normal 2 2 2 2 2 2 2 2 4 2 2 3 2 3" xfId="32210"/>
    <cellStyle name="Normal 2 2 2 2 2 2 2 2 4 2 2 3 3" xfId="30017"/>
    <cellStyle name="Normal 2 2 2 2 2 2 2 2 4 2 2 3 3 2" xfId="40573"/>
    <cellStyle name="Normal 2 2 2 2 2 2 2 2 4 2 2 4" xfId="10339"/>
    <cellStyle name="Normal 2 2 2 2 2 2 2 2 4 2 2 4 2" xfId="38327"/>
    <cellStyle name="Normal 2 2 2 2 2 2 2 2 4 2 2 4 2 2" xfId="45702"/>
    <cellStyle name="Normal 2 2 2 2 2 2 2 2 4 2 2 5" xfId="23825"/>
    <cellStyle name="Normal 2 2 2 2 2 2 2 2 4 2 3" xfId="4893"/>
    <cellStyle name="Normal 2 2 2 2 2 2 2 2 4 2 3 2" xfId="6373"/>
    <cellStyle name="Normal 2 2 2 2 2 2 2 2 4 2 3 2 2" xfId="18467"/>
    <cellStyle name="Normal 2 2 2 2 2 2 2 2 4 2 3 2 2 2" xfId="19930"/>
    <cellStyle name="Normal 2 2 2 2 2 2 2 2 4 2 3 2 2 2 2" xfId="53793"/>
    <cellStyle name="Normal 2 2 2 2 2 2 2 2 4 2 3 2 2 2 2 2" xfId="55256"/>
    <cellStyle name="Normal 2 2 2 2 2 2 2 2 4 2 3 2 2 3" xfId="33432"/>
    <cellStyle name="Normal 2 2 2 2 2 2 2 2 4 2 3 2 3" xfId="31968"/>
    <cellStyle name="Normal 2 2 2 2 2 2 2 2 4 2 3 2 3 2" xfId="41802"/>
    <cellStyle name="Normal 2 2 2 2 2 2 2 2 4 2 3 3" xfId="11599"/>
    <cellStyle name="Normal 2 2 2 2 2 2 2 2 4 2 3 3 2" xfId="40330"/>
    <cellStyle name="Normal 2 2 2 2 2 2 2 2 4 2 3 3 2 2" xfId="46948"/>
    <cellStyle name="Normal 2 2 2 2 2 2 2 2 4 2 3 4" xfId="25085"/>
    <cellStyle name="Normal 2 2 2 2 2 2 2 2 4 2 4" xfId="10096"/>
    <cellStyle name="Normal 2 2 2 2 2 2 2 2 4 2 4 2" xfId="14756"/>
    <cellStyle name="Normal 2 2 2 2 2 2 2 2 4 2 4 2 2" xfId="45460"/>
    <cellStyle name="Normal 2 2 2 2 2 2 2 2 4 2 4 2 2 2" xfId="50095"/>
    <cellStyle name="Normal 2 2 2 2 2 2 2 2 4 2 4 3" xfId="28268"/>
    <cellStyle name="Normal 2 2 2 2 2 2 2 2 4 2 5" xfId="23583"/>
    <cellStyle name="Normal 2 2 2 2 2 2 2 2 4 2 5 2" xfId="36564"/>
    <cellStyle name="Normal 2 2 2 2 2 2 2 2 4 3" xfId="1871"/>
    <cellStyle name="Normal 2 2 2 2 2 2 2 2 4 3 2" xfId="6117"/>
    <cellStyle name="Normal 2 2 2 2 2 2 2 2 4 3 2 2" xfId="7121"/>
    <cellStyle name="Normal 2 2 2 2 2 2 2 2 4 3 2 2 2" xfId="19679"/>
    <cellStyle name="Normal 2 2 2 2 2 2 2 2 4 3 2 2 2 2" xfId="20673"/>
    <cellStyle name="Normal 2 2 2 2 2 2 2 2 4 3 2 2 2 2 2" xfId="55005"/>
    <cellStyle name="Normal 2 2 2 2 2 2 2 2 4 3 2 2 2 2 2 2" xfId="55999"/>
    <cellStyle name="Normal 2 2 2 2 2 2 2 2 4 3 2 2 2 3" xfId="34176"/>
    <cellStyle name="Normal 2 2 2 2 2 2 2 2 4 3 2 2 3" xfId="33180"/>
    <cellStyle name="Normal 2 2 2 2 2 2 2 2 4 3 2 2 3 2" xfId="42548"/>
    <cellStyle name="Normal 2 2 2 2 2 2 2 2 4 3 2 3" xfId="12346"/>
    <cellStyle name="Normal 2 2 2 2 2 2 2 2 4 3 2 3 2" xfId="41550"/>
    <cellStyle name="Normal 2 2 2 2 2 2 2 2 4 3 2 3 2 2" xfId="47692"/>
    <cellStyle name="Normal 2 2 2 2 2 2 2 2 4 3 2 4" xfId="25830"/>
    <cellStyle name="Normal 2 2 2 2 2 2 2 2 4 3 3" xfId="11343"/>
    <cellStyle name="Normal 2 2 2 2 2 2 2 2 4 3 3 2" xfId="15542"/>
    <cellStyle name="Normal 2 2 2 2 2 2 2 2 4 3 3 2 2" xfId="46696"/>
    <cellStyle name="Normal 2 2 2 2 2 2 2 2 4 3 3 2 2 2" xfId="50874"/>
    <cellStyle name="Normal 2 2 2 2 2 2 2 2 4 3 3 3" xfId="29048"/>
    <cellStyle name="Normal 2 2 2 2 2 2 2 2 4 3 4" xfId="24833"/>
    <cellStyle name="Normal 2 2 2 2 2 2 2 2 4 3 4 2" xfId="37352"/>
    <cellStyle name="Normal 2 2 2 2 2 2 2 2 4 4" xfId="3885"/>
    <cellStyle name="Normal 2 2 2 2 2 2 2 2 4 4 2" xfId="14501"/>
    <cellStyle name="Normal 2 2 2 2 2 2 2 2 4 4 2 2" xfId="17496"/>
    <cellStyle name="Normal 2 2 2 2 2 2 2 2 4 4 2 2 2" xfId="49843"/>
    <cellStyle name="Normal 2 2 2 2 2 2 2 2 4 4 2 2 2 2" xfId="52823"/>
    <cellStyle name="Normal 2 2 2 2 2 2 2 2 4 4 2 3" xfId="30998"/>
    <cellStyle name="Normal 2 2 2 2 2 2 2 2 4 4 3" xfId="28012"/>
    <cellStyle name="Normal 2 2 2 2 2 2 2 2 4 4 3 2" xfId="39333"/>
    <cellStyle name="Normal 2 2 2 2 2 2 2 2 4 5" xfId="9079"/>
    <cellStyle name="Normal 2 2 2 2 2 2 2 2 4 5 2" xfId="36311"/>
    <cellStyle name="Normal 2 2 2 2 2 2 2 2 4 5 2 2" xfId="44475"/>
    <cellStyle name="Normal 2 2 2 2 2 2 2 2 4 6" xfId="22587"/>
    <cellStyle name="Normal 2 2 2 2 2 2 2 2 5" xfId="1588"/>
    <cellStyle name="Normal 2 2 2 2 2 2 2 2 5 2" xfId="2326"/>
    <cellStyle name="Normal 2 2 2 2 2 2 2 2 5 2 2" xfId="6860"/>
    <cellStyle name="Normal 2 2 2 2 2 2 2 2 5 2 2 2" xfId="7560"/>
    <cellStyle name="Normal 2 2 2 2 2 2 2 2 5 2 2 2 2" xfId="20413"/>
    <cellStyle name="Normal 2 2 2 2 2 2 2 2 5 2 2 2 2 2" xfId="21112"/>
    <cellStyle name="Normal 2 2 2 2 2 2 2 2 5 2 2 2 2 2 2" xfId="55739"/>
    <cellStyle name="Normal 2 2 2 2 2 2 2 2 5 2 2 2 2 2 2 2" xfId="56438"/>
    <cellStyle name="Normal 2 2 2 2 2 2 2 2 5 2 2 2 2 3" xfId="34615"/>
    <cellStyle name="Normal 2 2 2 2 2 2 2 2 5 2 2 2 3" xfId="33915"/>
    <cellStyle name="Normal 2 2 2 2 2 2 2 2 5 2 2 2 3 2" xfId="42987"/>
    <cellStyle name="Normal 2 2 2 2 2 2 2 2 5 2 2 3" xfId="12785"/>
    <cellStyle name="Normal 2 2 2 2 2 2 2 2 5 2 2 3 2" xfId="42288"/>
    <cellStyle name="Normal 2 2 2 2 2 2 2 2 5 2 2 3 2 2" xfId="48131"/>
    <cellStyle name="Normal 2 2 2 2 2 2 2 2 5 2 2 4" xfId="26269"/>
    <cellStyle name="Normal 2 2 2 2 2 2 2 2 5 2 3" xfId="12084"/>
    <cellStyle name="Normal 2 2 2 2 2 2 2 2 5 2 3 2" xfId="15990"/>
    <cellStyle name="Normal 2 2 2 2 2 2 2 2 5 2 3 2 2" xfId="47431"/>
    <cellStyle name="Normal 2 2 2 2 2 2 2 2 5 2 3 2 2 2" xfId="51322"/>
    <cellStyle name="Normal 2 2 2 2 2 2 2 2 5 2 3 3" xfId="29496"/>
    <cellStyle name="Normal 2 2 2 2 2 2 2 2 5 2 4" xfId="25569"/>
    <cellStyle name="Normal 2 2 2 2 2 2 2 2 5 2 4 2" xfId="37804"/>
    <cellStyle name="Normal 2 2 2 2 2 2 2 2 5 3" xfId="4355"/>
    <cellStyle name="Normal 2 2 2 2 2 2 2 2 5 3 2" xfId="15264"/>
    <cellStyle name="Normal 2 2 2 2 2 2 2 2 5 3 2 2" xfId="17948"/>
    <cellStyle name="Normal 2 2 2 2 2 2 2 2 5 3 2 2 2" xfId="50601"/>
    <cellStyle name="Normal 2 2 2 2 2 2 2 2 5 3 2 2 2 2" xfId="53275"/>
    <cellStyle name="Normal 2 2 2 2 2 2 2 2 5 3 2 3" xfId="31450"/>
    <cellStyle name="Normal 2 2 2 2 2 2 2 2 5 3 3" xfId="28775"/>
    <cellStyle name="Normal 2 2 2 2 2 2 2 2 5 3 3 2" xfId="39798"/>
    <cellStyle name="Normal 2 2 2 2 2 2 2 2 5 4" xfId="9554"/>
    <cellStyle name="Normal 2 2 2 2 2 2 2 2 5 4 2" xfId="37076"/>
    <cellStyle name="Normal 2 2 2 2 2 2 2 2 5 4 2 2" xfId="44936"/>
    <cellStyle name="Normal 2 2 2 2 2 2 2 2 5 5" xfId="23055"/>
    <cellStyle name="Normal 2 2 2 2 2 2 2 2 6" xfId="3589"/>
    <cellStyle name="Normal 2 2 2 2 2 2 2 2 6 2" xfId="5566"/>
    <cellStyle name="Normal 2 2 2 2 2 2 2 2 6 2 2" xfId="17225"/>
    <cellStyle name="Normal 2 2 2 2 2 2 2 2 6 2 2 2" xfId="19139"/>
    <cellStyle name="Normal 2 2 2 2 2 2 2 2 6 2 2 2 2" xfId="52552"/>
    <cellStyle name="Normal 2 2 2 2 2 2 2 2 6 2 2 2 2 2" xfId="54465"/>
    <cellStyle name="Normal 2 2 2 2 2 2 2 2 6 2 2 3" xfId="32640"/>
    <cellStyle name="Normal 2 2 2 2 2 2 2 2 6 2 3" xfId="30726"/>
    <cellStyle name="Normal 2 2 2 2 2 2 2 2 6 2 3 2" xfId="41003"/>
    <cellStyle name="Normal 2 2 2 2 2 2 2 2 6 3" xfId="10776"/>
    <cellStyle name="Normal 2 2 2 2 2 2 2 2 6 3 2" xfId="39046"/>
    <cellStyle name="Normal 2 2 2 2 2 2 2 2 6 3 2 2" xfId="46138"/>
    <cellStyle name="Normal 2 2 2 2 2 2 2 2 6 4" xfId="24264"/>
    <cellStyle name="Normal 2 2 2 2 2 2 2 2 7" xfId="8780"/>
    <cellStyle name="Normal 2 2 2 2 2 2 2 2 7 2" xfId="13951"/>
    <cellStyle name="Normal 2 2 2 2 2 2 2 2 7 2 2" xfId="44193"/>
    <cellStyle name="Normal 2 2 2 2 2 2 2 2 7 2 2 2" xfId="49297"/>
    <cellStyle name="Normal 2 2 2 2 2 2 2 2 7 3" xfId="27440"/>
    <cellStyle name="Normal 2 2 2 2 2 2 2 2 8" xfId="22297"/>
    <cellStyle name="Normal 2 2 2 2 2 2 2 2 8 2" xfId="35763"/>
    <cellStyle name="Normal 2 2 2 2 2 2 2 3" xfId="259"/>
    <cellStyle name="Normal 2 2 2 2 2 2 2 3 2" xfId="566"/>
    <cellStyle name="Normal 2 2 2 2 2 2 2 3 2 2" xfId="605"/>
    <cellStyle name="Normal 2 2 2 2 2 2 2 3 2 2 2" xfId="1364"/>
    <cellStyle name="Normal 2 2 2 2 2 2 2 3 2 2 2 2" xfId="1401"/>
    <cellStyle name="Normal 2 2 2 2 2 2 2 3 2 2 2 2 2" xfId="3382"/>
    <cellStyle name="Normal 2 2 2 2 2 2 2 3 2 2 2 2 2 2" xfId="3419"/>
    <cellStyle name="Normal 2 2 2 2 2 2 2 3 2 2 2 2 2 2 2" xfId="8597"/>
    <cellStyle name="Normal 2 2 2 2 2 2 2 3 2 2 2 2 2 2 2 2" xfId="8634"/>
    <cellStyle name="Normal 2 2 2 2 2 2 2 3 2 2 2 2 2 2 2 2 2" xfId="22149"/>
    <cellStyle name="Normal 2 2 2 2 2 2 2 3 2 2 2 2 2 2 2 2 2 2" xfId="22186"/>
    <cellStyle name="Normal 2 2 2 2 2 2 2 3 2 2 2 2 2 2 2 2 2 2 2" xfId="57475"/>
    <cellStyle name="Normal 2 2 2 2 2 2 2 3 2 2 2 2 2 2 2 2 2 2 2 2" xfId="57512"/>
    <cellStyle name="Normal 2 2 2 2 2 2 2 3 2 2 2 2 2 2 2 2 2 3" xfId="35689"/>
    <cellStyle name="Normal 2 2 2 2 2 2 2 3 2 2 2 2 2 2 2 2 3" xfId="35652"/>
    <cellStyle name="Normal 2 2 2 2 2 2 2 3 2 2 2 2 2 2 2 2 3 2" xfId="44061"/>
    <cellStyle name="Normal 2 2 2 2 2 2 2 3 2 2 2 2 2 2 2 3" xfId="13859"/>
    <cellStyle name="Normal 2 2 2 2 2 2 2 3 2 2 2 2 2 2 2 3 2" xfId="44024"/>
    <cellStyle name="Normal 2 2 2 2 2 2 2 3 2 2 2 2 2 2 2 3 2 2" xfId="49205"/>
    <cellStyle name="Normal 2 2 2 2 2 2 2 3 2 2 2 2 2 2 2 4" xfId="27344"/>
    <cellStyle name="Normal 2 2 2 2 2 2 2 3 2 2 2 2 2 2 3" xfId="13822"/>
    <cellStyle name="Normal 2 2 2 2 2 2 2 3 2 2 2 2 2 2 3 2" xfId="17076"/>
    <cellStyle name="Normal 2 2 2 2 2 2 2 3 2 2 2 2 2 2 3 2 2" xfId="49168"/>
    <cellStyle name="Normal 2 2 2 2 2 2 2 3 2 2 2 2 2 2 3 2 2 2" xfId="52404"/>
    <cellStyle name="Normal 2 2 2 2 2 2 2 3 2 2 2 2 2 2 3 3" xfId="30578"/>
    <cellStyle name="Normal 2 2 2 2 2 2 2 3 2 2 2 2 2 2 4" xfId="27307"/>
    <cellStyle name="Normal 2 2 2 2 2 2 2 3 2 2 2 2 2 2 4 2" xfId="38888"/>
    <cellStyle name="Normal 2 2 2 2 2 2 2 3 2 2 2 2 2 3" xfId="5456"/>
    <cellStyle name="Normal 2 2 2 2 2 2 2 3 2 2 2 2 2 3 2" xfId="17039"/>
    <cellStyle name="Normal 2 2 2 2 2 2 2 3 2 2 2 2 2 3 2 2" xfId="19029"/>
    <cellStyle name="Normal 2 2 2 2 2 2 2 3 2 2 2 2 2 3 2 2 2" xfId="52367"/>
    <cellStyle name="Normal 2 2 2 2 2 2 2 3 2 2 2 2 2 3 2 2 2 2" xfId="54355"/>
    <cellStyle name="Normal 2 2 2 2 2 2 2 3 2 2 2 2 2 3 2 3" xfId="32530"/>
    <cellStyle name="Normal 2 2 2 2 2 2 2 3 2 2 2 2 2 3 3" xfId="30541"/>
    <cellStyle name="Normal 2 2 2 2 2 2 2 3 2 2 2 2 2 3 3 2" xfId="40893"/>
    <cellStyle name="Normal 2 2 2 2 2 2 2 3 2 2 2 2 2 4" xfId="10659"/>
    <cellStyle name="Normal 2 2 2 2 2 2 2 3 2 2 2 2 2 4 2" xfId="38851"/>
    <cellStyle name="Normal 2 2 2 2 2 2 2 3 2 2 2 2 2 4 2 2" xfId="46022"/>
    <cellStyle name="Normal 2 2 2 2 2 2 2 3 2 2 2 2 2 5" xfId="24145"/>
    <cellStyle name="Normal 2 2 2 2 2 2 2 3 2 2 2 2 3" xfId="5419"/>
    <cellStyle name="Normal 2 2 2 2 2 2 2 3 2 2 2 2 3 2" xfId="6709"/>
    <cellStyle name="Normal 2 2 2 2 2 2 2 3 2 2 2 2 3 2 2" xfId="18992"/>
    <cellStyle name="Normal 2 2 2 2 2 2 2 3 2 2 2 2 3 2 2 2" xfId="20262"/>
    <cellStyle name="Normal 2 2 2 2 2 2 2 3 2 2 2 2 3 2 2 2 2" xfId="54318"/>
    <cellStyle name="Normal 2 2 2 2 2 2 2 3 2 2 2 2 3 2 2 2 2 2" xfId="55588"/>
    <cellStyle name="Normal 2 2 2 2 2 2 2 3 2 2 2 2 3 2 2 3" xfId="33764"/>
    <cellStyle name="Normal 2 2 2 2 2 2 2 3 2 2 2 2 3 2 3" xfId="32493"/>
    <cellStyle name="Normal 2 2 2 2 2 2 2 3 2 2 2 2 3 2 3 2" xfId="42137"/>
    <cellStyle name="Normal 2 2 2 2 2 2 2 3 2 2 2 2 3 3" xfId="11932"/>
    <cellStyle name="Normal 2 2 2 2 2 2 2 3 2 2 2 2 3 3 2" xfId="40856"/>
    <cellStyle name="Normal 2 2 2 2 2 2 2 3 2 2 2 2 3 3 2 2" xfId="47280"/>
    <cellStyle name="Normal 2 2 2 2 2 2 2 3 2 2 2 2 3 4" xfId="25417"/>
    <cellStyle name="Normal 2 2 2 2 2 2 2 3 2 2 2 2 4" xfId="10622"/>
    <cellStyle name="Normal 2 2 2 2 2 2 2 3 2 2 2 2 4 2" xfId="15090"/>
    <cellStyle name="Normal 2 2 2 2 2 2 2 3 2 2 2 2 4 2 2" xfId="45985"/>
    <cellStyle name="Normal 2 2 2 2 2 2 2 3 2 2 2 2 4 2 2 2" xfId="50429"/>
    <cellStyle name="Normal 2 2 2 2 2 2 2 3 2 2 2 2 4 3" xfId="28603"/>
    <cellStyle name="Normal 2 2 2 2 2 2 2 3 2 2 2 2 5" xfId="24108"/>
    <cellStyle name="Normal 2 2 2 2 2 2 2 3 2 2 2 2 5 2" xfId="36898"/>
    <cellStyle name="Normal 2 2 2 2 2 2 2 3 2 2 2 3" xfId="2208"/>
    <cellStyle name="Normal 2 2 2 2 2 2 2 3 2 2 2 3 2" xfId="6672"/>
    <cellStyle name="Normal 2 2 2 2 2 2 2 3 2 2 2 3 2 2" xfId="7442"/>
    <cellStyle name="Normal 2 2 2 2 2 2 2 3 2 2 2 3 2 2 2" xfId="20225"/>
    <cellStyle name="Normal 2 2 2 2 2 2 2 3 2 2 2 3 2 2 2 2" xfId="20994"/>
    <cellStyle name="Normal 2 2 2 2 2 2 2 3 2 2 2 3 2 2 2 2 2" xfId="55551"/>
    <cellStyle name="Normal 2 2 2 2 2 2 2 3 2 2 2 3 2 2 2 2 2 2" xfId="56320"/>
    <cellStyle name="Normal 2 2 2 2 2 2 2 3 2 2 2 3 2 2 2 3" xfId="34497"/>
    <cellStyle name="Normal 2 2 2 2 2 2 2 3 2 2 2 3 2 2 3" xfId="33727"/>
    <cellStyle name="Normal 2 2 2 2 2 2 2 3 2 2 2 3 2 2 3 2" xfId="42869"/>
    <cellStyle name="Normal 2 2 2 2 2 2 2 3 2 2 2 3 2 3" xfId="12667"/>
    <cellStyle name="Normal 2 2 2 2 2 2 2 3 2 2 2 3 2 3 2" xfId="42100"/>
    <cellStyle name="Normal 2 2 2 2 2 2 2 3 2 2 2 3 2 3 2 2" xfId="48013"/>
    <cellStyle name="Normal 2 2 2 2 2 2 2 3 2 2 2 3 2 4" xfId="26151"/>
    <cellStyle name="Normal 2 2 2 2 2 2 2 3 2 2 2 3 3" xfId="11895"/>
    <cellStyle name="Normal 2 2 2 2 2 2 2 3 2 2 2 3 3 2" xfId="15872"/>
    <cellStyle name="Normal 2 2 2 2 2 2 2 3 2 2 2 3 3 2 2" xfId="47243"/>
    <cellStyle name="Normal 2 2 2 2 2 2 2 3 2 2 2 3 3 2 2 2" xfId="51204"/>
    <cellStyle name="Normal 2 2 2 2 2 2 2 3 2 2 2 3 3 3" xfId="29378"/>
    <cellStyle name="Normal 2 2 2 2 2 2 2 3 2 2 2 3 4" xfId="25380"/>
    <cellStyle name="Normal 2 2 2 2 2 2 2 3 2 2 2 3 4 2" xfId="37686"/>
    <cellStyle name="Normal 2 2 2 2 2 2 2 3 2 2 2 4" xfId="4224"/>
    <cellStyle name="Normal 2 2 2 2 2 2 2 3 2 2 2 4 2" xfId="15053"/>
    <cellStyle name="Normal 2 2 2 2 2 2 2 3 2 2 2 4 2 2" xfId="17817"/>
    <cellStyle name="Normal 2 2 2 2 2 2 2 3 2 2 2 4 2 2 2" xfId="50392"/>
    <cellStyle name="Normal 2 2 2 2 2 2 2 3 2 2 2 4 2 2 2 2" xfId="53144"/>
    <cellStyle name="Normal 2 2 2 2 2 2 2 3 2 2 2 4 2 3" xfId="31319"/>
    <cellStyle name="Normal 2 2 2 2 2 2 2 3 2 2 2 4 3" xfId="28566"/>
    <cellStyle name="Normal 2 2 2 2 2 2 2 3 2 2 2 4 3 2" xfId="39667"/>
    <cellStyle name="Normal 2 2 2 2 2 2 2 3 2 2 2 5" xfId="9415"/>
    <cellStyle name="Normal 2 2 2 2 2 2 2 3 2 2 2 5 2" xfId="36861"/>
    <cellStyle name="Normal 2 2 2 2 2 2 2 3 2 2 2 5 2 2" xfId="44797"/>
    <cellStyle name="Normal 2 2 2 2 2 2 2 3 2 2 2 6" xfId="22911"/>
    <cellStyle name="Normal 2 2 2 2 2 2 2 3 2 2 3" xfId="2171"/>
    <cellStyle name="Normal 2 2 2 2 2 2 2 3 2 2 3 2" xfId="2695"/>
    <cellStyle name="Normal 2 2 2 2 2 2 2 3 2 2 3 2 2" xfId="7405"/>
    <cellStyle name="Normal 2 2 2 2 2 2 2 3 2 2 3 2 2 2" xfId="7914"/>
    <cellStyle name="Normal 2 2 2 2 2 2 2 3 2 2 3 2 2 2 2" xfId="20957"/>
    <cellStyle name="Normal 2 2 2 2 2 2 2 3 2 2 3 2 2 2 2 2" xfId="21466"/>
    <cellStyle name="Normal 2 2 2 2 2 2 2 3 2 2 3 2 2 2 2 2 2" xfId="56283"/>
    <cellStyle name="Normal 2 2 2 2 2 2 2 3 2 2 3 2 2 2 2 2 2 2" xfId="56792"/>
    <cellStyle name="Normal 2 2 2 2 2 2 2 3 2 2 3 2 2 2 2 3" xfId="34969"/>
    <cellStyle name="Normal 2 2 2 2 2 2 2 3 2 2 3 2 2 2 3" xfId="34460"/>
    <cellStyle name="Normal 2 2 2 2 2 2 2 3 2 2 3 2 2 2 3 2" xfId="43341"/>
    <cellStyle name="Normal 2 2 2 2 2 2 2 3 2 2 3 2 2 3" xfId="13139"/>
    <cellStyle name="Normal 2 2 2 2 2 2 2 3 2 2 3 2 2 3 2" xfId="42832"/>
    <cellStyle name="Normal 2 2 2 2 2 2 2 3 2 2 3 2 2 3 2 2" xfId="48485"/>
    <cellStyle name="Normal 2 2 2 2 2 2 2 3 2 2 3 2 2 4" xfId="26623"/>
    <cellStyle name="Normal 2 2 2 2 2 2 2 3 2 2 3 2 3" xfId="12630"/>
    <cellStyle name="Normal 2 2 2 2 2 2 2 3 2 2 3 2 3 2" xfId="16354"/>
    <cellStyle name="Normal 2 2 2 2 2 2 2 3 2 2 3 2 3 2 2" xfId="47976"/>
    <cellStyle name="Normal 2 2 2 2 2 2 2 3 2 2 3 2 3 2 2 2" xfId="51684"/>
    <cellStyle name="Normal 2 2 2 2 2 2 2 3 2 2 3 2 3 3" xfId="29858"/>
    <cellStyle name="Normal 2 2 2 2 2 2 2 3 2 2 3 2 4" xfId="26114"/>
    <cellStyle name="Normal 2 2 2 2 2 2 2 3 2 2 3 2 4 2" xfId="38168"/>
    <cellStyle name="Normal 2 2 2 2 2 2 2 3 2 2 3 3" xfId="4731"/>
    <cellStyle name="Normal 2 2 2 2 2 2 2 3 2 2 3 3 2" xfId="15835"/>
    <cellStyle name="Normal 2 2 2 2 2 2 2 3 2 2 3 3 2 2" xfId="18308"/>
    <cellStyle name="Normal 2 2 2 2 2 2 2 3 2 2 3 3 2 2 2" xfId="51167"/>
    <cellStyle name="Normal 2 2 2 2 2 2 2 3 2 2 3 3 2 2 2 2" xfId="53634"/>
    <cellStyle name="Normal 2 2 2 2 2 2 2 3 2 2 3 3 2 3" xfId="31809"/>
    <cellStyle name="Normal 2 2 2 2 2 2 2 3 2 2 3 3 3" xfId="29341"/>
    <cellStyle name="Normal 2 2 2 2 2 2 2 3 2 2 3 3 3 2" xfId="40169"/>
    <cellStyle name="Normal 2 2 2 2 2 2 2 3 2 2 3 4" xfId="9934"/>
    <cellStyle name="Normal 2 2 2 2 2 2 2 3 2 2 3 4 2" xfId="37649"/>
    <cellStyle name="Normal 2 2 2 2 2 2 2 3 2 2 3 4 2 2" xfId="45301"/>
    <cellStyle name="Normal 2 2 2 2 2 2 2 3 2 2 3 5" xfId="23424"/>
    <cellStyle name="Normal 2 2 2 2 2 2 2 3 2 2 4" xfId="4187"/>
    <cellStyle name="Normal 2 2 2 2 2 2 2 3 2 2 4 2" xfId="5936"/>
    <cellStyle name="Normal 2 2 2 2 2 2 2 3 2 2 4 2 2" xfId="17780"/>
    <cellStyle name="Normal 2 2 2 2 2 2 2 3 2 2 4 2 2 2" xfId="19503"/>
    <cellStyle name="Normal 2 2 2 2 2 2 2 3 2 2 4 2 2 2 2" xfId="53107"/>
    <cellStyle name="Normal 2 2 2 2 2 2 2 3 2 2 4 2 2 2 2 2" xfId="54829"/>
    <cellStyle name="Normal 2 2 2 2 2 2 2 3 2 2 4 2 2 3" xfId="33004"/>
    <cellStyle name="Normal 2 2 2 2 2 2 2 3 2 2 4 2 3" xfId="31282"/>
    <cellStyle name="Normal 2 2 2 2 2 2 2 3 2 2 4 2 3 2" xfId="41370"/>
    <cellStyle name="Normal 2 2 2 2 2 2 2 3 2 2 4 3" xfId="11161"/>
    <cellStyle name="Normal 2 2 2 2 2 2 2 3 2 2 4 3 2" xfId="39630"/>
    <cellStyle name="Normal 2 2 2 2 2 2 2 3 2 2 4 3 2 2" xfId="46519"/>
    <cellStyle name="Normal 2 2 2 2 2 2 2 3 2 2 4 4" xfId="24654"/>
    <cellStyle name="Normal 2 2 2 2 2 2 2 3 2 2 5" xfId="9378"/>
    <cellStyle name="Normal 2 2 2 2 2 2 2 3 2 2 5 2" xfId="14320"/>
    <cellStyle name="Normal 2 2 2 2 2 2 2 3 2 2 5 2 2" xfId="44760"/>
    <cellStyle name="Normal 2 2 2 2 2 2 2 3 2 2 5 2 2 2" xfId="49665"/>
    <cellStyle name="Normal 2 2 2 2 2 2 2 3 2 2 5 3" xfId="27830"/>
    <cellStyle name="Normal 2 2 2 2 2 2 2 3 2 2 6" xfId="22874"/>
    <cellStyle name="Normal 2 2 2 2 2 2 2 3 2 2 6 2" xfId="36132"/>
    <cellStyle name="Normal 2 2 2 2 2 2 2 3 2 3" xfId="933"/>
    <cellStyle name="Normal 2 2 2 2 2 2 2 3 2 3 2" xfId="2657"/>
    <cellStyle name="Normal 2 2 2 2 2 2 2 3 2 3 2 2" xfId="2971"/>
    <cellStyle name="Normal 2 2 2 2 2 2 2 3 2 3 2 2 2" xfId="7876"/>
    <cellStyle name="Normal 2 2 2 2 2 2 2 3 2 3 2 2 2 2" xfId="8186"/>
    <cellStyle name="Normal 2 2 2 2 2 2 2 3 2 3 2 2 2 2 2" xfId="21428"/>
    <cellStyle name="Normal 2 2 2 2 2 2 2 3 2 3 2 2 2 2 2 2" xfId="21738"/>
    <cellStyle name="Normal 2 2 2 2 2 2 2 3 2 3 2 2 2 2 2 2 2" xfId="56754"/>
    <cellStyle name="Normal 2 2 2 2 2 2 2 3 2 3 2 2 2 2 2 2 2 2" xfId="57064"/>
    <cellStyle name="Normal 2 2 2 2 2 2 2 3 2 3 2 2 2 2 2 3" xfId="35241"/>
    <cellStyle name="Normal 2 2 2 2 2 2 2 3 2 3 2 2 2 2 3" xfId="34931"/>
    <cellStyle name="Normal 2 2 2 2 2 2 2 3 2 3 2 2 2 2 3 2" xfId="43613"/>
    <cellStyle name="Normal 2 2 2 2 2 2 2 3 2 3 2 2 2 3" xfId="13411"/>
    <cellStyle name="Normal 2 2 2 2 2 2 2 3 2 3 2 2 2 3 2" xfId="43303"/>
    <cellStyle name="Normal 2 2 2 2 2 2 2 3 2 3 2 2 2 3 2 2" xfId="48757"/>
    <cellStyle name="Normal 2 2 2 2 2 2 2 3 2 3 2 2 2 4" xfId="26896"/>
    <cellStyle name="Normal 2 2 2 2 2 2 2 3 2 3 2 2 3" xfId="13101"/>
    <cellStyle name="Normal 2 2 2 2 2 2 2 3 2 3 2 2 3 2" xfId="16628"/>
    <cellStyle name="Normal 2 2 2 2 2 2 2 3 2 3 2 2 3 2 2" xfId="48447"/>
    <cellStyle name="Normal 2 2 2 2 2 2 2 3 2 3 2 2 3 2 2 2" xfId="51956"/>
    <cellStyle name="Normal 2 2 2 2 2 2 2 3 2 3 2 2 3 3" xfId="30130"/>
    <cellStyle name="Normal 2 2 2 2 2 2 2 3 2 3 2 2 4" xfId="26585"/>
    <cellStyle name="Normal 2 2 2 2 2 2 2 3 2 3 2 2 4 2" xfId="38440"/>
    <cellStyle name="Normal 2 2 2 2 2 2 2 3 2 3 2 3" xfId="5007"/>
    <cellStyle name="Normal 2 2 2 2 2 2 2 3 2 3 2 3 2" xfId="16316"/>
    <cellStyle name="Normal 2 2 2 2 2 2 2 3 2 3 2 3 2 2" xfId="18580"/>
    <cellStyle name="Normal 2 2 2 2 2 2 2 3 2 3 2 3 2 2 2" xfId="51646"/>
    <cellStyle name="Normal 2 2 2 2 2 2 2 3 2 3 2 3 2 2 2 2" xfId="53906"/>
    <cellStyle name="Normal 2 2 2 2 2 2 2 3 2 3 2 3 2 3" xfId="32081"/>
    <cellStyle name="Normal 2 2 2 2 2 2 2 3 2 3 2 3 3" xfId="29820"/>
    <cellStyle name="Normal 2 2 2 2 2 2 2 3 2 3 2 3 3 2" xfId="40444"/>
    <cellStyle name="Normal 2 2 2 2 2 2 2 3 2 3 2 4" xfId="10210"/>
    <cellStyle name="Normal 2 2 2 2 2 2 2 3 2 3 2 4 2" xfId="38130"/>
    <cellStyle name="Normal 2 2 2 2 2 2 2 3 2 3 2 4 2 2" xfId="45573"/>
    <cellStyle name="Normal 2 2 2 2 2 2 2 3 2 3 2 5" xfId="23696"/>
    <cellStyle name="Normal 2 2 2 2 2 2 2 3 2 3 3" xfId="4692"/>
    <cellStyle name="Normal 2 2 2 2 2 2 2 3 2 3 3 2" xfId="6244"/>
    <cellStyle name="Normal 2 2 2 2 2 2 2 3 2 3 3 2 2" xfId="18270"/>
    <cellStyle name="Normal 2 2 2 2 2 2 2 3 2 3 3 2 2 2" xfId="19801"/>
    <cellStyle name="Normal 2 2 2 2 2 2 2 3 2 3 3 2 2 2 2" xfId="53596"/>
    <cellStyle name="Normal 2 2 2 2 2 2 2 3 2 3 3 2 2 2 2 2" xfId="55127"/>
    <cellStyle name="Normal 2 2 2 2 2 2 2 3 2 3 3 2 2 3" xfId="33303"/>
    <cellStyle name="Normal 2 2 2 2 2 2 2 3 2 3 3 2 3" xfId="31771"/>
    <cellStyle name="Normal 2 2 2 2 2 2 2 3 2 3 3 2 3 2" xfId="41673"/>
    <cellStyle name="Normal 2 2 2 2 2 2 2 3 2 3 3 3" xfId="11469"/>
    <cellStyle name="Normal 2 2 2 2 2 2 2 3 2 3 3 3 2" xfId="40131"/>
    <cellStyle name="Normal 2 2 2 2 2 2 2 3 2 3 3 3 2 2" xfId="46818"/>
    <cellStyle name="Normal 2 2 2 2 2 2 2 3 2 3 3 4" xfId="24955"/>
    <cellStyle name="Normal 2 2 2 2 2 2 2 3 2 3 4" xfId="9895"/>
    <cellStyle name="Normal 2 2 2 2 2 2 2 3 2 3 4 2" xfId="14627"/>
    <cellStyle name="Normal 2 2 2 2 2 2 2 3 2 3 4 2 2" xfId="45263"/>
    <cellStyle name="Normal 2 2 2 2 2 2 2 3 2 3 4 2 2 2" xfId="49966"/>
    <cellStyle name="Normal 2 2 2 2 2 2 2 3 2 3 4 3" xfId="28138"/>
    <cellStyle name="Normal 2 2 2 2 2 2 2 3 2 3 5" xfId="23386"/>
    <cellStyle name="Normal 2 2 2 2 2 2 2 3 2 3 5 2" xfId="36435"/>
    <cellStyle name="Normal 2 2 2 2 2 2 2 3 2 4" xfId="1729"/>
    <cellStyle name="Normal 2 2 2 2 2 2 2 3 2 4 2" xfId="5898"/>
    <cellStyle name="Normal 2 2 2 2 2 2 2 3 2 4 2 2" xfId="6982"/>
    <cellStyle name="Normal 2 2 2 2 2 2 2 3 2 4 2 2 2" xfId="19465"/>
    <cellStyle name="Normal 2 2 2 2 2 2 2 3 2 4 2 2 2 2" xfId="20535"/>
    <cellStyle name="Normal 2 2 2 2 2 2 2 3 2 4 2 2 2 2 2" xfId="54791"/>
    <cellStyle name="Normal 2 2 2 2 2 2 2 3 2 4 2 2 2 2 2 2" xfId="55861"/>
    <cellStyle name="Normal 2 2 2 2 2 2 2 3 2 4 2 2 2 3" xfId="34037"/>
    <cellStyle name="Normal 2 2 2 2 2 2 2 3 2 4 2 2 3" xfId="32966"/>
    <cellStyle name="Normal 2 2 2 2 2 2 2 3 2 4 2 2 3 2" xfId="42410"/>
    <cellStyle name="Normal 2 2 2 2 2 2 2 3 2 4 2 3" xfId="12206"/>
    <cellStyle name="Normal 2 2 2 2 2 2 2 3 2 4 2 3 2" xfId="41332"/>
    <cellStyle name="Normal 2 2 2 2 2 2 2 3 2 4 2 3 2 2" xfId="47553"/>
    <cellStyle name="Normal 2 2 2 2 2 2 2 3 2 4 2 4" xfId="25691"/>
    <cellStyle name="Normal 2 2 2 2 2 2 2 3 2 4 3" xfId="11123"/>
    <cellStyle name="Normal 2 2 2 2 2 2 2 3 2 4 3 2" xfId="15401"/>
    <cellStyle name="Normal 2 2 2 2 2 2 2 3 2 4 3 2 2" xfId="46481"/>
    <cellStyle name="Normal 2 2 2 2 2 2 2 3 2 4 3 2 2 2" xfId="50734"/>
    <cellStyle name="Normal 2 2 2 2 2 2 2 3 2 4 3 3" xfId="28908"/>
    <cellStyle name="Normal 2 2 2 2 2 2 2 3 2 4 4" xfId="24615"/>
    <cellStyle name="Normal 2 2 2 2 2 2 2 3 2 4 4 2" xfId="37211"/>
    <cellStyle name="Normal 2 2 2 2 2 2 2 3 2 5" xfId="3734"/>
    <cellStyle name="Normal 2 2 2 2 2 2 2 3 2 5 2" xfId="14282"/>
    <cellStyle name="Normal 2 2 2 2 2 2 2 3 2 5 2 2" xfId="17350"/>
    <cellStyle name="Normal 2 2 2 2 2 2 2 3 2 5 2 2 2" xfId="49627"/>
    <cellStyle name="Normal 2 2 2 2 2 2 2 3 2 5 2 2 2 2" xfId="52677"/>
    <cellStyle name="Normal 2 2 2 2 2 2 2 3 2 5 2 3" xfId="30851"/>
    <cellStyle name="Normal 2 2 2 2 2 2 2 3 2 5 3" xfId="27791"/>
    <cellStyle name="Normal 2 2 2 2 2 2 2 3 2 5 3 2" xfId="39185"/>
    <cellStyle name="Normal 2 2 2 2 2 2 2 3 2 6" xfId="8924"/>
    <cellStyle name="Normal 2 2 2 2 2 2 2 3 2 6 2" xfId="36094"/>
    <cellStyle name="Normal 2 2 2 2 2 2 2 3 2 6 2 2" xfId="44323"/>
    <cellStyle name="Normal 2 2 2 2 2 2 2 3 2 7" xfId="22431"/>
    <cellStyle name="Normal 2 2 2 2 2 2 2 3 3" xfId="894"/>
    <cellStyle name="Normal 2 2 2 2 2 2 2 3 3 2" xfId="1125"/>
    <cellStyle name="Normal 2 2 2 2 2 2 2 3 3 2 2" xfId="2934"/>
    <cellStyle name="Normal 2 2 2 2 2 2 2 3 3 2 2 2" xfId="3150"/>
    <cellStyle name="Normal 2 2 2 2 2 2 2 3 3 2 2 2 2" xfId="8149"/>
    <cellStyle name="Normal 2 2 2 2 2 2 2 3 3 2 2 2 2 2" xfId="8365"/>
    <cellStyle name="Normal 2 2 2 2 2 2 2 3 3 2 2 2 2 2 2" xfId="21701"/>
    <cellStyle name="Normal 2 2 2 2 2 2 2 3 3 2 2 2 2 2 2 2" xfId="21917"/>
    <cellStyle name="Normal 2 2 2 2 2 2 2 3 3 2 2 2 2 2 2 2 2" xfId="57027"/>
    <cellStyle name="Normal 2 2 2 2 2 2 2 3 3 2 2 2 2 2 2 2 2 2" xfId="57243"/>
    <cellStyle name="Normal 2 2 2 2 2 2 2 3 3 2 2 2 2 2 2 3" xfId="35420"/>
    <cellStyle name="Normal 2 2 2 2 2 2 2 3 3 2 2 2 2 2 3" xfId="35204"/>
    <cellStyle name="Normal 2 2 2 2 2 2 2 3 3 2 2 2 2 2 3 2" xfId="43792"/>
    <cellStyle name="Normal 2 2 2 2 2 2 2 3 3 2 2 2 2 3" xfId="13590"/>
    <cellStyle name="Normal 2 2 2 2 2 2 2 3 3 2 2 2 2 3 2" xfId="43576"/>
    <cellStyle name="Normal 2 2 2 2 2 2 2 3 3 2 2 2 2 3 2 2" xfId="48936"/>
    <cellStyle name="Normal 2 2 2 2 2 2 2 3 3 2 2 2 2 4" xfId="27075"/>
    <cellStyle name="Normal 2 2 2 2 2 2 2 3 3 2 2 2 3" xfId="13374"/>
    <cellStyle name="Normal 2 2 2 2 2 2 2 3 3 2 2 2 3 2" xfId="16807"/>
    <cellStyle name="Normal 2 2 2 2 2 2 2 3 3 2 2 2 3 2 2" xfId="48720"/>
    <cellStyle name="Normal 2 2 2 2 2 2 2 3 3 2 2 2 3 2 2 2" xfId="52135"/>
    <cellStyle name="Normal 2 2 2 2 2 2 2 3 3 2 2 2 3 3" xfId="30309"/>
    <cellStyle name="Normal 2 2 2 2 2 2 2 3 3 2 2 2 4" xfId="26859"/>
    <cellStyle name="Normal 2 2 2 2 2 2 2 3 3 2 2 2 4 2" xfId="38619"/>
    <cellStyle name="Normal 2 2 2 2 2 2 2 3 3 2 2 3" xfId="5187"/>
    <cellStyle name="Normal 2 2 2 2 2 2 2 3 3 2 2 3 2" xfId="16591"/>
    <cellStyle name="Normal 2 2 2 2 2 2 2 3 3 2 2 3 2 2" xfId="18760"/>
    <cellStyle name="Normal 2 2 2 2 2 2 2 3 3 2 2 3 2 2 2" xfId="51919"/>
    <cellStyle name="Normal 2 2 2 2 2 2 2 3 3 2 2 3 2 2 2 2" xfId="54086"/>
    <cellStyle name="Normal 2 2 2 2 2 2 2 3 3 2 2 3 2 3" xfId="32261"/>
    <cellStyle name="Normal 2 2 2 2 2 2 2 3 3 2 2 3 3" xfId="30093"/>
    <cellStyle name="Normal 2 2 2 2 2 2 2 3 3 2 2 3 3 2" xfId="40624"/>
    <cellStyle name="Normal 2 2 2 2 2 2 2 3 3 2 2 4" xfId="10390"/>
    <cellStyle name="Normal 2 2 2 2 2 2 2 3 3 2 2 4 2" xfId="38403"/>
    <cellStyle name="Normal 2 2 2 2 2 2 2 3 3 2 2 4 2 2" xfId="45753"/>
    <cellStyle name="Normal 2 2 2 2 2 2 2 3 3 2 2 5" xfId="23876"/>
    <cellStyle name="Normal 2 2 2 2 2 2 2 3 3 2 3" xfId="4970"/>
    <cellStyle name="Normal 2 2 2 2 2 2 2 3 3 2 3 2" xfId="6433"/>
    <cellStyle name="Normal 2 2 2 2 2 2 2 3 3 2 3 2 2" xfId="18543"/>
    <cellStyle name="Normal 2 2 2 2 2 2 2 3 3 2 3 2 2 2" xfId="19988"/>
    <cellStyle name="Normal 2 2 2 2 2 2 2 3 3 2 3 2 2 2 2" xfId="53869"/>
    <cellStyle name="Normal 2 2 2 2 2 2 2 3 3 2 3 2 2 2 2 2" xfId="55314"/>
    <cellStyle name="Normal 2 2 2 2 2 2 2 3 3 2 3 2 2 3" xfId="33490"/>
    <cellStyle name="Normal 2 2 2 2 2 2 2 3 3 2 3 2 3" xfId="32044"/>
    <cellStyle name="Normal 2 2 2 2 2 2 2 3 3 2 3 2 3 2" xfId="41861"/>
    <cellStyle name="Normal 2 2 2 2 2 2 2 3 3 2 3 3" xfId="11657"/>
    <cellStyle name="Normal 2 2 2 2 2 2 2 3 3 2 3 3 2" xfId="40407"/>
    <cellStyle name="Normal 2 2 2 2 2 2 2 3 3 2 3 3 2 2" xfId="47006"/>
    <cellStyle name="Normal 2 2 2 2 2 2 2 3 3 2 3 4" xfId="25143"/>
    <cellStyle name="Normal 2 2 2 2 2 2 2 3 3 2 4" xfId="10173"/>
    <cellStyle name="Normal 2 2 2 2 2 2 2 3 3 2 4 2" xfId="14816"/>
    <cellStyle name="Normal 2 2 2 2 2 2 2 3 3 2 4 2 2" xfId="45536"/>
    <cellStyle name="Normal 2 2 2 2 2 2 2 3 3 2 4 2 2 2" xfId="50155"/>
    <cellStyle name="Normal 2 2 2 2 2 2 2 3 3 2 4 3" xfId="28328"/>
    <cellStyle name="Normal 2 2 2 2 2 2 2 3 3 2 5" xfId="23659"/>
    <cellStyle name="Normal 2 2 2 2 2 2 2 3 3 2 5 2" xfId="36624"/>
    <cellStyle name="Normal 2 2 2 2 2 2 2 3 3 3" xfId="1933"/>
    <cellStyle name="Normal 2 2 2 2 2 2 2 3 3 3 2" xfId="6205"/>
    <cellStyle name="Normal 2 2 2 2 2 2 2 3 3 3 2 2" xfId="7172"/>
    <cellStyle name="Normal 2 2 2 2 2 2 2 3 3 3 2 2 2" xfId="19764"/>
    <cellStyle name="Normal 2 2 2 2 2 2 2 3 3 3 2 2 2 2" xfId="20724"/>
    <cellStyle name="Normal 2 2 2 2 2 2 2 3 3 3 2 2 2 2 2" xfId="55090"/>
    <cellStyle name="Normal 2 2 2 2 2 2 2 3 3 3 2 2 2 2 2 2" xfId="56050"/>
    <cellStyle name="Normal 2 2 2 2 2 2 2 3 3 3 2 2 2 3" xfId="34227"/>
    <cellStyle name="Normal 2 2 2 2 2 2 2 3 3 3 2 2 3" xfId="33266"/>
    <cellStyle name="Normal 2 2 2 2 2 2 2 3 3 3 2 2 3 2" xfId="42599"/>
    <cellStyle name="Normal 2 2 2 2 2 2 2 3 3 3 2 3" xfId="12397"/>
    <cellStyle name="Normal 2 2 2 2 2 2 2 3 3 3 2 3 2" xfId="41635"/>
    <cellStyle name="Normal 2 2 2 2 2 2 2 3 3 3 2 3 2 2" xfId="47743"/>
    <cellStyle name="Normal 2 2 2 2 2 2 2 3 3 3 2 4" xfId="25881"/>
    <cellStyle name="Normal 2 2 2 2 2 2 2 3 3 3 3" xfId="11430"/>
    <cellStyle name="Normal 2 2 2 2 2 2 2 3 3 3 3 2" xfId="15598"/>
    <cellStyle name="Normal 2 2 2 2 2 2 2 3 3 3 3 2 2" xfId="46781"/>
    <cellStyle name="Normal 2 2 2 2 2 2 2 3 3 3 3 2 2 2" xfId="50930"/>
    <cellStyle name="Normal 2 2 2 2 2 2 2 3 3 3 3 3" xfId="29104"/>
    <cellStyle name="Normal 2 2 2 2 2 2 2 3 3 3 4" xfId="24918"/>
    <cellStyle name="Normal 2 2 2 2 2 2 2 3 3 3 4 2" xfId="37411"/>
    <cellStyle name="Normal 2 2 2 2 2 2 2 3 3 4" xfId="3947"/>
    <cellStyle name="Normal 2 2 2 2 2 2 2 3 3 4 2" xfId="14590"/>
    <cellStyle name="Normal 2 2 2 2 2 2 2 3 3 4 2 2" xfId="17547"/>
    <cellStyle name="Normal 2 2 2 2 2 2 2 3 3 4 2 2 2" xfId="49929"/>
    <cellStyle name="Normal 2 2 2 2 2 2 2 3 3 4 2 2 2 2" xfId="52874"/>
    <cellStyle name="Normal 2 2 2 2 2 2 2 3 3 4 2 3" xfId="31049"/>
    <cellStyle name="Normal 2 2 2 2 2 2 2 3 3 4 3" xfId="28100"/>
    <cellStyle name="Normal 2 2 2 2 2 2 2 3 3 4 3 2" xfId="39391"/>
    <cellStyle name="Normal 2 2 2 2 2 2 2 3 3 5" xfId="9139"/>
    <cellStyle name="Normal 2 2 2 2 2 2 2 3 3 5 2" xfId="36398"/>
    <cellStyle name="Normal 2 2 2 2 2 2 2 3 3 5 2 2" xfId="44527"/>
    <cellStyle name="Normal 2 2 2 2 2 2 2 3 3 6" xfId="22641"/>
    <cellStyle name="Normal 2 2 2 2 2 2 2 3 4" xfId="1690"/>
    <cellStyle name="Normal 2 2 2 2 2 2 2 3 4 2" xfId="2381"/>
    <cellStyle name="Normal 2 2 2 2 2 2 2 3 4 2 2" xfId="6945"/>
    <cellStyle name="Normal 2 2 2 2 2 2 2 3 4 2 2 2" xfId="7614"/>
    <cellStyle name="Normal 2 2 2 2 2 2 2 3 4 2 2 2 2" xfId="20498"/>
    <cellStyle name="Normal 2 2 2 2 2 2 2 3 4 2 2 2 2 2" xfId="21166"/>
    <cellStyle name="Normal 2 2 2 2 2 2 2 3 4 2 2 2 2 2 2" xfId="55824"/>
    <cellStyle name="Normal 2 2 2 2 2 2 2 3 4 2 2 2 2 2 2 2" xfId="56492"/>
    <cellStyle name="Normal 2 2 2 2 2 2 2 3 4 2 2 2 2 3" xfId="34669"/>
    <cellStyle name="Normal 2 2 2 2 2 2 2 3 4 2 2 2 3" xfId="34000"/>
    <cellStyle name="Normal 2 2 2 2 2 2 2 3 4 2 2 2 3 2" xfId="43041"/>
    <cellStyle name="Normal 2 2 2 2 2 2 2 3 4 2 2 3" xfId="12839"/>
    <cellStyle name="Normal 2 2 2 2 2 2 2 3 4 2 2 3 2" xfId="42373"/>
    <cellStyle name="Normal 2 2 2 2 2 2 2 3 4 2 2 3 2 2" xfId="48185"/>
    <cellStyle name="Normal 2 2 2 2 2 2 2 3 4 2 2 4" xfId="26323"/>
    <cellStyle name="Normal 2 2 2 2 2 2 2 3 4 2 3" xfId="12169"/>
    <cellStyle name="Normal 2 2 2 2 2 2 2 3 4 2 3 2" xfId="16044"/>
    <cellStyle name="Normal 2 2 2 2 2 2 2 3 4 2 3 2 2" xfId="47516"/>
    <cellStyle name="Normal 2 2 2 2 2 2 2 3 4 2 3 2 2 2" xfId="51376"/>
    <cellStyle name="Normal 2 2 2 2 2 2 2 3 4 2 3 3" xfId="29550"/>
    <cellStyle name="Normal 2 2 2 2 2 2 2 3 4 2 4" xfId="25654"/>
    <cellStyle name="Normal 2 2 2 2 2 2 2 3 4 2 4 2" xfId="37859"/>
    <cellStyle name="Normal 2 2 2 2 2 2 2 3 4 3" xfId="4415"/>
    <cellStyle name="Normal 2 2 2 2 2 2 2 3 4 3 2" xfId="15362"/>
    <cellStyle name="Normal 2 2 2 2 2 2 2 3 4 3 2 2" xfId="18006"/>
    <cellStyle name="Normal 2 2 2 2 2 2 2 3 4 3 2 2 2" xfId="50696"/>
    <cellStyle name="Normal 2 2 2 2 2 2 2 3 4 3 2 2 2 2" xfId="53332"/>
    <cellStyle name="Normal 2 2 2 2 2 2 2 3 4 3 2 3" xfId="31507"/>
    <cellStyle name="Normal 2 2 2 2 2 2 2 3 4 3 3" xfId="28870"/>
    <cellStyle name="Normal 2 2 2 2 2 2 2 3 4 3 3 2" xfId="39857"/>
    <cellStyle name="Normal 2 2 2 2 2 2 2 3 4 4" xfId="9618"/>
    <cellStyle name="Normal 2 2 2 2 2 2 2 3 4 4 2" xfId="37173"/>
    <cellStyle name="Normal 2 2 2 2 2 2 2 3 4 4 2 2" xfId="44998"/>
    <cellStyle name="Normal 2 2 2 2 2 2 2 3 4 5" xfId="23119"/>
    <cellStyle name="Normal 2 2 2 2 2 2 2 3 5" xfId="3695"/>
    <cellStyle name="Normal 2 2 2 2 2 2 2 3 5 2" xfId="5622"/>
    <cellStyle name="Normal 2 2 2 2 2 2 2 3 5 2 2" xfId="17313"/>
    <cellStyle name="Normal 2 2 2 2 2 2 2 3 5 2 2 2" xfId="19194"/>
    <cellStyle name="Normal 2 2 2 2 2 2 2 3 5 2 2 2 2" xfId="52640"/>
    <cellStyle name="Normal 2 2 2 2 2 2 2 3 5 2 2 2 2 2" xfId="54520"/>
    <cellStyle name="Normal 2 2 2 2 2 2 2 3 5 2 2 3" xfId="32695"/>
    <cellStyle name="Normal 2 2 2 2 2 2 2 3 5 2 3" xfId="30814"/>
    <cellStyle name="Normal 2 2 2 2 2 2 2 3 5 2 3 2" xfId="41058"/>
    <cellStyle name="Normal 2 2 2 2 2 2 2 3 5 3" xfId="10838"/>
    <cellStyle name="Normal 2 2 2 2 2 2 2 3 5 3 2" xfId="39146"/>
    <cellStyle name="Normal 2 2 2 2 2 2 2 3 5 3 2 2" xfId="46200"/>
    <cellStyle name="Normal 2 2 2 2 2 2 2 3 5 4" xfId="24330"/>
    <cellStyle name="Normal 2 2 2 2 2 2 2 3 6" xfId="8884"/>
    <cellStyle name="Normal 2 2 2 2 2 2 2 3 6 2" xfId="14006"/>
    <cellStyle name="Normal 2 2 2 2 2 2 2 3 6 2 2" xfId="44285"/>
    <cellStyle name="Normal 2 2 2 2 2 2 2 3 6 2 2 2" xfId="49352"/>
    <cellStyle name="Normal 2 2 2 2 2 2 2 3 6 3" xfId="27500"/>
    <cellStyle name="Normal 2 2 2 2 2 2 2 3 7" xfId="22393"/>
    <cellStyle name="Normal 2 2 2 2 2 2 2 3 7 2" xfId="35818"/>
    <cellStyle name="Normal 2 2 2 2 2 2 2 4" xfId="400"/>
    <cellStyle name="Normal 2 2 2 2 2 2 2 4 2" xfId="1062"/>
    <cellStyle name="Normal 2 2 2 2 2 2 2 4 2 2" xfId="1231"/>
    <cellStyle name="Normal 2 2 2 2 2 2 2 4 2 2 2" xfId="3098"/>
    <cellStyle name="Normal 2 2 2 2 2 2 2 4 2 2 2 2" xfId="3249"/>
    <cellStyle name="Normal 2 2 2 2 2 2 2 4 2 2 2 2 2" xfId="8313"/>
    <cellStyle name="Normal 2 2 2 2 2 2 2 4 2 2 2 2 2 2" xfId="8464"/>
    <cellStyle name="Normal 2 2 2 2 2 2 2 4 2 2 2 2 2 2 2" xfId="21865"/>
    <cellStyle name="Normal 2 2 2 2 2 2 2 4 2 2 2 2 2 2 2 2" xfId="22016"/>
    <cellStyle name="Normal 2 2 2 2 2 2 2 4 2 2 2 2 2 2 2 2 2" xfId="57191"/>
    <cellStyle name="Normal 2 2 2 2 2 2 2 4 2 2 2 2 2 2 2 2 2 2" xfId="57342"/>
    <cellStyle name="Normal 2 2 2 2 2 2 2 4 2 2 2 2 2 2 2 3" xfId="35519"/>
    <cellStyle name="Normal 2 2 2 2 2 2 2 4 2 2 2 2 2 2 3" xfId="35368"/>
    <cellStyle name="Normal 2 2 2 2 2 2 2 4 2 2 2 2 2 2 3 2" xfId="43891"/>
    <cellStyle name="Normal 2 2 2 2 2 2 2 4 2 2 2 2 2 3" xfId="13689"/>
    <cellStyle name="Normal 2 2 2 2 2 2 2 4 2 2 2 2 2 3 2" xfId="43740"/>
    <cellStyle name="Normal 2 2 2 2 2 2 2 4 2 2 2 2 2 3 2 2" xfId="49035"/>
    <cellStyle name="Normal 2 2 2 2 2 2 2 4 2 2 2 2 2 4" xfId="27174"/>
    <cellStyle name="Normal 2 2 2 2 2 2 2 4 2 2 2 2 3" xfId="13538"/>
    <cellStyle name="Normal 2 2 2 2 2 2 2 4 2 2 2 2 3 2" xfId="16906"/>
    <cellStyle name="Normal 2 2 2 2 2 2 2 4 2 2 2 2 3 2 2" xfId="48884"/>
    <cellStyle name="Normal 2 2 2 2 2 2 2 4 2 2 2 2 3 2 2 2" xfId="52234"/>
    <cellStyle name="Normal 2 2 2 2 2 2 2 4 2 2 2 2 3 3" xfId="30408"/>
    <cellStyle name="Normal 2 2 2 2 2 2 2 4 2 2 2 2 4" xfId="27023"/>
    <cellStyle name="Normal 2 2 2 2 2 2 2 4 2 2 2 2 4 2" xfId="38718"/>
    <cellStyle name="Normal 2 2 2 2 2 2 2 4 2 2 2 3" xfId="5286"/>
    <cellStyle name="Normal 2 2 2 2 2 2 2 4 2 2 2 3 2" xfId="16755"/>
    <cellStyle name="Normal 2 2 2 2 2 2 2 4 2 2 2 3 2 2" xfId="18859"/>
    <cellStyle name="Normal 2 2 2 2 2 2 2 4 2 2 2 3 2 2 2" xfId="52083"/>
    <cellStyle name="Normal 2 2 2 2 2 2 2 4 2 2 2 3 2 2 2 2" xfId="54185"/>
    <cellStyle name="Normal 2 2 2 2 2 2 2 4 2 2 2 3 2 3" xfId="32360"/>
    <cellStyle name="Normal 2 2 2 2 2 2 2 4 2 2 2 3 3" xfId="30257"/>
    <cellStyle name="Normal 2 2 2 2 2 2 2 4 2 2 2 3 3 2" xfId="40723"/>
    <cellStyle name="Normal 2 2 2 2 2 2 2 4 2 2 2 4" xfId="10489"/>
    <cellStyle name="Normal 2 2 2 2 2 2 2 4 2 2 2 4 2" xfId="38567"/>
    <cellStyle name="Normal 2 2 2 2 2 2 2 4 2 2 2 4 2 2" xfId="45852"/>
    <cellStyle name="Normal 2 2 2 2 2 2 2 4 2 2 2 5" xfId="23975"/>
    <cellStyle name="Normal 2 2 2 2 2 2 2 4 2 2 3" xfId="5135"/>
    <cellStyle name="Normal 2 2 2 2 2 2 2 4 2 2 3 2" xfId="6539"/>
    <cellStyle name="Normal 2 2 2 2 2 2 2 4 2 2 3 2 2" xfId="18708"/>
    <cellStyle name="Normal 2 2 2 2 2 2 2 4 2 2 3 2 2 2" xfId="20092"/>
    <cellStyle name="Normal 2 2 2 2 2 2 2 4 2 2 3 2 2 2 2" xfId="54034"/>
    <cellStyle name="Normal 2 2 2 2 2 2 2 4 2 2 3 2 2 2 2 2" xfId="55418"/>
    <cellStyle name="Normal 2 2 2 2 2 2 2 4 2 2 3 2 2 3" xfId="33594"/>
    <cellStyle name="Normal 2 2 2 2 2 2 2 4 2 2 3 2 3" xfId="32209"/>
    <cellStyle name="Normal 2 2 2 2 2 2 2 4 2 2 3 2 3 2" xfId="41967"/>
    <cellStyle name="Normal 2 2 2 2 2 2 2 4 2 2 3 3" xfId="11762"/>
    <cellStyle name="Normal 2 2 2 2 2 2 2 4 2 2 3 3 2" xfId="40572"/>
    <cellStyle name="Normal 2 2 2 2 2 2 2 4 2 2 3 3 2 2" xfId="47110"/>
    <cellStyle name="Normal 2 2 2 2 2 2 2 4 2 2 3 4" xfId="25247"/>
    <cellStyle name="Normal 2 2 2 2 2 2 2 4 2 2 4" xfId="10338"/>
    <cellStyle name="Normal 2 2 2 2 2 2 2 4 2 2 4 2" xfId="14920"/>
    <cellStyle name="Normal 2 2 2 2 2 2 2 4 2 2 4 2 2" xfId="45701"/>
    <cellStyle name="Normal 2 2 2 2 2 2 2 4 2 2 4 2 2 2" xfId="50259"/>
    <cellStyle name="Normal 2 2 2 2 2 2 2 4 2 2 4 3" xfId="28433"/>
    <cellStyle name="Normal 2 2 2 2 2 2 2 4 2 2 5" xfId="23824"/>
    <cellStyle name="Normal 2 2 2 2 2 2 2 4 2 2 5 2" xfId="36728"/>
    <cellStyle name="Normal 2 2 2 2 2 2 2 4 2 3" xfId="2037"/>
    <cellStyle name="Normal 2 2 2 2 2 2 2 4 2 3 2" xfId="6372"/>
    <cellStyle name="Normal 2 2 2 2 2 2 2 4 2 3 2 2" xfId="7271"/>
    <cellStyle name="Normal 2 2 2 2 2 2 2 4 2 3 2 2 2" xfId="19929"/>
    <cellStyle name="Normal 2 2 2 2 2 2 2 4 2 3 2 2 2 2" xfId="20823"/>
    <cellStyle name="Normal 2 2 2 2 2 2 2 4 2 3 2 2 2 2 2" xfId="55255"/>
    <cellStyle name="Normal 2 2 2 2 2 2 2 4 2 3 2 2 2 2 2 2" xfId="56149"/>
    <cellStyle name="Normal 2 2 2 2 2 2 2 4 2 3 2 2 2 3" xfId="34326"/>
    <cellStyle name="Normal 2 2 2 2 2 2 2 4 2 3 2 2 3" xfId="33431"/>
    <cellStyle name="Normal 2 2 2 2 2 2 2 4 2 3 2 2 3 2" xfId="42698"/>
    <cellStyle name="Normal 2 2 2 2 2 2 2 4 2 3 2 3" xfId="12496"/>
    <cellStyle name="Normal 2 2 2 2 2 2 2 4 2 3 2 3 2" xfId="41801"/>
    <cellStyle name="Normal 2 2 2 2 2 2 2 4 2 3 2 3 2 2" xfId="47842"/>
    <cellStyle name="Normal 2 2 2 2 2 2 2 4 2 3 2 4" xfId="25980"/>
    <cellStyle name="Normal 2 2 2 2 2 2 2 4 2 3 3" xfId="11598"/>
    <cellStyle name="Normal 2 2 2 2 2 2 2 4 2 3 3 2" xfId="15701"/>
    <cellStyle name="Normal 2 2 2 2 2 2 2 4 2 3 3 2 2" xfId="46947"/>
    <cellStyle name="Normal 2 2 2 2 2 2 2 4 2 3 3 2 2 2" xfId="51033"/>
    <cellStyle name="Normal 2 2 2 2 2 2 2 4 2 3 3 3" xfId="29207"/>
    <cellStyle name="Normal 2 2 2 2 2 2 2 4 2 3 4" xfId="25084"/>
    <cellStyle name="Normal 2 2 2 2 2 2 2 4 2 3 4 2" xfId="37515"/>
    <cellStyle name="Normal 2 2 2 2 2 2 2 4 2 4" xfId="4053"/>
    <cellStyle name="Normal 2 2 2 2 2 2 2 4 2 4 2" xfId="14755"/>
    <cellStyle name="Normal 2 2 2 2 2 2 2 4 2 4 2 2" xfId="17646"/>
    <cellStyle name="Normal 2 2 2 2 2 2 2 4 2 4 2 2 2" xfId="50094"/>
    <cellStyle name="Normal 2 2 2 2 2 2 2 4 2 4 2 2 2 2" xfId="52973"/>
    <cellStyle name="Normal 2 2 2 2 2 2 2 4 2 4 2 3" xfId="31148"/>
    <cellStyle name="Normal 2 2 2 2 2 2 2 4 2 4 3" xfId="28267"/>
    <cellStyle name="Normal 2 2 2 2 2 2 2 4 2 4 3 2" xfId="39496"/>
    <cellStyle name="Normal 2 2 2 2 2 2 2 4 2 5" xfId="9244"/>
    <cellStyle name="Normal 2 2 2 2 2 2 2 4 2 5 2" xfId="36563"/>
    <cellStyle name="Normal 2 2 2 2 2 2 2 4 2 5 2 2" xfId="44626"/>
    <cellStyle name="Normal 2 2 2 2 2 2 2 4 2 6" xfId="22740"/>
    <cellStyle name="Normal 2 2 2 2 2 2 2 4 3" xfId="1870"/>
    <cellStyle name="Normal 2 2 2 2 2 2 2 4 3 2" xfId="2502"/>
    <cellStyle name="Normal 2 2 2 2 2 2 2 4 3 2 2" xfId="7120"/>
    <cellStyle name="Normal 2 2 2 2 2 2 2 4 3 2 2 2" xfId="7727"/>
    <cellStyle name="Normal 2 2 2 2 2 2 2 4 3 2 2 2 2" xfId="20672"/>
    <cellStyle name="Normal 2 2 2 2 2 2 2 4 3 2 2 2 2 2" xfId="21279"/>
    <cellStyle name="Normal 2 2 2 2 2 2 2 4 3 2 2 2 2 2 2" xfId="55998"/>
    <cellStyle name="Normal 2 2 2 2 2 2 2 4 3 2 2 2 2 2 2 2" xfId="56605"/>
    <cellStyle name="Normal 2 2 2 2 2 2 2 4 3 2 2 2 2 3" xfId="34782"/>
    <cellStyle name="Normal 2 2 2 2 2 2 2 4 3 2 2 2 3" xfId="34175"/>
    <cellStyle name="Normal 2 2 2 2 2 2 2 4 3 2 2 2 3 2" xfId="43154"/>
    <cellStyle name="Normal 2 2 2 2 2 2 2 4 3 2 2 3" xfId="12952"/>
    <cellStyle name="Normal 2 2 2 2 2 2 2 4 3 2 2 3 2" xfId="42547"/>
    <cellStyle name="Normal 2 2 2 2 2 2 2 4 3 2 2 3 2 2" xfId="48298"/>
    <cellStyle name="Normal 2 2 2 2 2 2 2 4 3 2 2 4" xfId="26436"/>
    <cellStyle name="Normal 2 2 2 2 2 2 2 4 3 2 3" xfId="12345"/>
    <cellStyle name="Normal 2 2 2 2 2 2 2 4 3 2 3 2" xfId="16163"/>
    <cellStyle name="Normal 2 2 2 2 2 2 2 4 3 2 3 2 2" xfId="47691"/>
    <cellStyle name="Normal 2 2 2 2 2 2 2 4 3 2 3 2 2 2" xfId="51494"/>
    <cellStyle name="Normal 2 2 2 2 2 2 2 4 3 2 3 3" xfId="29668"/>
    <cellStyle name="Normal 2 2 2 2 2 2 2 4 3 2 4" xfId="25829"/>
    <cellStyle name="Normal 2 2 2 2 2 2 2 4 3 2 4 2" xfId="37977"/>
    <cellStyle name="Normal 2 2 2 2 2 2 2 4 3 3" xfId="4537"/>
    <cellStyle name="Normal 2 2 2 2 2 2 2 4 3 3 2" xfId="15541"/>
    <cellStyle name="Normal 2 2 2 2 2 2 2 4 3 3 2 2" xfId="18120"/>
    <cellStyle name="Normal 2 2 2 2 2 2 2 4 3 3 2 2 2" xfId="50873"/>
    <cellStyle name="Normal 2 2 2 2 2 2 2 4 3 3 2 2 2 2" xfId="53446"/>
    <cellStyle name="Normal 2 2 2 2 2 2 2 4 3 3 2 3" xfId="31621"/>
    <cellStyle name="Normal 2 2 2 2 2 2 2 4 3 3 3" xfId="29047"/>
    <cellStyle name="Normal 2 2 2 2 2 2 2 4 3 3 3 2" xfId="39978"/>
    <cellStyle name="Normal 2 2 2 2 2 2 2 4 3 4" xfId="9740"/>
    <cellStyle name="Normal 2 2 2 2 2 2 2 4 3 4 2" xfId="37351"/>
    <cellStyle name="Normal 2 2 2 2 2 2 2 4 3 4 2 2" xfId="45113"/>
    <cellStyle name="Normal 2 2 2 2 2 2 2 4 3 5" xfId="23236"/>
    <cellStyle name="Normal 2 2 2 2 2 2 2 4 4" xfId="3884"/>
    <cellStyle name="Normal 2 2 2 2 2 2 2 4 4 2" xfId="5743"/>
    <cellStyle name="Normal 2 2 2 2 2 2 2 4 4 2 2" xfId="17495"/>
    <cellStyle name="Normal 2 2 2 2 2 2 2 4 4 2 2 2" xfId="19312"/>
    <cellStyle name="Normal 2 2 2 2 2 2 2 4 4 2 2 2 2" xfId="52822"/>
    <cellStyle name="Normal 2 2 2 2 2 2 2 4 4 2 2 2 2 2" xfId="54638"/>
    <cellStyle name="Normal 2 2 2 2 2 2 2 4 4 2 2 3" xfId="32813"/>
    <cellStyle name="Normal 2 2 2 2 2 2 2 4 4 2 3" xfId="30997"/>
    <cellStyle name="Normal 2 2 2 2 2 2 2 4 4 2 3 2" xfId="41178"/>
    <cellStyle name="Normal 2 2 2 2 2 2 2 4 4 3" xfId="10964"/>
    <cellStyle name="Normal 2 2 2 2 2 2 2 4 4 3 2" xfId="39332"/>
    <cellStyle name="Normal 2 2 2 2 2 2 2 4 4 3 2 2" xfId="46323"/>
    <cellStyle name="Normal 2 2 2 2 2 2 2 4 4 4" xfId="24457"/>
    <cellStyle name="Normal 2 2 2 2 2 2 2 4 5" xfId="9078"/>
    <cellStyle name="Normal 2 2 2 2 2 2 2 4 5 2" xfId="14127"/>
    <cellStyle name="Normal 2 2 2 2 2 2 2 4 5 2 2" xfId="44474"/>
    <cellStyle name="Normal 2 2 2 2 2 2 2 4 5 2 2 2" xfId="49472"/>
    <cellStyle name="Normal 2 2 2 2 2 2 2 4 5 3" xfId="27629"/>
    <cellStyle name="Normal 2 2 2 2 2 2 2 4 6" xfId="22586"/>
    <cellStyle name="Normal 2 2 2 2 2 2 2 4 6 2" xfId="35938"/>
    <cellStyle name="Normal 2 2 2 2 2 2 2 5" xfId="714"/>
    <cellStyle name="Normal 2 2 2 2 2 2 2 5 2" xfId="2325"/>
    <cellStyle name="Normal 2 2 2 2 2 2 2 5 2 2" xfId="2786"/>
    <cellStyle name="Normal 2 2 2 2 2 2 2 5 2 2 2" xfId="7559"/>
    <cellStyle name="Normal 2 2 2 2 2 2 2 5 2 2 2 2" xfId="8003"/>
    <cellStyle name="Normal 2 2 2 2 2 2 2 5 2 2 2 2 2" xfId="21111"/>
    <cellStyle name="Normal 2 2 2 2 2 2 2 5 2 2 2 2 2 2" xfId="21555"/>
    <cellStyle name="Normal 2 2 2 2 2 2 2 5 2 2 2 2 2 2 2" xfId="56437"/>
    <cellStyle name="Normal 2 2 2 2 2 2 2 5 2 2 2 2 2 2 2 2" xfId="56881"/>
    <cellStyle name="Normal 2 2 2 2 2 2 2 5 2 2 2 2 2 3" xfId="35058"/>
    <cellStyle name="Normal 2 2 2 2 2 2 2 5 2 2 2 2 3" xfId="34614"/>
    <cellStyle name="Normal 2 2 2 2 2 2 2 5 2 2 2 2 3 2" xfId="43430"/>
    <cellStyle name="Normal 2 2 2 2 2 2 2 5 2 2 2 3" xfId="13228"/>
    <cellStyle name="Normal 2 2 2 2 2 2 2 5 2 2 2 3 2" xfId="42986"/>
    <cellStyle name="Normal 2 2 2 2 2 2 2 5 2 2 2 3 2 2" xfId="48574"/>
    <cellStyle name="Normal 2 2 2 2 2 2 2 5 2 2 2 4" xfId="26712"/>
    <cellStyle name="Normal 2 2 2 2 2 2 2 5 2 2 3" xfId="12784"/>
    <cellStyle name="Normal 2 2 2 2 2 2 2 5 2 2 3 2" xfId="16445"/>
    <cellStyle name="Normal 2 2 2 2 2 2 2 5 2 2 3 2 2" xfId="48130"/>
    <cellStyle name="Normal 2 2 2 2 2 2 2 5 2 2 3 2 2 2" xfId="51773"/>
    <cellStyle name="Normal 2 2 2 2 2 2 2 5 2 2 3 3" xfId="29947"/>
    <cellStyle name="Normal 2 2 2 2 2 2 2 5 2 2 4" xfId="26268"/>
    <cellStyle name="Normal 2 2 2 2 2 2 2 5 2 2 4 2" xfId="38257"/>
    <cellStyle name="Normal 2 2 2 2 2 2 2 5 2 3" xfId="4822"/>
    <cellStyle name="Normal 2 2 2 2 2 2 2 5 2 3 2" xfId="15989"/>
    <cellStyle name="Normal 2 2 2 2 2 2 2 5 2 3 2 2" xfId="18397"/>
    <cellStyle name="Normal 2 2 2 2 2 2 2 5 2 3 2 2 2" xfId="51321"/>
    <cellStyle name="Normal 2 2 2 2 2 2 2 5 2 3 2 2 2 2" xfId="53723"/>
    <cellStyle name="Normal 2 2 2 2 2 2 2 5 2 3 2 3" xfId="31898"/>
    <cellStyle name="Normal 2 2 2 2 2 2 2 5 2 3 3" xfId="29495"/>
    <cellStyle name="Normal 2 2 2 2 2 2 2 5 2 3 3 2" xfId="40259"/>
    <cellStyle name="Normal 2 2 2 2 2 2 2 5 2 4" xfId="10025"/>
    <cellStyle name="Normal 2 2 2 2 2 2 2 5 2 4 2" xfId="37803"/>
    <cellStyle name="Normal 2 2 2 2 2 2 2 5 2 4 2 2" xfId="45390"/>
    <cellStyle name="Normal 2 2 2 2 2 2 2 5 2 5" xfId="23513"/>
    <cellStyle name="Normal 2 2 2 2 2 2 2 5 3" xfId="4354"/>
    <cellStyle name="Normal 2 2 2 2 2 2 2 5 3 2" xfId="6039"/>
    <cellStyle name="Normal 2 2 2 2 2 2 2 5 3 2 2" xfId="17947"/>
    <cellStyle name="Normal 2 2 2 2 2 2 2 5 3 2 2 2" xfId="19603"/>
    <cellStyle name="Normal 2 2 2 2 2 2 2 5 3 2 2 2 2" xfId="53274"/>
    <cellStyle name="Normal 2 2 2 2 2 2 2 5 3 2 2 2 2 2" xfId="54929"/>
    <cellStyle name="Normal 2 2 2 2 2 2 2 5 3 2 2 3" xfId="33104"/>
    <cellStyle name="Normal 2 2 2 2 2 2 2 5 3 2 3" xfId="31449"/>
    <cellStyle name="Normal 2 2 2 2 2 2 2 5 3 2 3 2" xfId="41473"/>
    <cellStyle name="Normal 2 2 2 2 2 2 2 5 3 3" xfId="11264"/>
    <cellStyle name="Normal 2 2 2 2 2 2 2 5 3 3 2" xfId="39797"/>
    <cellStyle name="Normal 2 2 2 2 2 2 2 5 3 3 2 2" xfId="46619"/>
    <cellStyle name="Normal 2 2 2 2 2 2 2 5 3 4" xfId="24756"/>
    <cellStyle name="Normal 2 2 2 2 2 2 2 5 4" xfId="9553"/>
    <cellStyle name="Normal 2 2 2 2 2 2 2 5 4 2" xfId="14422"/>
    <cellStyle name="Normal 2 2 2 2 2 2 2 5 4 2 2" xfId="44935"/>
    <cellStyle name="Normal 2 2 2 2 2 2 2 5 4 2 2 2" xfId="49767"/>
    <cellStyle name="Normal 2 2 2 2 2 2 2 5 4 3" xfId="27935"/>
    <cellStyle name="Normal 2 2 2 2 2 2 2 5 5" xfId="23054"/>
    <cellStyle name="Normal 2 2 2 2 2 2 2 5 5 2" xfId="36235"/>
    <cellStyle name="Normal 2 2 2 2 2 2 2 6" xfId="1493"/>
    <cellStyle name="Normal 2 2 2 2 2 2 2 6 2" xfId="5565"/>
    <cellStyle name="Normal 2 2 2 2 2 2 2 6 2 2" xfId="6784"/>
    <cellStyle name="Normal 2 2 2 2 2 2 2 6 2 2 2" xfId="19138"/>
    <cellStyle name="Normal 2 2 2 2 2 2 2 6 2 2 2 2" xfId="20337"/>
    <cellStyle name="Normal 2 2 2 2 2 2 2 6 2 2 2 2 2" xfId="54464"/>
    <cellStyle name="Normal 2 2 2 2 2 2 2 6 2 2 2 2 2 2" xfId="55663"/>
    <cellStyle name="Normal 2 2 2 2 2 2 2 6 2 2 2 3" xfId="33839"/>
    <cellStyle name="Normal 2 2 2 2 2 2 2 6 2 2 3" xfId="32639"/>
    <cellStyle name="Normal 2 2 2 2 2 2 2 6 2 2 3 2" xfId="42212"/>
    <cellStyle name="Normal 2 2 2 2 2 2 2 6 2 3" xfId="12007"/>
    <cellStyle name="Normal 2 2 2 2 2 2 2 6 2 3 2" xfId="41002"/>
    <cellStyle name="Normal 2 2 2 2 2 2 2 6 2 3 2 2" xfId="47355"/>
    <cellStyle name="Normal 2 2 2 2 2 2 2 6 2 4" xfId="25492"/>
    <cellStyle name="Normal 2 2 2 2 2 2 2 6 3" xfId="10775"/>
    <cellStyle name="Normal 2 2 2 2 2 2 2 6 3 2" xfId="15177"/>
    <cellStyle name="Normal 2 2 2 2 2 2 2 6 3 2 2" xfId="46137"/>
    <cellStyle name="Normal 2 2 2 2 2 2 2 6 3 2 2 2" xfId="50515"/>
    <cellStyle name="Normal 2 2 2 2 2 2 2 6 3 3" xfId="28689"/>
    <cellStyle name="Normal 2 2 2 2 2 2 2 6 4" xfId="24263"/>
    <cellStyle name="Normal 2 2 2 2 2 2 2 6 4 2" xfId="36987"/>
    <cellStyle name="Normal 2 2 2 2 2 2 2 7" xfId="3492"/>
    <cellStyle name="Normal 2 2 2 2 2 2 2 7 2" xfId="13950"/>
    <cellStyle name="Normal 2 2 2 2 2 2 2 7 2 2" xfId="17146"/>
    <cellStyle name="Normal 2 2 2 2 2 2 2 7 2 2 2" xfId="49296"/>
    <cellStyle name="Normal 2 2 2 2 2 2 2 7 2 2 2 2" xfId="52474"/>
    <cellStyle name="Normal 2 2 2 2 2 2 2 7 2 3" xfId="30648"/>
    <cellStyle name="Normal 2 2 2 2 2 2 2 7 3" xfId="27439"/>
    <cellStyle name="Normal 2 2 2 2 2 2 2 7 3 2" xfId="38959"/>
    <cellStyle name="Normal 2 2 2 2 2 2 2 8" xfId="3684"/>
    <cellStyle name="Normal 2 2 2 2 2 2 2 8 2" xfId="35762"/>
    <cellStyle name="Normal 2 2 2 2 2 2 2 8 2 2" xfId="39135"/>
    <cellStyle name="Normal 2 2 2 2 2 2 2 9" xfId="8731"/>
    <cellStyle name="Normal 2 2 2 2 2 2 3" xfId="258"/>
    <cellStyle name="Normal 2 2 2 2 2 2 3 2" xfId="285"/>
    <cellStyle name="Normal 2 2 2 2 2 2 3 2 2" xfId="604"/>
    <cellStyle name="Normal 2 2 2 2 2 2 3 2 2 2" xfId="625"/>
    <cellStyle name="Normal 2 2 2 2 2 2 3 2 2 2 2" xfId="1400"/>
    <cellStyle name="Normal 2 2 2 2 2 2 3 2 2 2 2 2" xfId="1421"/>
    <cellStyle name="Normal 2 2 2 2 2 2 3 2 2 2 2 2 2" xfId="3418"/>
    <cellStyle name="Normal 2 2 2 2 2 2 3 2 2 2 2 2 2 2" xfId="3439"/>
    <cellStyle name="Normal 2 2 2 2 2 2 3 2 2 2 2 2 2 2 2" xfId="8633"/>
    <cellStyle name="Normal 2 2 2 2 2 2 3 2 2 2 2 2 2 2 2 2" xfId="8654"/>
    <cellStyle name="Normal 2 2 2 2 2 2 3 2 2 2 2 2 2 2 2 2 2" xfId="22185"/>
    <cellStyle name="Normal 2 2 2 2 2 2 3 2 2 2 2 2 2 2 2 2 2 2" xfId="22206"/>
    <cellStyle name="Normal 2 2 2 2 2 2 3 2 2 2 2 2 2 2 2 2 2 2 2" xfId="57511"/>
    <cellStyle name="Normal 2 2 2 2 2 2 3 2 2 2 2 2 2 2 2 2 2 2 2 2" xfId="57532"/>
    <cellStyle name="Normal 2 2 2 2 2 2 3 2 2 2 2 2 2 2 2 2 2 3" xfId="35709"/>
    <cellStyle name="Normal 2 2 2 2 2 2 3 2 2 2 2 2 2 2 2 2 3" xfId="35688"/>
    <cellStyle name="Normal 2 2 2 2 2 2 3 2 2 2 2 2 2 2 2 2 3 2" xfId="44081"/>
    <cellStyle name="Normal 2 2 2 2 2 2 3 2 2 2 2 2 2 2 2 3" xfId="13879"/>
    <cellStyle name="Normal 2 2 2 2 2 2 3 2 2 2 2 2 2 2 2 3 2" xfId="44060"/>
    <cellStyle name="Normal 2 2 2 2 2 2 3 2 2 2 2 2 2 2 2 3 2 2" xfId="49225"/>
    <cellStyle name="Normal 2 2 2 2 2 2 3 2 2 2 2 2 2 2 2 4" xfId="27364"/>
    <cellStyle name="Normal 2 2 2 2 2 2 3 2 2 2 2 2 2 2 3" xfId="13858"/>
    <cellStyle name="Normal 2 2 2 2 2 2 3 2 2 2 2 2 2 2 3 2" xfId="17096"/>
    <cellStyle name="Normal 2 2 2 2 2 2 3 2 2 2 2 2 2 2 3 2 2" xfId="49204"/>
    <cellStyle name="Normal 2 2 2 2 2 2 3 2 2 2 2 2 2 2 3 2 2 2" xfId="52424"/>
    <cellStyle name="Normal 2 2 2 2 2 2 3 2 2 2 2 2 2 2 3 3" xfId="30598"/>
    <cellStyle name="Normal 2 2 2 2 2 2 3 2 2 2 2 2 2 2 4" xfId="27343"/>
    <cellStyle name="Normal 2 2 2 2 2 2 3 2 2 2 2 2 2 2 4 2" xfId="38908"/>
    <cellStyle name="Normal 2 2 2 2 2 2 3 2 2 2 2 2 2 3" xfId="5476"/>
    <cellStyle name="Normal 2 2 2 2 2 2 3 2 2 2 2 2 2 3 2" xfId="17075"/>
    <cellStyle name="Normal 2 2 2 2 2 2 3 2 2 2 2 2 2 3 2 2" xfId="19049"/>
    <cellStyle name="Normal 2 2 2 2 2 2 3 2 2 2 2 2 2 3 2 2 2" xfId="52403"/>
    <cellStyle name="Normal 2 2 2 2 2 2 3 2 2 2 2 2 2 3 2 2 2 2" xfId="54375"/>
    <cellStyle name="Normal 2 2 2 2 2 2 3 2 2 2 2 2 2 3 2 3" xfId="32550"/>
    <cellStyle name="Normal 2 2 2 2 2 2 3 2 2 2 2 2 2 3 3" xfId="30577"/>
    <cellStyle name="Normal 2 2 2 2 2 2 3 2 2 2 2 2 2 3 3 2" xfId="40913"/>
    <cellStyle name="Normal 2 2 2 2 2 2 3 2 2 2 2 2 2 4" xfId="10679"/>
    <cellStyle name="Normal 2 2 2 2 2 2 3 2 2 2 2 2 2 4 2" xfId="38887"/>
    <cellStyle name="Normal 2 2 2 2 2 2 3 2 2 2 2 2 2 4 2 2" xfId="46042"/>
    <cellStyle name="Normal 2 2 2 2 2 2 3 2 2 2 2 2 2 5" xfId="24165"/>
    <cellStyle name="Normal 2 2 2 2 2 2 3 2 2 2 2 2 3" xfId="5455"/>
    <cellStyle name="Normal 2 2 2 2 2 2 3 2 2 2 2 2 3 2" xfId="6729"/>
    <cellStyle name="Normal 2 2 2 2 2 2 3 2 2 2 2 2 3 2 2" xfId="19028"/>
    <cellStyle name="Normal 2 2 2 2 2 2 3 2 2 2 2 2 3 2 2 2" xfId="20282"/>
    <cellStyle name="Normal 2 2 2 2 2 2 3 2 2 2 2 2 3 2 2 2 2" xfId="54354"/>
    <cellStyle name="Normal 2 2 2 2 2 2 3 2 2 2 2 2 3 2 2 2 2 2" xfId="55608"/>
    <cellStyle name="Normal 2 2 2 2 2 2 3 2 2 2 2 2 3 2 2 3" xfId="33784"/>
    <cellStyle name="Normal 2 2 2 2 2 2 3 2 2 2 2 2 3 2 3" xfId="32529"/>
    <cellStyle name="Normal 2 2 2 2 2 2 3 2 2 2 2 2 3 2 3 2" xfId="42157"/>
    <cellStyle name="Normal 2 2 2 2 2 2 3 2 2 2 2 2 3 3" xfId="11952"/>
    <cellStyle name="Normal 2 2 2 2 2 2 3 2 2 2 2 2 3 3 2" xfId="40892"/>
    <cellStyle name="Normal 2 2 2 2 2 2 3 2 2 2 2 2 3 3 2 2" xfId="47300"/>
    <cellStyle name="Normal 2 2 2 2 2 2 3 2 2 2 2 2 3 4" xfId="25437"/>
    <cellStyle name="Normal 2 2 2 2 2 2 3 2 2 2 2 2 4" xfId="10658"/>
    <cellStyle name="Normal 2 2 2 2 2 2 3 2 2 2 2 2 4 2" xfId="15110"/>
    <cellStyle name="Normal 2 2 2 2 2 2 3 2 2 2 2 2 4 2 2" xfId="46021"/>
    <cellStyle name="Normal 2 2 2 2 2 2 3 2 2 2 2 2 4 2 2 2" xfId="50449"/>
    <cellStyle name="Normal 2 2 2 2 2 2 3 2 2 2 2 2 4 3" xfId="28623"/>
    <cellStyle name="Normal 2 2 2 2 2 2 3 2 2 2 2 2 5" xfId="24144"/>
    <cellStyle name="Normal 2 2 2 2 2 2 3 2 2 2 2 2 5 2" xfId="36918"/>
    <cellStyle name="Normal 2 2 2 2 2 2 3 2 2 2 2 3" xfId="2228"/>
    <cellStyle name="Normal 2 2 2 2 2 2 3 2 2 2 2 3 2" xfId="6708"/>
    <cellStyle name="Normal 2 2 2 2 2 2 3 2 2 2 2 3 2 2" xfId="7462"/>
    <cellStyle name="Normal 2 2 2 2 2 2 3 2 2 2 2 3 2 2 2" xfId="20261"/>
    <cellStyle name="Normal 2 2 2 2 2 2 3 2 2 2 2 3 2 2 2 2" xfId="21014"/>
    <cellStyle name="Normal 2 2 2 2 2 2 3 2 2 2 2 3 2 2 2 2 2" xfId="55587"/>
    <cellStyle name="Normal 2 2 2 2 2 2 3 2 2 2 2 3 2 2 2 2 2 2" xfId="56340"/>
    <cellStyle name="Normal 2 2 2 2 2 2 3 2 2 2 2 3 2 2 2 3" xfId="34517"/>
    <cellStyle name="Normal 2 2 2 2 2 2 3 2 2 2 2 3 2 2 3" xfId="33763"/>
    <cellStyle name="Normal 2 2 2 2 2 2 3 2 2 2 2 3 2 2 3 2" xfId="42889"/>
    <cellStyle name="Normal 2 2 2 2 2 2 3 2 2 2 2 3 2 3" xfId="12687"/>
    <cellStyle name="Normal 2 2 2 2 2 2 3 2 2 2 2 3 2 3 2" xfId="42136"/>
    <cellStyle name="Normal 2 2 2 2 2 2 3 2 2 2 2 3 2 3 2 2" xfId="48033"/>
    <cellStyle name="Normal 2 2 2 2 2 2 3 2 2 2 2 3 2 4" xfId="26171"/>
    <cellStyle name="Normal 2 2 2 2 2 2 3 2 2 2 2 3 3" xfId="11931"/>
    <cellStyle name="Normal 2 2 2 2 2 2 3 2 2 2 2 3 3 2" xfId="15892"/>
    <cellStyle name="Normal 2 2 2 2 2 2 3 2 2 2 2 3 3 2 2" xfId="47279"/>
    <cellStyle name="Normal 2 2 2 2 2 2 3 2 2 2 2 3 3 2 2 2" xfId="51224"/>
    <cellStyle name="Normal 2 2 2 2 2 2 3 2 2 2 2 3 3 3" xfId="29398"/>
    <cellStyle name="Normal 2 2 2 2 2 2 3 2 2 2 2 3 4" xfId="25416"/>
    <cellStyle name="Normal 2 2 2 2 2 2 3 2 2 2 2 3 4 2" xfId="37706"/>
    <cellStyle name="Normal 2 2 2 2 2 2 3 2 2 2 2 4" xfId="4244"/>
    <cellStyle name="Normal 2 2 2 2 2 2 3 2 2 2 2 4 2" xfId="15089"/>
    <cellStyle name="Normal 2 2 2 2 2 2 3 2 2 2 2 4 2 2" xfId="17837"/>
    <cellStyle name="Normal 2 2 2 2 2 2 3 2 2 2 2 4 2 2 2" xfId="50428"/>
    <cellStyle name="Normal 2 2 2 2 2 2 3 2 2 2 2 4 2 2 2 2" xfId="53164"/>
    <cellStyle name="Normal 2 2 2 2 2 2 3 2 2 2 2 4 2 3" xfId="31339"/>
    <cellStyle name="Normal 2 2 2 2 2 2 3 2 2 2 2 4 3" xfId="28602"/>
    <cellStyle name="Normal 2 2 2 2 2 2 3 2 2 2 2 4 3 2" xfId="39687"/>
    <cellStyle name="Normal 2 2 2 2 2 2 3 2 2 2 2 5" xfId="9435"/>
    <cellStyle name="Normal 2 2 2 2 2 2 3 2 2 2 2 5 2" xfId="36897"/>
    <cellStyle name="Normal 2 2 2 2 2 2 3 2 2 2 2 5 2 2" xfId="44817"/>
    <cellStyle name="Normal 2 2 2 2 2 2 3 2 2 2 2 6" xfId="22931"/>
    <cellStyle name="Normal 2 2 2 2 2 2 3 2 2 2 3" xfId="2207"/>
    <cellStyle name="Normal 2 2 2 2 2 2 3 2 2 2 3 2" xfId="2715"/>
    <cellStyle name="Normal 2 2 2 2 2 2 3 2 2 2 3 2 2" xfId="7441"/>
    <cellStyle name="Normal 2 2 2 2 2 2 3 2 2 2 3 2 2 2" xfId="7934"/>
    <cellStyle name="Normal 2 2 2 2 2 2 3 2 2 2 3 2 2 2 2" xfId="20993"/>
    <cellStyle name="Normal 2 2 2 2 2 2 3 2 2 2 3 2 2 2 2 2" xfId="21486"/>
    <cellStyle name="Normal 2 2 2 2 2 2 3 2 2 2 3 2 2 2 2 2 2" xfId="56319"/>
    <cellStyle name="Normal 2 2 2 2 2 2 3 2 2 2 3 2 2 2 2 2 2 2" xfId="56812"/>
    <cellStyle name="Normal 2 2 2 2 2 2 3 2 2 2 3 2 2 2 2 3" xfId="34989"/>
    <cellStyle name="Normal 2 2 2 2 2 2 3 2 2 2 3 2 2 2 3" xfId="34496"/>
    <cellStyle name="Normal 2 2 2 2 2 2 3 2 2 2 3 2 2 2 3 2" xfId="43361"/>
    <cellStyle name="Normal 2 2 2 2 2 2 3 2 2 2 3 2 2 3" xfId="13159"/>
    <cellStyle name="Normal 2 2 2 2 2 2 3 2 2 2 3 2 2 3 2" xfId="42868"/>
    <cellStyle name="Normal 2 2 2 2 2 2 3 2 2 2 3 2 2 3 2 2" xfId="48505"/>
    <cellStyle name="Normal 2 2 2 2 2 2 3 2 2 2 3 2 2 4" xfId="26643"/>
    <cellStyle name="Normal 2 2 2 2 2 2 3 2 2 2 3 2 3" xfId="12666"/>
    <cellStyle name="Normal 2 2 2 2 2 2 3 2 2 2 3 2 3 2" xfId="16374"/>
    <cellStyle name="Normal 2 2 2 2 2 2 3 2 2 2 3 2 3 2 2" xfId="48012"/>
    <cellStyle name="Normal 2 2 2 2 2 2 3 2 2 2 3 2 3 2 2 2" xfId="51704"/>
    <cellStyle name="Normal 2 2 2 2 2 2 3 2 2 2 3 2 3 3" xfId="29878"/>
    <cellStyle name="Normal 2 2 2 2 2 2 3 2 2 2 3 2 4" xfId="26150"/>
    <cellStyle name="Normal 2 2 2 2 2 2 3 2 2 2 3 2 4 2" xfId="38188"/>
    <cellStyle name="Normal 2 2 2 2 2 2 3 2 2 2 3 3" xfId="4751"/>
    <cellStyle name="Normal 2 2 2 2 2 2 3 2 2 2 3 3 2" xfId="15871"/>
    <cellStyle name="Normal 2 2 2 2 2 2 3 2 2 2 3 3 2 2" xfId="18328"/>
    <cellStyle name="Normal 2 2 2 2 2 2 3 2 2 2 3 3 2 2 2" xfId="51203"/>
    <cellStyle name="Normal 2 2 2 2 2 2 3 2 2 2 3 3 2 2 2 2" xfId="53654"/>
    <cellStyle name="Normal 2 2 2 2 2 2 3 2 2 2 3 3 2 3" xfId="31829"/>
    <cellStyle name="Normal 2 2 2 2 2 2 3 2 2 2 3 3 3" xfId="29377"/>
    <cellStyle name="Normal 2 2 2 2 2 2 3 2 2 2 3 3 3 2" xfId="40189"/>
    <cellStyle name="Normal 2 2 2 2 2 2 3 2 2 2 3 4" xfId="9954"/>
    <cellStyle name="Normal 2 2 2 2 2 2 3 2 2 2 3 4 2" xfId="37685"/>
    <cellStyle name="Normal 2 2 2 2 2 2 3 2 2 2 3 4 2 2" xfId="45321"/>
    <cellStyle name="Normal 2 2 2 2 2 2 3 2 2 2 3 5" xfId="23444"/>
    <cellStyle name="Normal 2 2 2 2 2 2 3 2 2 2 4" xfId="4223"/>
    <cellStyle name="Normal 2 2 2 2 2 2 3 2 2 2 4 2" xfId="5956"/>
    <cellStyle name="Normal 2 2 2 2 2 2 3 2 2 2 4 2 2" xfId="17816"/>
    <cellStyle name="Normal 2 2 2 2 2 2 3 2 2 2 4 2 2 2" xfId="19523"/>
    <cellStyle name="Normal 2 2 2 2 2 2 3 2 2 2 4 2 2 2 2" xfId="53143"/>
    <cellStyle name="Normal 2 2 2 2 2 2 3 2 2 2 4 2 2 2 2 2" xfId="54849"/>
    <cellStyle name="Normal 2 2 2 2 2 2 3 2 2 2 4 2 2 3" xfId="33024"/>
    <cellStyle name="Normal 2 2 2 2 2 2 3 2 2 2 4 2 3" xfId="31318"/>
    <cellStyle name="Normal 2 2 2 2 2 2 3 2 2 2 4 2 3 2" xfId="41390"/>
    <cellStyle name="Normal 2 2 2 2 2 2 3 2 2 2 4 3" xfId="11181"/>
    <cellStyle name="Normal 2 2 2 2 2 2 3 2 2 2 4 3 2" xfId="39666"/>
    <cellStyle name="Normal 2 2 2 2 2 2 3 2 2 2 4 3 2 2" xfId="46539"/>
    <cellStyle name="Normal 2 2 2 2 2 2 3 2 2 2 4 4" xfId="24674"/>
    <cellStyle name="Normal 2 2 2 2 2 2 3 2 2 2 5" xfId="9414"/>
    <cellStyle name="Normal 2 2 2 2 2 2 3 2 2 2 5 2" xfId="14340"/>
    <cellStyle name="Normal 2 2 2 2 2 2 3 2 2 2 5 2 2" xfId="44796"/>
    <cellStyle name="Normal 2 2 2 2 2 2 3 2 2 2 5 2 2 2" xfId="49685"/>
    <cellStyle name="Normal 2 2 2 2 2 2 3 2 2 2 5 3" xfId="27850"/>
    <cellStyle name="Normal 2 2 2 2 2 2 3 2 2 2 6" xfId="22910"/>
    <cellStyle name="Normal 2 2 2 2 2 2 3 2 2 2 6 2" xfId="36152"/>
    <cellStyle name="Normal 2 2 2 2 2 2 3 2 2 3" xfId="953"/>
    <cellStyle name="Normal 2 2 2 2 2 2 3 2 2 3 2" xfId="2694"/>
    <cellStyle name="Normal 2 2 2 2 2 2 3 2 2 3 2 2" xfId="2991"/>
    <cellStyle name="Normal 2 2 2 2 2 2 3 2 2 3 2 2 2" xfId="7913"/>
    <cellStyle name="Normal 2 2 2 2 2 2 3 2 2 3 2 2 2 2" xfId="8206"/>
    <cellStyle name="Normal 2 2 2 2 2 2 3 2 2 3 2 2 2 2 2" xfId="21465"/>
    <cellStyle name="Normal 2 2 2 2 2 2 3 2 2 3 2 2 2 2 2 2" xfId="21758"/>
    <cellStyle name="Normal 2 2 2 2 2 2 3 2 2 3 2 2 2 2 2 2 2" xfId="56791"/>
    <cellStyle name="Normal 2 2 2 2 2 2 3 2 2 3 2 2 2 2 2 2 2 2" xfId="57084"/>
    <cellStyle name="Normal 2 2 2 2 2 2 3 2 2 3 2 2 2 2 2 3" xfId="35261"/>
    <cellStyle name="Normal 2 2 2 2 2 2 3 2 2 3 2 2 2 2 3" xfId="34968"/>
    <cellStyle name="Normal 2 2 2 2 2 2 3 2 2 3 2 2 2 2 3 2" xfId="43633"/>
    <cellStyle name="Normal 2 2 2 2 2 2 3 2 2 3 2 2 2 3" xfId="13431"/>
    <cellStyle name="Normal 2 2 2 2 2 2 3 2 2 3 2 2 2 3 2" xfId="43340"/>
    <cellStyle name="Normal 2 2 2 2 2 2 3 2 2 3 2 2 2 3 2 2" xfId="48777"/>
    <cellStyle name="Normal 2 2 2 2 2 2 3 2 2 3 2 2 2 4" xfId="26916"/>
    <cellStyle name="Normal 2 2 2 2 2 2 3 2 2 3 2 2 3" xfId="13138"/>
    <cellStyle name="Normal 2 2 2 2 2 2 3 2 2 3 2 2 3 2" xfId="16648"/>
    <cellStyle name="Normal 2 2 2 2 2 2 3 2 2 3 2 2 3 2 2" xfId="48484"/>
    <cellStyle name="Normal 2 2 2 2 2 2 3 2 2 3 2 2 3 2 2 2" xfId="51976"/>
    <cellStyle name="Normal 2 2 2 2 2 2 3 2 2 3 2 2 3 3" xfId="30150"/>
    <cellStyle name="Normal 2 2 2 2 2 2 3 2 2 3 2 2 4" xfId="26622"/>
    <cellStyle name="Normal 2 2 2 2 2 2 3 2 2 3 2 2 4 2" xfId="38460"/>
    <cellStyle name="Normal 2 2 2 2 2 2 3 2 2 3 2 3" xfId="5027"/>
    <cellStyle name="Normal 2 2 2 2 2 2 3 2 2 3 2 3 2" xfId="16353"/>
    <cellStyle name="Normal 2 2 2 2 2 2 3 2 2 3 2 3 2 2" xfId="18600"/>
    <cellStyle name="Normal 2 2 2 2 2 2 3 2 2 3 2 3 2 2 2" xfId="51683"/>
    <cellStyle name="Normal 2 2 2 2 2 2 3 2 2 3 2 3 2 2 2 2" xfId="53926"/>
    <cellStyle name="Normal 2 2 2 2 2 2 3 2 2 3 2 3 2 3" xfId="32101"/>
    <cellStyle name="Normal 2 2 2 2 2 2 3 2 2 3 2 3 3" xfId="29857"/>
    <cellStyle name="Normal 2 2 2 2 2 2 3 2 2 3 2 3 3 2" xfId="40464"/>
    <cellStyle name="Normal 2 2 2 2 2 2 3 2 2 3 2 4" xfId="10230"/>
    <cellStyle name="Normal 2 2 2 2 2 2 3 2 2 3 2 4 2" xfId="38167"/>
    <cellStyle name="Normal 2 2 2 2 2 2 3 2 2 3 2 4 2 2" xfId="45593"/>
    <cellStyle name="Normal 2 2 2 2 2 2 3 2 2 3 2 5" xfId="23716"/>
    <cellStyle name="Normal 2 2 2 2 2 2 3 2 2 3 3" xfId="4730"/>
    <cellStyle name="Normal 2 2 2 2 2 2 3 2 2 3 3 2" xfId="6264"/>
    <cellStyle name="Normal 2 2 2 2 2 2 3 2 2 3 3 2 2" xfId="18307"/>
    <cellStyle name="Normal 2 2 2 2 2 2 3 2 2 3 3 2 2 2" xfId="19821"/>
    <cellStyle name="Normal 2 2 2 2 2 2 3 2 2 3 3 2 2 2 2" xfId="53633"/>
    <cellStyle name="Normal 2 2 2 2 2 2 3 2 2 3 3 2 2 2 2 2" xfId="55147"/>
    <cellStyle name="Normal 2 2 2 2 2 2 3 2 2 3 3 2 2 3" xfId="33323"/>
    <cellStyle name="Normal 2 2 2 2 2 2 3 2 2 3 3 2 3" xfId="31808"/>
    <cellStyle name="Normal 2 2 2 2 2 2 3 2 2 3 3 2 3 2" xfId="41693"/>
    <cellStyle name="Normal 2 2 2 2 2 2 3 2 2 3 3 3" xfId="11489"/>
    <cellStyle name="Normal 2 2 2 2 2 2 3 2 2 3 3 3 2" xfId="40168"/>
    <cellStyle name="Normal 2 2 2 2 2 2 3 2 2 3 3 3 2 2" xfId="46838"/>
    <cellStyle name="Normal 2 2 2 2 2 2 3 2 2 3 3 4" xfId="24975"/>
    <cellStyle name="Normal 2 2 2 2 2 2 3 2 2 3 4" xfId="9933"/>
    <cellStyle name="Normal 2 2 2 2 2 2 3 2 2 3 4 2" xfId="14647"/>
    <cellStyle name="Normal 2 2 2 2 2 2 3 2 2 3 4 2 2" xfId="45300"/>
    <cellStyle name="Normal 2 2 2 2 2 2 3 2 2 3 4 2 2 2" xfId="49986"/>
    <cellStyle name="Normal 2 2 2 2 2 2 3 2 2 3 4 3" xfId="28158"/>
    <cellStyle name="Normal 2 2 2 2 2 2 3 2 2 3 5" xfId="23423"/>
    <cellStyle name="Normal 2 2 2 2 2 2 3 2 2 3 5 2" xfId="36455"/>
    <cellStyle name="Normal 2 2 2 2 2 2 3 2 2 4" xfId="1749"/>
    <cellStyle name="Normal 2 2 2 2 2 2 3 2 2 4 2" xfId="5935"/>
    <cellStyle name="Normal 2 2 2 2 2 2 3 2 2 4 2 2" xfId="7002"/>
    <cellStyle name="Normal 2 2 2 2 2 2 3 2 2 4 2 2 2" xfId="19502"/>
    <cellStyle name="Normal 2 2 2 2 2 2 3 2 2 4 2 2 2 2" xfId="20555"/>
    <cellStyle name="Normal 2 2 2 2 2 2 3 2 2 4 2 2 2 2 2" xfId="54828"/>
    <cellStyle name="Normal 2 2 2 2 2 2 3 2 2 4 2 2 2 2 2 2" xfId="55881"/>
    <cellStyle name="Normal 2 2 2 2 2 2 3 2 2 4 2 2 2 3" xfId="34057"/>
    <cellStyle name="Normal 2 2 2 2 2 2 3 2 2 4 2 2 3" xfId="33003"/>
    <cellStyle name="Normal 2 2 2 2 2 2 3 2 2 4 2 2 3 2" xfId="42430"/>
    <cellStyle name="Normal 2 2 2 2 2 2 3 2 2 4 2 3" xfId="12226"/>
    <cellStyle name="Normal 2 2 2 2 2 2 3 2 2 4 2 3 2" xfId="41369"/>
    <cellStyle name="Normal 2 2 2 2 2 2 3 2 2 4 2 3 2 2" xfId="47573"/>
    <cellStyle name="Normal 2 2 2 2 2 2 3 2 2 4 2 4" xfId="25711"/>
    <cellStyle name="Normal 2 2 2 2 2 2 3 2 2 4 3" xfId="11160"/>
    <cellStyle name="Normal 2 2 2 2 2 2 3 2 2 4 3 2" xfId="15421"/>
    <cellStyle name="Normal 2 2 2 2 2 2 3 2 2 4 3 2 2" xfId="46518"/>
    <cellStyle name="Normal 2 2 2 2 2 2 3 2 2 4 3 2 2 2" xfId="50754"/>
    <cellStyle name="Normal 2 2 2 2 2 2 3 2 2 4 3 3" xfId="28928"/>
    <cellStyle name="Normal 2 2 2 2 2 2 3 2 2 4 4" xfId="24653"/>
    <cellStyle name="Normal 2 2 2 2 2 2 3 2 2 4 4 2" xfId="37231"/>
    <cellStyle name="Normal 2 2 2 2 2 2 3 2 2 5" xfId="3755"/>
    <cellStyle name="Normal 2 2 2 2 2 2 3 2 2 5 2" xfId="14319"/>
    <cellStyle name="Normal 2 2 2 2 2 2 3 2 2 5 2 2" xfId="17371"/>
    <cellStyle name="Normal 2 2 2 2 2 2 3 2 2 5 2 2 2" xfId="49664"/>
    <cellStyle name="Normal 2 2 2 2 2 2 3 2 2 5 2 2 2 2" xfId="52698"/>
    <cellStyle name="Normal 2 2 2 2 2 2 3 2 2 5 2 3" xfId="30872"/>
    <cellStyle name="Normal 2 2 2 2 2 2 3 2 2 5 3" xfId="27829"/>
    <cellStyle name="Normal 2 2 2 2 2 2 3 2 2 5 3 2" xfId="39206"/>
    <cellStyle name="Normal 2 2 2 2 2 2 3 2 2 6" xfId="8945"/>
    <cellStyle name="Normal 2 2 2 2 2 2 3 2 2 6 2" xfId="36131"/>
    <cellStyle name="Normal 2 2 2 2 2 2 3 2 2 6 2 2" xfId="44344"/>
    <cellStyle name="Normal 2 2 2 2 2 2 3 2 2 7" xfId="22452"/>
    <cellStyle name="Normal 2 2 2 2 2 2 3 2 3" xfId="932"/>
    <cellStyle name="Normal 2 2 2 2 2 2 3 2 3 2" xfId="1150"/>
    <cellStyle name="Normal 2 2 2 2 2 2 3 2 3 2 2" xfId="2970"/>
    <cellStyle name="Normal 2 2 2 2 2 2 3 2 3 2 2 2" xfId="3173"/>
    <cellStyle name="Normal 2 2 2 2 2 2 3 2 3 2 2 2 2" xfId="8185"/>
    <cellStyle name="Normal 2 2 2 2 2 2 3 2 3 2 2 2 2 2" xfId="8388"/>
    <cellStyle name="Normal 2 2 2 2 2 2 3 2 3 2 2 2 2 2 2" xfId="21737"/>
    <cellStyle name="Normal 2 2 2 2 2 2 3 2 3 2 2 2 2 2 2 2" xfId="21940"/>
    <cellStyle name="Normal 2 2 2 2 2 2 3 2 3 2 2 2 2 2 2 2 2" xfId="57063"/>
    <cellStyle name="Normal 2 2 2 2 2 2 3 2 3 2 2 2 2 2 2 2 2 2" xfId="57266"/>
    <cellStyle name="Normal 2 2 2 2 2 2 3 2 3 2 2 2 2 2 2 3" xfId="35443"/>
    <cellStyle name="Normal 2 2 2 2 2 2 3 2 3 2 2 2 2 2 3" xfId="35240"/>
    <cellStyle name="Normal 2 2 2 2 2 2 3 2 3 2 2 2 2 2 3 2" xfId="43815"/>
    <cellStyle name="Normal 2 2 2 2 2 2 3 2 3 2 2 2 2 3" xfId="13613"/>
    <cellStyle name="Normal 2 2 2 2 2 2 3 2 3 2 2 2 2 3 2" xfId="43612"/>
    <cellStyle name="Normal 2 2 2 2 2 2 3 2 3 2 2 2 2 3 2 2" xfId="48959"/>
    <cellStyle name="Normal 2 2 2 2 2 2 3 2 3 2 2 2 2 4" xfId="27098"/>
    <cellStyle name="Normal 2 2 2 2 2 2 3 2 3 2 2 2 3" xfId="13410"/>
    <cellStyle name="Normal 2 2 2 2 2 2 3 2 3 2 2 2 3 2" xfId="16830"/>
    <cellStyle name="Normal 2 2 2 2 2 2 3 2 3 2 2 2 3 2 2" xfId="48756"/>
    <cellStyle name="Normal 2 2 2 2 2 2 3 2 3 2 2 2 3 2 2 2" xfId="52158"/>
    <cellStyle name="Normal 2 2 2 2 2 2 3 2 3 2 2 2 3 3" xfId="30332"/>
    <cellStyle name="Normal 2 2 2 2 2 2 3 2 3 2 2 2 4" xfId="26895"/>
    <cellStyle name="Normal 2 2 2 2 2 2 3 2 3 2 2 2 4 2" xfId="38642"/>
    <cellStyle name="Normal 2 2 2 2 2 2 3 2 3 2 2 3" xfId="5210"/>
    <cellStyle name="Normal 2 2 2 2 2 2 3 2 3 2 2 3 2" xfId="16627"/>
    <cellStyle name="Normal 2 2 2 2 2 2 3 2 3 2 2 3 2 2" xfId="18783"/>
    <cellStyle name="Normal 2 2 2 2 2 2 3 2 3 2 2 3 2 2 2" xfId="51955"/>
    <cellStyle name="Normal 2 2 2 2 2 2 3 2 3 2 2 3 2 2 2 2" xfId="54109"/>
    <cellStyle name="Normal 2 2 2 2 2 2 3 2 3 2 2 3 2 3" xfId="32284"/>
    <cellStyle name="Normal 2 2 2 2 2 2 3 2 3 2 2 3 3" xfId="30129"/>
    <cellStyle name="Normal 2 2 2 2 2 2 3 2 3 2 2 3 3 2" xfId="40647"/>
    <cellStyle name="Normal 2 2 2 2 2 2 3 2 3 2 2 4" xfId="10413"/>
    <cellStyle name="Normal 2 2 2 2 2 2 3 2 3 2 2 4 2" xfId="38439"/>
    <cellStyle name="Normal 2 2 2 2 2 2 3 2 3 2 2 4 2 2" xfId="45776"/>
    <cellStyle name="Normal 2 2 2 2 2 2 3 2 3 2 2 5" xfId="23899"/>
    <cellStyle name="Normal 2 2 2 2 2 2 3 2 3 2 3" xfId="5006"/>
    <cellStyle name="Normal 2 2 2 2 2 2 3 2 3 2 3 2" xfId="6458"/>
    <cellStyle name="Normal 2 2 2 2 2 2 3 2 3 2 3 2 2" xfId="18579"/>
    <cellStyle name="Normal 2 2 2 2 2 2 3 2 3 2 3 2 2 2" xfId="20012"/>
    <cellStyle name="Normal 2 2 2 2 2 2 3 2 3 2 3 2 2 2 2" xfId="53905"/>
    <cellStyle name="Normal 2 2 2 2 2 2 3 2 3 2 3 2 2 2 2 2" xfId="55338"/>
    <cellStyle name="Normal 2 2 2 2 2 2 3 2 3 2 3 2 2 3" xfId="33514"/>
    <cellStyle name="Normal 2 2 2 2 2 2 3 2 3 2 3 2 3" xfId="32080"/>
    <cellStyle name="Normal 2 2 2 2 2 2 3 2 3 2 3 2 3 2" xfId="41886"/>
    <cellStyle name="Normal 2 2 2 2 2 2 3 2 3 2 3 3" xfId="11682"/>
    <cellStyle name="Normal 2 2 2 2 2 2 3 2 3 2 3 3 2" xfId="40443"/>
    <cellStyle name="Normal 2 2 2 2 2 2 3 2 3 2 3 3 2 2" xfId="47030"/>
    <cellStyle name="Normal 2 2 2 2 2 2 3 2 3 2 3 4" xfId="25167"/>
    <cellStyle name="Normal 2 2 2 2 2 2 3 2 3 2 4" xfId="10209"/>
    <cellStyle name="Normal 2 2 2 2 2 2 3 2 3 2 4 2" xfId="14840"/>
    <cellStyle name="Normal 2 2 2 2 2 2 3 2 3 2 4 2 2" xfId="45572"/>
    <cellStyle name="Normal 2 2 2 2 2 2 3 2 3 2 4 2 2 2" xfId="50179"/>
    <cellStyle name="Normal 2 2 2 2 2 2 3 2 3 2 4 3" xfId="28353"/>
    <cellStyle name="Normal 2 2 2 2 2 2 3 2 3 2 5" xfId="23695"/>
    <cellStyle name="Normal 2 2 2 2 2 2 3 2 3 2 5 2" xfId="36648"/>
    <cellStyle name="Normal 2 2 2 2 2 2 3 2 3 3" xfId="1958"/>
    <cellStyle name="Normal 2 2 2 2 2 2 3 2 3 3 2" xfId="6243"/>
    <cellStyle name="Normal 2 2 2 2 2 2 3 2 3 3 2 2" xfId="7195"/>
    <cellStyle name="Normal 2 2 2 2 2 2 3 2 3 3 2 2 2" xfId="19800"/>
    <cellStyle name="Normal 2 2 2 2 2 2 3 2 3 3 2 2 2 2" xfId="20747"/>
    <cellStyle name="Normal 2 2 2 2 2 2 3 2 3 3 2 2 2 2 2" xfId="55126"/>
    <cellStyle name="Normal 2 2 2 2 2 2 3 2 3 3 2 2 2 2 2 2" xfId="56073"/>
    <cellStyle name="Normal 2 2 2 2 2 2 3 2 3 3 2 2 2 3" xfId="34250"/>
    <cellStyle name="Normal 2 2 2 2 2 2 3 2 3 3 2 2 3" xfId="33302"/>
    <cellStyle name="Normal 2 2 2 2 2 2 3 2 3 3 2 2 3 2" xfId="42622"/>
    <cellStyle name="Normal 2 2 2 2 2 2 3 2 3 3 2 3" xfId="12420"/>
    <cellStyle name="Normal 2 2 2 2 2 2 3 2 3 3 2 3 2" xfId="41672"/>
    <cellStyle name="Normal 2 2 2 2 2 2 3 2 3 3 2 3 2 2" xfId="47766"/>
    <cellStyle name="Normal 2 2 2 2 2 2 3 2 3 3 2 4" xfId="25904"/>
    <cellStyle name="Normal 2 2 2 2 2 2 3 2 3 3 3" xfId="11468"/>
    <cellStyle name="Normal 2 2 2 2 2 2 3 2 3 3 3 2" xfId="15623"/>
    <cellStyle name="Normal 2 2 2 2 2 2 3 2 3 3 3 2 2" xfId="46817"/>
    <cellStyle name="Normal 2 2 2 2 2 2 3 2 3 3 3 2 2 2" xfId="50955"/>
    <cellStyle name="Normal 2 2 2 2 2 2 3 2 3 3 3 3" xfId="29129"/>
    <cellStyle name="Normal 2 2 2 2 2 2 3 2 3 3 4" xfId="24954"/>
    <cellStyle name="Normal 2 2 2 2 2 2 3 2 3 3 4 2" xfId="37436"/>
    <cellStyle name="Normal 2 2 2 2 2 2 3 2 3 4" xfId="3972"/>
    <cellStyle name="Normal 2 2 2 2 2 2 3 2 3 4 2" xfId="14626"/>
    <cellStyle name="Normal 2 2 2 2 2 2 3 2 3 4 2 2" xfId="17570"/>
    <cellStyle name="Normal 2 2 2 2 2 2 3 2 3 4 2 2 2" xfId="49965"/>
    <cellStyle name="Normal 2 2 2 2 2 2 3 2 3 4 2 2 2 2" xfId="52897"/>
    <cellStyle name="Normal 2 2 2 2 2 2 3 2 3 4 2 3" xfId="31072"/>
    <cellStyle name="Normal 2 2 2 2 2 2 3 2 3 4 3" xfId="28137"/>
    <cellStyle name="Normal 2 2 2 2 2 2 3 2 3 4 3 2" xfId="39416"/>
    <cellStyle name="Normal 2 2 2 2 2 2 3 2 3 5" xfId="9164"/>
    <cellStyle name="Normal 2 2 2 2 2 2 3 2 3 5 2" xfId="36434"/>
    <cellStyle name="Normal 2 2 2 2 2 2 3 2 3 5 2 2" xfId="44550"/>
    <cellStyle name="Normal 2 2 2 2 2 2 3 2 3 6" xfId="22664"/>
    <cellStyle name="Normal 2 2 2 2 2 2 3 2 4" xfId="1728"/>
    <cellStyle name="Normal 2 2 2 2 2 2 3 2 4 2" xfId="2404"/>
    <cellStyle name="Normal 2 2 2 2 2 2 3 2 4 2 2" xfId="6981"/>
    <cellStyle name="Normal 2 2 2 2 2 2 3 2 4 2 2 2" xfId="7637"/>
    <cellStyle name="Normal 2 2 2 2 2 2 3 2 4 2 2 2 2" xfId="20534"/>
    <cellStyle name="Normal 2 2 2 2 2 2 3 2 4 2 2 2 2 2" xfId="21189"/>
    <cellStyle name="Normal 2 2 2 2 2 2 3 2 4 2 2 2 2 2 2" xfId="55860"/>
    <cellStyle name="Normal 2 2 2 2 2 2 3 2 4 2 2 2 2 2 2 2" xfId="56515"/>
    <cellStyle name="Normal 2 2 2 2 2 2 3 2 4 2 2 2 2 3" xfId="34692"/>
    <cellStyle name="Normal 2 2 2 2 2 2 3 2 4 2 2 2 3" xfId="34036"/>
    <cellStyle name="Normal 2 2 2 2 2 2 3 2 4 2 2 2 3 2" xfId="43064"/>
    <cellStyle name="Normal 2 2 2 2 2 2 3 2 4 2 2 3" xfId="12862"/>
    <cellStyle name="Normal 2 2 2 2 2 2 3 2 4 2 2 3 2" xfId="42409"/>
    <cellStyle name="Normal 2 2 2 2 2 2 3 2 4 2 2 3 2 2" xfId="48208"/>
    <cellStyle name="Normal 2 2 2 2 2 2 3 2 4 2 2 4" xfId="26346"/>
    <cellStyle name="Normal 2 2 2 2 2 2 3 2 4 2 3" xfId="12205"/>
    <cellStyle name="Normal 2 2 2 2 2 2 3 2 4 2 3 2" xfId="16067"/>
    <cellStyle name="Normal 2 2 2 2 2 2 3 2 4 2 3 2 2" xfId="47552"/>
    <cellStyle name="Normal 2 2 2 2 2 2 3 2 4 2 3 2 2 2" xfId="51399"/>
    <cellStyle name="Normal 2 2 2 2 2 2 3 2 4 2 3 3" xfId="29573"/>
    <cellStyle name="Normal 2 2 2 2 2 2 3 2 4 2 4" xfId="25690"/>
    <cellStyle name="Normal 2 2 2 2 2 2 3 2 4 2 4 2" xfId="37882"/>
    <cellStyle name="Normal 2 2 2 2 2 2 3 2 4 3" xfId="4439"/>
    <cellStyle name="Normal 2 2 2 2 2 2 3 2 4 3 2" xfId="15400"/>
    <cellStyle name="Normal 2 2 2 2 2 2 3 2 4 3 2 2" xfId="18030"/>
    <cellStyle name="Normal 2 2 2 2 2 2 3 2 4 3 2 2 2" xfId="50733"/>
    <cellStyle name="Normal 2 2 2 2 2 2 3 2 4 3 2 2 2 2" xfId="53356"/>
    <cellStyle name="Normal 2 2 2 2 2 2 3 2 4 3 2 3" xfId="31531"/>
    <cellStyle name="Normal 2 2 2 2 2 2 3 2 4 3 3" xfId="28907"/>
    <cellStyle name="Normal 2 2 2 2 2 2 3 2 4 3 3 2" xfId="39881"/>
    <cellStyle name="Normal 2 2 2 2 2 2 3 2 4 4" xfId="9643"/>
    <cellStyle name="Normal 2 2 2 2 2 2 3 2 4 4 2" xfId="37210"/>
    <cellStyle name="Normal 2 2 2 2 2 2 3 2 4 4 2 2" xfId="45022"/>
    <cellStyle name="Normal 2 2 2 2 2 2 3 2 4 5" xfId="23145"/>
    <cellStyle name="Normal 2 2 2 2 2 2 3 2 5" xfId="3733"/>
    <cellStyle name="Normal 2 2 2 2 2 2 3 2 5 2" xfId="5645"/>
    <cellStyle name="Normal 2 2 2 2 2 2 3 2 5 2 2" xfId="17349"/>
    <cellStyle name="Normal 2 2 2 2 2 2 3 2 5 2 2 2" xfId="19217"/>
    <cellStyle name="Normal 2 2 2 2 2 2 3 2 5 2 2 2 2" xfId="52676"/>
    <cellStyle name="Normal 2 2 2 2 2 2 3 2 5 2 2 2 2 2" xfId="54543"/>
    <cellStyle name="Normal 2 2 2 2 2 2 3 2 5 2 2 3" xfId="32718"/>
    <cellStyle name="Normal 2 2 2 2 2 2 3 2 5 2 3" xfId="30850"/>
    <cellStyle name="Normal 2 2 2 2 2 2 3 2 5 2 3 2" xfId="41081"/>
    <cellStyle name="Normal 2 2 2 2 2 2 3 2 5 3" xfId="10861"/>
    <cellStyle name="Normal 2 2 2 2 2 2 3 2 5 3 2" xfId="39184"/>
    <cellStyle name="Normal 2 2 2 2 2 2 3 2 5 3 2 2" xfId="46223"/>
    <cellStyle name="Normal 2 2 2 2 2 2 3 2 5 4" xfId="24354"/>
    <cellStyle name="Normal 2 2 2 2 2 2 3 2 6" xfId="8923"/>
    <cellStyle name="Normal 2 2 2 2 2 2 3 2 6 2" xfId="14029"/>
    <cellStyle name="Normal 2 2 2 2 2 2 3 2 6 2 2" xfId="44322"/>
    <cellStyle name="Normal 2 2 2 2 2 2 3 2 6 2 2 2" xfId="49375"/>
    <cellStyle name="Normal 2 2 2 2 2 2 3 2 6 3" xfId="27525"/>
    <cellStyle name="Normal 2 2 2 2 2 2 3 2 7" xfId="22430"/>
    <cellStyle name="Normal 2 2 2 2 2 2 3 2 7 2" xfId="35841"/>
    <cellStyle name="Normal 2 2 2 2 2 2 3 3" xfId="430"/>
    <cellStyle name="Normal 2 2 2 2 2 2 3 3 2" xfId="1124"/>
    <cellStyle name="Normal 2 2 2 2 2 2 3 3 2 2" xfId="1256"/>
    <cellStyle name="Normal 2 2 2 2 2 2 3 3 2 2 2" xfId="3149"/>
    <cellStyle name="Normal 2 2 2 2 2 2 3 3 2 2 2 2" xfId="3274"/>
    <cellStyle name="Normal 2 2 2 2 2 2 3 3 2 2 2 2 2" xfId="8364"/>
    <cellStyle name="Normal 2 2 2 2 2 2 3 3 2 2 2 2 2 2" xfId="8489"/>
    <cellStyle name="Normal 2 2 2 2 2 2 3 3 2 2 2 2 2 2 2" xfId="21916"/>
    <cellStyle name="Normal 2 2 2 2 2 2 3 3 2 2 2 2 2 2 2 2" xfId="22041"/>
    <cellStyle name="Normal 2 2 2 2 2 2 3 3 2 2 2 2 2 2 2 2 2" xfId="57242"/>
    <cellStyle name="Normal 2 2 2 2 2 2 3 3 2 2 2 2 2 2 2 2 2 2" xfId="57367"/>
    <cellStyle name="Normal 2 2 2 2 2 2 3 3 2 2 2 2 2 2 2 3" xfId="35544"/>
    <cellStyle name="Normal 2 2 2 2 2 2 3 3 2 2 2 2 2 2 3" xfId="35419"/>
    <cellStyle name="Normal 2 2 2 2 2 2 3 3 2 2 2 2 2 2 3 2" xfId="43916"/>
    <cellStyle name="Normal 2 2 2 2 2 2 3 3 2 2 2 2 2 3" xfId="13714"/>
    <cellStyle name="Normal 2 2 2 2 2 2 3 3 2 2 2 2 2 3 2" xfId="43791"/>
    <cellStyle name="Normal 2 2 2 2 2 2 3 3 2 2 2 2 2 3 2 2" xfId="49060"/>
    <cellStyle name="Normal 2 2 2 2 2 2 3 3 2 2 2 2 2 4" xfId="27199"/>
    <cellStyle name="Normal 2 2 2 2 2 2 3 3 2 2 2 2 3" xfId="13589"/>
    <cellStyle name="Normal 2 2 2 2 2 2 3 3 2 2 2 2 3 2" xfId="16931"/>
    <cellStyle name="Normal 2 2 2 2 2 2 3 3 2 2 2 2 3 2 2" xfId="48935"/>
    <cellStyle name="Normal 2 2 2 2 2 2 3 3 2 2 2 2 3 2 2 2" xfId="52259"/>
    <cellStyle name="Normal 2 2 2 2 2 2 3 3 2 2 2 2 3 3" xfId="30433"/>
    <cellStyle name="Normal 2 2 2 2 2 2 3 3 2 2 2 2 4" xfId="27074"/>
    <cellStyle name="Normal 2 2 2 2 2 2 3 3 2 2 2 2 4 2" xfId="38743"/>
    <cellStyle name="Normal 2 2 2 2 2 2 3 3 2 2 2 3" xfId="5311"/>
    <cellStyle name="Normal 2 2 2 2 2 2 3 3 2 2 2 3 2" xfId="16806"/>
    <cellStyle name="Normal 2 2 2 2 2 2 3 3 2 2 2 3 2 2" xfId="18884"/>
    <cellStyle name="Normal 2 2 2 2 2 2 3 3 2 2 2 3 2 2 2" xfId="52134"/>
    <cellStyle name="Normal 2 2 2 2 2 2 3 3 2 2 2 3 2 2 2 2" xfId="54210"/>
    <cellStyle name="Normal 2 2 2 2 2 2 3 3 2 2 2 3 2 3" xfId="32385"/>
    <cellStyle name="Normal 2 2 2 2 2 2 3 3 2 2 2 3 3" xfId="30308"/>
    <cellStyle name="Normal 2 2 2 2 2 2 3 3 2 2 2 3 3 2" xfId="40748"/>
    <cellStyle name="Normal 2 2 2 2 2 2 3 3 2 2 2 4" xfId="10514"/>
    <cellStyle name="Normal 2 2 2 2 2 2 3 3 2 2 2 4 2" xfId="38618"/>
    <cellStyle name="Normal 2 2 2 2 2 2 3 3 2 2 2 4 2 2" xfId="45877"/>
    <cellStyle name="Normal 2 2 2 2 2 2 3 3 2 2 2 5" xfId="24000"/>
    <cellStyle name="Normal 2 2 2 2 2 2 3 3 2 2 3" xfId="5186"/>
    <cellStyle name="Normal 2 2 2 2 2 2 3 3 2 2 3 2" xfId="6564"/>
    <cellStyle name="Normal 2 2 2 2 2 2 3 3 2 2 3 2 2" xfId="18759"/>
    <cellStyle name="Normal 2 2 2 2 2 2 3 3 2 2 3 2 2 2" xfId="20117"/>
    <cellStyle name="Normal 2 2 2 2 2 2 3 3 2 2 3 2 2 2 2" xfId="54085"/>
    <cellStyle name="Normal 2 2 2 2 2 2 3 3 2 2 3 2 2 2 2 2" xfId="55443"/>
    <cellStyle name="Normal 2 2 2 2 2 2 3 3 2 2 3 2 2 3" xfId="33619"/>
    <cellStyle name="Normal 2 2 2 2 2 2 3 3 2 2 3 2 3" xfId="32260"/>
    <cellStyle name="Normal 2 2 2 2 2 2 3 3 2 2 3 2 3 2" xfId="41992"/>
    <cellStyle name="Normal 2 2 2 2 2 2 3 3 2 2 3 3" xfId="11787"/>
    <cellStyle name="Normal 2 2 2 2 2 2 3 3 2 2 3 3 2" xfId="40623"/>
    <cellStyle name="Normal 2 2 2 2 2 2 3 3 2 2 3 3 2 2" xfId="47135"/>
    <cellStyle name="Normal 2 2 2 2 2 2 3 3 2 2 3 4" xfId="25272"/>
    <cellStyle name="Normal 2 2 2 2 2 2 3 3 2 2 4" xfId="10389"/>
    <cellStyle name="Normal 2 2 2 2 2 2 3 3 2 2 4 2" xfId="14945"/>
    <cellStyle name="Normal 2 2 2 2 2 2 3 3 2 2 4 2 2" xfId="45752"/>
    <cellStyle name="Normal 2 2 2 2 2 2 3 3 2 2 4 2 2 2" xfId="50284"/>
    <cellStyle name="Normal 2 2 2 2 2 2 3 3 2 2 4 3" xfId="28458"/>
    <cellStyle name="Normal 2 2 2 2 2 2 3 3 2 2 5" xfId="23875"/>
    <cellStyle name="Normal 2 2 2 2 2 2 3 3 2 2 5 2" xfId="36753"/>
    <cellStyle name="Normal 2 2 2 2 2 2 3 3 2 3" xfId="2062"/>
    <cellStyle name="Normal 2 2 2 2 2 2 3 3 2 3 2" xfId="6432"/>
    <cellStyle name="Normal 2 2 2 2 2 2 3 3 2 3 2 2" xfId="7296"/>
    <cellStyle name="Normal 2 2 2 2 2 2 3 3 2 3 2 2 2" xfId="19987"/>
    <cellStyle name="Normal 2 2 2 2 2 2 3 3 2 3 2 2 2 2" xfId="20848"/>
    <cellStyle name="Normal 2 2 2 2 2 2 3 3 2 3 2 2 2 2 2" xfId="55313"/>
    <cellStyle name="Normal 2 2 2 2 2 2 3 3 2 3 2 2 2 2 2 2" xfId="56174"/>
    <cellStyle name="Normal 2 2 2 2 2 2 3 3 2 3 2 2 2 3" xfId="34351"/>
    <cellStyle name="Normal 2 2 2 2 2 2 3 3 2 3 2 2 3" xfId="33489"/>
    <cellStyle name="Normal 2 2 2 2 2 2 3 3 2 3 2 2 3 2" xfId="42723"/>
    <cellStyle name="Normal 2 2 2 2 2 2 3 3 2 3 2 3" xfId="12521"/>
    <cellStyle name="Normal 2 2 2 2 2 2 3 3 2 3 2 3 2" xfId="41860"/>
    <cellStyle name="Normal 2 2 2 2 2 2 3 3 2 3 2 3 2 2" xfId="47867"/>
    <cellStyle name="Normal 2 2 2 2 2 2 3 3 2 3 2 4" xfId="26005"/>
    <cellStyle name="Normal 2 2 2 2 2 2 3 3 2 3 3" xfId="11656"/>
    <cellStyle name="Normal 2 2 2 2 2 2 3 3 2 3 3 2" xfId="15726"/>
    <cellStyle name="Normal 2 2 2 2 2 2 3 3 2 3 3 2 2" xfId="47005"/>
    <cellStyle name="Normal 2 2 2 2 2 2 3 3 2 3 3 2 2 2" xfId="51058"/>
    <cellStyle name="Normal 2 2 2 2 2 2 3 3 2 3 3 3" xfId="29232"/>
    <cellStyle name="Normal 2 2 2 2 2 2 3 3 2 3 4" xfId="25142"/>
    <cellStyle name="Normal 2 2 2 2 2 2 3 3 2 3 4 2" xfId="37540"/>
    <cellStyle name="Normal 2 2 2 2 2 2 3 3 2 4" xfId="4078"/>
    <cellStyle name="Normal 2 2 2 2 2 2 3 3 2 4 2" xfId="14815"/>
    <cellStyle name="Normal 2 2 2 2 2 2 3 3 2 4 2 2" xfId="17671"/>
    <cellStyle name="Normal 2 2 2 2 2 2 3 3 2 4 2 2 2" xfId="50154"/>
    <cellStyle name="Normal 2 2 2 2 2 2 3 3 2 4 2 2 2 2" xfId="52998"/>
    <cellStyle name="Normal 2 2 2 2 2 2 3 3 2 4 2 3" xfId="31173"/>
    <cellStyle name="Normal 2 2 2 2 2 2 3 3 2 4 3" xfId="28327"/>
    <cellStyle name="Normal 2 2 2 2 2 2 3 3 2 4 3 2" xfId="39521"/>
    <cellStyle name="Normal 2 2 2 2 2 2 3 3 2 5" xfId="9269"/>
    <cellStyle name="Normal 2 2 2 2 2 2 3 3 2 5 2" xfId="36623"/>
    <cellStyle name="Normal 2 2 2 2 2 2 3 3 2 5 2 2" xfId="44651"/>
    <cellStyle name="Normal 2 2 2 2 2 2 3 3 2 6" xfId="22765"/>
    <cellStyle name="Normal 2 2 2 2 2 2 3 3 3" xfId="1932"/>
    <cellStyle name="Normal 2 2 2 2 2 2 3 3 3 2" xfId="2532"/>
    <cellStyle name="Normal 2 2 2 2 2 2 3 3 3 2 2" xfId="7171"/>
    <cellStyle name="Normal 2 2 2 2 2 2 3 3 3 2 2 2" xfId="7757"/>
    <cellStyle name="Normal 2 2 2 2 2 2 3 3 3 2 2 2 2" xfId="20723"/>
    <cellStyle name="Normal 2 2 2 2 2 2 3 3 3 2 2 2 2 2" xfId="21309"/>
    <cellStyle name="Normal 2 2 2 2 2 2 3 3 3 2 2 2 2 2 2" xfId="56049"/>
    <cellStyle name="Normal 2 2 2 2 2 2 3 3 3 2 2 2 2 2 2 2" xfId="56635"/>
    <cellStyle name="Normal 2 2 2 2 2 2 3 3 3 2 2 2 2 3" xfId="34812"/>
    <cellStyle name="Normal 2 2 2 2 2 2 3 3 3 2 2 2 3" xfId="34226"/>
    <cellStyle name="Normal 2 2 2 2 2 2 3 3 3 2 2 2 3 2" xfId="43184"/>
    <cellStyle name="Normal 2 2 2 2 2 2 3 3 3 2 2 3" xfId="12982"/>
    <cellStyle name="Normal 2 2 2 2 2 2 3 3 3 2 2 3 2" xfId="42598"/>
    <cellStyle name="Normal 2 2 2 2 2 2 3 3 3 2 2 3 2 2" xfId="48328"/>
    <cellStyle name="Normal 2 2 2 2 2 2 3 3 3 2 2 4" xfId="26466"/>
    <cellStyle name="Normal 2 2 2 2 2 2 3 3 3 2 3" xfId="12396"/>
    <cellStyle name="Normal 2 2 2 2 2 2 3 3 3 2 3 2" xfId="16193"/>
    <cellStyle name="Normal 2 2 2 2 2 2 3 3 3 2 3 2 2" xfId="47742"/>
    <cellStyle name="Normal 2 2 2 2 2 2 3 3 3 2 3 2 2 2" xfId="51524"/>
    <cellStyle name="Normal 2 2 2 2 2 2 3 3 3 2 3 3" xfId="29698"/>
    <cellStyle name="Normal 2 2 2 2 2 2 3 3 3 2 4" xfId="25880"/>
    <cellStyle name="Normal 2 2 2 2 2 2 3 3 3 2 4 2" xfId="38007"/>
    <cellStyle name="Normal 2 2 2 2 2 2 3 3 3 3" xfId="4567"/>
    <cellStyle name="Normal 2 2 2 2 2 2 3 3 3 3 2" xfId="15597"/>
    <cellStyle name="Normal 2 2 2 2 2 2 3 3 3 3 2 2" xfId="18150"/>
    <cellStyle name="Normal 2 2 2 2 2 2 3 3 3 3 2 2 2" xfId="50929"/>
    <cellStyle name="Normal 2 2 2 2 2 2 3 3 3 3 2 2 2 2" xfId="53476"/>
    <cellStyle name="Normal 2 2 2 2 2 2 3 3 3 3 2 3" xfId="31651"/>
    <cellStyle name="Normal 2 2 2 2 2 2 3 3 3 3 3" xfId="29103"/>
    <cellStyle name="Normal 2 2 2 2 2 2 3 3 3 3 3 2" xfId="40008"/>
    <cellStyle name="Normal 2 2 2 2 2 2 3 3 3 4" xfId="9770"/>
    <cellStyle name="Normal 2 2 2 2 2 2 3 3 3 4 2" xfId="37410"/>
    <cellStyle name="Normal 2 2 2 2 2 2 3 3 3 4 2 2" xfId="45143"/>
    <cellStyle name="Normal 2 2 2 2 2 2 3 3 3 5" xfId="23266"/>
    <cellStyle name="Normal 2 2 2 2 2 2 3 3 4" xfId="3946"/>
    <cellStyle name="Normal 2 2 2 2 2 2 3 3 4 2" xfId="5773"/>
    <cellStyle name="Normal 2 2 2 2 2 2 3 3 4 2 2" xfId="17546"/>
    <cellStyle name="Normal 2 2 2 2 2 2 3 3 4 2 2 2" xfId="19342"/>
    <cellStyle name="Normal 2 2 2 2 2 2 3 3 4 2 2 2 2" xfId="52873"/>
    <cellStyle name="Normal 2 2 2 2 2 2 3 3 4 2 2 2 2 2" xfId="54668"/>
    <cellStyle name="Normal 2 2 2 2 2 2 3 3 4 2 2 3" xfId="32843"/>
    <cellStyle name="Normal 2 2 2 2 2 2 3 3 4 2 3" xfId="31048"/>
    <cellStyle name="Normal 2 2 2 2 2 2 3 3 4 2 3 2" xfId="41208"/>
    <cellStyle name="Normal 2 2 2 2 2 2 3 3 4 3" xfId="10994"/>
    <cellStyle name="Normal 2 2 2 2 2 2 3 3 4 3 2" xfId="39390"/>
    <cellStyle name="Normal 2 2 2 2 2 2 3 3 4 3 2 2" xfId="46353"/>
    <cellStyle name="Normal 2 2 2 2 2 2 3 3 4 4" xfId="24487"/>
    <cellStyle name="Normal 2 2 2 2 2 2 3 3 5" xfId="9138"/>
    <cellStyle name="Normal 2 2 2 2 2 2 3 3 5 2" xfId="14157"/>
    <cellStyle name="Normal 2 2 2 2 2 2 3 3 5 2 2" xfId="44526"/>
    <cellStyle name="Normal 2 2 2 2 2 2 3 3 5 2 2 2" xfId="49502"/>
    <cellStyle name="Normal 2 2 2 2 2 2 3 3 5 3" xfId="27659"/>
    <cellStyle name="Normal 2 2 2 2 2 2 3 3 6" xfId="22640"/>
    <cellStyle name="Normal 2 2 2 2 2 2 3 3 6 2" xfId="35968"/>
    <cellStyle name="Normal 2 2 2 2 2 2 3 4" xfId="752"/>
    <cellStyle name="Normal 2 2 2 2 2 2 3 4 2" xfId="2380"/>
    <cellStyle name="Normal 2 2 2 2 2 2 3 4 2 2" xfId="2818"/>
    <cellStyle name="Normal 2 2 2 2 2 2 3 4 2 2 2" xfId="7613"/>
    <cellStyle name="Normal 2 2 2 2 2 2 3 4 2 2 2 2" xfId="8034"/>
    <cellStyle name="Normal 2 2 2 2 2 2 3 4 2 2 2 2 2" xfId="21165"/>
    <cellStyle name="Normal 2 2 2 2 2 2 3 4 2 2 2 2 2 2" xfId="21586"/>
    <cellStyle name="Normal 2 2 2 2 2 2 3 4 2 2 2 2 2 2 2" xfId="56491"/>
    <cellStyle name="Normal 2 2 2 2 2 2 3 4 2 2 2 2 2 2 2 2" xfId="56912"/>
    <cellStyle name="Normal 2 2 2 2 2 2 3 4 2 2 2 2 2 3" xfId="35089"/>
    <cellStyle name="Normal 2 2 2 2 2 2 3 4 2 2 2 2 3" xfId="34668"/>
    <cellStyle name="Normal 2 2 2 2 2 2 3 4 2 2 2 2 3 2" xfId="43461"/>
    <cellStyle name="Normal 2 2 2 2 2 2 3 4 2 2 2 3" xfId="13259"/>
    <cellStyle name="Normal 2 2 2 2 2 2 3 4 2 2 2 3 2" xfId="43040"/>
    <cellStyle name="Normal 2 2 2 2 2 2 3 4 2 2 2 3 2 2" xfId="48605"/>
    <cellStyle name="Normal 2 2 2 2 2 2 3 4 2 2 2 4" xfId="26743"/>
    <cellStyle name="Normal 2 2 2 2 2 2 3 4 2 2 3" xfId="12838"/>
    <cellStyle name="Normal 2 2 2 2 2 2 3 4 2 2 3 2" xfId="16476"/>
    <cellStyle name="Normal 2 2 2 2 2 2 3 4 2 2 3 2 2" xfId="48184"/>
    <cellStyle name="Normal 2 2 2 2 2 2 3 4 2 2 3 2 2 2" xfId="51804"/>
    <cellStyle name="Normal 2 2 2 2 2 2 3 4 2 2 3 3" xfId="29978"/>
    <cellStyle name="Normal 2 2 2 2 2 2 3 4 2 2 4" xfId="26322"/>
    <cellStyle name="Normal 2 2 2 2 2 2 3 4 2 2 4 2" xfId="38288"/>
    <cellStyle name="Normal 2 2 2 2 2 2 3 4 2 3" xfId="4854"/>
    <cellStyle name="Normal 2 2 2 2 2 2 3 4 2 3 2" xfId="16043"/>
    <cellStyle name="Normal 2 2 2 2 2 2 3 4 2 3 2 2" xfId="18428"/>
    <cellStyle name="Normal 2 2 2 2 2 2 3 4 2 3 2 2 2" xfId="51375"/>
    <cellStyle name="Normal 2 2 2 2 2 2 3 4 2 3 2 2 2 2" xfId="53754"/>
    <cellStyle name="Normal 2 2 2 2 2 2 3 4 2 3 2 3" xfId="31929"/>
    <cellStyle name="Normal 2 2 2 2 2 2 3 4 2 3 3" xfId="29549"/>
    <cellStyle name="Normal 2 2 2 2 2 2 3 4 2 3 3 2" xfId="40291"/>
    <cellStyle name="Normal 2 2 2 2 2 2 3 4 2 4" xfId="10057"/>
    <cellStyle name="Normal 2 2 2 2 2 2 3 4 2 4 2" xfId="37858"/>
    <cellStyle name="Normal 2 2 2 2 2 2 3 4 2 4 2 2" xfId="45421"/>
    <cellStyle name="Normal 2 2 2 2 2 2 3 4 2 5" xfId="23544"/>
    <cellStyle name="Normal 2 2 2 2 2 2 3 4 3" xfId="4414"/>
    <cellStyle name="Normal 2 2 2 2 2 2 3 4 3 2" xfId="6071"/>
    <cellStyle name="Normal 2 2 2 2 2 2 3 4 3 2 2" xfId="18005"/>
    <cellStyle name="Normal 2 2 2 2 2 2 3 4 3 2 2 2" xfId="19635"/>
    <cellStyle name="Normal 2 2 2 2 2 2 3 4 3 2 2 2 2" xfId="53331"/>
    <cellStyle name="Normal 2 2 2 2 2 2 3 4 3 2 2 2 2 2" xfId="54961"/>
    <cellStyle name="Normal 2 2 2 2 2 2 3 4 3 2 2 3" xfId="33136"/>
    <cellStyle name="Normal 2 2 2 2 2 2 3 4 3 2 3" xfId="31506"/>
    <cellStyle name="Normal 2 2 2 2 2 2 3 4 3 2 3 2" xfId="41505"/>
    <cellStyle name="Normal 2 2 2 2 2 2 3 4 3 3" xfId="11297"/>
    <cellStyle name="Normal 2 2 2 2 2 2 3 4 3 3 2" xfId="39856"/>
    <cellStyle name="Normal 2 2 2 2 2 2 3 4 3 3 2 2" xfId="46652"/>
    <cellStyle name="Normal 2 2 2 2 2 2 3 4 3 4" xfId="24789"/>
    <cellStyle name="Normal 2 2 2 2 2 2 3 4 4" xfId="9617"/>
    <cellStyle name="Normal 2 2 2 2 2 2 3 4 4 2" xfId="14456"/>
    <cellStyle name="Normal 2 2 2 2 2 2 3 4 4 2 2" xfId="44997"/>
    <cellStyle name="Normal 2 2 2 2 2 2 3 4 4 2 2 2" xfId="49799"/>
    <cellStyle name="Normal 2 2 2 2 2 2 3 4 4 3" xfId="27967"/>
    <cellStyle name="Normal 2 2 2 2 2 2 3 4 5" xfId="23118"/>
    <cellStyle name="Normal 2 2 2 2 2 2 3 4 5 2" xfId="36267"/>
    <cellStyle name="Normal 2 2 2 2 2 2 3 5" xfId="1537"/>
    <cellStyle name="Normal 2 2 2 2 2 2 3 5 2" xfId="5621"/>
    <cellStyle name="Normal 2 2 2 2 2 2 3 5 2 2" xfId="6820"/>
    <cellStyle name="Normal 2 2 2 2 2 2 3 5 2 2 2" xfId="19193"/>
    <cellStyle name="Normal 2 2 2 2 2 2 3 5 2 2 2 2" xfId="20373"/>
    <cellStyle name="Normal 2 2 2 2 2 2 3 5 2 2 2 2 2" xfId="54519"/>
    <cellStyle name="Normal 2 2 2 2 2 2 3 5 2 2 2 2 2 2" xfId="55699"/>
    <cellStyle name="Normal 2 2 2 2 2 2 3 5 2 2 2 3" xfId="33875"/>
    <cellStyle name="Normal 2 2 2 2 2 2 3 5 2 2 3" xfId="32694"/>
    <cellStyle name="Normal 2 2 2 2 2 2 3 5 2 2 3 2" xfId="42248"/>
    <cellStyle name="Normal 2 2 2 2 2 2 3 5 2 3" xfId="12044"/>
    <cellStyle name="Normal 2 2 2 2 2 2 3 5 2 3 2" xfId="41057"/>
    <cellStyle name="Normal 2 2 2 2 2 2 3 5 2 3 2 2" xfId="47391"/>
    <cellStyle name="Normal 2 2 2 2 2 2 3 5 2 4" xfId="25529"/>
    <cellStyle name="Normal 2 2 2 2 2 2 3 5 3" xfId="10837"/>
    <cellStyle name="Normal 2 2 2 2 2 2 3 5 3 2" xfId="15215"/>
    <cellStyle name="Normal 2 2 2 2 2 2 3 5 3 2 2" xfId="46199"/>
    <cellStyle name="Normal 2 2 2 2 2 2 3 5 3 2 2 2" xfId="50553"/>
    <cellStyle name="Normal 2 2 2 2 2 2 3 5 3 3" xfId="28727"/>
    <cellStyle name="Normal 2 2 2 2 2 2 3 5 4" xfId="24329"/>
    <cellStyle name="Normal 2 2 2 2 2 2 3 5 4 2" xfId="37027"/>
    <cellStyle name="Normal 2 2 2 2 2 2 3 6" xfId="3538"/>
    <cellStyle name="Normal 2 2 2 2 2 2 3 6 2" xfId="14005"/>
    <cellStyle name="Normal 2 2 2 2 2 2 3 6 2 2" xfId="17185"/>
    <cellStyle name="Normal 2 2 2 2 2 2 3 6 2 2 2" xfId="49351"/>
    <cellStyle name="Normal 2 2 2 2 2 2 3 6 2 2 2 2" xfId="52512"/>
    <cellStyle name="Normal 2 2 2 2 2 2 3 6 2 3" xfId="30686"/>
    <cellStyle name="Normal 2 2 2 2 2 2 3 6 3" xfId="27499"/>
    <cellStyle name="Normal 2 2 2 2 2 2 3 6 3 2" xfId="39001"/>
    <cellStyle name="Normal 2 2 2 2 2 2 3 7" xfId="8730"/>
    <cellStyle name="Normal 2 2 2 2 2 2 3 7 2" xfId="35817"/>
    <cellStyle name="Normal 2 2 2 2 2 2 3 7 2 2" xfId="44153"/>
    <cellStyle name="Normal 2 2 2 2 2 2 3 8" xfId="22257"/>
    <cellStyle name="Normal 2 2 2 2 2 2 4" xfId="399"/>
    <cellStyle name="Normal 2 2 2 2 2 2 4 2" xfId="501"/>
    <cellStyle name="Normal 2 2 2 2 2 2 4 2 2" xfId="1230"/>
    <cellStyle name="Normal 2 2 2 2 2 2 4 2 2 2" xfId="1312"/>
    <cellStyle name="Normal 2 2 2 2 2 2 4 2 2 2 2" xfId="3248"/>
    <cellStyle name="Normal 2 2 2 2 2 2 4 2 2 2 2 2" xfId="3330"/>
    <cellStyle name="Normal 2 2 2 2 2 2 4 2 2 2 2 2 2" xfId="8463"/>
    <cellStyle name="Normal 2 2 2 2 2 2 4 2 2 2 2 2 2 2" xfId="8545"/>
    <cellStyle name="Normal 2 2 2 2 2 2 4 2 2 2 2 2 2 2 2" xfId="22015"/>
    <cellStyle name="Normal 2 2 2 2 2 2 4 2 2 2 2 2 2 2 2 2" xfId="22097"/>
    <cellStyle name="Normal 2 2 2 2 2 2 4 2 2 2 2 2 2 2 2 2 2" xfId="57341"/>
    <cellStyle name="Normal 2 2 2 2 2 2 4 2 2 2 2 2 2 2 2 2 2 2" xfId="57423"/>
    <cellStyle name="Normal 2 2 2 2 2 2 4 2 2 2 2 2 2 2 2 3" xfId="35600"/>
    <cellStyle name="Normal 2 2 2 2 2 2 4 2 2 2 2 2 2 2 3" xfId="35518"/>
    <cellStyle name="Normal 2 2 2 2 2 2 4 2 2 2 2 2 2 2 3 2" xfId="43972"/>
    <cellStyle name="Normal 2 2 2 2 2 2 4 2 2 2 2 2 2 3" xfId="13770"/>
    <cellStyle name="Normal 2 2 2 2 2 2 4 2 2 2 2 2 2 3 2" xfId="43890"/>
    <cellStyle name="Normal 2 2 2 2 2 2 4 2 2 2 2 2 2 3 2 2" xfId="49116"/>
    <cellStyle name="Normal 2 2 2 2 2 2 4 2 2 2 2 2 2 4" xfId="27255"/>
    <cellStyle name="Normal 2 2 2 2 2 2 4 2 2 2 2 2 3" xfId="13688"/>
    <cellStyle name="Normal 2 2 2 2 2 2 4 2 2 2 2 2 3 2" xfId="16987"/>
    <cellStyle name="Normal 2 2 2 2 2 2 4 2 2 2 2 2 3 2 2" xfId="49034"/>
    <cellStyle name="Normal 2 2 2 2 2 2 4 2 2 2 2 2 3 2 2 2" xfId="52315"/>
    <cellStyle name="Normal 2 2 2 2 2 2 4 2 2 2 2 2 3 3" xfId="30489"/>
    <cellStyle name="Normal 2 2 2 2 2 2 4 2 2 2 2 2 4" xfId="27173"/>
    <cellStyle name="Normal 2 2 2 2 2 2 4 2 2 2 2 2 4 2" xfId="38799"/>
    <cellStyle name="Normal 2 2 2 2 2 2 4 2 2 2 2 3" xfId="5367"/>
    <cellStyle name="Normal 2 2 2 2 2 2 4 2 2 2 2 3 2" xfId="16905"/>
    <cellStyle name="Normal 2 2 2 2 2 2 4 2 2 2 2 3 2 2" xfId="18940"/>
    <cellStyle name="Normal 2 2 2 2 2 2 4 2 2 2 2 3 2 2 2" xfId="52233"/>
    <cellStyle name="Normal 2 2 2 2 2 2 4 2 2 2 2 3 2 2 2 2" xfId="54266"/>
    <cellStyle name="Normal 2 2 2 2 2 2 4 2 2 2 2 3 2 3" xfId="32441"/>
    <cellStyle name="Normal 2 2 2 2 2 2 4 2 2 2 2 3 3" xfId="30407"/>
    <cellStyle name="Normal 2 2 2 2 2 2 4 2 2 2 2 3 3 2" xfId="40804"/>
    <cellStyle name="Normal 2 2 2 2 2 2 4 2 2 2 2 4" xfId="10570"/>
    <cellStyle name="Normal 2 2 2 2 2 2 4 2 2 2 2 4 2" xfId="38717"/>
    <cellStyle name="Normal 2 2 2 2 2 2 4 2 2 2 2 4 2 2" xfId="45933"/>
    <cellStyle name="Normal 2 2 2 2 2 2 4 2 2 2 2 5" xfId="24056"/>
    <cellStyle name="Normal 2 2 2 2 2 2 4 2 2 2 3" xfId="5285"/>
    <cellStyle name="Normal 2 2 2 2 2 2 4 2 2 2 3 2" xfId="6620"/>
    <cellStyle name="Normal 2 2 2 2 2 2 4 2 2 2 3 2 2" xfId="18858"/>
    <cellStyle name="Normal 2 2 2 2 2 2 4 2 2 2 3 2 2 2" xfId="20173"/>
    <cellStyle name="Normal 2 2 2 2 2 2 4 2 2 2 3 2 2 2 2" xfId="54184"/>
    <cellStyle name="Normal 2 2 2 2 2 2 4 2 2 2 3 2 2 2 2 2" xfId="55499"/>
    <cellStyle name="Normal 2 2 2 2 2 2 4 2 2 2 3 2 2 3" xfId="33675"/>
    <cellStyle name="Normal 2 2 2 2 2 2 4 2 2 2 3 2 3" xfId="32359"/>
    <cellStyle name="Normal 2 2 2 2 2 2 4 2 2 2 3 2 3 2" xfId="42048"/>
    <cellStyle name="Normal 2 2 2 2 2 2 4 2 2 2 3 3" xfId="11843"/>
    <cellStyle name="Normal 2 2 2 2 2 2 4 2 2 2 3 3 2" xfId="40722"/>
    <cellStyle name="Normal 2 2 2 2 2 2 4 2 2 2 3 3 2 2" xfId="47191"/>
    <cellStyle name="Normal 2 2 2 2 2 2 4 2 2 2 3 4" xfId="25328"/>
    <cellStyle name="Normal 2 2 2 2 2 2 4 2 2 2 4" xfId="10488"/>
    <cellStyle name="Normal 2 2 2 2 2 2 4 2 2 2 4 2" xfId="15001"/>
    <cellStyle name="Normal 2 2 2 2 2 2 4 2 2 2 4 2 2" xfId="45851"/>
    <cellStyle name="Normal 2 2 2 2 2 2 4 2 2 2 4 2 2 2" xfId="50340"/>
    <cellStyle name="Normal 2 2 2 2 2 2 4 2 2 2 4 3" xfId="28514"/>
    <cellStyle name="Normal 2 2 2 2 2 2 4 2 2 2 5" xfId="23974"/>
    <cellStyle name="Normal 2 2 2 2 2 2 4 2 2 2 5 2" xfId="36809"/>
    <cellStyle name="Normal 2 2 2 2 2 2 4 2 2 3" xfId="2119"/>
    <cellStyle name="Normal 2 2 2 2 2 2 4 2 2 3 2" xfId="6538"/>
    <cellStyle name="Normal 2 2 2 2 2 2 4 2 2 3 2 2" xfId="7353"/>
    <cellStyle name="Normal 2 2 2 2 2 2 4 2 2 3 2 2 2" xfId="20091"/>
    <cellStyle name="Normal 2 2 2 2 2 2 4 2 2 3 2 2 2 2" xfId="20905"/>
    <cellStyle name="Normal 2 2 2 2 2 2 4 2 2 3 2 2 2 2 2" xfId="55417"/>
    <cellStyle name="Normal 2 2 2 2 2 2 4 2 2 3 2 2 2 2 2 2" xfId="56231"/>
    <cellStyle name="Normal 2 2 2 2 2 2 4 2 2 3 2 2 2 3" xfId="34408"/>
    <cellStyle name="Normal 2 2 2 2 2 2 4 2 2 3 2 2 3" xfId="33593"/>
    <cellStyle name="Normal 2 2 2 2 2 2 4 2 2 3 2 2 3 2" xfId="42780"/>
    <cellStyle name="Normal 2 2 2 2 2 2 4 2 2 3 2 3" xfId="12578"/>
    <cellStyle name="Normal 2 2 2 2 2 2 4 2 2 3 2 3 2" xfId="41966"/>
    <cellStyle name="Normal 2 2 2 2 2 2 4 2 2 3 2 3 2 2" xfId="47924"/>
    <cellStyle name="Normal 2 2 2 2 2 2 4 2 2 3 2 4" xfId="26062"/>
    <cellStyle name="Normal 2 2 2 2 2 2 4 2 2 3 3" xfId="11761"/>
    <cellStyle name="Normal 2 2 2 2 2 2 4 2 2 3 3 2" xfId="15783"/>
    <cellStyle name="Normal 2 2 2 2 2 2 4 2 2 3 3 2 2" xfId="47109"/>
    <cellStyle name="Normal 2 2 2 2 2 2 4 2 2 3 3 2 2 2" xfId="51115"/>
    <cellStyle name="Normal 2 2 2 2 2 2 4 2 2 3 3 3" xfId="29289"/>
    <cellStyle name="Normal 2 2 2 2 2 2 4 2 2 3 4" xfId="25246"/>
    <cellStyle name="Normal 2 2 2 2 2 2 4 2 2 3 4 2" xfId="37597"/>
    <cellStyle name="Normal 2 2 2 2 2 2 4 2 2 4" xfId="4135"/>
    <cellStyle name="Normal 2 2 2 2 2 2 4 2 2 4 2" xfId="14919"/>
    <cellStyle name="Normal 2 2 2 2 2 2 4 2 2 4 2 2" xfId="17728"/>
    <cellStyle name="Normal 2 2 2 2 2 2 4 2 2 4 2 2 2" xfId="50258"/>
    <cellStyle name="Normal 2 2 2 2 2 2 4 2 2 4 2 2 2 2" xfId="53055"/>
    <cellStyle name="Normal 2 2 2 2 2 2 4 2 2 4 2 3" xfId="31230"/>
    <cellStyle name="Normal 2 2 2 2 2 2 4 2 2 4 3" xfId="28432"/>
    <cellStyle name="Normal 2 2 2 2 2 2 4 2 2 4 3 2" xfId="39578"/>
    <cellStyle name="Normal 2 2 2 2 2 2 4 2 2 5" xfId="9326"/>
    <cellStyle name="Normal 2 2 2 2 2 2 4 2 2 5 2" xfId="36727"/>
    <cellStyle name="Normal 2 2 2 2 2 2 4 2 2 5 2 2" xfId="44708"/>
    <cellStyle name="Normal 2 2 2 2 2 2 4 2 2 6" xfId="22822"/>
    <cellStyle name="Normal 2 2 2 2 2 2 4 2 3" xfId="2036"/>
    <cellStyle name="Normal 2 2 2 2 2 2 4 2 3 2" xfId="2598"/>
    <cellStyle name="Normal 2 2 2 2 2 2 4 2 3 2 2" xfId="7270"/>
    <cellStyle name="Normal 2 2 2 2 2 2 4 2 3 2 2 2" xfId="7818"/>
    <cellStyle name="Normal 2 2 2 2 2 2 4 2 3 2 2 2 2" xfId="20822"/>
    <cellStyle name="Normal 2 2 2 2 2 2 4 2 3 2 2 2 2 2" xfId="21370"/>
    <cellStyle name="Normal 2 2 2 2 2 2 4 2 3 2 2 2 2 2 2" xfId="56148"/>
    <cellStyle name="Normal 2 2 2 2 2 2 4 2 3 2 2 2 2 2 2 2" xfId="56696"/>
    <cellStyle name="Normal 2 2 2 2 2 2 4 2 3 2 2 2 2 3" xfId="34873"/>
    <cellStyle name="Normal 2 2 2 2 2 2 4 2 3 2 2 2 3" xfId="34325"/>
    <cellStyle name="Normal 2 2 2 2 2 2 4 2 3 2 2 2 3 2" xfId="43245"/>
    <cellStyle name="Normal 2 2 2 2 2 2 4 2 3 2 2 3" xfId="13043"/>
    <cellStyle name="Normal 2 2 2 2 2 2 4 2 3 2 2 3 2" xfId="42697"/>
    <cellStyle name="Normal 2 2 2 2 2 2 4 2 3 2 2 3 2 2" xfId="48389"/>
    <cellStyle name="Normal 2 2 2 2 2 2 4 2 3 2 2 4" xfId="26527"/>
    <cellStyle name="Normal 2 2 2 2 2 2 4 2 3 2 3" xfId="12495"/>
    <cellStyle name="Normal 2 2 2 2 2 2 4 2 3 2 3 2" xfId="16257"/>
    <cellStyle name="Normal 2 2 2 2 2 2 4 2 3 2 3 2 2" xfId="47841"/>
    <cellStyle name="Normal 2 2 2 2 2 2 4 2 3 2 3 2 2 2" xfId="51587"/>
    <cellStyle name="Normal 2 2 2 2 2 2 4 2 3 2 3 3" xfId="29761"/>
    <cellStyle name="Normal 2 2 2 2 2 2 4 2 3 2 4" xfId="25979"/>
    <cellStyle name="Normal 2 2 2 2 2 2 4 2 3 2 4 2" xfId="38071"/>
    <cellStyle name="Normal 2 2 2 2 2 2 4 2 3 3" xfId="4632"/>
    <cellStyle name="Normal 2 2 2 2 2 2 4 2 3 3 2" xfId="15700"/>
    <cellStyle name="Normal 2 2 2 2 2 2 4 2 3 3 2 2" xfId="18212"/>
    <cellStyle name="Normal 2 2 2 2 2 2 4 2 3 3 2 2 2" xfId="51032"/>
    <cellStyle name="Normal 2 2 2 2 2 2 4 2 3 3 2 2 2 2" xfId="53538"/>
    <cellStyle name="Normal 2 2 2 2 2 2 4 2 3 3 2 3" xfId="31713"/>
    <cellStyle name="Normal 2 2 2 2 2 2 4 2 3 3 3" xfId="29206"/>
    <cellStyle name="Normal 2 2 2 2 2 2 4 2 3 3 3 2" xfId="40071"/>
    <cellStyle name="Normal 2 2 2 2 2 2 4 2 3 4" xfId="9835"/>
    <cellStyle name="Normal 2 2 2 2 2 2 4 2 3 4 2" xfId="37514"/>
    <cellStyle name="Normal 2 2 2 2 2 2 4 2 3 4 2 2" xfId="45205"/>
    <cellStyle name="Normal 2 2 2 2 2 2 4 2 3 5" xfId="23328"/>
    <cellStyle name="Normal 2 2 2 2 2 2 4 2 4" xfId="4052"/>
    <cellStyle name="Normal 2 2 2 2 2 2 4 2 4 2" xfId="5836"/>
    <cellStyle name="Normal 2 2 2 2 2 2 4 2 4 2 2" xfId="17645"/>
    <cellStyle name="Normal 2 2 2 2 2 2 4 2 4 2 2 2" xfId="19404"/>
    <cellStyle name="Normal 2 2 2 2 2 2 4 2 4 2 2 2 2" xfId="52972"/>
    <cellStyle name="Normal 2 2 2 2 2 2 4 2 4 2 2 2 2 2" xfId="54730"/>
    <cellStyle name="Normal 2 2 2 2 2 2 4 2 4 2 2 3" xfId="32905"/>
    <cellStyle name="Normal 2 2 2 2 2 2 4 2 4 2 3" xfId="31147"/>
    <cellStyle name="Normal 2 2 2 2 2 2 4 2 4 2 3 2" xfId="41271"/>
    <cellStyle name="Normal 2 2 2 2 2 2 4 2 4 3" xfId="11059"/>
    <cellStyle name="Normal 2 2 2 2 2 2 4 2 4 3 2" xfId="39495"/>
    <cellStyle name="Normal 2 2 2 2 2 2 4 2 4 3 2 2" xfId="46418"/>
    <cellStyle name="Normal 2 2 2 2 2 2 4 2 4 4" xfId="24553"/>
    <cellStyle name="Normal 2 2 2 2 2 2 4 2 5" xfId="9243"/>
    <cellStyle name="Normal 2 2 2 2 2 2 4 2 5 2" xfId="14220"/>
    <cellStyle name="Normal 2 2 2 2 2 2 4 2 5 2 2" xfId="44625"/>
    <cellStyle name="Normal 2 2 2 2 2 2 4 2 5 2 2 2" xfId="49565"/>
    <cellStyle name="Normal 2 2 2 2 2 2 4 2 5 3" xfId="27727"/>
    <cellStyle name="Normal 2 2 2 2 2 2 4 2 6" xfId="22739"/>
    <cellStyle name="Normal 2 2 2 2 2 2 4 2 6 2" xfId="36032"/>
    <cellStyle name="Normal 2 2 2 2 2 2 4 3" xfId="827"/>
    <cellStyle name="Normal 2 2 2 2 2 2 4 3 2" xfId="2501"/>
    <cellStyle name="Normal 2 2 2 2 2 2 4 3 2 2" xfId="2879"/>
    <cellStyle name="Normal 2 2 2 2 2 2 4 3 2 2 2" xfId="7726"/>
    <cellStyle name="Normal 2 2 2 2 2 2 4 3 2 2 2 2" xfId="8095"/>
    <cellStyle name="Normal 2 2 2 2 2 2 4 3 2 2 2 2 2" xfId="21278"/>
    <cellStyle name="Normal 2 2 2 2 2 2 4 3 2 2 2 2 2 2" xfId="21647"/>
    <cellStyle name="Normal 2 2 2 2 2 2 4 3 2 2 2 2 2 2 2" xfId="56604"/>
    <cellStyle name="Normal 2 2 2 2 2 2 4 3 2 2 2 2 2 2 2 2" xfId="56973"/>
    <cellStyle name="Normal 2 2 2 2 2 2 4 3 2 2 2 2 2 3" xfId="35150"/>
    <cellStyle name="Normal 2 2 2 2 2 2 4 3 2 2 2 2 3" xfId="34781"/>
    <cellStyle name="Normal 2 2 2 2 2 2 4 3 2 2 2 2 3 2" xfId="43522"/>
    <cellStyle name="Normal 2 2 2 2 2 2 4 3 2 2 2 3" xfId="13320"/>
    <cellStyle name="Normal 2 2 2 2 2 2 4 3 2 2 2 3 2" xfId="43153"/>
    <cellStyle name="Normal 2 2 2 2 2 2 4 3 2 2 2 3 2 2" xfId="48666"/>
    <cellStyle name="Normal 2 2 2 2 2 2 4 3 2 2 2 4" xfId="26804"/>
    <cellStyle name="Normal 2 2 2 2 2 2 4 3 2 2 3" xfId="12951"/>
    <cellStyle name="Normal 2 2 2 2 2 2 4 3 2 2 3 2" xfId="16537"/>
    <cellStyle name="Normal 2 2 2 2 2 2 4 3 2 2 3 2 2" xfId="48297"/>
    <cellStyle name="Normal 2 2 2 2 2 2 4 3 2 2 3 2 2 2" xfId="51865"/>
    <cellStyle name="Normal 2 2 2 2 2 2 4 3 2 2 3 3" xfId="30039"/>
    <cellStyle name="Normal 2 2 2 2 2 2 4 3 2 2 4" xfId="26435"/>
    <cellStyle name="Normal 2 2 2 2 2 2 4 3 2 2 4 2" xfId="38349"/>
    <cellStyle name="Normal 2 2 2 2 2 2 4 3 2 3" xfId="4915"/>
    <cellStyle name="Normal 2 2 2 2 2 2 4 3 2 3 2" xfId="16162"/>
    <cellStyle name="Normal 2 2 2 2 2 2 4 3 2 3 2 2" xfId="18489"/>
    <cellStyle name="Normal 2 2 2 2 2 2 4 3 2 3 2 2 2" xfId="51493"/>
    <cellStyle name="Normal 2 2 2 2 2 2 4 3 2 3 2 2 2 2" xfId="53815"/>
    <cellStyle name="Normal 2 2 2 2 2 2 4 3 2 3 2 3" xfId="31990"/>
    <cellStyle name="Normal 2 2 2 2 2 2 4 3 2 3 3" xfId="29667"/>
    <cellStyle name="Normal 2 2 2 2 2 2 4 3 2 3 3 2" xfId="40352"/>
    <cellStyle name="Normal 2 2 2 2 2 2 4 3 2 4" xfId="10118"/>
    <cellStyle name="Normal 2 2 2 2 2 2 4 3 2 4 2" xfId="37976"/>
    <cellStyle name="Normal 2 2 2 2 2 2 4 3 2 4 2 2" xfId="45482"/>
    <cellStyle name="Normal 2 2 2 2 2 2 4 3 2 5" xfId="23605"/>
    <cellStyle name="Normal 2 2 2 2 2 2 4 3 3" xfId="4536"/>
    <cellStyle name="Normal 2 2 2 2 2 2 4 3 3 2" xfId="6142"/>
    <cellStyle name="Normal 2 2 2 2 2 2 4 3 3 2 2" xfId="18119"/>
    <cellStyle name="Normal 2 2 2 2 2 2 4 3 3 2 2 2" xfId="19703"/>
    <cellStyle name="Normal 2 2 2 2 2 2 4 3 3 2 2 2 2" xfId="53445"/>
    <cellStyle name="Normal 2 2 2 2 2 2 4 3 3 2 2 2 2 2" xfId="55029"/>
    <cellStyle name="Normal 2 2 2 2 2 2 4 3 3 2 2 3" xfId="33204"/>
    <cellStyle name="Normal 2 2 2 2 2 2 4 3 3 2 3" xfId="31620"/>
    <cellStyle name="Normal 2 2 2 2 2 2 4 3 3 2 3 2" xfId="41574"/>
    <cellStyle name="Normal 2 2 2 2 2 2 4 3 3 3" xfId="11368"/>
    <cellStyle name="Normal 2 2 2 2 2 2 4 3 3 3 2" xfId="39977"/>
    <cellStyle name="Normal 2 2 2 2 2 2 4 3 3 3 2 2" xfId="46720"/>
    <cellStyle name="Normal 2 2 2 2 2 2 4 3 3 4" xfId="24857"/>
    <cellStyle name="Normal 2 2 2 2 2 2 4 3 4" xfId="9739"/>
    <cellStyle name="Normal 2 2 2 2 2 2 4 3 4 2" xfId="14525"/>
    <cellStyle name="Normal 2 2 2 2 2 2 4 3 4 2 2" xfId="45112"/>
    <cellStyle name="Normal 2 2 2 2 2 2 4 3 4 2 2 2" xfId="49867"/>
    <cellStyle name="Normal 2 2 2 2 2 2 4 3 4 3" xfId="28037"/>
    <cellStyle name="Normal 2 2 2 2 2 2 4 3 5" xfId="23235"/>
    <cellStyle name="Normal 2 2 2 2 2 2 4 3 5 2" xfId="36335"/>
    <cellStyle name="Normal 2 2 2 2 2 2 4 4" xfId="1619"/>
    <cellStyle name="Normal 2 2 2 2 2 2 4 4 2" xfId="5742"/>
    <cellStyle name="Normal 2 2 2 2 2 2 4 4 2 2" xfId="6887"/>
    <cellStyle name="Normal 2 2 2 2 2 2 4 4 2 2 2" xfId="19311"/>
    <cellStyle name="Normal 2 2 2 2 2 2 4 4 2 2 2 2" xfId="20440"/>
    <cellStyle name="Normal 2 2 2 2 2 2 4 4 2 2 2 2 2" xfId="54637"/>
    <cellStyle name="Normal 2 2 2 2 2 2 4 4 2 2 2 2 2 2" xfId="55766"/>
    <cellStyle name="Normal 2 2 2 2 2 2 4 4 2 2 2 3" xfId="33942"/>
    <cellStyle name="Normal 2 2 2 2 2 2 4 4 2 2 3" xfId="32812"/>
    <cellStyle name="Normal 2 2 2 2 2 2 4 4 2 2 3 2" xfId="42315"/>
    <cellStyle name="Normal 2 2 2 2 2 2 4 4 2 3" xfId="12111"/>
    <cellStyle name="Normal 2 2 2 2 2 2 4 4 2 3 2" xfId="41177"/>
    <cellStyle name="Normal 2 2 2 2 2 2 4 4 2 3 2 2" xfId="47458"/>
    <cellStyle name="Normal 2 2 2 2 2 2 4 4 2 4" xfId="25596"/>
    <cellStyle name="Normal 2 2 2 2 2 2 4 4 3" xfId="10963"/>
    <cellStyle name="Normal 2 2 2 2 2 2 4 4 3 2" xfId="15294"/>
    <cellStyle name="Normal 2 2 2 2 2 2 4 4 3 2 2" xfId="46322"/>
    <cellStyle name="Normal 2 2 2 2 2 2 4 4 3 2 2 2" xfId="50629"/>
    <cellStyle name="Normal 2 2 2 2 2 2 4 4 3 3" xfId="28803"/>
    <cellStyle name="Normal 2 2 2 2 2 2 4 4 4" xfId="24456"/>
    <cellStyle name="Normal 2 2 2 2 2 2 4 4 4 2" xfId="37105"/>
    <cellStyle name="Normal 2 2 2 2 2 2 4 5" xfId="3623"/>
    <cellStyle name="Normal 2 2 2 2 2 2 4 5 2" xfId="14126"/>
    <cellStyle name="Normal 2 2 2 2 2 2 4 5 2 2" xfId="17255"/>
    <cellStyle name="Normal 2 2 2 2 2 2 4 5 2 2 2" xfId="49471"/>
    <cellStyle name="Normal 2 2 2 2 2 2 4 5 2 2 2 2" xfId="52582"/>
    <cellStyle name="Normal 2 2 2 2 2 2 4 5 2 3" xfId="30756"/>
    <cellStyle name="Normal 2 2 2 2 2 2 4 5 3" xfId="27628"/>
    <cellStyle name="Normal 2 2 2 2 2 2 4 5 3 2" xfId="39078"/>
    <cellStyle name="Normal 2 2 2 2 2 2 4 6" xfId="8818"/>
    <cellStyle name="Normal 2 2 2 2 2 2 4 6 2" xfId="35937"/>
    <cellStyle name="Normal 2 2 2 2 2 2 4 6 2 2" xfId="44226"/>
    <cellStyle name="Normal 2 2 2 2 2 2 4 7" xfId="22333"/>
    <cellStyle name="Normal 2 2 2 2 2 2 5" xfId="713"/>
    <cellStyle name="Normal 2 2 2 2 2 2 5 2" xfId="1005"/>
    <cellStyle name="Normal 2 2 2 2 2 2 5 2 2" xfId="2785"/>
    <cellStyle name="Normal 2 2 2 2 2 2 5 2 2 2" xfId="3042"/>
    <cellStyle name="Normal 2 2 2 2 2 2 5 2 2 2 2" xfId="8002"/>
    <cellStyle name="Normal 2 2 2 2 2 2 5 2 2 2 2 2" xfId="8257"/>
    <cellStyle name="Normal 2 2 2 2 2 2 5 2 2 2 2 2 2" xfId="21554"/>
    <cellStyle name="Normal 2 2 2 2 2 2 5 2 2 2 2 2 2 2" xfId="21809"/>
    <cellStyle name="Normal 2 2 2 2 2 2 5 2 2 2 2 2 2 2 2" xfId="56880"/>
    <cellStyle name="Normal 2 2 2 2 2 2 5 2 2 2 2 2 2 2 2 2" xfId="57135"/>
    <cellStyle name="Normal 2 2 2 2 2 2 5 2 2 2 2 2 2 3" xfId="35312"/>
    <cellStyle name="Normal 2 2 2 2 2 2 5 2 2 2 2 2 3" xfId="35057"/>
    <cellStyle name="Normal 2 2 2 2 2 2 5 2 2 2 2 2 3 2" xfId="43684"/>
    <cellStyle name="Normal 2 2 2 2 2 2 5 2 2 2 2 3" xfId="13482"/>
    <cellStyle name="Normal 2 2 2 2 2 2 5 2 2 2 2 3 2" xfId="43429"/>
    <cellStyle name="Normal 2 2 2 2 2 2 5 2 2 2 2 3 2 2" xfId="48828"/>
    <cellStyle name="Normal 2 2 2 2 2 2 5 2 2 2 2 4" xfId="26967"/>
    <cellStyle name="Normal 2 2 2 2 2 2 5 2 2 2 3" xfId="13227"/>
    <cellStyle name="Normal 2 2 2 2 2 2 5 2 2 2 3 2" xfId="16699"/>
    <cellStyle name="Normal 2 2 2 2 2 2 5 2 2 2 3 2 2" xfId="48573"/>
    <cellStyle name="Normal 2 2 2 2 2 2 5 2 2 2 3 2 2 2" xfId="52027"/>
    <cellStyle name="Normal 2 2 2 2 2 2 5 2 2 2 3 3" xfId="30201"/>
    <cellStyle name="Normal 2 2 2 2 2 2 5 2 2 2 4" xfId="26711"/>
    <cellStyle name="Normal 2 2 2 2 2 2 5 2 2 2 4 2" xfId="38511"/>
    <cellStyle name="Normal 2 2 2 2 2 2 5 2 2 3" xfId="5079"/>
    <cellStyle name="Normal 2 2 2 2 2 2 5 2 2 3 2" xfId="16444"/>
    <cellStyle name="Normal 2 2 2 2 2 2 5 2 2 3 2 2" xfId="18652"/>
    <cellStyle name="Normal 2 2 2 2 2 2 5 2 2 3 2 2 2" xfId="51772"/>
    <cellStyle name="Normal 2 2 2 2 2 2 5 2 2 3 2 2 2 2" xfId="53978"/>
    <cellStyle name="Normal 2 2 2 2 2 2 5 2 2 3 2 3" xfId="32153"/>
    <cellStyle name="Normal 2 2 2 2 2 2 5 2 2 3 3" xfId="29946"/>
    <cellStyle name="Normal 2 2 2 2 2 2 5 2 2 3 3 2" xfId="40516"/>
    <cellStyle name="Normal 2 2 2 2 2 2 5 2 2 4" xfId="10282"/>
    <cellStyle name="Normal 2 2 2 2 2 2 5 2 2 4 2" xfId="38256"/>
    <cellStyle name="Normal 2 2 2 2 2 2 5 2 2 4 2 2" xfId="45645"/>
    <cellStyle name="Normal 2 2 2 2 2 2 5 2 2 5" xfId="23768"/>
    <cellStyle name="Normal 2 2 2 2 2 2 5 2 3" xfId="4821"/>
    <cellStyle name="Normal 2 2 2 2 2 2 5 2 3 2" xfId="6315"/>
    <cellStyle name="Normal 2 2 2 2 2 2 5 2 3 2 2" xfId="18396"/>
    <cellStyle name="Normal 2 2 2 2 2 2 5 2 3 2 2 2" xfId="19872"/>
    <cellStyle name="Normal 2 2 2 2 2 2 5 2 3 2 2 2 2" xfId="53722"/>
    <cellStyle name="Normal 2 2 2 2 2 2 5 2 3 2 2 2 2 2" xfId="55198"/>
    <cellStyle name="Normal 2 2 2 2 2 2 5 2 3 2 2 3" xfId="33374"/>
    <cellStyle name="Normal 2 2 2 2 2 2 5 2 3 2 3" xfId="31897"/>
    <cellStyle name="Normal 2 2 2 2 2 2 5 2 3 2 3 2" xfId="41744"/>
    <cellStyle name="Normal 2 2 2 2 2 2 5 2 3 3" xfId="11541"/>
    <cellStyle name="Normal 2 2 2 2 2 2 5 2 3 3 2" xfId="40258"/>
    <cellStyle name="Normal 2 2 2 2 2 2 5 2 3 3 2 2" xfId="46890"/>
    <cellStyle name="Normal 2 2 2 2 2 2 5 2 3 4" xfId="25027"/>
    <cellStyle name="Normal 2 2 2 2 2 2 5 2 4" xfId="10024"/>
    <cellStyle name="Normal 2 2 2 2 2 2 5 2 4 2" xfId="14698"/>
    <cellStyle name="Normal 2 2 2 2 2 2 5 2 4 2 2" xfId="45389"/>
    <cellStyle name="Normal 2 2 2 2 2 2 5 2 4 2 2 2" xfId="50037"/>
    <cellStyle name="Normal 2 2 2 2 2 2 5 2 4 3" xfId="28210"/>
    <cellStyle name="Normal 2 2 2 2 2 2 5 2 5" xfId="23512"/>
    <cellStyle name="Normal 2 2 2 2 2 2 5 2 5 2" xfId="36506"/>
    <cellStyle name="Normal 2 2 2 2 2 2 5 3" xfId="1805"/>
    <cellStyle name="Normal 2 2 2 2 2 2 5 3 2" xfId="6038"/>
    <cellStyle name="Normal 2 2 2 2 2 2 5 3 2 2" xfId="7057"/>
    <cellStyle name="Normal 2 2 2 2 2 2 5 3 2 2 2" xfId="19602"/>
    <cellStyle name="Normal 2 2 2 2 2 2 5 3 2 2 2 2" xfId="20610"/>
    <cellStyle name="Normal 2 2 2 2 2 2 5 3 2 2 2 2 2" xfId="54928"/>
    <cellStyle name="Normal 2 2 2 2 2 2 5 3 2 2 2 2 2 2" xfId="55936"/>
    <cellStyle name="Normal 2 2 2 2 2 2 5 3 2 2 2 3" xfId="34112"/>
    <cellStyle name="Normal 2 2 2 2 2 2 5 3 2 2 3" xfId="33103"/>
    <cellStyle name="Normal 2 2 2 2 2 2 5 3 2 2 3 2" xfId="42485"/>
    <cellStyle name="Normal 2 2 2 2 2 2 5 3 2 3" xfId="12281"/>
    <cellStyle name="Normal 2 2 2 2 2 2 5 3 2 3 2" xfId="41472"/>
    <cellStyle name="Normal 2 2 2 2 2 2 5 3 2 3 2 2" xfId="47628"/>
    <cellStyle name="Normal 2 2 2 2 2 2 5 3 2 4" xfId="25766"/>
    <cellStyle name="Normal 2 2 2 2 2 2 5 3 3" xfId="11263"/>
    <cellStyle name="Normal 2 2 2 2 2 2 5 3 3 2" xfId="15477"/>
    <cellStyle name="Normal 2 2 2 2 2 2 5 3 3 2 2" xfId="46618"/>
    <cellStyle name="Normal 2 2 2 2 2 2 5 3 3 2 2 2" xfId="50810"/>
    <cellStyle name="Normal 2 2 2 2 2 2 5 3 3 3" xfId="28984"/>
    <cellStyle name="Normal 2 2 2 2 2 2 5 3 4" xfId="24755"/>
    <cellStyle name="Normal 2 2 2 2 2 2 5 3 4 2" xfId="37287"/>
    <cellStyle name="Normal 2 2 2 2 2 2 5 4" xfId="3812"/>
    <cellStyle name="Normal 2 2 2 2 2 2 5 4 2" xfId="14421"/>
    <cellStyle name="Normal 2 2 2 2 2 2 5 4 2 2" xfId="17427"/>
    <cellStyle name="Normal 2 2 2 2 2 2 5 4 2 2 2" xfId="49766"/>
    <cellStyle name="Normal 2 2 2 2 2 2 5 4 2 2 2 2" xfId="52754"/>
    <cellStyle name="Normal 2 2 2 2 2 2 5 4 2 3" xfId="30928"/>
    <cellStyle name="Normal 2 2 2 2 2 2 5 4 3" xfId="27934"/>
    <cellStyle name="Normal 2 2 2 2 2 2 5 4 3 2" xfId="39262"/>
    <cellStyle name="Normal 2 2 2 2 2 2 5 5" xfId="9003"/>
    <cellStyle name="Normal 2 2 2 2 2 2 5 5 2" xfId="36234"/>
    <cellStyle name="Normal 2 2 2 2 2 2 5 5 2 2" xfId="44401"/>
    <cellStyle name="Normal 2 2 2 2 2 2 5 6" xfId="22510"/>
    <cellStyle name="Normal 2 2 2 2 2 2 6" xfId="1492"/>
    <cellStyle name="Normal 2 2 2 2 2 2 6 2" xfId="2269"/>
    <cellStyle name="Normal 2 2 2 2 2 2 6 2 2" xfId="6783"/>
    <cellStyle name="Normal 2 2 2 2 2 2 6 2 2 2" xfId="7503"/>
    <cellStyle name="Normal 2 2 2 2 2 2 6 2 2 2 2" xfId="20336"/>
    <cellStyle name="Normal 2 2 2 2 2 2 6 2 2 2 2 2" xfId="21055"/>
    <cellStyle name="Normal 2 2 2 2 2 2 6 2 2 2 2 2 2" xfId="55662"/>
    <cellStyle name="Normal 2 2 2 2 2 2 6 2 2 2 2 2 2 2" xfId="56381"/>
    <cellStyle name="Normal 2 2 2 2 2 2 6 2 2 2 2 3" xfId="34558"/>
    <cellStyle name="Normal 2 2 2 2 2 2 6 2 2 2 3" xfId="33838"/>
    <cellStyle name="Normal 2 2 2 2 2 2 6 2 2 2 3 2" xfId="42930"/>
    <cellStyle name="Normal 2 2 2 2 2 2 6 2 2 3" xfId="12728"/>
    <cellStyle name="Normal 2 2 2 2 2 2 6 2 2 3 2" xfId="42211"/>
    <cellStyle name="Normal 2 2 2 2 2 2 6 2 2 3 2 2" xfId="48074"/>
    <cellStyle name="Normal 2 2 2 2 2 2 6 2 2 4" xfId="26212"/>
    <cellStyle name="Normal 2 2 2 2 2 2 6 2 3" xfId="12006"/>
    <cellStyle name="Normal 2 2 2 2 2 2 6 2 3 2" xfId="15933"/>
    <cellStyle name="Normal 2 2 2 2 2 2 6 2 3 2 2" xfId="47354"/>
    <cellStyle name="Normal 2 2 2 2 2 2 6 2 3 2 2 2" xfId="51265"/>
    <cellStyle name="Normal 2 2 2 2 2 2 6 2 3 3" xfId="29439"/>
    <cellStyle name="Normal 2 2 2 2 2 2 6 2 4" xfId="25491"/>
    <cellStyle name="Normal 2 2 2 2 2 2 6 2 4 2" xfId="37747"/>
    <cellStyle name="Normal 2 2 2 2 2 2 6 3" xfId="4286"/>
    <cellStyle name="Normal 2 2 2 2 2 2 6 3 2" xfId="15176"/>
    <cellStyle name="Normal 2 2 2 2 2 2 6 3 2 2" xfId="17879"/>
    <cellStyle name="Normal 2 2 2 2 2 2 6 3 2 2 2" xfId="50514"/>
    <cellStyle name="Normal 2 2 2 2 2 2 6 3 2 2 2 2" xfId="53206"/>
    <cellStyle name="Normal 2 2 2 2 2 2 6 3 2 3" xfId="31381"/>
    <cellStyle name="Normal 2 2 2 2 2 2 6 3 3" xfId="28688"/>
    <cellStyle name="Normal 2 2 2 2 2 2 6 3 3 2" xfId="39729"/>
    <cellStyle name="Normal 2 2 2 2 2 2 6 4" xfId="9477"/>
    <cellStyle name="Normal 2 2 2 2 2 2 6 4 2" xfId="36986"/>
    <cellStyle name="Normal 2 2 2 2 2 2 6 4 2 2" xfId="44859"/>
    <cellStyle name="Normal 2 2 2 2 2 2 6 5" xfId="22973"/>
    <cellStyle name="Normal 2 2 2 2 2 2 7" xfId="3491"/>
    <cellStyle name="Normal 2 2 2 2 2 2 7 2" xfId="4315"/>
    <cellStyle name="Normal 2 2 2 2 2 2 7 2 2" xfId="17145"/>
    <cellStyle name="Normal 2 2 2 2 2 2 7 2 2 2" xfId="17908"/>
    <cellStyle name="Normal 2 2 2 2 2 2 7 2 2 2 2" xfId="52473"/>
    <cellStyle name="Normal 2 2 2 2 2 2 7 2 2 2 2 2" xfId="53235"/>
    <cellStyle name="Normal 2 2 2 2 2 2 7 2 2 3" xfId="31410"/>
    <cellStyle name="Normal 2 2 2 2 2 2 7 2 3" xfId="30647"/>
    <cellStyle name="Normal 2 2 2 2 2 2 7 2 3 2" xfId="39758"/>
    <cellStyle name="Normal 2 2 2 2 2 2 7 3" xfId="9509"/>
    <cellStyle name="Normal 2 2 2 2 2 2 7 3 2" xfId="38958"/>
    <cellStyle name="Normal 2 2 2 2 2 2 7 3 2 2" xfId="44891"/>
    <cellStyle name="Normal 2 2 2 2 2 2 7 4" xfId="23007"/>
    <cellStyle name="Normal 2 2 2 2 2 2 8" xfId="3981"/>
    <cellStyle name="Normal 2 2 2 2 2 2 8 2" xfId="10824"/>
    <cellStyle name="Normal 2 2 2 2 2 2 8 2 2" xfId="39425"/>
    <cellStyle name="Normal 2 2 2 2 2 2 8 2 2 2" xfId="46186"/>
    <cellStyle name="Normal 2 2 2 2 2 2 8 3" xfId="24316"/>
    <cellStyle name="Normal 2 2 2 2 2 2 9" xfId="8872"/>
    <cellStyle name="Normal 2 2 2 2 2 2 9 2" xfId="22984"/>
    <cellStyle name="Normal 2 2 2 2 2 3" xfId="138"/>
    <cellStyle name="Normal 2 2 2 2 2 3 2" xfId="284"/>
    <cellStyle name="Normal 2 2 2 2 2 3 2 2" xfId="312"/>
    <cellStyle name="Normal 2 2 2 2 2 3 2 2 2" xfId="624"/>
    <cellStyle name="Normal 2 2 2 2 2 3 2 2 2 2" xfId="641"/>
    <cellStyle name="Normal 2 2 2 2 2 3 2 2 2 2 2" xfId="1420"/>
    <cellStyle name="Normal 2 2 2 2 2 3 2 2 2 2 2 2" xfId="1437"/>
    <cellStyle name="Normal 2 2 2 2 2 3 2 2 2 2 2 2 2" xfId="3438"/>
    <cellStyle name="Normal 2 2 2 2 2 3 2 2 2 2 2 2 2 2" xfId="3455"/>
    <cellStyle name="Normal 2 2 2 2 2 3 2 2 2 2 2 2 2 2 2" xfId="8653"/>
    <cellStyle name="Normal 2 2 2 2 2 3 2 2 2 2 2 2 2 2 2 2" xfId="8670"/>
    <cellStyle name="Normal 2 2 2 2 2 3 2 2 2 2 2 2 2 2 2 2 2" xfId="22205"/>
    <cellStyle name="Normal 2 2 2 2 2 3 2 2 2 2 2 2 2 2 2 2 2 2" xfId="22222"/>
    <cellStyle name="Normal 2 2 2 2 2 3 2 2 2 2 2 2 2 2 2 2 2 2 2" xfId="57531"/>
    <cellStyle name="Normal 2 2 2 2 2 3 2 2 2 2 2 2 2 2 2 2 2 2 2 2" xfId="57548"/>
    <cellStyle name="Normal 2 2 2 2 2 3 2 2 2 2 2 2 2 2 2 2 2 3" xfId="35725"/>
    <cellStyle name="Normal 2 2 2 2 2 3 2 2 2 2 2 2 2 2 2 2 3" xfId="35708"/>
    <cellStyle name="Normal 2 2 2 2 2 3 2 2 2 2 2 2 2 2 2 2 3 2" xfId="44097"/>
    <cellStyle name="Normal 2 2 2 2 2 3 2 2 2 2 2 2 2 2 2 3" xfId="13895"/>
    <cellStyle name="Normal 2 2 2 2 2 3 2 2 2 2 2 2 2 2 2 3 2" xfId="44080"/>
    <cellStyle name="Normal 2 2 2 2 2 3 2 2 2 2 2 2 2 2 2 3 2 2" xfId="49241"/>
    <cellStyle name="Normal 2 2 2 2 2 3 2 2 2 2 2 2 2 2 2 4" xfId="27380"/>
    <cellStyle name="Normal 2 2 2 2 2 3 2 2 2 2 2 2 2 2 3" xfId="13878"/>
    <cellStyle name="Normal 2 2 2 2 2 3 2 2 2 2 2 2 2 2 3 2" xfId="17112"/>
    <cellStyle name="Normal 2 2 2 2 2 3 2 2 2 2 2 2 2 2 3 2 2" xfId="49224"/>
    <cellStyle name="Normal 2 2 2 2 2 3 2 2 2 2 2 2 2 2 3 2 2 2" xfId="52440"/>
    <cellStyle name="Normal 2 2 2 2 2 3 2 2 2 2 2 2 2 2 3 3" xfId="30614"/>
    <cellStyle name="Normal 2 2 2 2 2 3 2 2 2 2 2 2 2 2 4" xfId="27363"/>
    <cellStyle name="Normal 2 2 2 2 2 3 2 2 2 2 2 2 2 2 4 2" xfId="38924"/>
    <cellStyle name="Normal 2 2 2 2 2 3 2 2 2 2 2 2 2 3" xfId="5492"/>
    <cellStyle name="Normal 2 2 2 2 2 3 2 2 2 2 2 2 2 3 2" xfId="17095"/>
    <cellStyle name="Normal 2 2 2 2 2 3 2 2 2 2 2 2 2 3 2 2" xfId="19065"/>
    <cellStyle name="Normal 2 2 2 2 2 3 2 2 2 2 2 2 2 3 2 2 2" xfId="52423"/>
    <cellStyle name="Normal 2 2 2 2 2 3 2 2 2 2 2 2 2 3 2 2 2 2" xfId="54391"/>
    <cellStyle name="Normal 2 2 2 2 2 3 2 2 2 2 2 2 2 3 2 3" xfId="32566"/>
    <cellStyle name="Normal 2 2 2 2 2 3 2 2 2 2 2 2 2 3 3" xfId="30597"/>
    <cellStyle name="Normal 2 2 2 2 2 3 2 2 2 2 2 2 2 3 3 2" xfId="40929"/>
    <cellStyle name="Normal 2 2 2 2 2 3 2 2 2 2 2 2 2 4" xfId="10695"/>
    <cellStyle name="Normal 2 2 2 2 2 3 2 2 2 2 2 2 2 4 2" xfId="38907"/>
    <cellStyle name="Normal 2 2 2 2 2 3 2 2 2 2 2 2 2 4 2 2" xfId="46058"/>
    <cellStyle name="Normal 2 2 2 2 2 3 2 2 2 2 2 2 2 5" xfId="24181"/>
    <cellStyle name="Normal 2 2 2 2 2 3 2 2 2 2 2 2 3" xfId="5475"/>
    <cellStyle name="Normal 2 2 2 2 2 3 2 2 2 2 2 2 3 2" xfId="6745"/>
    <cellStyle name="Normal 2 2 2 2 2 3 2 2 2 2 2 2 3 2 2" xfId="19048"/>
    <cellStyle name="Normal 2 2 2 2 2 3 2 2 2 2 2 2 3 2 2 2" xfId="20298"/>
    <cellStyle name="Normal 2 2 2 2 2 3 2 2 2 2 2 2 3 2 2 2 2" xfId="54374"/>
    <cellStyle name="Normal 2 2 2 2 2 3 2 2 2 2 2 2 3 2 2 2 2 2" xfId="55624"/>
    <cellStyle name="Normal 2 2 2 2 2 3 2 2 2 2 2 2 3 2 2 3" xfId="33800"/>
    <cellStyle name="Normal 2 2 2 2 2 3 2 2 2 2 2 2 3 2 3" xfId="32549"/>
    <cellStyle name="Normal 2 2 2 2 2 3 2 2 2 2 2 2 3 2 3 2" xfId="42173"/>
    <cellStyle name="Normal 2 2 2 2 2 3 2 2 2 2 2 2 3 3" xfId="11968"/>
    <cellStyle name="Normal 2 2 2 2 2 3 2 2 2 2 2 2 3 3 2" xfId="40912"/>
    <cellStyle name="Normal 2 2 2 2 2 3 2 2 2 2 2 2 3 3 2 2" xfId="47316"/>
    <cellStyle name="Normal 2 2 2 2 2 3 2 2 2 2 2 2 3 4" xfId="25453"/>
    <cellStyle name="Normal 2 2 2 2 2 3 2 2 2 2 2 2 4" xfId="10678"/>
    <cellStyle name="Normal 2 2 2 2 2 3 2 2 2 2 2 2 4 2" xfId="15126"/>
    <cellStyle name="Normal 2 2 2 2 2 3 2 2 2 2 2 2 4 2 2" xfId="46041"/>
    <cellStyle name="Normal 2 2 2 2 2 3 2 2 2 2 2 2 4 2 2 2" xfId="50465"/>
    <cellStyle name="Normal 2 2 2 2 2 3 2 2 2 2 2 2 4 3" xfId="28639"/>
    <cellStyle name="Normal 2 2 2 2 2 3 2 2 2 2 2 2 5" xfId="24164"/>
    <cellStyle name="Normal 2 2 2 2 2 3 2 2 2 2 2 2 5 2" xfId="36934"/>
    <cellStyle name="Normal 2 2 2 2 2 3 2 2 2 2 2 3" xfId="2244"/>
    <cellStyle name="Normal 2 2 2 2 2 3 2 2 2 2 2 3 2" xfId="6728"/>
    <cellStyle name="Normal 2 2 2 2 2 3 2 2 2 2 2 3 2 2" xfId="7478"/>
    <cellStyle name="Normal 2 2 2 2 2 3 2 2 2 2 2 3 2 2 2" xfId="20281"/>
    <cellStyle name="Normal 2 2 2 2 2 3 2 2 2 2 2 3 2 2 2 2" xfId="21030"/>
    <cellStyle name="Normal 2 2 2 2 2 3 2 2 2 2 2 3 2 2 2 2 2" xfId="55607"/>
    <cellStyle name="Normal 2 2 2 2 2 3 2 2 2 2 2 3 2 2 2 2 2 2" xfId="56356"/>
    <cellStyle name="Normal 2 2 2 2 2 3 2 2 2 2 2 3 2 2 2 3" xfId="34533"/>
    <cellStyle name="Normal 2 2 2 2 2 3 2 2 2 2 2 3 2 2 3" xfId="33783"/>
    <cellStyle name="Normal 2 2 2 2 2 3 2 2 2 2 2 3 2 2 3 2" xfId="42905"/>
    <cellStyle name="Normal 2 2 2 2 2 3 2 2 2 2 2 3 2 3" xfId="12703"/>
    <cellStyle name="Normal 2 2 2 2 2 3 2 2 2 2 2 3 2 3 2" xfId="42156"/>
    <cellStyle name="Normal 2 2 2 2 2 3 2 2 2 2 2 3 2 3 2 2" xfId="48049"/>
    <cellStyle name="Normal 2 2 2 2 2 3 2 2 2 2 2 3 2 4" xfId="26187"/>
    <cellStyle name="Normal 2 2 2 2 2 3 2 2 2 2 2 3 3" xfId="11951"/>
    <cellStyle name="Normal 2 2 2 2 2 3 2 2 2 2 2 3 3 2" xfId="15908"/>
    <cellStyle name="Normal 2 2 2 2 2 3 2 2 2 2 2 3 3 2 2" xfId="47299"/>
    <cellStyle name="Normal 2 2 2 2 2 3 2 2 2 2 2 3 3 2 2 2" xfId="51240"/>
    <cellStyle name="Normal 2 2 2 2 2 3 2 2 2 2 2 3 3 3" xfId="29414"/>
    <cellStyle name="Normal 2 2 2 2 2 3 2 2 2 2 2 3 4" xfId="25436"/>
    <cellStyle name="Normal 2 2 2 2 2 3 2 2 2 2 2 3 4 2" xfId="37722"/>
    <cellStyle name="Normal 2 2 2 2 2 3 2 2 2 2 2 4" xfId="4260"/>
    <cellStyle name="Normal 2 2 2 2 2 3 2 2 2 2 2 4 2" xfId="15109"/>
    <cellStyle name="Normal 2 2 2 2 2 3 2 2 2 2 2 4 2 2" xfId="17853"/>
    <cellStyle name="Normal 2 2 2 2 2 3 2 2 2 2 2 4 2 2 2" xfId="50448"/>
    <cellStyle name="Normal 2 2 2 2 2 3 2 2 2 2 2 4 2 2 2 2" xfId="53180"/>
    <cellStyle name="Normal 2 2 2 2 2 3 2 2 2 2 2 4 2 3" xfId="31355"/>
    <cellStyle name="Normal 2 2 2 2 2 3 2 2 2 2 2 4 3" xfId="28622"/>
    <cellStyle name="Normal 2 2 2 2 2 3 2 2 2 2 2 4 3 2" xfId="39703"/>
    <cellStyle name="Normal 2 2 2 2 2 3 2 2 2 2 2 5" xfId="9451"/>
    <cellStyle name="Normal 2 2 2 2 2 3 2 2 2 2 2 5 2" xfId="36917"/>
    <cellStyle name="Normal 2 2 2 2 2 3 2 2 2 2 2 5 2 2" xfId="44833"/>
    <cellStyle name="Normal 2 2 2 2 2 3 2 2 2 2 2 6" xfId="22947"/>
    <cellStyle name="Normal 2 2 2 2 2 3 2 2 2 2 3" xfId="2227"/>
    <cellStyle name="Normal 2 2 2 2 2 3 2 2 2 2 3 2" xfId="2731"/>
    <cellStyle name="Normal 2 2 2 2 2 3 2 2 2 2 3 2 2" xfId="7461"/>
    <cellStyle name="Normal 2 2 2 2 2 3 2 2 2 2 3 2 2 2" xfId="7950"/>
    <cellStyle name="Normal 2 2 2 2 2 3 2 2 2 2 3 2 2 2 2" xfId="21013"/>
    <cellStyle name="Normal 2 2 2 2 2 3 2 2 2 2 3 2 2 2 2 2" xfId="21502"/>
    <cellStyle name="Normal 2 2 2 2 2 3 2 2 2 2 3 2 2 2 2 2 2" xfId="56339"/>
    <cellStyle name="Normal 2 2 2 2 2 3 2 2 2 2 3 2 2 2 2 2 2 2" xfId="56828"/>
    <cellStyle name="Normal 2 2 2 2 2 3 2 2 2 2 3 2 2 2 2 3" xfId="35005"/>
    <cellStyle name="Normal 2 2 2 2 2 3 2 2 2 2 3 2 2 2 3" xfId="34516"/>
    <cellStyle name="Normal 2 2 2 2 2 3 2 2 2 2 3 2 2 2 3 2" xfId="43377"/>
    <cellStyle name="Normal 2 2 2 2 2 3 2 2 2 2 3 2 2 3" xfId="13175"/>
    <cellStyle name="Normal 2 2 2 2 2 3 2 2 2 2 3 2 2 3 2" xfId="42888"/>
    <cellStyle name="Normal 2 2 2 2 2 3 2 2 2 2 3 2 2 3 2 2" xfId="48521"/>
    <cellStyle name="Normal 2 2 2 2 2 3 2 2 2 2 3 2 2 4" xfId="26659"/>
    <cellStyle name="Normal 2 2 2 2 2 3 2 2 2 2 3 2 3" xfId="12686"/>
    <cellStyle name="Normal 2 2 2 2 2 3 2 2 2 2 3 2 3 2" xfId="16390"/>
    <cellStyle name="Normal 2 2 2 2 2 3 2 2 2 2 3 2 3 2 2" xfId="48032"/>
    <cellStyle name="Normal 2 2 2 2 2 3 2 2 2 2 3 2 3 2 2 2" xfId="51720"/>
    <cellStyle name="Normal 2 2 2 2 2 3 2 2 2 2 3 2 3 3" xfId="29894"/>
    <cellStyle name="Normal 2 2 2 2 2 3 2 2 2 2 3 2 4" xfId="26170"/>
    <cellStyle name="Normal 2 2 2 2 2 3 2 2 2 2 3 2 4 2" xfId="38204"/>
    <cellStyle name="Normal 2 2 2 2 2 3 2 2 2 2 3 3" xfId="4767"/>
    <cellStyle name="Normal 2 2 2 2 2 3 2 2 2 2 3 3 2" xfId="15891"/>
    <cellStyle name="Normal 2 2 2 2 2 3 2 2 2 2 3 3 2 2" xfId="18344"/>
    <cellStyle name="Normal 2 2 2 2 2 3 2 2 2 2 3 3 2 2 2" xfId="51223"/>
    <cellStyle name="Normal 2 2 2 2 2 3 2 2 2 2 3 3 2 2 2 2" xfId="53670"/>
    <cellStyle name="Normal 2 2 2 2 2 3 2 2 2 2 3 3 2 3" xfId="31845"/>
    <cellStyle name="Normal 2 2 2 2 2 3 2 2 2 2 3 3 3" xfId="29397"/>
    <cellStyle name="Normal 2 2 2 2 2 3 2 2 2 2 3 3 3 2" xfId="40205"/>
    <cellStyle name="Normal 2 2 2 2 2 3 2 2 2 2 3 4" xfId="9970"/>
    <cellStyle name="Normal 2 2 2 2 2 3 2 2 2 2 3 4 2" xfId="37705"/>
    <cellStyle name="Normal 2 2 2 2 2 3 2 2 2 2 3 4 2 2" xfId="45337"/>
    <cellStyle name="Normal 2 2 2 2 2 3 2 2 2 2 3 5" xfId="23460"/>
    <cellStyle name="Normal 2 2 2 2 2 3 2 2 2 2 4" xfId="4243"/>
    <cellStyle name="Normal 2 2 2 2 2 3 2 2 2 2 4 2" xfId="5972"/>
    <cellStyle name="Normal 2 2 2 2 2 3 2 2 2 2 4 2 2" xfId="17836"/>
    <cellStyle name="Normal 2 2 2 2 2 3 2 2 2 2 4 2 2 2" xfId="19539"/>
    <cellStyle name="Normal 2 2 2 2 2 3 2 2 2 2 4 2 2 2 2" xfId="53163"/>
    <cellStyle name="Normal 2 2 2 2 2 3 2 2 2 2 4 2 2 2 2 2" xfId="54865"/>
    <cellStyle name="Normal 2 2 2 2 2 3 2 2 2 2 4 2 2 3" xfId="33040"/>
    <cellStyle name="Normal 2 2 2 2 2 3 2 2 2 2 4 2 3" xfId="31338"/>
    <cellStyle name="Normal 2 2 2 2 2 3 2 2 2 2 4 2 3 2" xfId="41406"/>
    <cellStyle name="Normal 2 2 2 2 2 3 2 2 2 2 4 3" xfId="11197"/>
    <cellStyle name="Normal 2 2 2 2 2 3 2 2 2 2 4 3 2" xfId="39686"/>
    <cellStyle name="Normal 2 2 2 2 2 3 2 2 2 2 4 3 2 2" xfId="46555"/>
    <cellStyle name="Normal 2 2 2 2 2 3 2 2 2 2 4 4" xfId="24690"/>
    <cellStyle name="Normal 2 2 2 2 2 3 2 2 2 2 5" xfId="9434"/>
    <cellStyle name="Normal 2 2 2 2 2 3 2 2 2 2 5 2" xfId="14356"/>
    <cellStyle name="Normal 2 2 2 2 2 3 2 2 2 2 5 2 2" xfId="44816"/>
    <cellStyle name="Normal 2 2 2 2 2 3 2 2 2 2 5 2 2 2" xfId="49701"/>
    <cellStyle name="Normal 2 2 2 2 2 3 2 2 2 2 5 3" xfId="27866"/>
    <cellStyle name="Normal 2 2 2 2 2 3 2 2 2 2 6" xfId="22930"/>
    <cellStyle name="Normal 2 2 2 2 2 3 2 2 2 2 6 2" xfId="36168"/>
    <cellStyle name="Normal 2 2 2 2 2 3 2 2 2 3" xfId="969"/>
    <cellStyle name="Normal 2 2 2 2 2 3 2 2 2 3 2" xfId="2714"/>
    <cellStyle name="Normal 2 2 2 2 2 3 2 2 2 3 2 2" xfId="3007"/>
    <cellStyle name="Normal 2 2 2 2 2 3 2 2 2 3 2 2 2" xfId="7933"/>
    <cellStyle name="Normal 2 2 2 2 2 3 2 2 2 3 2 2 2 2" xfId="8222"/>
    <cellStyle name="Normal 2 2 2 2 2 3 2 2 2 3 2 2 2 2 2" xfId="21485"/>
    <cellStyle name="Normal 2 2 2 2 2 3 2 2 2 3 2 2 2 2 2 2" xfId="21774"/>
    <cellStyle name="Normal 2 2 2 2 2 3 2 2 2 3 2 2 2 2 2 2 2" xfId="56811"/>
    <cellStyle name="Normal 2 2 2 2 2 3 2 2 2 3 2 2 2 2 2 2 2 2" xfId="57100"/>
    <cellStyle name="Normal 2 2 2 2 2 3 2 2 2 3 2 2 2 2 2 3" xfId="35277"/>
    <cellStyle name="Normal 2 2 2 2 2 3 2 2 2 3 2 2 2 2 3" xfId="34988"/>
    <cellStyle name="Normal 2 2 2 2 2 3 2 2 2 3 2 2 2 2 3 2" xfId="43649"/>
    <cellStyle name="Normal 2 2 2 2 2 3 2 2 2 3 2 2 2 3" xfId="13447"/>
    <cellStyle name="Normal 2 2 2 2 2 3 2 2 2 3 2 2 2 3 2" xfId="43360"/>
    <cellStyle name="Normal 2 2 2 2 2 3 2 2 2 3 2 2 2 3 2 2" xfId="48793"/>
    <cellStyle name="Normal 2 2 2 2 2 3 2 2 2 3 2 2 2 4" xfId="26932"/>
    <cellStyle name="Normal 2 2 2 2 2 3 2 2 2 3 2 2 3" xfId="13158"/>
    <cellStyle name="Normal 2 2 2 2 2 3 2 2 2 3 2 2 3 2" xfId="16664"/>
    <cellStyle name="Normal 2 2 2 2 2 3 2 2 2 3 2 2 3 2 2" xfId="48504"/>
    <cellStyle name="Normal 2 2 2 2 2 3 2 2 2 3 2 2 3 2 2 2" xfId="51992"/>
    <cellStyle name="Normal 2 2 2 2 2 3 2 2 2 3 2 2 3 3" xfId="30166"/>
    <cellStyle name="Normal 2 2 2 2 2 3 2 2 2 3 2 2 4" xfId="26642"/>
    <cellStyle name="Normal 2 2 2 2 2 3 2 2 2 3 2 2 4 2" xfId="38476"/>
    <cellStyle name="Normal 2 2 2 2 2 3 2 2 2 3 2 3" xfId="5043"/>
    <cellStyle name="Normal 2 2 2 2 2 3 2 2 2 3 2 3 2" xfId="16373"/>
    <cellStyle name="Normal 2 2 2 2 2 3 2 2 2 3 2 3 2 2" xfId="18616"/>
    <cellStyle name="Normal 2 2 2 2 2 3 2 2 2 3 2 3 2 2 2" xfId="51703"/>
    <cellStyle name="Normal 2 2 2 2 2 3 2 2 2 3 2 3 2 2 2 2" xfId="53942"/>
    <cellStyle name="Normal 2 2 2 2 2 3 2 2 2 3 2 3 2 3" xfId="32117"/>
    <cellStyle name="Normal 2 2 2 2 2 3 2 2 2 3 2 3 3" xfId="29877"/>
    <cellStyle name="Normal 2 2 2 2 2 3 2 2 2 3 2 3 3 2" xfId="40480"/>
    <cellStyle name="Normal 2 2 2 2 2 3 2 2 2 3 2 4" xfId="10246"/>
    <cellStyle name="Normal 2 2 2 2 2 3 2 2 2 3 2 4 2" xfId="38187"/>
    <cellStyle name="Normal 2 2 2 2 2 3 2 2 2 3 2 4 2 2" xfId="45609"/>
    <cellStyle name="Normal 2 2 2 2 2 3 2 2 2 3 2 5" xfId="23732"/>
    <cellStyle name="Normal 2 2 2 2 2 3 2 2 2 3 3" xfId="4750"/>
    <cellStyle name="Normal 2 2 2 2 2 3 2 2 2 3 3 2" xfId="6280"/>
    <cellStyle name="Normal 2 2 2 2 2 3 2 2 2 3 3 2 2" xfId="18327"/>
    <cellStyle name="Normal 2 2 2 2 2 3 2 2 2 3 3 2 2 2" xfId="19837"/>
    <cellStyle name="Normal 2 2 2 2 2 3 2 2 2 3 3 2 2 2 2" xfId="53653"/>
    <cellStyle name="Normal 2 2 2 2 2 3 2 2 2 3 3 2 2 2 2 2" xfId="55163"/>
    <cellStyle name="Normal 2 2 2 2 2 3 2 2 2 3 3 2 2 3" xfId="33339"/>
    <cellStyle name="Normal 2 2 2 2 2 3 2 2 2 3 3 2 3" xfId="31828"/>
    <cellStyle name="Normal 2 2 2 2 2 3 2 2 2 3 3 2 3 2" xfId="41709"/>
    <cellStyle name="Normal 2 2 2 2 2 3 2 2 2 3 3 3" xfId="11505"/>
    <cellStyle name="Normal 2 2 2 2 2 3 2 2 2 3 3 3 2" xfId="40188"/>
    <cellStyle name="Normal 2 2 2 2 2 3 2 2 2 3 3 3 2 2" xfId="46854"/>
    <cellStyle name="Normal 2 2 2 2 2 3 2 2 2 3 3 4" xfId="24991"/>
    <cellStyle name="Normal 2 2 2 2 2 3 2 2 2 3 4" xfId="9953"/>
    <cellStyle name="Normal 2 2 2 2 2 3 2 2 2 3 4 2" xfId="14663"/>
    <cellStyle name="Normal 2 2 2 2 2 3 2 2 2 3 4 2 2" xfId="45320"/>
    <cellStyle name="Normal 2 2 2 2 2 3 2 2 2 3 4 2 2 2" xfId="50002"/>
    <cellStyle name="Normal 2 2 2 2 2 3 2 2 2 3 4 3" xfId="28174"/>
    <cellStyle name="Normal 2 2 2 2 2 3 2 2 2 3 5" xfId="23443"/>
    <cellStyle name="Normal 2 2 2 2 2 3 2 2 2 3 5 2" xfId="36471"/>
    <cellStyle name="Normal 2 2 2 2 2 3 2 2 2 4" xfId="1765"/>
    <cellStyle name="Normal 2 2 2 2 2 3 2 2 2 4 2" xfId="5955"/>
    <cellStyle name="Normal 2 2 2 2 2 3 2 2 2 4 2 2" xfId="7018"/>
    <cellStyle name="Normal 2 2 2 2 2 3 2 2 2 4 2 2 2" xfId="19522"/>
    <cellStyle name="Normal 2 2 2 2 2 3 2 2 2 4 2 2 2 2" xfId="20571"/>
    <cellStyle name="Normal 2 2 2 2 2 3 2 2 2 4 2 2 2 2 2" xfId="54848"/>
    <cellStyle name="Normal 2 2 2 2 2 3 2 2 2 4 2 2 2 2 2 2" xfId="55897"/>
    <cellStyle name="Normal 2 2 2 2 2 3 2 2 2 4 2 2 2 3" xfId="34073"/>
    <cellStyle name="Normal 2 2 2 2 2 3 2 2 2 4 2 2 3" xfId="33023"/>
    <cellStyle name="Normal 2 2 2 2 2 3 2 2 2 4 2 2 3 2" xfId="42446"/>
    <cellStyle name="Normal 2 2 2 2 2 3 2 2 2 4 2 3" xfId="12242"/>
    <cellStyle name="Normal 2 2 2 2 2 3 2 2 2 4 2 3 2" xfId="41389"/>
    <cellStyle name="Normal 2 2 2 2 2 3 2 2 2 4 2 3 2 2" xfId="47589"/>
    <cellStyle name="Normal 2 2 2 2 2 3 2 2 2 4 2 4" xfId="25727"/>
    <cellStyle name="Normal 2 2 2 2 2 3 2 2 2 4 3" xfId="11180"/>
    <cellStyle name="Normal 2 2 2 2 2 3 2 2 2 4 3 2" xfId="15437"/>
    <cellStyle name="Normal 2 2 2 2 2 3 2 2 2 4 3 2 2" xfId="46538"/>
    <cellStyle name="Normal 2 2 2 2 2 3 2 2 2 4 3 2 2 2" xfId="50770"/>
    <cellStyle name="Normal 2 2 2 2 2 3 2 2 2 4 3 3" xfId="28944"/>
    <cellStyle name="Normal 2 2 2 2 2 3 2 2 2 4 4" xfId="24673"/>
    <cellStyle name="Normal 2 2 2 2 2 3 2 2 2 4 4 2" xfId="37247"/>
    <cellStyle name="Normal 2 2 2 2 2 3 2 2 2 5" xfId="3771"/>
    <cellStyle name="Normal 2 2 2 2 2 3 2 2 2 5 2" xfId="14339"/>
    <cellStyle name="Normal 2 2 2 2 2 3 2 2 2 5 2 2" xfId="17387"/>
    <cellStyle name="Normal 2 2 2 2 2 3 2 2 2 5 2 2 2" xfId="49684"/>
    <cellStyle name="Normal 2 2 2 2 2 3 2 2 2 5 2 2 2 2" xfId="52714"/>
    <cellStyle name="Normal 2 2 2 2 2 3 2 2 2 5 2 3" xfId="30888"/>
    <cellStyle name="Normal 2 2 2 2 2 3 2 2 2 5 3" xfId="27849"/>
    <cellStyle name="Normal 2 2 2 2 2 3 2 2 2 5 3 2" xfId="39222"/>
    <cellStyle name="Normal 2 2 2 2 2 3 2 2 2 6" xfId="8961"/>
    <cellStyle name="Normal 2 2 2 2 2 3 2 2 2 6 2" xfId="36151"/>
    <cellStyle name="Normal 2 2 2 2 2 3 2 2 2 6 2 2" xfId="44360"/>
    <cellStyle name="Normal 2 2 2 2 2 3 2 2 2 7" xfId="22468"/>
    <cellStyle name="Normal 2 2 2 2 2 3 2 2 3" xfId="952"/>
    <cellStyle name="Normal 2 2 2 2 2 3 2 2 3 2" xfId="1173"/>
    <cellStyle name="Normal 2 2 2 2 2 3 2 2 3 2 2" xfId="2990"/>
    <cellStyle name="Normal 2 2 2 2 2 3 2 2 3 2 2 2" xfId="3193"/>
    <cellStyle name="Normal 2 2 2 2 2 3 2 2 3 2 2 2 2" xfId="8205"/>
    <cellStyle name="Normal 2 2 2 2 2 3 2 2 3 2 2 2 2 2" xfId="8408"/>
    <cellStyle name="Normal 2 2 2 2 2 3 2 2 3 2 2 2 2 2 2" xfId="21757"/>
    <cellStyle name="Normal 2 2 2 2 2 3 2 2 3 2 2 2 2 2 2 2" xfId="21960"/>
    <cellStyle name="Normal 2 2 2 2 2 3 2 2 3 2 2 2 2 2 2 2 2" xfId="57083"/>
    <cellStyle name="Normal 2 2 2 2 2 3 2 2 3 2 2 2 2 2 2 2 2 2" xfId="57286"/>
    <cellStyle name="Normal 2 2 2 2 2 3 2 2 3 2 2 2 2 2 2 3" xfId="35463"/>
    <cellStyle name="Normal 2 2 2 2 2 3 2 2 3 2 2 2 2 2 3" xfId="35260"/>
    <cellStyle name="Normal 2 2 2 2 2 3 2 2 3 2 2 2 2 2 3 2" xfId="43835"/>
    <cellStyle name="Normal 2 2 2 2 2 3 2 2 3 2 2 2 2 3" xfId="13633"/>
    <cellStyle name="Normal 2 2 2 2 2 3 2 2 3 2 2 2 2 3 2" xfId="43632"/>
    <cellStyle name="Normal 2 2 2 2 2 3 2 2 3 2 2 2 2 3 2 2" xfId="48979"/>
    <cellStyle name="Normal 2 2 2 2 2 3 2 2 3 2 2 2 2 4" xfId="27118"/>
    <cellStyle name="Normal 2 2 2 2 2 3 2 2 3 2 2 2 3" xfId="13430"/>
    <cellStyle name="Normal 2 2 2 2 2 3 2 2 3 2 2 2 3 2" xfId="16850"/>
    <cellStyle name="Normal 2 2 2 2 2 3 2 2 3 2 2 2 3 2 2" xfId="48776"/>
    <cellStyle name="Normal 2 2 2 2 2 3 2 2 3 2 2 2 3 2 2 2" xfId="52178"/>
    <cellStyle name="Normal 2 2 2 2 2 3 2 2 3 2 2 2 3 3" xfId="30352"/>
    <cellStyle name="Normal 2 2 2 2 2 3 2 2 3 2 2 2 4" xfId="26915"/>
    <cellStyle name="Normal 2 2 2 2 2 3 2 2 3 2 2 2 4 2" xfId="38662"/>
    <cellStyle name="Normal 2 2 2 2 2 3 2 2 3 2 2 3" xfId="5230"/>
    <cellStyle name="Normal 2 2 2 2 2 3 2 2 3 2 2 3 2" xfId="16647"/>
    <cellStyle name="Normal 2 2 2 2 2 3 2 2 3 2 2 3 2 2" xfId="18803"/>
    <cellStyle name="Normal 2 2 2 2 2 3 2 2 3 2 2 3 2 2 2" xfId="51975"/>
    <cellStyle name="Normal 2 2 2 2 2 3 2 2 3 2 2 3 2 2 2 2" xfId="54129"/>
    <cellStyle name="Normal 2 2 2 2 2 3 2 2 3 2 2 3 2 3" xfId="32304"/>
    <cellStyle name="Normal 2 2 2 2 2 3 2 2 3 2 2 3 3" xfId="30149"/>
    <cellStyle name="Normal 2 2 2 2 2 3 2 2 3 2 2 3 3 2" xfId="40667"/>
    <cellStyle name="Normal 2 2 2 2 2 3 2 2 3 2 2 4" xfId="10433"/>
    <cellStyle name="Normal 2 2 2 2 2 3 2 2 3 2 2 4 2" xfId="38459"/>
    <cellStyle name="Normal 2 2 2 2 2 3 2 2 3 2 2 4 2 2" xfId="45796"/>
    <cellStyle name="Normal 2 2 2 2 2 3 2 2 3 2 2 5" xfId="23919"/>
    <cellStyle name="Normal 2 2 2 2 2 3 2 2 3 2 3" xfId="5026"/>
    <cellStyle name="Normal 2 2 2 2 2 3 2 2 3 2 3 2" xfId="6481"/>
    <cellStyle name="Normal 2 2 2 2 2 3 2 2 3 2 3 2 2" xfId="18599"/>
    <cellStyle name="Normal 2 2 2 2 2 3 2 2 3 2 3 2 2 2" xfId="20035"/>
    <cellStyle name="Normal 2 2 2 2 2 3 2 2 3 2 3 2 2 2 2" xfId="53925"/>
    <cellStyle name="Normal 2 2 2 2 2 3 2 2 3 2 3 2 2 2 2 2" xfId="55361"/>
    <cellStyle name="Normal 2 2 2 2 2 3 2 2 3 2 3 2 2 3" xfId="33537"/>
    <cellStyle name="Normal 2 2 2 2 2 3 2 2 3 2 3 2 3" xfId="32100"/>
    <cellStyle name="Normal 2 2 2 2 2 3 2 2 3 2 3 2 3 2" xfId="41909"/>
    <cellStyle name="Normal 2 2 2 2 2 3 2 2 3 2 3 3" xfId="11705"/>
    <cellStyle name="Normal 2 2 2 2 2 3 2 2 3 2 3 3 2" xfId="40463"/>
    <cellStyle name="Normal 2 2 2 2 2 3 2 2 3 2 3 3 2 2" xfId="47053"/>
    <cellStyle name="Normal 2 2 2 2 2 3 2 2 3 2 3 4" xfId="25190"/>
    <cellStyle name="Normal 2 2 2 2 2 3 2 2 3 2 4" xfId="10229"/>
    <cellStyle name="Normal 2 2 2 2 2 3 2 2 3 2 4 2" xfId="14863"/>
    <cellStyle name="Normal 2 2 2 2 2 3 2 2 3 2 4 2 2" xfId="45592"/>
    <cellStyle name="Normal 2 2 2 2 2 3 2 2 3 2 4 2 2 2" xfId="50202"/>
    <cellStyle name="Normal 2 2 2 2 2 3 2 2 3 2 4 3" xfId="28376"/>
    <cellStyle name="Normal 2 2 2 2 2 3 2 2 3 2 5" xfId="23715"/>
    <cellStyle name="Normal 2 2 2 2 2 3 2 2 3 2 5 2" xfId="36671"/>
    <cellStyle name="Normal 2 2 2 2 2 3 2 2 3 3" xfId="1981"/>
    <cellStyle name="Normal 2 2 2 2 2 3 2 2 3 3 2" xfId="6263"/>
    <cellStyle name="Normal 2 2 2 2 2 3 2 2 3 3 2 2" xfId="7215"/>
    <cellStyle name="Normal 2 2 2 2 2 3 2 2 3 3 2 2 2" xfId="19820"/>
    <cellStyle name="Normal 2 2 2 2 2 3 2 2 3 3 2 2 2 2" xfId="20767"/>
    <cellStyle name="Normal 2 2 2 2 2 3 2 2 3 3 2 2 2 2 2" xfId="55146"/>
    <cellStyle name="Normal 2 2 2 2 2 3 2 2 3 3 2 2 2 2 2 2" xfId="56093"/>
    <cellStyle name="Normal 2 2 2 2 2 3 2 2 3 3 2 2 2 3" xfId="34270"/>
    <cellStyle name="Normal 2 2 2 2 2 3 2 2 3 3 2 2 3" xfId="33322"/>
    <cellStyle name="Normal 2 2 2 2 2 3 2 2 3 3 2 2 3 2" xfId="42642"/>
    <cellStyle name="Normal 2 2 2 2 2 3 2 2 3 3 2 3" xfId="12440"/>
    <cellStyle name="Normal 2 2 2 2 2 3 2 2 3 3 2 3 2" xfId="41692"/>
    <cellStyle name="Normal 2 2 2 2 2 3 2 2 3 3 2 3 2 2" xfId="47786"/>
    <cellStyle name="Normal 2 2 2 2 2 3 2 2 3 3 2 4" xfId="25924"/>
    <cellStyle name="Normal 2 2 2 2 2 3 2 2 3 3 3" xfId="11488"/>
    <cellStyle name="Normal 2 2 2 2 2 3 2 2 3 3 3 2" xfId="15645"/>
    <cellStyle name="Normal 2 2 2 2 2 3 2 2 3 3 3 2 2" xfId="46837"/>
    <cellStyle name="Normal 2 2 2 2 2 3 2 2 3 3 3 2 2 2" xfId="50977"/>
    <cellStyle name="Normal 2 2 2 2 2 3 2 2 3 3 3 3" xfId="29151"/>
    <cellStyle name="Normal 2 2 2 2 2 3 2 2 3 3 4" xfId="24974"/>
    <cellStyle name="Normal 2 2 2 2 2 3 2 2 3 3 4 2" xfId="37459"/>
    <cellStyle name="Normal 2 2 2 2 2 3 2 2 3 4" xfId="3995"/>
    <cellStyle name="Normal 2 2 2 2 2 3 2 2 3 4 2" xfId="14646"/>
    <cellStyle name="Normal 2 2 2 2 2 3 2 2 3 4 2 2" xfId="17590"/>
    <cellStyle name="Normal 2 2 2 2 2 3 2 2 3 4 2 2 2" xfId="49985"/>
    <cellStyle name="Normal 2 2 2 2 2 3 2 2 3 4 2 2 2 2" xfId="52917"/>
    <cellStyle name="Normal 2 2 2 2 2 3 2 2 3 4 2 3" xfId="31092"/>
    <cellStyle name="Normal 2 2 2 2 2 3 2 2 3 4 3" xfId="28157"/>
    <cellStyle name="Normal 2 2 2 2 2 3 2 2 3 4 3 2" xfId="39439"/>
    <cellStyle name="Normal 2 2 2 2 2 3 2 2 3 5" xfId="9187"/>
    <cellStyle name="Normal 2 2 2 2 2 3 2 2 3 5 2" xfId="36454"/>
    <cellStyle name="Normal 2 2 2 2 2 3 2 2 3 5 2 2" xfId="44570"/>
    <cellStyle name="Normal 2 2 2 2 2 3 2 2 3 6" xfId="22684"/>
    <cellStyle name="Normal 2 2 2 2 2 3 2 2 4" xfId="1748"/>
    <cellStyle name="Normal 2 2 2 2 2 3 2 2 4 2" xfId="2426"/>
    <cellStyle name="Normal 2 2 2 2 2 3 2 2 4 2 2" xfId="7001"/>
    <cellStyle name="Normal 2 2 2 2 2 3 2 2 4 2 2 2" xfId="7658"/>
    <cellStyle name="Normal 2 2 2 2 2 3 2 2 4 2 2 2 2" xfId="20554"/>
    <cellStyle name="Normal 2 2 2 2 2 3 2 2 4 2 2 2 2 2" xfId="21210"/>
    <cellStyle name="Normal 2 2 2 2 2 3 2 2 4 2 2 2 2 2 2" xfId="55880"/>
    <cellStyle name="Normal 2 2 2 2 2 3 2 2 4 2 2 2 2 2 2 2" xfId="56536"/>
    <cellStyle name="Normal 2 2 2 2 2 3 2 2 4 2 2 2 2 3" xfId="34713"/>
    <cellStyle name="Normal 2 2 2 2 2 3 2 2 4 2 2 2 3" xfId="34056"/>
    <cellStyle name="Normal 2 2 2 2 2 3 2 2 4 2 2 2 3 2" xfId="43085"/>
    <cellStyle name="Normal 2 2 2 2 2 3 2 2 4 2 2 3" xfId="12883"/>
    <cellStyle name="Normal 2 2 2 2 2 3 2 2 4 2 2 3 2" xfId="42429"/>
    <cellStyle name="Normal 2 2 2 2 2 3 2 2 4 2 2 3 2 2" xfId="48229"/>
    <cellStyle name="Normal 2 2 2 2 2 3 2 2 4 2 2 4" xfId="26367"/>
    <cellStyle name="Normal 2 2 2 2 2 3 2 2 4 2 3" xfId="12225"/>
    <cellStyle name="Normal 2 2 2 2 2 3 2 2 4 2 3 2" xfId="16089"/>
    <cellStyle name="Normal 2 2 2 2 2 3 2 2 4 2 3 2 2" xfId="47572"/>
    <cellStyle name="Normal 2 2 2 2 2 3 2 2 4 2 3 2 2 2" xfId="51421"/>
    <cellStyle name="Normal 2 2 2 2 2 3 2 2 4 2 3 3" xfId="29595"/>
    <cellStyle name="Normal 2 2 2 2 2 3 2 2 4 2 4" xfId="25710"/>
    <cellStyle name="Normal 2 2 2 2 2 3 2 2 4 2 4 2" xfId="37904"/>
    <cellStyle name="Normal 2 2 2 2 2 3 2 2 4 3" xfId="4461"/>
    <cellStyle name="Normal 2 2 2 2 2 3 2 2 4 3 2" xfId="15420"/>
    <cellStyle name="Normal 2 2 2 2 2 3 2 2 4 3 2 2" xfId="18051"/>
    <cellStyle name="Normal 2 2 2 2 2 3 2 2 4 3 2 2 2" xfId="50753"/>
    <cellStyle name="Normal 2 2 2 2 2 3 2 2 4 3 2 2 2 2" xfId="53377"/>
    <cellStyle name="Normal 2 2 2 2 2 3 2 2 4 3 2 3" xfId="31552"/>
    <cellStyle name="Normal 2 2 2 2 2 3 2 2 4 3 3" xfId="28927"/>
    <cellStyle name="Normal 2 2 2 2 2 3 2 2 4 3 3 2" xfId="39903"/>
    <cellStyle name="Normal 2 2 2 2 2 3 2 2 4 4" xfId="9666"/>
    <cellStyle name="Normal 2 2 2 2 2 3 2 2 4 4 2" xfId="37230"/>
    <cellStyle name="Normal 2 2 2 2 2 3 2 2 4 4 2 2" xfId="45044"/>
    <cellStyle name="Normal 2 2 2 2 2 3 2 2 4 5" xfId="23167"/>
    <cellStyle name="Normal 2 2 2 2 2 3 2 2 5" xfId="3754"/>
    <cellStyle name="Normal 2 2 2 2 2 3 2 2 5 2" xfId="5668"/>
    <cellStyle name="Normal 2 2 2 2 2 3 2 2 5 2 2" xfId="17370"/>
    <cellStyle name="Normal 2 2 2 2 2 3 2 2 5 2 2 2" xfId="19240"/>
    <cellStyle name="Normal 2 2 2 2 2 3 2 2 5 2 2 2 2" xfId="52697"/>
    <cellStyle name="Normal 2 2 2 2 2 3 2 2 5 2 2 2 2 2" xfId="54566"/>
    <cellStyle name="Normal 2 2 2 2 2 3 2 2 5 2 2 3" xfId="32741"/>
    <cellStyle name="Normal 2 2 2 2 2 3 2 2 5 2 3" xfId="30871"/>
    <cellStyle name="Normal 2 2 2 2 2 3 2 2 5 2 3 2" xfId="41104"/>
    <cellStyle name="Normal 2 2 2 2 2 3 2 2 5 3" xfId="10886"/>
    <cellStyle name="Normal 2 2 2 2 2 3 2 2 5 3 2" xfId="39205"/>
    <cellStyle name="Normal 2 2 2 2 2 3 2 2 5 3 2 2" xfId="46248"/>
    <cellStyle name="Normal 2 2 2 2 2 3 2 2 5 4" xfId="24379"/>
    <cellStyle name="Normal 2 2 2 2 2 3 2 2 6" xfId="8944"/>
    <cellStyle name="Normal 2 2 2 2 2 3 2 2 6 2" xfId="14052"/>
    <cellStyle name="Normal 2 2 2 2 2 3 2 2 6 2 2" xfId="44343"/>
    <cellStyle name="Normal 2 2 2 2 2 3 2 2 6 2 2 2" xfId="49398"/>
    <cellStyle name="Normal 2 2 2 2 2 3 2 2 6 3" xfId="27551"/>
    <cellStyle name="Normal 2 2 2 2 2 3 2 2 7" xfId="22451"/>
    <cellStyle name="Normal 2 2 2 2 2 3 2 2 7 2" xfId="35864"/>
    <cellStyle name="Normal 2 2 2 2 2 3 2 3" xfId="457"/>
    <cellStyle name="Normal 2 2 2 2 2 3 2 3 2" xfId="1149"/>
    <cellStyle name="Normal 2 2 2 2 2 3 2 3 2 2" xfId="1272"/>
    <cellStyle name="Normal 2 2 2 2 2 3 2 3 2 2 2" xfId="3172"/>
    <cellStyle name="Normal 2 2 2 2 2 3 2 3 2 2 2 2" xfId="3290"/>
    <cellStyle name="Normal 2 2 2 2 2 3 2 3 2 2 2 2 2" xfId="8387"/>
    <cellStyle name="Normal 2 2 2 2 2 3 2 3 2 2 2 2 2 2" xfId="8505"/>
    <cellStyle name="Normal 2 2 2 2 2 3 2 3 2 2 2 2 2 2 2" xfId="21939"/>
    <cellStyle name="Normal 2 2 2 2 2 3 2 3 2 2 2 2 2 2 2 2" xfId="22057"/>
    <cellStyle name="Normal 2 2 2 2 2 3 2 3 2 2 2 2 2 2 2 2 2" xfId="57265"/>
    <cellStyle name="Normal 2 2 2 2 2 3 2 3 2 2 2 2 2 2 2 2 2 2" xfId="57383"/>
    <cellStyle name="Normal 2 2 2 2 2 3 2 3 2 2 2 2 2 2 2 3" xfId="35560"/>
    <cellStyle name="Normal 2 2 2 2 2 3 2 3 2 2 2 2 2 2 3" xfId="35442"/>
    <cellStyle name="Normal 2 2 2 2 2 3 2 3 2 2 2 2 2 2 3 2" xfId="43932"/>
    <cellStyle name="Normal 2 2 2 2 2 3 2 3 2 2 2 2 2 3" xfId="13730"/>
    <cellStyle name="Normal 2 2 2 2 2 3 2 3 2 2 2 2 2 3 2" xfId="43814"/>
    <cellStyle name="Normal 2 2 2 2 2 3 2 3 2 2 2 2 2 3 2 2" xfId="49076"/>
    <cellStyle name="Normal 2 2 2 2 2 3 2 3 2 2 2 2 2 4" xfId="27215"/>
    <cellStyle name="Normal 2 2 2 2 2 3 2 3 2 2 2 2 3" xfId="13612"/>
    <cellStyle name="Normal 2 2 2 2 2 3 2 3 2 2 2 2 3 2" xfId="16947"/>
    <cellStyle name="Normal 2 2 2 2 2 3 2 3 2 2 2 2 3 2 2" xfId="48958"/>
    <cellStyle name="Normal 2 2 2 2 2 3 2 3 2 2 2 2 3 2 2 2" xfId="52275"/>
    <cellStyle name="Normal 2 2 2 2 2 3 2 3 2 2 2 2 3 3" xfId="30449"/>
    <cellStyle name="Normal 2 2 2 2 2 3 2 3 2 2 2 2 4" xfId="27097"/>
    <cellStyle name="Normal 2 2 2 2 2 3 2 3 2 2 2 2 4 2" xfId="38759"/>
    <cellStyle name="Normal 2 2 2 2 2 3 2 3 2 2 2 3" xfId="5327"/>
    <cellStyle name="Normal 2 2 2 2 2 3 2 3 2 2 2 3 2" xfId="16829"/>
    <cellStyle name="Normal 2 2 2 2 2 3 2 3 2 2 2 3 2 2" xfId="18900"/>
    <cellStyle name="Normal 2 2 2 2 2 3 2 3 2 2 2 3 2 2 2" xfId="52157"/>
    <cellStyle name="Normal 2 2 2 2 2 3 2 3 2 2 2 3 2 2 2 2" xfId="54226"/>
    <cellStyle name="Normal 2 2 2 2 2 3 2 3 2 2 2 3 2 3" xfId="32401"/>
    <cellStyle name="Normal 2 2 2 2 2 3 2 3 2 2 2 3 3" xfId="30331"/>
    <cellStyle name="Normal 2 2 2 2 2 3 2 3 2 2 2 3 3 2" xfId="40764"/>
    <cellStyle name="Normal 2 2 2 2 2 3 2 3 2 2 2 4" xfId="10530"/>
    <cellStyle name="Normal 2 2 2 2 2 3 2 3 2 2 2 4 2" xfId="38641"/>
    <cellStyle name="Normal 2 2 2 2 2 3 2 3 2 2 2 4 2 2" xfId="45893"/>
    <cellStyle name="Normal 2 2 2 2 2 3 2 3 2 2 2 5" xfId="24016"/>
    <cellStyle name="Normal 2 2 2 2 2 3 2 3 2 2 3" xfId="5209"/>
    <cellStyle name="Normal 2 2 2 2 2 3 2 3 2 2 3 2" xfId="6580"/>
    <cellStyle name="Normal 2 2 2 2 2 3 2 3 2 2 3 2 2" xfId="18782"/>
    <cellStyle name="Normal 2 2 2 2 2 3 2 3 2 2 3 2 2 2" xfId="20133"/>
    <cellStyle name="Normal 2 2 2 2 2 3 2 3 2 2 3 2 2 2 2" xfId="54108"/>
    <cellStyle name="Normal 2 2 2 2 2 3 2 3 2 2 3 2 2 2 2 2" xfId="55459"/>
    <cellStyle name="Normal 2 2 2 2 2 3 2 3 2 2 3 2 2 3" xfId="33635"/>
    <cellStyle name="Normal 2 2 2 2 2 3 2 3 2 2 3 2 3" xfId="32283"/>
    <cellStyle name="Normal 2 2 2 2 2 3 2 3 2 2 3 2 3 2" xfId="42008"/>
    <cellStyle name="Normal 2 2 2 2 2 3 2 3 2 2 3 3" xfId="11803"/>
    <cellStyle name="Normal 2 2 2 2 2 3 2 3 2 2 3 3 2" xfId="40646"/>
    <cellStyle name="Normal 2 2 2 2 2 3 2 3 2 2 3 3 2 2" xfId="47151"/>
    <cellStyle name="Normal 2 2 2 2 2 3 2 3 2 2 3 4" xfId="25288"/>
    <cellStyle name="Normal 2 2 2 2 2 3 2 3 2 2 4" xfId="10412"/>
    <cellStyle name="Normal 2 2 2 2 2 3 2 3 2 2 4 2" xfId="14961"/>
    <cellStyle name="Normal 2 2 2 2 2 3 2 3 2 2 4 2 2" xfId="45775"/>
    <cellStyle name="Normal 2 2 2 2 2 3 2 3 2 2 4 2 2 2" xfId="50300"/>
    <cellStyle name="Normal 2 2 2 2 2 3 2 3 2 2 4 3" xfId="28474"/>
    <cellStyle name="Normal 2 2 2 2 2 3 2 3 2 2 5" xfId="23898"/>
    <cellStyle name="Normal 2 2 2 2 2 3 2 3 2 2 5 2" xfId="36769"/>
    <cellStyle name="Normal 2 2 2 2 2 3 2 3 2 3" xfId="2078"/>
    <cellStyle name="Normal 2 2 2 2 2 3 2 3 2 3 2" xfId="6457"/>
    <cellStyle name="Normal 2 2 2 2 2 3 2 3 2 3 2 2" xfId="7312"/>
    <cellStyle name="Normal 2 2 2 2 2 3 2 3 2 3 2 2 2" xfId="20011"/>
    <cellStyle name="Normal 2 2 2 2 2 3 2 3 2 3 2 2 2 2" xfId="20864"/>
    <cellStyle name="Normal 2 2 2 2 2 3 2 3 2 3 2 2 2 2 2" xfId="55337"/>
    <cellStyle name="Normal 2 2 2 2 2 3 2 3 2 3 2 2 2 2 2 2" xfId="56190"/>
    <cellStyle name="Normal 2 2 2 2 2 3 2 3 2 3 2 2 2 3" xfId="34367"/>
    <cellStyle name="Normal 2 2 2 2 2 3 2 3 2 3 2 2 3" xfId="33513"/>
    <cellStyle name="Normal 2 2 2 2 2 3 2 3 2 3 2 2 3 2" xfId="42739"/>
    <cellStyle name="Normal 2 2 2 2 2 3 2 3 2 3 2 3" xfId="12537"/>
    <cellStyle name="Normal 2 2 2 2 2 3 2 3 2 3 2 3 2" xfId="41885"/>
    <cellStyle name="Normal 2 2 2 2 2 3 2 3 2 3 2 3 2 2" xfId="47883"/>
    <cellStyle name="Normal 2 2 2 2 2 3 2 3 2 3 2 4" xfId="26021"/>
    <cellStyle name="Normal 2 2 2 2 2 3 2 3 2 3 3" xfId="11681"/>
    <cellStyle name="Normal 2 2 2 2 2 3 2 3 2 3 3 2" xfId="15742"/>
    <cellStyle name="Normal 2 2 2 2 2 3 2 3 2 3 3 2 2" xfId="47029"/>
    <cellStyle name="Normal 2 2 2 2 2 3 2 3 2 3 3 2 2 2" xfId="51074"/>
    <cellStyle name="Normal 2 2 2 2 2 3 2 3 2 3 3 3" xfId="29248"/>
    <cellStyle name="Normal 2 2 2 2 2 3 2 3 2 3 4" xfId="25166"/>
    <cellStyle name="Normal 2 2 2 2 2 3 2 3 2 3 4 2" xfId="37556"/>
    <cellStyle name="Normal 2 2 2 2 2 3 2 3 2 4" xfId="4094"/>
    <cellStyle name="Normal 2 2 2 2 2 3 2 3 2 4 2" xfId="14839"/>
    <cellStyle name="Normal 2 2 2 2 2 3 2 3 2 4 2 2" xfId="17687"/>
    <cellStyle name="Normal 2 2 2 2 2 3 2 3 2 4 2 2 2" xfId="50178"/>
    <cellStyle name="Normal 2 2 2 2 2 3 2 3 2 4 2 2 2 2" xfId="53014"/>
    <cellStyle name="Normal 2 2 2 2 2 3 2 3 2 4 2 3" xfId="31189"/>
    <cellStyle name="Normal 2 2 2 2 2 3 2 3 2 4 3" xfId="28352"/>
    <cellStyle name="Normal 2 2 2 2 2 3 2 3 2 4 3 2" xfId="39537"/>
    <cellStyle name="Normal 2 2 2 2 2 3 2 3 2 5" xfId="9285"/>
    <cellStyle name="Normal 2 2 2 2 2 3 2 3 2 5 2" xfId="36647"/>
    <cellStyle name="Normal 2 2 2 2 2 3 2 3 2 5 2 2" xfId="44667"/>
    <cellStyle name="Normal 2 2 2 2 2 3 2 3 2 6" xfId="22781"/>
    <cellStyle name="Normal 2 2 2 2 2 3 2 3 3" xfId="1957"/>
    <cellStyle name="Normal 2 2 2 2 2 3 2 3 3 2" xfId="2556"/>
    <cellStyle name="Normal 2 2 2 2 2 3 2 3 3 2 2" xfId="7194"/>
    <cellStyle name="Normal 2 2 2 2 2 3 2 3 3 2 2 2" xfId="7777"/>
    <cellStyle name="Normal 2 2 2 2 2 3 2 3 3 2 2 2 2" xfId="20746"/>
    <cellStyle name="Normal 2 2 2 2 2 3 2 3 3 2 2 2 2 2" xfId="21329"/>
    <cellStyle name="Normal 2 2 2 2 2 3 2 3 3 2 2 2 2 2 2" xfId="56072"/>
    <cellStyle name="Normal 2 2 2 2 2 3 2 3 3 2 2 2 2 2 2 2" xfId="56655"/>
    <cellStyle name="Normal 2 2 2 2 2 3 2 3 3 2 2 2 2 3" xfId="34832"/>
    <cellStyle name="Normal 2 2 2 2 2 3 2 3 3 2 2 2 3" xfId="34249"/>
    <cellStyle name="Normal 2 2 2 2 2 3 2 3 3 2 2 2 3 2" xfId="43204"/>
    <cellStyle name="Normal 2 2 2 2 2 3 2 3 3 2 2 3" xfId="13002"/>
    <cellStyle name="Normal 2 2 2 2 2 3 2 3 3 2 2 3 2" xfId="42621"/>
    <cellStyle name="Normal 2 2 2 2 2 3 2 3 3 2 2 3 2 2" xfId="48348"/>
    <cellStyle name="Normal 2 2 2 2 2 3 2 3 3 2 2 4" xfId="26486"/>
    <cellStyle name="Normal 2 2 2 2 2 3 2 3 3 2 3" xfId="12419"/>
    <cellStyle name="Normal 2 2 2 2 2 3 2 3 3 2 3 2" xfId="16215"/>
    <cellStyle name="Normal 2 2 2 2 2 3 2 3 3 2 3 2 2" xfId="47765"/>
    <cellStyle name="Normal 2 2 2 2 2 3 2 3 3 2 3 2 2 2" xfId="51545"/>
    <cellStyle name="Normal 2 2 2 2 2 3 2 3 3 2 3 3" xfId="29719"/>
    <cellStyle name="Normal 2 2 2 2 2 3 2 3 3 2 4" xfId="25903"/>
    <cellStyle name="Normal 2 2 2 2 2 3 2 3 3 2 4 2" xfId="38029"/>
    <cellStyle name="Normal 2 2 2 2 2 3 2 3 3 3" xfId="4589"/>
    <cellStyle name="Normal 2 2 2 2 2 3 2 3 3 3 2" xfId="15622"/>
    <cellStyle name="Normal 2 2 2 2 2 3 2 3 3 3 2 2" xfId="18170"/>
    <cellStyle name="Normal 2 2 2 2 2 3 2 3 3 3 2 2 2" xfId="50954"/>
    <cellStyle name="Normal 2 2 2 2 2 3 2 3 3 3 2 2 2 2" xfId="53496"/>
    <cellStyle name="Normal 2 2 2 2 2 3 2 3 3 3 2 3" xfId="31671"/>
    <cellStyle name="Normal 2 2 2 2 2 3 2 3 3 3 3" xfId="29128"/>
    <cellStyle name="Normal 2 2 2 2 2 3 2 3 3 3 3 2" xfId="40028"/>
    <cellStyle name="Normal 2 2 2 2 2 3 2 3 3 4" xfId="9793"/>
    <cellStyle name="Normal 2 2 2 2 2 3 2 3 3 4 2" xfId="37435"/>
    <cellStyle name="Normal 2 2 2 2 2 3 2 3 3 4 2 2" xfId="45163"/>
    <cellStyle name="Normal 2 2 2 2 2 3 2 3 3 5" xfId="23286"/>
    <cellStyle name="Normal 2 2 2 2 2 3 2 3 4" xfId="3971"/>
    <cellStyle name="Normal 2 2 2 2 2 3 2 3 4 2" xfId="5795"/>
    <cellStyle name="Normal 2 2 2 2 2 3 2 3 4 2 2" xfId="17569"/>
    <cellStyle name="Normal 2 2 2 2 2 3 2 3 4 2 2 2" xfId="19363"/>
    <cellStyle name="Normal 2 2 2 2 2 3 2 3 4 2 2 2 2" xfId="52896"/>
    <cellStyle name="Normal 2 2 2 2 2 3 2 3 4 2 2 2 2 2" xfId="54689"/>
    <cellStyle name="Normal 2 2 2 2 2 3 2 3 4 2 2 3" xfId="32864"/>
    <cellStyle name="Normal 2 2 2 2 2 3 2 3 4 2 3" xfId="31071"/>
    <cellStyle name="Normal 2 2 2 2 2 3 2 3 4 2 3 2" xfId="41230"/>
    <cellStyle name="Normal 2 2 2 2 2 3 2 3 4 3" xfId="11017"/>
    <cellStyle name="Normal 2 2 2 2 2 3 2 3 4 3 2" xfId="39415"/>
    <cellStyle name="Normal 2 2 2 2 2 3 2 3 4 3 2 2" xfId="46376"/>
    <cellStyle name="Normal 2 2 2 2 2 3 2 3 4 4" xfId="24511"/>
    <cellStyle name="Normal 2 2 2 2 2 3 2 3 5" xfId="9163"/>
    <cellStyle name="Normal 2 2 2 2 2 3 2 3 5 2" xfId="14178"/>
    <cellStyle name="Normal 2 2 2 2 2 3 2 3 5 2 2" xfId="44549"/>
    <cellStyle name="Normal 2 2 2 2 2 3 2 3 5 2 2 2" xfId="49523"/>
    <cellStyle name="Normal 2 2 2 2 2 3 2 3 5 3" xfId="27684"/>
    <cellStyle name="Normal 2 2 2 2 2 3 2 3 6" xfId="22663"/>
    <cellStyle name="Normal 2 2 2 2 2 3 2 3 6 2" xfId="35990"/>
    <cellStyle name="Normal 2 2 2 2 2 3 2 4" xfId="778"/>
    <cellStyle name="Normal 2 2 2 2 2 3 2 4 2" xfId="2403"/>
    <cellStyle name="Normal 2 2 2 2 2 3 2 4 2 2" xfId="2834"/>
    <cellStyle name="Normal 2 2 2 2 2 3 2 4 2 2 2" xfId="7636"/>
    <cellStyle name="Normal 2 2 2 2 2 3 2 4 2 2 2 2" xfId="8050"/>
    <cellStyle name="Normal 2 2 2 2 2 3 2 4 2 2 2 2 2" xfId="21188"/>
    <cellStyle name="Normal 2 2 2 2 2 3 2 4 2 2 2 2 2 2" xfId="21602"/>
    <cellStyle name="Normal 2 2 2 2 2 3 2 4 2 2 2 2 2 2 2" xfId="56514"/>
    <cellStyle name="Normal 2 2 2 2 2 3 2 4 2 2 2 2 2 2 2 2" xfId="56928"/>
    <cellStyle name="Normal 2 2 2 2 2 3 2 4 2 2 2 2 2 3" xfId="35105"/>
    <cellStyle name="Normal 2 2 2 2 2 3 2 4 2 2 2 2 3" xfId="34691"/>
    <cellStyle name="Normal 2 2 2 2 2 3 2 4 2 2 2 2 3 2" xfId="43477"/>
    <cellStyle name="Normal 2 2 2 2 2 3 2 4 2 2 2 3" xfId="13275"/>
    <cellStyle name="Normal 2 2 2 2 2 3 2 4 2 2 2 3 2" xfId="43063"/>
    <cellStyle name="Normal 2 2 2 2 2 3 2 4 2 2 2 3 2 2" xfId="48621"/>
    <cellStyle name="Normal 2 2 2 2 2 3 2 4 2 2 2 4" xfId="26759"/>
    <cellStyle name="Normal 2 2 2 2 2 3 2 4 2 2 3" xfId="12861"/>
    <cellStyle name="Normal 2 2 2 2 2 3 2 4 2 2 3 2" xfId="16492"/>
    <cellStyle name="Normal 2 2 2 2 2 3 2 4 2 2 3 2 2" xfId="48207"/>
    <cellStyle name="Normal 2 2 2 2 2 3 2 4 2 2 3 2 2 2" xfId="51820"/>
    <cellStyle name="Normal 2 2 2 2 2 3 2 4 2 2 3 3" xfId="29994"/>
    <cellStyle name="Normal 2 2 2 2 2 3 2 4 2 2 4" xfId="26345"/>
    <cellStyle name="Normal 2 2 2 2 2 3 2 4 2 2 4 2" xfId="38304"/>
    <cellStyle name="Normal 2 2 2 2 2 3 2 4 2 3" xfId="4870"/>
    <cellStyle name="Normal 2 2 2 2 2 3 2 4 2 3 2" xfId="16066"/>
    <cellStyle name="Normal 2 2 2 2 2 3 2 4 2 3 2 2" xfId="18444"/>
    <cellStyle name="Normal 2 2 2 2 2 3 2 4 2 3 2 2 2" xfId="51398"/>
    <cellStyle name="Normal 2 2 2 2 2 3 2 4 2 3 2 2 2 2" xfId="53770"/>
    <cellStyle name="Normal 2 2 2 2 2 3 2 4 2 3 2 3" xfId="31945"/>
    <cellStyle name="Normal 2 2 2 2 2 3 2 4 2 3 3" xfId="29572"/>
    <cellStyle name="Normal 2 2 2 2 2 3 2 4 2 3 3 2" xfId="40307"/>
    <cellStyle name="Normal 2 2 2 2 2 3 2 4 2 4" xfId="10073"/>
    <cellStyle name="Normal 2 2 2 2 2 3 2 4 2 4 2" xfId="37881"/>
    <cellStyle name="Normal 2 2 2 2 2 3 2 4 2 4 2 2" xfId="45437"/>
    <cellStyle name="Normal 2 2 2 2 2 3 2 4 2 5" xfId="23560"/>
    <cellStyle name="Normal 2 2 2 2 2 3 2 4 3" xfId="4438"/>
    <cellStyle name="Normal 2 2 2 2 2 3 2 4 3 2" xfId="6094"/>
    <cellStyle name="Normal 2 2 2 2 2 3 2 4 3 2 2" xfId="18029"/>
    <cellStyle name="Normal 2 2 2 2 2 3 2 4 3 2 2 2" xfId="19656"/>
    <cellStyle name="Normal 2 2 2 2 2 3 2 4 3 2 2 2 2" xfId="53355"/>
    <cellStyle name="Normal 2 2 2 2 2 3 2 4 3 2 2 2 2 2" xfId="54982"/>
    <cellStyle name="Normal 2 2 2 2 2 3 2 4 3 2 2 3" xfId="33157"/>
    <cellStyle name="Normal 2 2 2 2 2 3 2 4 3 2 3" xfId="31530"/>
    <cellStyle name="Normal 2 2 2 2 2 3 2 4 3 2 3 2" xfId="41527"/>
    <cellStyle name="Normal 2 2 2 2 2 3 2 4 3 3" xfId="11320"/>
    <cellStyle name="Normal 2 2 2 2 2 3 2 4 3 3 2" xfId="39880"/>
    <cellStyle name="Normal 2 2 2 2 2 3 2 4 3 3 2 2" xfId="46673"/>
    <cellStyle name="Normal 2 2 2 2 2 3 2 4 3 4" xfId="24810"/>
    <cellStyle name="Normal 2 2 2 2 2 3 2 4 4" xfId="9642"/>
    <cellStyle name="Normal 2 2 2 2 2 3 2 4 4 2" xfId="14478"/>
    <cellStyle name="Normal 2 2 2 2 2 3 2 4 4 2 2" xfId="45021"/>
    <cellStyle name="Normal 2 2 2 2 2 3 2 4 4 2 2 2" xfId="49820"/>
    <cellStyle name="Normal 2 2 2 2 2 3 2 4 4 3" xfId="27989"/>
    <cellStyle name="Normal 2 2 2 2 2 3 2 4 5" xfId="23144"/>
    <cellStyle name="Normal 2 2 2 2 2 3 2 4 5 2" xfId="36288"/>
    <cellStyle name="Normal 2 2 2 2 2 3 2 5" xfId="1564"/>
    <cellStyle name="Normal 2 2 2 2 2 3 2 5 2" xfId="5644"/>
    <cellStyle name="Normal 2 2 2 2 2 3 2 5 2 2" xfId="6836"/>
    <cellStyle name="Normal 2 2 2 2 2 3 2 5 2 2 2" xfId="19216"/>
    <cellStyle name="Normal 2 2 2 2 2 3 2 5 2 2 2 2" xfId="20389"/>
    <cellStyle name="Normal 2 2 2 2 2 3 2 5 2 2 2 2 2" xfId="54542"/>
    <cellStyle name="Normal 2 2 2 2 2 3 2 5 2 2 2 2 2 2" xfId="55715"/>
    <cellStyle name="Normal 2 2 2 2 2 3 2 5 2 2 2 3" xfId="33891"/>
    <cellStyle name="Normal 2 2 2 2 2 3 2 5 2 2 3" xfId="32717"/>
    <cellStyle name="Normal 2 2 2 2 2 3 2 5 2 2 3 2" xfId="42264"/>
    <cellStyle name="Normal 2 2 2 2 2 3 2 5 2 3" xfId="12060"/>
    <cellStyle name="Normal 2 2 2 2 2 3 2 5 2 3 2" xfId="41080"/>
    <cellStyle name="Normal 2 2 2 2 2 3 2 5 2 3 2 2" xfId="47407"/>
    <cellStyle name="Normal 2 2 2 2 2 3 2 5 2 4" xfId="25545"/>
    <cellStyle name="Normal 2 2 2 2 2 3 2 5 3" xfId="10860"/>
    <cellStyle name="Normal 2 2 2 2 2 3 2 5 3 2" xfId="15240"/>
    <cellStyle name="Normal 2 2 2 2 2 3 2 5 3 2 2" xfId="46222"/>
    <cellStyle name="Normal 2 2 2 2 2 3 2 5 3 2 2 2" xfId="50577"/>
    <cellStyle name="Normal 2 2 2 2 2 3 2 5 3 3" xfId="28751"/>
    <cellStyle name="Normal 2 2 2 2 2 3 2 5 4" xfId="24353"/>
    <cellStyle name="Normal 2 2 2 2 2 3 2 5 4 2" xfId="37052"/>
    <cellStyle name="Normal 2 2 2 2 2 3 2 6" xfId="3565"/>
    <cellStyle name="Normal 2 2 2 2 2 3 2 6 2" xfId="14028"/>
    <cellStyle name="Normal 2 2 2 2 2 3 2 6 2 2" xfId="17201"/>
    <cellStyle name="Normal 2 2 2 2 2 3 2 6 2 2 2" xfId="49374"/>
    <cellStyle name="Normal 2 2 2 2 2 3 2 6 2 2 2 2" xfId="52528"/>
    <cellStyle name="Normal 2 2 2 2 2 3 2 6 2 3" xfId="30702"/>
    <cellStyle name="Normal 2 2 2 2 2 3 2 6 3" xfId="27524"/>
    <cellStyle name="Normal 2 2 2 2 2 3 2 6 3 2" xfId="39022"/>
    <cellStyle name="Normal 2 2 2 2 2 3 2 7" xfId="8756"/>
    <cellStyle name="Normal 2 2 2 2 2 3 2 7 2" xfId="35840"/>
    <cellStyle name="Normal 2 2 2 2 2 3 2 7 2 2" xfId="44169"/>
    <cellStyle name="Normal 2 2 2 2 2 3 2 8" xfId="22273"/>
    <cellStyle name="Normal 2 2 2 2 2 3 3" xfId="429"/>
    <cellStyle name="Normal 2 2 2 2 2 3 3 2" xfId="526"/>
    <cellStyle name="Normal 2 2 2 2 2 3 3 2 2" xfId="1255"/>
    <cellStyle name="Normal 2 2 2 2 2 3 3 2 2 2" xfId="1335"/>
    <cellStyle name="Normal 2 2 2 2 2 3 3 2 2 2 2" xfId="3273"/>
    <cellStyle name="Normal 2 2 2 2 2 3 3 2 2 2 2 2" xfId="3353"/>
    <cellStyle name="Normal 2 2 2 2 2 3 3 2 2 2 2 2 2" xfId="8488"/>
    <cellStyle name="Normal 2 2 2 2 2 3 3 2 2 2 2 2 2 2" xfId="8568"/>
    <cellStyle name="Normal 2 2 2 2 2 3 3 2 2 2 2 2 2 2 2" xfId="22040"/>
    <cellStyle name="Normal 2 2 2 2 2 3 3 2 2 2 2 2 2 2 2 2" xfId="22120"/>
    <cellStyle name="Normal 2 2 2 2 2 3 3 2 2 2 2 2 2 2 2 2 2" xfId="57366"/>
    <cellStyle name="Normal 2 2 2 2 2 3 3 2 2 2 2 2 2 2 2 2 2 2" xfId="57446"/>
    <cellStyle name="Normal 2 2 2 2 2 3 3 2 2 2 2 2 2 2 2 3" xfId="35623"/>
    <cellStyle name="Normal 2 2 2 2 2 3 3 2 2 2 2 2 2 2 3" xfId="35543"/>
    <cellStyle name="Normal 2 2 2 2 2 3 3 2 2 2 2 2 2 2 3 2" xfId="43995"/>
    <cellStyle name="Normal 2 2 2 2 2 3 3 2 2 2 2 2 2 3" xfId="13793"/>
    <cellStyle name="Normal 2 2 2 2 2 3 3 2 2 2 2 2 2 3 2" xfId="43915"/>
    <cellStyle name="Normal 2 2 2 2 2 3 3 2 2 2 2 2 2 3 2 2" xfId="49139"/>
    <cellStyle name="Normal 2 2 2 2 2 3 3 2 2 2 2 2 2 4" xfId="27278"/>
    <cellStyle name="Normal 2 2 2 2 2 3 3 2 2 2 2 2 3" xfId="13713"/>
    <cellStyle name="Normal 2 2 2 2 2 3 3 2 2 2 2 2 3 2" xfId="17010"/>
    <cellStyle name="Normal 2 2 2 2 2 3 3 2 2 2 2 2 3 2 2" xfId="49059"/>
    <cellStyle name="Normal 2 2 2 2 2 3 3 2 2 2 2 2 3 2 2 2" xfId="52338"/>
    <cellStyle name="Normal 2 2 2 2 2 3 3 2 2 2 2 2 3 3" xfId="30512"/>
    <cellStyle name="Normal 2 2 2 2 2 3 3 2 2 2 2 2 4" xfId="27198"/>
    <cellStyle name="Normal 2 2 2 2 2 3 3 2 2 2 2 2 4 2" xfId="38822"/>
    <cellStyle name="Normal 2 2 2 2 2 3 3 2 2 2 2 3" xfId="5390"/>
    <cellStyle name="Normal 2 2 2 2 2 3 3 2 2 2 2 3 2" xfId="16930"/>
    <cellStyle name="Normal 2 2 2 2 2 3 3 2 2 2 2 3 2 2" xfId="18963"/>
    <cellStyle name="Normal 2 2 2 2 2 3 3 2 2 2 2 3 2 2 2" xfId="52258"/>
    <cellStyle name="Normal 2 2 2 2 2 3 3 2 2 2 2 3 2 2 2 2" xfId="54289"/>
    <cellStyle name="Normal 2 2 2 2 2 3 3 2 2 2 2 3 2 3" xfId="32464"/>
    <cellStyle name="Normal 2 2 2 2 2 3 3 2 2 2 2 3 3" xfId="30432"/>
    <cellStyle name="Normal 2 2 2 2 2 3 3 2 2 2 2 3 3 2" xfId="40827"/>
    <cellStyle name="Normal 2 2 2 2 2 3 3 2 2 2 2 4" xfId="10593"/>
    <cellStyle name="Normal 2 2 2 2 2 3 3 2 2 2 2 4 2" xfId="38742"/>
    <cellStyle name="Normal 2 2 2 2 2 3 3 2 2 2 2 4 2 2" xfId="45956"/>
    <cellStyle name="Normal 2 2 2 2 2 3 3 2 2 2 2 5" xfId="24079"/>
    <cellStyle name="Normal 2 2 2 2 2 3 3 2 2 2 3" xfId="5310"/>
    <cellStyle name="Normal 2 2 2 2 2 3 3 2 2 2 3 2" xfId="6643"/>
    <cellStyle name="Normal 2 2 2 2 2 3 3 2 2 2 3 2 2" xfId="18883"/>
    <cellStyle name="Normal 2 2 2 2 2 3 3 2 2 2 3 2 2 2" xfId="20196"/>
    <cellStyle name="Normal 2 2 2 2 2 3 3 2 2 2 3 2 2 2 2" xfId="54209"/>
    <cellStyle name="Normal 2 2 2 2 2 3 3 2 2 2 3 2 2 2 2 2" xfId="55522"/>
    <cellStyle name="Normal 2 2 2 2 2 3 3 2 2 2 3 2 2 3" xfId="33698"/>
    <cellStyle name="Normal 2 2 2 2 2 3 3 2 2 2 3 2 3" xfId="32384"/>
    <cellStyle name="Normal 2 2 2 2 2 3 3 2 2 2 3 2 3 2" xfId="42071"/>
    <cellStyle name="Normal 2 2 2 2 2 3 3 2 2 2 3 3" xfId="11866"/>
    <cellStyle name="Normal 2 2 2 2 2 3 3 2 2 2 3 3 2" xfId="40747"/>
    <cellStyle name="Normal 2 2 2 2 2 3 3 2 2 2 3 3 2 2" xfId="47214"/>
    <cellStyle name="Normal 2 2 2 2 2 3 3 2 2 2 3 4" xfId="25351"/>
    <cellStyle name="Normal 2 2 2 2 2 3 3 2 2 2 4" xfId="10513"/>
    <cellStyle name="Normal 2 2 2 2 2 3 3 2 2 2 4 2" xfId="15024"/>
    <cellStyle name="Normal 2 2 2 2 2 3 3 2 2 2 4 2 2" xfId="45876"/>
    <cellStyle name="Normal 2 2 2 2 2 3 3 2 2 2 4 2 2 2" xfId="50363"/>
    <cellStyle name="Normal 2 2 2 2 2 3 3 2 2 2 4 3" xfId="28537"/>
    <cellStyle name="Normal 2 2 2 2 2 3 3 2 2 2 5" xfId="23999"/>
    <cellStyle name="Normal 2 2 2 2 2 3 3 2 2 2 5 2" xfId="36832"/>
    <cellStyle name="Normal 2 2 2 2 2 3 3 2 2 3" xfId="2142"/>
    <cellStyle name="Normal 2 2 2 2 2 3 3 2 2 3 2" xfId="6563"/>
    <cellStyle name="Normal 2 2 2 2 2 3 3 2 2 3 2 2" xfId="7376"/>
    <cellStyle name="Normal 2 2 2 2 2 3 3 2 2 3 2 2 2" xfId="20116"/>
    <cellStyle name="Normal 2 2 2 2 2 3 3 2 2 3 2 2 2 2" xfId="20928"/>
    <cellStyle name="Normal 2 2 2 2 2 3 3 2 2 3 2 2 2 2 2" xfId="55442"/>
    <cellStyle name="Normal 2 2 2 2 2 3 3 2 2 3 2 2 2 2 2 2" xfId="56254"/>
    <cellStyle name="Normal 2 2 2 2 2 3 3 2 2 3 2 2 2 3" xfId="34431"/>
    <cellStyle name="Normal 2 2 2 2 2 3 3 2 2 3 2 2 3" xfId="33618"/>
    <cellStyle name="Normal 2 2 2 2 2 3 3 2 2 3 2 2 3 2" xfId="42803"/>
    <cellStyle name="Normal 2 2 2 2 2 3 3 2 2 3 2 3" xfId="12601"/>
    <cellStyle name="Normal 2 2 2 2 2 3 3 2 2 3 2 3 2" xfId="41991"/>
    <cellStyle name="Normal 2 2 2 2 2 3 3 2 2 3 2 3 2 2" xfId="47947"/>
    <cellStyle name="Normal 2 2 2 2 2 3 3 2 2 3 2 4" xfId="26085"/>
    <cellStyle name="Normal 2 2 2 2 2 3 3 2 2 3 3" xfId="11786"/>
    <cellStyle name="Normal 2 2 2 2 2 3 3 2 2 3 3 2" xfId="15806"/>
    <cellStyle name="Normal 2 2 2 2 2 3 3 2 2 3 3 2 2" xfId="47134"/>
    <cellStyle name="Normal 2 2 2 2 2 3 3 2 2 3 3 2 2 2" xfId="51138"/>
    <cellStyle name="Normal 2 2 2 2 2 3 3 2 2 3 3 3" xfId="29312"/>
    <cellStyle name="Normal 2 2 2 2 2 3 3 2 2 3 4" xfId="25271"/>
    <cellStyle name="Normal 2 2 2 2 2 3 3 2 2 3 4 2" xfId="37620"/>
    <cellStyle name="Normal 2 2 2 2 2 3 3 2 2 4" xfId="4158"/>
    <cellStyle name="Normal 2 2 2 2 2 3 3 2 2 4 2" xfId="14944"/>
    <cellStyle name="Normal 2 2 2 2 2 3 3 2 2 4 2 2" xfId="17751"/>
    <cellStyle name="Normal 2 2 2 2 2 3 3 2 2 4 2 2 2" xfId="50283"/>
    <cellStyle name="Normal 2 2 2 2 2 3 3 2 2 4 2 2 2 2" xfId="53078"/>
    <cellStyle name="Normal 2 2 2 2 2 3 3 2 2 4 2 3" xfId="31253"/>
    <cellStyle name="Normal 2 2 2 2 2 3 3 2 2 4 3" xfId="28457"/>
    <cellStyle name="Normal 2 2 2 2 2 3 3 2 2 4 3 2" xfId="39601"/>
    <cellStyle name="Normal 2 2 2 2 2 3 3 2 2 5" xfId="9349"/>
    <cellStyle name="Normal 2 2 2 2 2 3 3 2 2 5 2" xfId="36752"/>
    <cellStyle name="Normal 2 2 2 2 2 3 3 2 2 5 2 2" xfId="44731"/>
    <cellStyle name="Normal 2 2 2 2 2 3 3 2 2 6" xfId="22845"/>
    <cellStyle name="Normal 2 2 2 2 2 3 3 2 3" xfId="2061"/>
    <cellStyle name="Normal 2 2 2 2 2 3 3 2 3 2" xfId="2622"/>
    <cellStyle name="Normal 2 2 2 2 2 3 3 2 3 2 2" xfId="7295"/>
    <cellStyle name="Normal 2 2 2 2 2 3 3 2 3 2 2 2" xfId="7842"/>
    <cellStyle name="Normal 2 2 2 2 2 3 3 2 3 2 2 2 2" xfId="20847"/>
    <cellStyle name="Normal 2 2 2 2 2 3 3 2 3 2 2 2 2 2" xfId="21394"/>
    <cellStyle name="Normal 2 2 2 2 2 3 3 2 3 2 2 2 2 2 2" xfId="56173"/>
    <cellStyle name="Normal 2 2 2 2 2 3 3 2 3 2 2 2 2 2 2 2" xfId="56720"/>
    <cellStyle name="Normal 2 2 2 2 2 3 3 2 3 2 2 2 2 3" xfId="34897"/>
    <cellStyle name="Normal 2 2 2 2 2 3 3 2 3 2 2 2 3" xfId="34350"/>
    <cellStyle name="Normal 2 2 2 2 2 3 3 2 3 2 2 2 3 2" xfId="43269"/>
    <cellStyle name="Normal 2 2 2 2 2 3 3 2 3 2 2 3" xfId="13067"/>
    <cellStyle name="Normal 2 2 2 2 2 3 3 2 3 2 2 3 2" xfId="42722"/>
    <cellStyle name="Normal 2 2 2 2 2 3 3 2 3 2 2 3 2 2" xfId="48413"/>
    <cellStyle name="Normal 2 2 2 2 2 3 3 2 3 2 2 4" xfId="26551"/>
    <cellStyle name="Normal 2 2 2 2 2 3 3 2 3 2 3" xfId="12520"/>
    <cellStyle name="Normal 2 2 2 2 2 3 3 2 3 2 3 2" xfId="16281"/>
    <cellStyle name="Normal 2 2 2 2 2 3 3 2 3 2 3 2 2" xfId="47866"/>
    <cellStyle name="Normal 2 2 2 2 2 3 3 2 3 2 3 2 2 2" xfId="51611"/>
    <cellStyle name="Normal 2 2 2 2 2 3 3 2 3 2 3 3" xfId="29785"/>
    <cellStyle name="Normal 2 2 2 2 2 3 3 2 3 2 4" xfId="26004"/>
    <cellStyle name="Normal 2 2 2 2 2 3 3 2 3 2 4 2" xfId="38095"/>
    <cellStyle name="Normal 2 2 2 2 2 3 3 2 3 3" xfId="4656"/>
    <cellStyle name="Normal 2 2 2 2 2 3 3 2 3 3 2" xfId="15725"/>
    <cellStyle name="Normal 2 2 2 2 2 3 3 2 3 3 2 2" xfId="18236"/>
    <cellStyle name="Normal 2 2 2 2 2 3 3 2 3 3 2 2 2" xfId="51057"/>
    <cellStyle name="Normal 2 2 2 2 2 3 3 2 3 3 2 2 2 2" xfId="53562"/>
    <cellStyle name="Normal 2 2 2 2 2 3 3 2 3 3 2 3" xfId="31737"/>
    <cellStyle name="Normal 2 2 2 2 2 3 3 2 3 3 3" xfId="29231"/>
    <cellStyle name="Normal 2 2 2 2 2 3 3 2 3 3 3 2" xfId="40095"/>
    <cellStyle name="Normal 2 2 2 2 2 3 3 2 3 4" xfId="9859"/>
    <cellStyle name="Normal 2 2 2 2 2 3 3 2 3 4 2" xfId="37539"/>
    <cellStyle name="Normal 2 2 2 2 2 3 3 2 3 4 2 2" xfId="45229"/>
    <cellStyle name="Normal 2 2 2 2 2 3 3 2 3 5" xfId="23352"/>
    <cellStyle name="Normal 2 2 2 2 2 3 3 2 4" xfId="4077"/>
    <cellStyle name="Normal 2 2 2 2 2 3 3 2 4 2" xfId="5861"/>
    <cellStyle name="Normal 2 2 2 2 2 3 3 2 4 2 2" xfId="17670"/>
    <cellStyle name="Normal 2 2 2 2 2 3 3 2 4 2 2 2" xfId="19429"/>
    <cellStyle name="Normal 2 2 2 2 2 3 3 2 4 2 2 2 2" xfId="52997"/>
    <cellStyle name="Normal 2 2 2 2 2 3 3 2 4 2 2 2 2 2" xfId="54755"/>
    <cellStyle name="Normal 2 2 2 2 2 3 3 2 4 2 2 3" xfId="32930"/>
    <cellStyle name="Normal 2 2 2 2 2 3 3 2 4 2 3" xfId="31172"/>
    <cellStyle name="Normal 2 2 2 2 2 3 3 2 4 2 3 2" xfId="41296"/>
    <cellStyle name="Normal 2 2 2 2 2 3 3 2 4 3" xfId="11084"/>
    <cellStyle name="Normal 2 2 2 2 2 3 3 2 4 3 2" xfId="39520"/>
    <cellStyle name="Normal 2 2 2 2 2 3 3 2 4 3 2 2" xfId="46443"/>
    <cellStyle name="Normal 2 2 2 2 2 3 3 2 4 4" xfId="24578"/>
    <cellStyle name="Normal 2 2 2 2 2 3 3 2 5" xfId="9268"/>
    <cellStyle name="Normal 2 2 2 2 2 3 3 2 5 2" xfId="14245"/>
    <cellStyle name="Normal 2 2 2 2 2 3 3 2 5 2 2" xfId="44650"/>
    <cellStyle name="Normal 2 2 2 2 2 3 3 2 5 2 2 2" xfId="49590"/>
    <cellStyle name="Normal 2 2 2 2 2 3 3 2 5 3" xfId="27752"/>
    <cellStyle name="Normal 2 2 2 2 2 3 3 2 6" xfId="22764"/>
    <cellStyle name="Normal 2 2 2 2 2 3 3 2 6 2" xfId="36057"/>
    <cellStyle name="Normal 2 2 2 2 2 3 3 3" xfId="854"/>
    <cellStyle name="Normal 2 2 2 2 2 3 3 3 2" xfId="2531"/>
    <cellStyle name="Normal 2 2 2 2 2 3 3 3 2 2" xfId="2905"/>
    <cellStyle name="Normal 2 2 2 2 2 3 3 3 2 2 2" xfId="7756"/>
    <cellStyle name="Normal 2 2 2 2 2 3 3 3 2 2 2 2" xfId="8120"/>
    <cellStyle name="Normal 2 2 2 2 2 3 3 3 2 2 2 2 2" xfId="21308"/>
    <cellStyle name="Normal 2 2 2 2 2 3 3 3 2 2 2 2 2 2" xfId="21672"/>
    <cellStyle name="Normal 2 2 2 2 2 3 3 3 2 2 2 2 2 2 2" xfId="56634"/>
    <cellStyle name="Normal 2 2 2 2 2 3 3 3 2 2 2 2 2 2 2 2" xfId="56998"/>
    <cellStyle name="Normal 2 2 2 2 2 3 3 3 2 2 2 2 2 3" xfId="35175"/>
    <cellStyle name="Normal 2 2 2 2 2 3 3 3 2 2 2 2 3" xfId="34811"/>
    <cellStyle name="Normal 2 2 2 2 2 3 3 3 2 2 2 2 3 2" xfId="43547"/>
    <cellStyle name="Normal 2 2 2 2 2 3 3 3 2 2 2 3" xfId="13345"/>
    <cellStyle name="Normal 2 2 2 2 2 3 3 3 2 2 2 3 2" xfId="43183"/>
    <cellStyle name="Normal 2 2 2 2 2 3 3 3 2 2 2 3 2 2" xfId="48691"/>
    <cellStyle name="Normal 2 2 2 2 2 3 3 3 2 2 2 4" xfId="26830"/>
    <cellStyle name="Normal 2 2 2 2 2 3 3 3 2 2 3" xfId="12981"/>
    <cellStyle name="Normal 2 2 2 2 2 3 3 3 2 2 3 2" xfId="16562"/>
    <cellStyle name="Normal 2 2 2 2 2 3 3 3 2 2 3 2 2" xfId="48327"/>
    <cellStyle name="Normal 2 2 2 2 2 3 3 3 2 2 3 2 2 2" xfId="51890"/>
    <cellStyle name="Normal 2 2 2 2 2 3 3 3 2 2 3 3" xfId="30064"/>
    <cellStyle name="Normal 2 2 2 2 2 3 3 3 2 2 4" xfId="26465"/>
    <cellStyle name="Normal 2 2 2 2 2 3 3 3 2 2 4 2" xfId="38374"/>
    <cellStyle name="Normal 2 2 2 2 2 3 3 3 2 3" xfId="4941"/>
    <cellStyle name="Normal 2 2 2 2 2 3 3 3 2 3 2" xfId="16192"/>
    <cellStyle name="Normal 2 2 2 2 2 3 3 3 2 3 2 2" xfId="18514"/>
    <cellStyle name="Normal 2 2 2 2 2 3 3 3 2 3 2 2 2" xfId="51523"/>
    <cellStyle name="Normal 2 2 2 2 2 3 3 3 2 3 2 2 2 2" xfId="53840"/>
    <cellStyle name="Normal 2 2 2 2 2 3 3 3 2 3 2 3" xfId="32015"/>
    <cellStyle name="Normal 2 2 2 2 2 3 3 3 2 3 3" xfId="29697"/>
    <cellStyle name="Normal 2 2 2 2 2 3 3 3 2 3 3 2" xfId="40378"/>
    <cellStyle name="Normal 2 2 2 2 2 3 3 3 2 4" xfId="10144"/>
    <cellStyle name="Normal 2 2 2 2 2 3 3 3 2 4 2" xfId="38006"/>
    <cellStyle name="Normal 2 2 2 2 2 3 3 3 2 4 2 2" xfId="45507"/>
    <cellStyle name="Normal 2 2 2 2 2 3 3 3 2 5" xfId="23630"/>
    <cellStyle name="Normal 2 2 2 2 2 3 3 3 3" xfId="4566"/>
    <cellStyle name="Normal 2 2 2 2 2 3 3 3 3 2" xfId="6169"/>
    <cellStyle name="Normal 2 2 2 2 2 3 3 3 3 2 2" xfId="18149"/>
    <cellStyle name="Normal 2 2 2 2 2 3 3 3 3 2 2 2" xfId="19729"/>
    <cellStyle name="Normal 2 2 2 2 2 3 3 3 3 2 2 2 2" xfId="53475"/>
    <cellStyle name="Normal 2 2 2 2 2 3 3 3 3 2 2 2 2 2" xfId="55055"/>
    <cellStyle name="Normal 2 2 2 2 2 3 3 3 3 2 2 3" xfId="33231"/>
    <cellStyle name="Normal 2 2 2 2 2 3 3 3 3 2 3" xfId="31650"/>
    <cellStyle name="Normal 2 2 2 2 2 3 3 3 3 2 3 2" xfId="41600"/>
    <cellStyle name="Normal 2 2 2 2 2 3 3 3 3 3" xfId="11395"/>
    <cellStyle name="Normal 2 2 2 2 2 3 3 3 3 3 2" xfId="40007"/>
    <cellStyle name="Normal 2 2 2 2 2 3 3 3 3 3 2 2" xfId="46746"/>
    <cellStyle name="Normal 2 2 2 2 2 3 3 3 3 4" xfId="24883"/>
    <cellStyle name="Normal 2 2 2 2 2 3 3 3 4" xfId="9769"/>
    <cellStyle name="Normal 2 2 2 2 2 3 3 3 4 2" xfId="14552"/>
    <cellStyle name="Normal 2 2 2 2 2 3 3 3 4 2 2" xfId="45142"/>
    <cellStyle name="Normal 2 2 2 2 2 3 3 3 4 2 2 2" xfId="49893"/>
    <cellStyle name="Normal 2 2 2 2 2 3 3 3 4 3" xfId="28063"/>
    <cellStyle name="Normal 2 2 2 2 2 3 3 3 5" xfId="23265"/>
    <cellStyle name="Normal 2 2 2 2 2 3 3 3 5 2" xfId="36362"/>
    <cellStyle name="Normal 2 2 2 2 2 3 3 4" xfId="1649"/>
    <cellStyle name="Normal 2 2 2 2 2 3 3 4 2" xfId="5772"/>
    <cellStyle name="Normal 2 2 2 2 2 3 3 4 2 2" xfId="6914"/>
    <cellStyle name="Normal 2 2 2 2 2 3 3 4 2 2 2" xfId="19341"/>
    <cellStyle name="Normal 2 2 2 2 2 3 3 4 2 2 2 2" xfId="20467"/>
    <cellStyle name="Normal 2 2 2 2 2 3 3 4 2 2 2 2 2" xfId="54667"/>
    <cellStyle name="Normal 2 2 2 2 2 3 3 4 2 2 2 2 2 2" xfId="55793"/>
    <cellStyle name="Normal 2 2 2 2 2 3 3 4 2 2 2 3" xfId="33969"/>
    <cellStyle name="Normal 2 2 2 2 2 3 3 4 2 2 3" xfId="32842"/>
    <cellStyle name="Normal 2 2 2 2 2 3 3 4 2 2 3 2" xfId="42342"/>
    <cellStyle name="Normal 2 2 2 2 2 3 3 4 2 3" xfId="12138"/>
    <cellStyle name="Normal 2 2 2 2 2 3 3 4 2 3 2" xfId="41207"/>
    <cellStyle name="Normal 2 2 2 2 2 3 3 4 2 3 2 2" xfId="47485"/>
    <cellStyle name="Normal 2 2 2 2 2 3 3 4 2 4" xfId="25623"/>
    <cellStyle name="Normal 2 2 2 2 2 3 3 4 3" xfId="10993"/>
    <cellStyle name="Normal 2 2 2 2 2 3 3 4 3 2" xfId="15323"/>
    <cellStyle name="Normal 2 2 2 2 2 3 3 4 3 2 2" xfId="46352"/>
    <cellStyle name="Normal 2 2 2 2 2 3 3 4 3 2 2 2" xfId="50658"/>
    <cellStyle name="Normal 2 2 2 2 2 3 3 4 3 3" xfId="28832"/>
    <cellStyle name="Normal 2 2 2 2 2 3 3 4 4" xfId="24486"/>
    <cellStyle name="Normal 2 2 2 2 2 3 3 4 4 2" xfId="37134"/>
    <cellStyle name="Normal 2 2 2 2 2 3 3 5" xfId="3653"/>
    <cellStyle name="Normal 2 2 2 2 2 3 3 5 2" xfId="14156"/>
    <cellStyle name="Normal 2 2 2 2 2 3 3 5 2 2" xfId="17282"/>
    <cellStyle name="Normal 2 2 2 2 2 3 3 5 2 2 2" xfId="49501"/>
    <cellStyle name="Normal 2 2 2 2 2 3 3 5 2 2 2 2" xfId="52609"/>
    <cellStyle name="Normal 2 2 2 2 2 3 3 5 2 3" xfId="30783"/>
    <cellStyle name="Normal 2 2 2 2 2 3 3 5 3" xfId="27658"/>
    <cellStyle name="Normal 2 2 2 2 2 3 3 5 3 2" xfId="39108"/>
    <cellStyle name="Normal 2 2 2 2 2 3 3 6" xfId="8847"/>
    <cellStyle name="Normal 2 2 2 2 2 3 3 6 2" xfId="35967"/>
    <cellStyle name="Normal 2 2 2 2 2 3 3 6 2 2" xfId="44254"/>
    <cellStyle name="Normal 2 2 2 2 2 3 3 7" xfId="22362"/>
    <cellStyle name="Normal 2 2 2 2 2 3 4" xfId="751"/>
    <cellStyle name="Normal 2 2 2 2 2 3 4 2" xfId="1029"/>
    <cellStyle name="Normal 2 2 2 2 2 3 4 2 2" xfId="2817"/>
    <cellStyle name="Normal 2 2 2 2 2 3 4 2 2 2" xfId="3065"/>
    <cellStyle name="Normal 2 2 2 2 2 3 4 2 2 2 2" xfId="8033"/>
    <cellStyle name="Normal 2 2 2 2 2 3 4 2 2 2 2 2" xfId="8280"/>
    <cellStyle name="Normal 2 2 2 2 2 3 4 2 2 2 2 2 2" xfId="21585"/>
    <cellStyle name="Normal 2 2 2 2 2 3 4 2 2 2 2 2 2 2" xfId="21832"/>
    <cellStyle name="Normal 2 2 2 2 2 3 4 2 2 2 2 2 2 2 2" xfId="56911"/>
    <cellStyle name="Normal 2 2 2 2 2 3 4 2 2 2 2 2 2 2 2 2" xfId="57158"/>
    <cellStyle name="Normal 2 2 2 2 2 3 4 2 2 2 2 2 2 3" xfId="35335"/>
    <cellStyle name="Normal 2 2 2 2 2 3 4 2 2 2 2 2 3" xfId="35088"/>
    <cellStyle name="Normal 2 2 2 2 2 3 4 2 2 2 2 2 3 2" xfId="43707"/>
    <cellStyle name="Normal 2 2 2 2 2 3 4 2 2 2 2 3" xfId="13505"/>
    <cellStyle name="Normal 2 2 2 2 2 3 4 2 2 2 2 3 2" xfId="43460"/>
    <cellStyle name="Normal 2 2 2 2 2 3 4 2 2 2 2 3 2 2" xfId="48851"/>
    <cellStyle name="Normal 2 2 2 2 2 3 4 2 2 2 2 4" xfId="26990"/>
    <cellStyle name="Normal 2 2 2 2 2 3 4 2 2 2 3" xfId="13258"/>
    <cellStyle name="Normal 2 2 2 2 2 3 4 2 2 2 3 2" xfId="16722"/>
    <cellStyle name="Normal 2 2 2 2 2 3 4 2 2 2 3 2 2" xfId="48604"/>
    <cellStyle name="Normal 2 2 2 2 2 3 4 2 2 2 3 2 2 2" xfId="52050"/>
    <cellStyle name="Normal 2 2 2 2 2 3 4 2 2 2 3 3" xfId="30224"/>
    <cellStyle name="Normal 2 2 2 2 2 3 4 2 2 2 4" xfId="26742"/>
    <cellStyle name="Normal 2 2 2 2 2 3 4 2 2 2 4 2" xfId="38534"/>
    <cellStyle name="Normal 2 2 2 2 2 3 4 2 2 3" xfId="5102"/>
    <cellStyle name="Normal 2 2 2 2 2 3 4 2 2 3 2" xfId="16475"/>
    <cellStyle name="Normal 2 2 2 2 2 3 4 2 2 3 2 2" xfId="18675"/>
    <cellStyle name="Normal 2 2 2 2 2 3 4 2 2 3 2 2 2" xfId="51803"/>
    <cellStyle name="Normal 2 2 2 2 2 3 4 2 2 3 2 2 2 2" xfId="54001"/>
    <cellStyle name="Normal 2 2 2 2 2 3 4 2 2 3 2 3" xfId="32176"/>
    <cellStyle name="Normal 2 2 2 2 2 3 4 2 2 3 3" xfId="29977"/>
    <cellStyle name="Normal 2 2 2 2 2 3 4 2 2 3 3 2" xfId="40539"/>
    <cellStyle name="Normal 2 2 2 2 2 3 4 2 2 4" xfId="10305"/>
    <cellStyle name="Normal 2 2 2 2 2 3 4 2 2 4 2" xfId="38287"/>
    <cellStyle name="Normal 2 2 2 2 2 3 4 2 2 4 2 2" xfId="45668"/>
    <cellStyle name="Normal 2 2 2 2 2 3 4 2 2 5" xfId="23791"/>
    <cellStyle name="Normal 2 2 2 2 2 3 4 2 3" xfId="4853"/>
    <cellStyle name="Normal 2 2 2 2 2 3 4 2 3 2" xfId="6339"/>
    <cellStyle name="Normal 2 2 2 2 2 3 4 2 3 2 2" xfId="18427"/>
    <cellStyle name="Normal 2 2 2 2 2 3 4 2 3 2 2 2" xfId="19896"/>
    <cellStyle name="Normal 2 2 2 2 2 3 4 2 3 2 2 2 2" xfId="53753"/>
    <cellStyle name="Normal 2 2 2 2 2 3 4 2 3 2 2 2 2 2" xfId="55222"/>
    <cellStyle name="Normal 2 2 2 2 2 3 4 2 3 2 2 3" xfId="33398"/>
    <cellStyle name="Normal 2 2 2 2 2 3 4 2 3 2 3" xfId="31928"/>
    <cellStyle name="Normal 2 2 2 2 2 3 4 2 3 2 3 2" xfId="41768"/>
    <cellStyle name="Normal 2 2 2 2 2 3 4 2 3 3" xfId="11565"/>
    <cellStyle name="Normal 2 2 2 2 2 3 4 2 3 3 2" xfId="40290"/>
    <cellStyle name="Normal 2 2 2 2 2 3 4 2 3 3 2 2" xfId="46914"/>
    <cellStyle name="Normal 2 2 2 2 2 3 4 2 3 4" xfId="25051"/>
    <cellStyle name="Normal 2 2 2 2 2 3 4 2 4" xfId="10056"/>
    <cellStyle name="Normal 2 2 2 2 2 3 4 2 4 2" xfId="14722"/>
    <cellStyle name="Normal 2 2 2 2 2 3 4 2 4 2 2" xfId="45420"/>
    <cellStyle name="Normal 2 2 2 2 2 3 4 2 4 2 2 2" xfId="50061"/>
    <cellStyle name="Normal 2 2 2 2 2 3 4 2 4 3" xfId="28234"/>
    <cellStyle name="Normal 2 2 2 2 2 3 4 2 5" xfId="23543"/>
    <cellStyle name="Normal 2 2 2 2 2 3 4 2 5 2" xfId="36530"/>
    <cellStyle name="Normal 2 2 2 2 2 3 4 3" xfId="1832"/>
    <cellStyle name="Normal 2 2 2 2 2 3 4 3 2" xfId="6070"/>
    <cellStyle name="Normal 2 2 2 2 2 3 4 3 2 2" xfId="7083"/>
    <cellStyle name="Normal 2 2 2 2 2 3 4 3 2 2 2" xfId="19634"/>
    <cellStyle name="Normal 2 2 2 2 2 3 4 3 2 2 2 2" xfId="20636"/>
    <cellStyle name="Normal 2 2 2 2 2 3 4 3 2 2 2 2 2" xfId="54960"/>
    <cellStyle name="Normal 2 2 2 2 2 3 4 3 2 2 2 2 2 2" xfId="55962"/>
    <cellStyle name="Normal 2 2 2 2 2 3 4 3 2 2 2 3" xfId="34138"/>
    <cellStyle name="Normal 2 2 2 2 2 3 4 3 2 2 3" xfId="33135"/>
    <cellStyle name="Normal 2 2 2 2 2 3 4 3 2 2 3 2" xfId="42511"/>
    <cellStyle name="Normal 2 2 2 2 2 3 4 3 2 3" xfId="12307"/>
    <cellStyle name="Normal 2 2 2 2 2 3 4 3 2 3 2" xfId="41504"/>
    <cellStyle name="Normal 2 2 2 2 2 3 4 3 2 3 2 2" xfId="47654"/>
    <cellStyle name="Normal 2 2 2 2 2 3 4 3 2 4" xfId="25792"/>
    <cellStyle name="Normal 2 2 2 2 2 3 4 3 3" xfId="11296"/>
    <cellStyle name="Normal 2 2 2 2 2 3 4 3 3 2" xfId="15504"/>
    <cellStyle name="Normal 2 2 2 2 2 3 4 3 3 2 2" xfId="46651"/>
    <cellStyle name="Normal 2 2 2 2 2 3 4 3 3 2 2 2" xfId="50837"/>
    <cellStyle name="Normal 2 2 2 2 2 3 4 3 3 3" xfId="29011"/>
    <cellStyle name="Normal 2 2 2 2 2 3 4 3 4" xfId="24788"/>
    <cellStyle name="Normal 2 2 2 2 2 3 4 3 4 2" xfId="37314"/>
    <cellStyle name="Normal 2 2 2 2 2 3 4 4" xfId="3843"/>
    <cellStyle name="Normal 2 2 2 2 2 3 4 4 2" xfId="14455"/>
    <cellStyle name="Normal 2 2 2 2 2 3 4 4 2 2" xfId="17457"/>
    <cellStyle name="Normal 2 2 2 2 2 3 4 4 2 2 2" xfId="49798"/>
    <cellStyle name="Normal 2 2 2 2 2 3 4 4 2 2 2 2" xfId="52784"/>
    <cellStyle name="Normal 2 2 2 2 2 3 4 4 2 3" xfId="30958"/>
    <cellStyle name="Normal 2 2 2 2 2 3 4 4 3" xfId="27966"/>
    <cellStyle name="Normal 2 2 2 2 2 3 4 4 3 2" xfId="39292"/>
    <cellStyle name="Normal 2 2 2 2 2 3 4 5" xfId="9036"/>
    <cellStyle name="Normal 2 2 2 2 2 3 4 5 2" xfId="36266"/>
    <cellStyle name="Normal 2 2 2 2 2 3 4 5 2 2" xfId="44433"/>
    <cellStyle name="Normal 2 2 2 2 2 3 4 6" xfId="22544"/>
    <cellStyle name="Normal 2 2 2 2 2 3 5" xfId="1536"/>
    <cellStyle name="Normal 2 2 2 2 2 3 5 2" xfId="2292"/>
    <cellStyle name="Normal 2 2 2 2 2 3 5 2 2" xfId="6819"/>
    <cellStyle name="Normal 2 2 2 2 2 3 5 2 2 2" xfId="7526"/>
    <cellStyle name="Normal 2 2 2 2 2 3 5 2 2 2 2" xfId="20372"/>
    <cellStyle name="Normal 2 2 2 2 2 3 5 2 2 2 2 2" xfId="21078"/>
    <cellStyle name="Normal 2 2 2 2 2 3 5 2 2 2 2 2 2" xfId="55698"/>
    <cellStyle name="Normal 2 2 2 2 2 3 5 2 2 2 2 2 2 2" xfId="56404"/>
    <cellStyle name="Normal 2 2 2 2 2 3 5 2 2 2 2 3" xfId="34581"/>
    <cellStyle name="Normal 2 2 2 2 2 3 5 2 2 2 3" xfId="33874"/>
    <cellStyle name="Normal 2 2 2 2 2 3 5 2 2 2 3 2" xfId="42953"/>
    <cellStyle name="Normal 2 2 2 2 2 3 5 2 2 3" xfId="12751"/>
    <cellStyle name="Normal 2 2 2 2 2 3 5 2 2 3 2" xfId="42247"/>
    <cellStyle name="Normal 2 2 2 2 2 3 5 2 2 3 2 2" xfId="48097"/>
    <cellStyle name="Normal 2 2 2 2 2 3 5 2 2 4" xfId="26235"/>
    <cellStyle name="Normal 2 2 2 2 2 3 5 2 3" xfId="12043"/>
    <cellStyle name="Normal 2 2 2 2 2 3 5 2 3 2" xfId="15956"/>
    <cellStyle name="Normal 2 2 2 2 2 3 5 2 3 2 2" xfId="47390"/>
    <cellStyle name="Normal 2 2 2 2 2 3 5 2 3 2 2 2" xfId="51288"/>
    <cellStyle name="Normal 2 2 2 2 2 3 5 2 3 3" xfId="29462"/>
    <cellStyle name="Normal 2 2 2 2 2 3 5 2 4" xfId="25528"/>
    <cellStyle name="Normal 2 2 2 2 2 3 5 2 4 2" xfId="37770"/>
    <cellStyle name="Normal 2 2 2 2 2 3 5 3" xfId="4318"/>
    <cellStyle name="Normal 2 2 2 2 2 3 5 3 2" xfId="15214"/>
    <cellStyle name="Normal 2 2 2 2 2 3 5 3 2 2" xfId="17911"/>
    <cellStyle name="Normal 2 2 2 2 2 3 5 3 2 2 2" xfId="50552"/>
    <cellStyle name="Normal 2 2 2 2 2 3 5 3 2 2 2 2" xfId="53238"/>
    <cellStyle name="Normal 2 2 2 2 2 3 5 3 2 3" xfId="31413"/>
    <cellStyle name="Normal 2 2 2 2 2 3 5 3 3" xfId="28726"/>
    <cellStyle name="Normal 2 2 2 2 2 3 5 3 3 2" xfId="39761"/>
    <cellStyle name="Normal 2 2 2 2 2 3 5 4" xfId="9512"/>
    <cellStyle name="Normal 2 2 2 2 2 3 5 4 2" xfId="37026"/>
    <cellStyle name="Normal 2 2 2 2 2 3 5 4 2 2" xfId="44894"/>
    <cellStyle name="Normal 2 2 2 2 2 3 5 5" xfId="23010"/>
    <cellStyle name="Normal 2 2 2 2 2 3 6" xfId="3537"/>
    <cellStyle name="Normal 2 2 2 2 2 3 6 2" xfId="5531"/>
    <cellStyle name="Normal 2 2 2 2 2 3 6 2 2" xfId="17184"/>
    <cellStyle name="Normal 2 2 2 2 2 3 6 2 2 2" xfId="19104"/>
    <cellStyle name="Normal 2 2 2 2 2 3 6 2 2 2 2" xfId="52511"/>
    <cellStyle name="Normal 2 2 2 2 2 3 6 2 2 2 2 2" xfId="54430"/>
    <cellStyle name="Normal 2 2 2 2 2 3 6 2 2 3" xfId="32605"/>
    <cellStyle name="Normal 2 2 2 2 2 3 6 2 3" xfId="30685"/>
    <cellStyle name="Normal 2 2 2 2 2 3 6 2 3 2" xfId="40968"/>
    <cellStyle name="Normal 2 2 2 2 2 3 6 3" xfId="10735"/>
    <cellStyle name="Normal 2 2 2 2 2 3 6 3 2" xfId="39000"/>
    <cellStyle name="Normal 2 2 2 2 2 3 6 3 2 2" xfId="46098"/>
    <cellStyle name="Normal 2 2 2 2 2 3 6 4" xfId="24222"/>
    <cellStyle name="Normal 2 2 2 2 2 3 7" xfId="8729"/>
    <cellStyle name="Normal 2 2 2 2 2 3 7 2" xfId="9066"/>
    <cellStyle name="Normal 2 2 2 2 2 3 7 2 2" xfId="44152"/>
    <cellStyle name="Normal 2 2 2 2 2 3 7 2 2 2" xfId="44462"/>
    <cellStyle name="Normal 2 2 2 2 2 3 7 3" xfId="22573"/>
    <cellStyle name="Normal 2 2 2 2 2 3 8" xfId="22256"/>
    <cellStyle name="Normal 2 2 2 2 2 3 8 2" xfId="24267"/>
    <cellStyle name="Normal 2 2 2 2 2 4" xfId="204"/>
    <cellStyle name="Normal 2 2 2 2 2 4 2" xfId="500"/>
    <cellStyle name="Normal 2 2 2 2 2 4 2 2" xfId="576"/>
    <cellStyle name="Normal 2 2 2 2 2 4 2 2 2" xfId="1311"/>
    <cellStyle name="Normal 2 2 2 2 2 4 2 2 2 2" xfId="1373"/>
    <cellStyle name="Normal 2 2 2 2 2 4 2 2 2 2 2" xfId="3329"/>
    <cellStyle name="Normal 2 2 2 2 2 4 2 2 2 2 2 2" xfId="3391"/>
    <cellStyle name="Normal 2 2 2 2 2 4 2 2 2 2 2 2 2" xfId="8544"/>
    <cellStyle name="Normal 2 2 2 2 2 4 2 2 2 2 2 2 2 2" xfId="8606"/>
    <cellStyle name="Normal 2 2 2 2 2 4 2 2 2 2 2 2 2 2 2" xfId="22096"/>
    <cellStyle name="Normal 2 2 2 2 2 4 2 2 2 2 2 2 2 2 2 2" xfId="22158"/>
    <cellStyle name="Normal 2 2 2 2 2 4 2 2 2 2 2 2 2 2 2 2 2" xfId="57422"/>
    <cellStyle name="Normal 2 2 2 2 2 4 2 2 2 2 2 2 2 2 2 2 2 2" xfId="57484"/>
    <cellStyle name="Normal 2 2 2 2 2 4 2 2 2 2 2 2 2 2 2 3" xfId="35661"/>
    <cellStyle name="Normal 2 2 2 2 2 4 2 2 2 2 2 2 2 2 3" xfId="35599"/>
    <cellStyle name="Normal 2 2 2 2 2 4 2 2 2 2 2 2 2 2 3 2" xfId="44033"/>
    <cellStyle name="Normal 2 2 2 2 2 4 2 2 2 2 2 2 2 3" xfId="13831"/>
    <cellStyle name="Normal 2 2 2 2 2 4 2 2 2 2 2 2 2 3 2" xfId="43971"/>
    <cellStyle name="Normal 2 2 2 2 2 4 2 2 2 2 2 2 2 3 2 2" xfId="49177"/>
    <cellStyle name="Normal 2 2 2 2 2 4 2 2 2 2 2 2 2 4" xfId="27316"/>
    <cellStyle name="Normal 2 2 2 2 2 4 2 2 2 2 2 2 3" xfId="13769"/>
    <cellStyle name="Normal 2 2 2 2 2 4 2 2 2 2 2 2 3 2" xfId="17048"/>
    <cellStyle name="Normal 2 2 2 2 2 4 2 2 2 2 2 2 3 2 2" xfId="49115"/>
    <cellStyle name="Normal 2 2 2 2 2 4 2 2 2 2 2 2 3 2 2 2" xfId="52376"/>
    <cellStyle name="Normal 2 2 2 2 2 4 2 2 2 2 2 2 3 3" xfId="30550"/>
    <cellStyle name="Normal 2 2 2 2 2 4 2 2 2 2 2 2 4" xfId="27254"/>
    <cellStyle name="Normal 2 2 2 2 2 4 2 2 2 2 2 2 4 2" xfId="38860"/>
    <cellStyle name="Normal 2 2 2 2 2 4 2 2 2 2 2 3" xfId="5428"/>
    <cellStyle name="Normal 2 2 2 2 2 4 2 2 2 2 2 3 2" xfId="16986"/>
    <cellStyle name="Normal 2 2 2 2 2 4 2 2 2 2 2 3 2 2" xfId="19001"/>
    <cellStyle name="Normal 2 2 2 2 2 4 2 2 2 2 2 3 2 2 2" xfId="52314"/>
    <cellStyle name="Normal 2 2 2 2 2 4 2 2 2 2 2 3 2 2 2 2" xfId="54327"/>
    <cellStyle name="Normal 2 2 2 2 2 4 2 2 2 2 2 3 2 3" xfId="32502"/>
    <cellStyle name="Normal 2 2 2 2 2 4 2 2 2 2 2 3 3" xfId="30488"/>
    <cellStyle name="Normal 2 2 2 2 2 4 2 2 2 2 2 3 3 2" xfId="40865"/>
    <cellStyle name="Normal 2 2 2 2 2 4 2 2 2 2 2 4" xfId="10631"/>
    <cellStyle name="Normal 2 2 2 2 2 4 2 2 2 2 2 4 2" xfId="38798"/>
    <cellStyle name="Normal 2 2 2 2 2 4 2 2 2 2 2 4 2 2" xfId="45994"/>
    <cellStyle name="Normal 2 2 2 2 2 4 2 2 2 2 2 5" xfId="24117"/>
    <cellStyle name="Normal 2 2 2 2 2 4 2 2 2 2 3" xfId="5366"/>
    <cellStyle name="Normal 2 2 2 2 2 4 2 2 2 2 3 2" xfId="6681"/>
    <cellStyle name="Normal 2 2 2 2 2 4 2 2 2 2 3 2 2" xfId="18939"/>
    <cellStyle name="Normal 2 2 2 2 2 4 2 2 2 2 3 2 2 2" xfId="20234"/>
    <cellStyle name="Normal 2 2 2 2 2 4 2 2 2 2 3 2 2 2 2" xfId="54265"/>
    <cellStyle name="Normal 2 2 2 2 2 4 2 2 2 2 3 2 2 2 2 2" xfId="55560"/>
    <cellStyle name="Normal 2 2 2 2 2 4 2 2 2 2 3 2 2 3" xfId="33736"/>
    <cellStyle name="Normal 2 2 2 2 2 4 2 2 2 2 3 2 3" xfId="32440"/>
    <cellStyle name="Normal 2 2 2 2 2 4 2 2 2 2 3 2 3 2" xfId="42109"/>
    <cellStyle name="Normal 2 2 2 2 2 4 2 2 2 2 3 3" xfId="11904"/>
    <cellStyle name="Normal 2 2 2 2 2 4 2 2 2 2 3 3 2" xfId="40803"/>
    <cellStyle name="Normal 2 2 2 2 2 4 2 2 2 2 3 3 2 2" xfId="47252"/>
    <cellStyle name="Normal 2 2 2 2 2 4 2 2 2 2 3 4" xfId="25389"/>
    <cellStyle name="Normal 2 2 2 2 2 4 2 2 2 2 4" xfId="10569"/>
    <cellStyle name="Normal 2 2 2 2 2 4 2 2 2 2 4 2" xfId="15062"/>
    <cellStyle name="Normal 2 2 2 2 2 4 2 2 2 2 4 2 2" xfId="45932"/>
    <cellStyle name="Normal 2 2 2 2 2 4 2 2 2 2 4 2 2 2" xfId="50401"/>
    <cellStyle name="Normal 2 2 2 2 2 4 2 2 2 2 4 3" xfId="28575"/>
    <cellStyle name="Normal 2 2 2 2 2 4 2 2 2 2 5" xfId="24055"/>
    <cellStyle name="Normal 2 2 2 2 2 4 2 2 2 2 5 2" xfId="36870"/>
    <cellStyle name="Normal 2 2 2 2 2 4 2 2 2 3" xfId="2180"/>
    <cellStyle name="Normal 2 2 2 2 2 4 2 2 2 3 2" xfId="6619"/>
    <cellStyle name="Normal 2 2 2 2 2 4 2 2 2 3 2 2" xfId="7414"/>
    <cellStyle name="Normal 2 2 2 2 2 4 2 2 2 3 2 2 2" xfId="20172"/>
    <cellStyle name="Normal 2 2 2 2 2 4 2 2 2 3 2 2 2 2" xfId="20966"/>
    <cellStyle name="Normal 2 2 2 2 2 4 2 2 2 3 2 2 2 2 2" xfId="55498"/>
    <cellStyle name="Normal 2 2 2 2 2 4 2 2 2 3 2 2 2 2 2 2" xfId="56292"/>
    <cellStyle name="Normal 2 2 2 2 2 4 2 2 2 3 2 2 2 3" xfId="34469"/>
    <cellStyle name="Normal 2 2 2 2 2 4 2 2 2 3 2 2 3" xfId="33674"/>
    <cellStyle name="Normal 2 2 2 2 2 4 2 2 2 3 2 2 3 2" xfId="42841"/>
    <cellStyle name="Normal 2 2 2 2 2 4 2 2 2 3 2 3" xfId="12639"/>
    <cellStyle name="Normal 2 2 2 2 2 4 2 2 2 3 2 3 2" xfId="42047"/>
    <cellStyle name="Normal 2 2 2 2 2 4 2 2 2 3 2 3 2 2" xfId="47985"/>
    <cellStyle name="Normal 2 2 2 2 2 4 2 2 2 3 2 4" xfId="26123"/>
    <cellStyle name="Normal 2 2 2 2 2 4 2 2 2 3 3" xfId="11842"/>
    <cellStyle name="Normal 2 2 2 2 2 4 2 2 2 3 3 2" xfId="15844"/>
    <cellStyle name="Normal 2 2 2 2 2 4 2 2 2 3 3 2 2" xfId="47190"/>
    <cellStyle name="Normal 2 2 2 2 2 4 2 2 2 3 3 2 2 2" xfId="51176"/>
    <cellStyle name="Normal 2 2 2 2 2 4 2 2 2 3 3 3" xfId="29350"/>
    <cellStyle name="Normal 2 2 2 2 2 4 2 2 2 3 4" xfId="25327"/>
    <cellStyle name="Normal 2 2 2 2 2 4 2 2 2 3 4 2" xfId="37658"/>
    <cellStyle name="Normal 2 2 2 2 2 4 2 2 2 4" xfId="4196"/>
    <cellStyle name="Normal 2 2 2 2 2 4 2 2 2 4 2" xfId="15000"/>
    <cellStyle name="Normal 2 2 2 2 2 4 2 2 2 4 2 2" xfId="17789"/>
    <cellStyle name="Normal 2 2 2 2 2 4 2 2 2 4 2 2 2" xfId="50339"/>
    <cellStyle name="Normal 2 2 2 2 2 4 2 2 2 4 2 2 2 2" xfId="53116"/>
    <cellStyle name="Normal 2 2 2 2 2 4 2 2 2 4 2 3" xfId="31291"/>
    <cellStyle name="Normal 2 2 2 2 2 4 2 2 2 4 3" xfId="28513"/>
    <cellStyle name="Normal 2 2 2 2 2 4 2 2 2 4 3 2" xfId="39639"/>
    <cellStyle name="Normal 2 2 2 2 2 4 2 2 2 5" xfId="9387"/>
    <cellStyle name="Normal 2 2 2 2 2 4 2 2 2 5 2" xfId="36808"/>
    <cellStyle name="Normal 2 2 2 2 2 4 2 2 2 5 2 2" xfId="44769"/>
    <cellStyle name="Normal 2 2 2 2 2 4 2 2 2 6" xfId="22883"/>
    <cellStyle name="Normal 2 2 2 2 2 4 2 2 3" xfId="2118"/>
    <cellStyle name="Normal 2 2 2 2 2 4 2 2 3 2" xfId="2666"/>
    <cellStyle name="Normal 2 2 2 2 2 4 2 2 3 2 2" xfId="7352"/>
    <cellStyle name="Normal 2 2 2 2 2 4 2 2 3 2 2 2" xfId="7885"/>
    <cellStyle name="Normal 2 2 2 2 2 4 2 2 3 2 2 2 2" xfId="20904"/>
    <cellStyle name="Normal 2 2 2 2 2 4 2 2 3 2 2 2 2 2" xfId="21437"/>
    <cellStyle name="Normal 2 2 2 2 2 4 2 2 3 2 2 2 2 2 2" xfId="56230"/>
    <cellStyle name="Normal 2 2 2 2 2 4 2 2 3 2 2 2 2 2 2 2" xfId="56763"/>
    <cellStyle name="Normal 2 2 2 2 2 4 2 2 3 2 2 2 2 3" xfId="34940"/>
    <cellStyle name="Normal 2 2 2 2 2 4 2 2 3 2 2 2 3" xfId="34407"/>
    <cellStyle name="Normal 2 2 2 2 2 4 2 2 3 2 2 2 3 2" xfId="43312"/>
    <cellStyle name="Normal 2 2 2 2 2 4 2 2 3 2 2 3" xfId="13110"/>
    <cellStyle name="Normal 2 2 2 2 2 4 2 2 3 2 2 3 2" xfId="42779"/>
    <cellStyle name="Normal 2 2 2 2 2 4 2 2 3 2 2 3 2 2" xfId="48456"/>
    <cellStyle name="Normal 2 2 2 2 2 4 2 2 3 2 2 4" xfId="26594"/>
    <cellStyle name="Normal 2 2 2 2 2 4 2 2 3 2 3" xfId="12577"/>
    <cellStyle name="Normal 2 2 2 2 2 4 2 2 3 2 3 2" xfId="16325"/>
    <cellStyle name="Normal 2 2 2 2 2 4 2 2 3 2 3 2 2" xfId="47923"/>
    <cellStyle name="Normal 2 2 2 2 2 4 2 2 3 2 3 2 2 2" xfId="51655"/>
    <cellStyle name="Normal 2 2 2 2 2 4 2 2 3 2 3 3" xfId="29829"/>
    <cellStyle name="Normal 2 2 2 2 2 4 2 2 3 2 4" xfId="26061"/>
    <cellStyle name="Normal 2 2 2 2 2 4 2 2 3 2 4 2" xfId="38139"/>
    <cellStyle name="Normal 2 2 2 2 2 4 2 2 3 3" xfId="4702"/>
    <cellStyle name="Normal 2 2 2 2 2 4 2 2 3 3 2" xfId="15782"/>
    <cellStyle name="Normal 2 2 2 2 2 4 2 2 3 3 2 2" xfId="18279"/>
    <cellStyle name="Normal 2 2 2 2 2 4 2 2 3 3 2 2 2" xfId="51114"/>
    <cellStyle name="Normal 2 2 2 2 2 4 2 2 3 3 2 2 2 2" xfId="53605"/>
    <cellStyle name="Normal 2 2 2 2 2 4 2 2 3 3 2 3" xfId="31780"/>
    <cellStyle name="Normal 2 2 2 2 2 4 2 2 3 3 3" xfId="29288"/>
    <cellStyle name="Normal 2 2 2 2 2 4 2 2 3 3 3 2" xfId="40140"/>
    <cellStyle name="Normal 2 2 2 2 2 4 2 2 3 4" xfId="9905"/>
    <cellStyle name="Normal 2 2 2 2 2 4 2 2 3 4 2" xfId="37596"/>
    <cellStyle name="Normal 2 2 2 2 2 4 2 2 3 4 2 2" xfId="45272"/>
    <cellStyle name="Normal 2 2 2 2 2 4 2 2 3 5" xfId="23395"/>
    <cellStyle name="Normal 2 2 2 2 2 4 2 2 4" xfId="4134"/>
    <cellStyle name="Normal 2 2 2 2 2 4 2 2 4 2" xfId="5907"/>
    <cellStyle name="Normal 2 2 2 2 2 4 2 2 4 2 2" xfId="17727"/>
    <cellStyle name="Normal 2 2 2 2 2 4 2 2 4 2 2 2" xfId="19474"/>
    <cellStyle name="Normal 2 2 2 2 2 4 2 2 4 2 2 2 2" xfId="53054"/>
    <cellStyle name="Normal 2 2 2 2 2 4 2 2 4 2 2 2 2 2" xfId="54800"/>
    <cellStyle name="Normal 2 2 2 2 2 4 2 2 4 2 2 3" xfId="32975"/>
    <cellStyle name="Normal 2 2 2 2 2 4 2 2 4 2 3" xfId="31229"/>
    <cellStyle name="Normal 2 2 2 2 2 4 2 2 4 2 3 2" xfId="41341"/>
    <cellStyle name="Normal 2 2 2 2 2 4 2 2 4 3" xfId="11132"/>
    <cellStyle name="Normal 2 2 2 2 2 4 2 2 4 3 2" xfId="39577"/>
    <cellStyle name="Normal 2 2 2 2 2 4 2 2 4 3 2 2" xfId="46490"/>
    <cellStyle name="Normal 2 2 2 2 2 4 2 2 4 4" xfId="24625"/>
    <cellStyle name="Normal 2 2 2 2 2 4 2 2 5" xfId="9325"/>
    <cellStyle name="Normal 2 2 2 2 2 4 2 2 5 2" xfId="14291"/>
    <cellStyle name="Normal 2 2 2 2 2 4 2 2 5 2 2" xfId="44707"/>
    <cellStyle name="Normal 2 2 2 2 2 4 2 2 5 2 2 2" xfId="49636"/>
    <cellStyle name="Normal 2 2 2 2 2 4 2 2 5 3" xfId="27801"/>
    <cellStyle name="Normal 2 2 2 2 2 4 2 2 6" xfId="22821"/>
    <cellStyle name="Normal 2 2 2 2 2 4 2 2 6 2" xfId="36103"/>
    <cellStyle name="Normal 2 2 2 2 2 4 2 3" xfId="904"/>
    <cellStyle name="Normal 2 2 2 2 2 4 2 3 2" xfId="2597"/>
    <cellStyle name="Normal 2 2 2 2 2 4 2 3 2 2" xfId="2943"/>
    <cellStyle name="Normal 2 2 2 2 2 4 2 3 2 2 2" xfId="7817"/>
    <cellStyle name="Normal 2 2 2 2 2 4 2 3 2 2 2 2" xfId="8158"/>
    <cellStyle name="Normal 2 2 2 2 2 4 2 3 2 2 2 2 2" xfId="21369"/>
    <cellStyle name="Normal 2 2 2 2 2 4 2 3 2 2 2 2 2 2" xfId="21710"/>
    <cellStyle name="Normal 2 2 2 2 2 4 2 3 2 2 2 2 2 2 2" xfId="56695"/>
    <cellStyle name="Normal 2 2 2 2 2 4 2 3 2 2 2 2 2 2 2 2" xfId="57036"/>
    <cellStyle name="Normal 2 2 2 2 2 4 2 3 2 2 2 2 2 3" xfId="35213"/>
    <cellStyle name="Normal 2 2 2 2 2 4 2 3 2 2 2 2 3" xfId="34872"/>
    <cellStyle name="Normal 2 2 2 2 2 4 2 3 2 2 2 2 3 2" xfId="43585"/>
    <cellStyle name="Normal 2 2 2 2 2 4 2 3 2 2 2 3" xfId="13383"/>
    <cellStyle name="Normal 2 2 2 2 2 4 2 3 2 2 2 3 2" xfId="43244"/>
    <cellStyle name="Normal 2 2 2 2 2 4 2 3 2 2 2 3 2 2" xfId="48729"/>
    <cellStyle name="Normal 2 2 2 2 2 4 2 3 2 2 2 4" xfId="26868"/>
    <cellStyle name="Normal 2 2 2 2 2 4 2 3 2 2 3" xfId="13042"/>
    <cellStyle name="Normal 2 2 2 2 2 4 2 3 2 2 3 2" xfId="16600"/>
    <cellStyle name="Normal 2 2 2 2 2 4 2 3 2 2 3 2 2" xfId="48388"/>
    <cellStyle name="Normal 2 2 2 2 2 4 2 3 2 2 3 2 2 2" xfId="51928"/>
    <cellStyle name="Normal 2 2 2 2 2 4 2 3 2 2 3 3" xfId="30102"/>
    <cellStyle name="Normal 2 2 2 2 2 4 2 3 2 2 4" xfId="26526"/>
    <cellStyle name="Normal 2 2 2 2 2 4 2 3 2 2 4 2" xfId="38412"/>
    <cellStyle name="Normal 2 2 2 2 2 4 2 3 2 3" xfId="4979"/>
    <cellStyle name="Normal 2 2 2 2 2 4 2 3 2 3 2" xfId="16256"/>
    <cellStyle name="Normal 2 2 2 2 2 4 2 3 2 3 2 2" xfId="18552"/>
    <cellStyle name="Normal 2 2 2 2 2 4 2 3 2 3 2 2 2" xfId="51586"/>
    <cellStyle name="Normal 2 2 2 2 2 4 2 3 2 3 2 2 2 2" xfId="53878"/>
    <cellStyle name="Normal 2 2 2 2 2 4 2 3 2 3 2 3" xfId="32053"/>
    <cellStyle name="Normal 2 2 2 2 2 4 2 3 2 3 3" xfId="29760"/>
    <cellStyle name="Normal 2 2 2 2 2 4 2 3 2 3 3 2" xfId="40416"/>
    <cellStyle name="Normal 2 2 2 2 2 4 2 3 2 4" xfId="10182"/>
    <cellStyle name="Normal 2 2 2 2 2 4 2 3 2 4 2" xfId="38070"/>
    <cellStyle name="Normal 2 2 2 2 2 4 2 3 2 4 2 2" xfId="45545"/>
    <cellStyle name="Normal 2 2 2 2 2 4 2 3 2 5" xfId="23668"/>
    <cellStyle name="Normal 2 2 2 2 2 4 2 3 3" xfId="4631"/>
    <cellStyle name="Normal 2 2 2 2 2 4 2 3 3 2" xfId="6215"/>
    <cellStyle name="Normal 2 2 2 2 2 4 2 3 3 2 2" xfId="18211"/>
    <cellStyle name="Normal 2 2 2 2 2 4 2 3 3 2 2 2" xfId="19773"/>
    <cellStyle name="Normal 2 2 2 2 2 4 2 3 3 2 2 2 2" xfId="53537"/>
    <cellStyle name="Normal 2 2 2 2 2 4 2 3 3 2 2 2 2 2" xfId="55099"/>
    <cellStyle name="Normal 2 2 2 2 2 4 2 3 3 2 2 3" xfId="33275"/>
    <cellStyle name="Normal 2 2 2 2 2 4 2 3 3 2 3" xfId="31712"/>
    <cellStyle name="Normal 2 2 2 2 2 4 2 3 3 2 3 2" xfId="41644"/>
    <cellStyle name="Normal 2 2 2 2 2 4 2 3 3 3" xfId="11440"/>
    <cellStyle name="Normal 2 2 2 2 2 4 2 3 3 3 2" xfId="40070"/>
    <cellStyle name="Normal 2 2 2 2 2 4 2 3 3 3 2 2" xfId="46790"/>
    <cellStyle name="Normal 2 2 2 2 2 4 2 3 3 4" xfId="24927"/>
    <cellStyle name="Normal 2 2 2 2 2 4 2 3 4" xfId="9834"/>
    <cellStyle name="Normal 2 2 2 2 2 4 2 3 4 2" xfId="14599"/>
    <cellStyle name="Normal 2 2 2 2 2 4 2 3 4 2 2" xfId="45204"/>
    <cellStyle name="Normal 2 2 2 2 2 4 2 3 4 2 2 2" xfId="49938"/>
    <cellStyle name="Normal 2 2 2 2 2 4 2 3 4 3" xfId="28109"/>
    <cellStyle name="Normal 2 2 2 2 2 4 2 3 5" xfId="23327"/>
    <cellStyle name="Normal 2 2 2 2 2 4 2 3 5 2" xfId="36407"/>
    <cellStyle name="Normal 2 2 2 2 2 4 2 4" xfId="1700"/>
    <cellStyle name="Normal 2 2 2 2 2 4 2 4 2" xfId="5835"/>
    <cellStyle name="Normal 2 2 2 2 2 4 2 4 2 2" xfId="6954"/>
    <cellStyle name="Normal 2 2 2 2 2 4 2 4 2 2 2" xfId="19403"/>
    <cellStyle name="Normal 2 2 2 2 2 4 2 4 2 2 2 2" xfId="20507"/>
    <cellStyle name="Normal 2 2 2 2 2 4 2 4 2 2 2 2 2" xfId="54729"/>
    <cellStyle name="Normal 2 2 2 2 2 4 2 4 2 2 2 2 2 2" xfId="55833"/>
    <cellStyle name="Normal 2 2 2 2 2 4 2 4 2 2 2 3" xfId="34009"/>
    <cellStyle name="Normal 2 2 2 2 2 4 2 4 2 2 3" xfId="32904"/>
    <cellStyle name="Normal 2 2 2 2 2 4 2 4 2 2 3 2" xfId="42382"/>
    <cellStyle name="Normal 2 2 2 2 2 4 2 4 2 3" xfId="12178"/>
    <cellStyle name="Normal 2 2 2 2 2 4 2 4 2 3 2" xfId="41270"/>
    <cellStyle name="Normal 2 2 2 2 2 4 2 4 2 3 2 2" xfId="47525"/>
    <cellStyle name="Normal 2 2 2 2 2 4 2 4 2 4" xfId="25663"/>
    <cellStyle name="Normal 2 2 2 2 2 4 2 4 3" xfId="11058"/>
    <cellStyle name="Normal 2 2 2 2 2 4 2 4 3 2" xfId="15372"/>
    <cellStyle name="Normal 2 2 2 2 2 4 2 4 3 2 2" xfId="46417"/>
    <cellStyle name="Normal 2 2 2 2 2 4 2 4 3 2 2 2" xfId="50706"/>
    <cellStyle name="Normal 2 2 2 2 2 4 2 4 3 3" xfId="28880"/>
    <cellStyle name="Normal 2 2 2 2 2 4 2 4 4" xfId="24552"/>
    <cellStyle name="Normal 2 2 2 2 2 4 2 4 4 2" xfId="37183"/>
    <cellStyle name="Normal 2 2 2 2 2 4 2 5" xfId="3705"/>
    <cellStyle name="Normal 2 2 2 2 2 4 2 5 2" xfId="14219"/>
    <cellStyle name="Normal 2 2 2 2 2 4 2 5 2 2" xfId="17322"/>
    <cellStyle name="Normal 2 2 2 2 2 4 2 5 2 2 2" xfId="49564"/>
    <cellStyle name="Normal 2 2 2 2 2 4 2 5 2 2 2 2" xfId="52649"/>
    <cellStyle name="Normal 2 2 2 2 2 4 2 5 2 3" xfId="30823"/>
    <cellStyle name="Normal 2 2 2 2 2 4 2 5 3" xfId="27726"/>
    <cellStyle name="Normal 2 2 2 2 2 4 2 5 3 2" xfId="39156"/>
    <cellStyle name="Normal 2 2 2 2 2 4 2 6" xfId="8894"/>
    <cellStyle name="Normal 2 2 2 2 2 4 2 6 2" xfId="36031"/>
    <cellStyle name="Normal 2 2 2 2 2 4 2 6 2 2" xfId="44294"/>
    <cellStyle name="Normal 2 2 2 2 2 4 2 7" xfId="22402"/>
    <cellStyle name="Normal 2 2 2 2 2 4 3" xfId="826"/>
    <cellStyle name="Normal 2 2 2 2 2 4 3 2" xfId="1078"/>
    <cellStyle name="Normal 2 2 2 2 2 4 3 2 2" xfId="2878"/>
    <cellStyle name="Normal 2 2 2 2 2 4 3 2 2 2" xfId="3113"/>
    <cellStyle name="Normal 2 2 2 2 2 4 3 2 2 2 2" xfId="8094"/>
    <cellStyle name="Normal 2 2 2 2 2 4 3 2 2 2 2 2" xfId="8328"/>
    <cellStyle name="Normal 2 2 2 2 2 4 3 2 2 2 2 2 2" xfId="21646"/>
    <cellStyle name="Normal 2 2 2 2 2 4 3 2 2 2 2 2 2 2" xfId="21880"/>
    <cellStyle name="Normal 2 2 2 2 2 4 3 2 2 2 2 2 2 2 2" xfId="56972"/>
    <cellStyle name="Normal 2 2 2 2 2 4 3 2 2 2 2 2 2 2 2 2" xfId="57206"/>
    <cellStyle name="Normal 2 2 2 2 2 4 3 2 2 2 2 2 2 3" xfId="35383"/>
    <cellStyle name="Normal 2 2 2 2 2 4 3 2 2 2 2 2 3" xfId="35149"/>
    <cellStyle name="Normal 2 2 2 2 2 4 3 2 2 2 2 2 3 2" xfId="43755"/>
    <cellStyle name="Normal 2 2 2 2 2 4 3 2 2 2 2 3" xfId="13553"/>
    <cellStyle name="Normal 2 2 2 2 2 4 3 2 2 2 2 3 2" xfId="43521"/>
    <cellStyle name="Normal 2 2 2 2 2 4 3 2 2 2 2 3 2 2" xfId="48899"/>
    <cellStyle name="Normal 2 2 2 2 2 4 3 2 2 2 2 4" xfId="27038"/>
    <cellStyle name="Normal 2 2 2 2 2 4 3 2 2 2 3" xfId="13319"/>
    <cellStyle name="Normal 2 2 2 2 2 4 3 2 2 2 3 2" xfId="16770"/>
    <cellStyle name="Normal 2 2 2 2 2 4 3 2 2 2 3 2 2" xfId="48665"/>
    <cellStyle name="Normal 2 2 2 2 2 4 3 2 2 2 3 2 2 2" xfId="52098"/>
    <cellStyle name="Normal 2 2 2 2 2 4 3 2 2 2 3 3" xfId="30272"/>
    <cellStyle name="Normal 2 2 2 2 2 4 3 2 2 2 4" xfId="26803"/>
    <cellStyle name="Normal 2 2 2 2 2 4 3 2 2 2 4 2" xfId="38582"/>
    <cellStyle name="Normal 2 2 2 2 2 4 3 2 2 3" xfId="5150"/>
    <cellStyle name="Normal 2 2 2 2 2 4 3 2 2 3 2" xfId="16536"/>
    <cellStyle name="Normal 2 2 2 2 2 4 3 2 2 3 2 2" xfId="18723"/>
    <cellStyle name="Normal 2 2 2 2 2 4 3 2 2 3 2 2 2" xfId="51864"/>
    <cellStyle name="Normal 2 2 2 2 2 4 3 2 2 3 2 2 2 2" xfId="54049"/>
    <cellStyle name="Normal 2 2 2 2 2 4 3 2 2 3 2 3" xfId="32224"/>
    <cellStyle name="Normal 2 2 2 2 2 4 3 2 2 3 3" xfId="30038"/>
    <cellStyle name="Normal 2 2 2 2 2 4 3 2 2 3 3 2" xfId="40587"/>
    <cellStyle name="Normal 2 2 2 2 2 4 3 2 2 4" xfId="10353"/>
    <cellStyle name="Normal 2 2 2 2 2 4 3 2 2 4 2" xfId="38348"/>
    <cellStyle name="Normal 2 2 2 2 2 4 3 2 2 4 2 2" xfId="45716"/>
    <cellStyle name="Normal 2 2 2 2 2 4 3 2 2 5" xfId="23839"/>
    <cellStyle name="Normal 2 2 2 2 2 4 3 2 3" xfId="4914"/>
    <cellStyle name="Normal 2 2 2 2 2 4 3 2 3 2" xfId="6388"/>
    <cellStyle name="Normal 2 2 2 2 2 4 3 2 3 2 2" xfId="18488"/>
    <cellStyle name="Normal 2 2 2 2 2 4 3 2 3 2 2 2" xfId="19944"/>
    <cellStyle name="Normal 2 2 2 2 2 4 3 2 3 2 2 2 2" xfId="53814"/>
    <cellStyle name="Normal 2 2 2 2 2 4 3 2 3 2 2 2 2 2" xfId="55270"/>
    <cellStyle name="Normal 2 2 2 2 2 4 3 2 3 2 2 3" xfId="33446"/>
    <cellStyle name="Normal 2 2 2 2 2 4 3 2 3 2 3" xfId="31989"/>
    <cellStyle name="Normal 2 2 2 2 2 4 3 2 3 2 3 2" xfId="41817"/>
    <cellStyle name="Normal 2 2 2 2 2 4 3 2 3 3" xfId="11613"/>
    <cellStyle name="Normal 2 2 2 2 2 4 3 2 3 3 2" xfId="40351"/>
    <cellStyle name="Normal 2 2 2 2 2 4 3 2 3 3 2 2" xfId="46962"/>
    <cellStyle name="Normal 2 2 2 2 2 4 3 2 3 4" xfId="25099"/>
    <cellStyle name="Normal 2 2 2 2 2 4 3 2 4" xfId="10117"/>
    <cellStyle name="Normal 2 2 2 2 2 4 3 2 4 2" xfId="14770"/>
    <cellStyle name="Normal 2 2 2 2 2 4 3 2 4 2 2" xfId="45481"/>
    <cellStyle name="Normal 2 2 2 2 2 4 3 2 4 2 2 2" xfId="50109"/>
    <cellStyle name="Normal 2 2 2 2 2 4 3 2 4 3" xfId="28282"/>
    <cellStyle name="Normal 2 2 2 2 2 4 3 2 5" xfId="23604"/>
    <cellStyle name="Normal 2 2 2 2 2 4 3 2 5 2" xfId="36578"/>
    <cellStyle name="Normal 2 2 2 2 2 4 3 3" xfId="1886"/>
    <cellStyle name="Normal 2 2 2 2 2 4 3 3 2" xfId="6141"/>
    <cellStyle name="Normal 2 2 2 2 2 4 3 3 2 2" xfId="7135"/>
    <cellStyle name="Normal 2 2 2 2 2 4 3 3 2 2 2" xfId="19702"/>
    <cellStyle name="Normal 2 2 2 2 2 4 3 3 2 2 2 2" xfId="20687"/>
    <cellStyle name="Normal 2 2 2 2 2 4 3 3 2 2 2 2 2" xfId="55028"/>
    <cellStyle name="Normal 2 2 2 2 2 4 3 3 2 2 2 2 2 2" xfId="56013"/>
    <cellStyle name="Normal 2 2 2 2 2 4 3 3 2 2 2 3" xfId="34190"/>
    <cellStyle name="Normal 2 2 2 2 2 4 3 3 2 2 3" xfId="33203"/>
    <cellStyle name="Normal 2 2 2 2 2 4 3 3 2 2 3 2" xfId="42562"/>
    <cellStyle name="Normal 2 2 2 2 2 4 3 3 2 3" xfId="12360"/>
    <cellStyle name="Normal 2 2 2 2 2 4 3 3 2 3 2" xfId="41573"/>
    <cellStyle name="Normal 2 2 2 2 2 4 3 3 2 3 2 2" xfId="47706"/>
    <cellStyle name="Normal 2 2 2 2 2 4 3 3 2 4" xfId="25844"/>
    <cellStyle name="Normal 2 2 2 2 2 4 3 3 3" xfId="11367"/>
    <cellStyle name="Normal 2 2 2 2 2 4 3 3 3 2" xfId="15556"/>
    <cellStyle name="Normal 2 2 2 2 2 4 3 3 3 2 2" xfId="46719"/>
    <cellStyle name="Normal 2 2 2 2 2 4 3 3 3 2 2 2" xfId="50888"/>
    <cellStyle name="Normal 2 2 2 2 2 4 3 3 3 3" xfId="29062"/>
    <cellStyle name="Normal 2 2 2 2 2 4 3 3 4" xfId="24856"/>
    <cellStyle name="Normal 2 2 2 2 2 4 3 3 4 2" xfId="37367"/>
    <cellStyle name="Normal 2 2 2 2 2 4 3 4" xfId="3900"/>
    <cellStyle name="Normal 2 2 2 2 2 4 3 4 2" xfId="14524"/>
    <cellStyle name="Normal 2 2 2 2 2 4 3 4 2 2" xfId="17510"/>
    <cellStyle name="Normal 2 2 2 2 2 4 3 4 2 2 2" xfId="49866"/>
    <cellStyle name="Normal 2 2 2 2 2 4 3 4 2 2 2 2" xfId="52837"/>
    <cellStyle name="Normal 2 2 2 2 2 4 3 4 2 3" xfId="31012"/>
    <cellStyle name="Normal 2 2 2 2 2 4 3 4 3" xfId="28036"/>
    <cellStyle name="Normal 2 2 2 2 2 4 3 4 3 2" xfId="39348"/>
    <cellStyle name="Normal 2 2 2 2 2 4 3 5" xfId="9093"/>
    <cellStyle name="Normal 2 2 2 2 2 4 3 5 2" xfId="36334"/>
    <cellStyle name="Normal 2 2 2 2 2 4 3 5 2 2" xfId="44489"/>
    <cellStyle name="Normal 2 2 2 2 2 4 3 6" xfId="22602"/>
    <cellStyle name="Normal 2 2 2 2 2 4 4" xfId="1618"/>
    <cellStyle name="Normal 2 2 2 2 2 4 4 2" xfId="2340"/>
    <cellStyle name="Normal 2 2 2 2 2 4 4 2 2" xfId="6886"/>
    <cellStyle name="Normal 2 2 2 2 2 4 4 2 2 2" xfId="7574"/>
    <cellStyle name="Normal 2 2 2 2 2 4 4 2 2 2 2" xfId="20439"/>
    <cellStyle name="Normal 2 2 2 2 2 4 4 2 2 2 2 2" xfId="21126"/>
    <cellStyle name="Normal 2 2 2 2 2 4 4 2 2 2 2 2 2" xfId="55765"/>
    <cellStyle name="Normal 2 2 2 2 2 4 4 2 2 2 2 2 2 2" xfId="56452"/>
    <cellStyle name="Normal 2 2 2 2 2 4 4 2 2 2 2 3" xfId="34629"/>
    <cellStyle name="Normal 2 2 2 2 2 4 4 2 2 2 3" xfId="33941"/>
    <cellStyle name="Normal 2 2 2 2 2 4 4 2 2 2 3 2" xfId="43001"/>
    <cellStyle name="Normal 2 2 2 2 2 4 4 2 2 3" xfId="12799"/>
    <cellStyle name="Normal 2 2 2 2 2 4 4 2 2 3 2" xfId="42314"/>
    <cellStyle name="Normal 2 2 2 2 2 4 4 2 2 3 2 2" xfId="48145"/>
    <cellStyle name="Normal 2 2 2 2 2 4 4 2 2 4" xfId="26283"/>
    <cellStyle name="Normal 2 2 2 2 2 4 4 2 3" xfId="12110"/>
    <cellStyle name="Normal 2 2 2 2 2 4 4 2 3 2" xfId="16004"/>
    <cellStyle name="Normal 2 2 2 2 2 4 4 2 3 2 2" xfId="47457"/>
    <cellStyle name="Normal 2 2 2 2 2 4 4 2 3 2 2 2" xfId="51336"/>
    <cellStyle name="Normal 2 2 2 2 2 4 4 2 3 3" xfId="29510"/>
    <cellStyle name="Normal 2 2 2 2 2 4 4 2 4" xfId="25595"/>
    <cellStyle name="Normal 2 2 2 2 2 4 4 2 4 2" xfId="37818"/>
    <cellStyle name="Normal 2 2 2 2 2 4 4 3" xfId="4370"/>
    <cellStyle name="Normal 2 2 2 2 2 4 4 3 2" xfId="15293"/>
    <cellStyle name="Normal 2 2 2 2 2 4 4 3 2 2" xfId="17962"/>
    <cellStyle name="Normal 2 2 2 2 2 4 4 3 2 2 2" xfId="50628"/>
    <cellStyle name="Normal 2 2 2 2 2 4 4 3 2 2 2 2" xfId="53289"/>
    <cellStyle name="Normal 2 2 2 2 2 4 4 3 2 3" xfId="31464"/>
    <cellStyle name="Normal 2 2 2 2 2 4 4 3 3" xfId="28802"/>
    <cellStyle name="Normal 2 2 2 2 2 4 4 3 3 2" xfId="39812"/>
    <cellStyle name="Normal 2 2 2 2 2 4 4 4" xfId="9570"/>
    <cellStyle name="Normal 2 2 2 2 2 4 4 4 2" xfId="37104"/>
    <cellStyle name="Normal 2 2 2 2 2 4 4 4 2 2" xfId="44952"/>
    <cellStyle name="Normal 2 2 2 2 2 4 4 5" xfId="23071"/>
    <cellStyle name="Normal 2 2 2 2 2 4 5" xfId="3622"/>
    <cellStyle name="Normal 2 2 2 2 2 4 5 2" xfId="5581"/>
    <cellStyle name="Normal 2 2 2 2 2 4 5 2 2" xfId="17254"/>
    <cellStyle name="Normal 2 2 2 2 2 4 5 2 2 2" xfId="19153"/>
    <cellStyle name="Normal 2 2 2 2 2 4 5 2 2 2 2" xfId="52581"/>
    <cellStyle name="Normal 2 2 2 2 2 4 5 2 2 2 2 2" xfId="54479"/>
    <cellStyle name="Normal 2 2 2 2 2 4 5 2 2 3" xfId="32654"/>
    <cellStyle name="Normal 2 2 2 2 2 4 5 2 3" xfId="30755"/>
    <cellStyle name="Normal 2 2 2 2 2 4 5 2 3 2" xfId="41017"/>
    <cellStyle name="Normal 2 2 2 2 2 4 5 3" xfId="10790"/>
    <cellStyle name="Normal 2 2 2 2 2 4 5 3 2" xfId="39077"/>
    <cellStyle name="Normal 2 2 2 2 2 4 5 3 2 2" xfId="46152"/>
    <cellStyle name="Normal 2 2 2 2 2 4 5 4" xfId="24279"/>
    <cellStyle name="Normal 2 2 2 2 2 4 6" xfId="8817"/>
    <cellStyle name="Normal 2 2 2 2 2 4 6 2" xfId="13965"/>
    <cellStyle name="Normal 2 2 2 2 2 4 6 2 2" xfId="44225"/>
    <cellStyle name="Normal 2 2 2 2 2 4 6 2 2 2" xfId="49311"/>
    <cellStyle name="Normal 2 2 2 2 2 4 6 3" xfId="27455"/>
    <cellStyle name="Normal 2 2 2 2 2 4 7" xfId="22332"/>
    <cellStyle name="Normal 2 2 2 2 2 4 7 2" xfId="35777"/>
    <cellStyle name="Normal 2 2 2 2 2 5" xfId="340"/>
    <cellStyle name="Normal 2 2 2 2 2 5 2" xfId="1004"/>
    <cellStyle name="Normal 2 2 2 2 2 5 2 2" xfId="1198"/>
    <cellStyle name="Normal 2 2 2 2 2 5 2 2 2" xfId="3041"/>
    <cellStyle name="Normal 2 2 2 2 2 5 2 2 2 2" xfId="3218"/>
    <cellStyle name="Normal 2 2 2 2 2 5 2 2 2 2 2" xfId="8256"/>
    <cellStyle name="Normal 2 2 2 2 2 5 2 2 2 2 2 2" xfId="8433"/>
    <cellStyle name="Normal 2 2 2 2 2 5 2 2 2 2 2 2 2" xfId="21808"/>
    <cellStyle name="Normal 2 2 2 2 2 5 2 2 2 2 2 2 2 2" xfId="21985"/>
    <cellStyle name="Normal 2 2 2 2 2 5 2 2 2 2 2 2 2 2 2" xfId="57134"/>
    <cellStyle name="Normal 2 2 2 2 2 5 2 2 2 2 2 2 2 2 2 2" xfId="57311"/>
    <cellStyle name="Normal 2 2 2 2 2 5 2 2 2 2 2 2 2 3" xfId="35488"/>
    <cellStyle name="Normal 2 2 2 2 2 5 2 2 2 2 2 2 3" xfId="35311"/>
    <cellStyle name="Normal 2 2 2 2 2 5 2 2 2 2 2 2 3 2" xfId="43860"/>
    <cellStyle name="Normal 2 2 2 2 2 5 2 2 2 2 2 3" xfId="13658"/>
    <cellStyle name="Normal 2 2 2 2 2 5 2 2 2 2 2 3 2" xfId="43683"/>
    <cellStyle name="Normal 2 2 2 2 2 5 2 2 2 2 2 3 2 2" xfId="49004"/>
    <cellStyle name="Normal 2 2 2 2 2 5 2 2 2 2 2 4" xfId="27143"/>
    <cellStyle name="Normal 2 2 2 2 2 5 2 2 2 2 3" xfId="13481"/>
    <cellStyle name="Normal 2 2 2 2 2 5 2 2 2 2 3 2" xfId="16875"/>
    <cellStyle name="Normal 2 2 2 2 2 5 2 2 2 2 3 2 2" xfId="48827"/>
    <cellStyle name="Normal 2 2 2 2 2 5 2 2 2 2 3 2 2 2" xfId="52203"/>
    <cellStyle name="Normal 2 2 2 2 2 5 2 2 2 2 3 3" xfId="30377"/>
    <cellStyle name="Normal 2 2 2 2 2 5 2 2 2 2 4" xfId="26966"/>
    <cellStyle name="Normal 2 2 2 2 2 5 2 2 2 2 4 2" xfId="38687"/>
    <cellStyle name="Normal 2 2 2 2 2 5 2 2 2 3" xfId="5255"/>
    <cellStyle name="Normal 2 2 2 2 2 5 2 2 2 3 2" xfId="16698"/>
    <cellStyle name="Normal 2 2 2 2 2 5 2 2 2 3 2 2" xfId="18828"/>
    <cellStyle name="Normal 2 2 2 2 2 5 2 2 2 3 2 2 2" xfId="52026"/>
    <cellStyle name="Normal 2 2 2 2 2 5 2 2 2 3 2 2 2 2" xfId="54154"/>
    <cellStyle name="Normal 2 2 2 2 2 5 2 2 2 3 2 3" xfId="32329"/>
    <cellStyle name="Normal 2 2 2 2 2 5 2 2 2 3 3" xfId="30200"/>
    <cellStyle name="Normal 2 2 2 2 2 5 2 2 2 3 3 2" xfId="40692"/>
    <cellStyle name="Normal 2 2 2 2 2 5 2 2 2 4" xfId="10458"/>
    <cellStyle name="Normal 2 2 2 2 2 5 2 2 2 4 2" xfId="38510"/>
    <cellStyle name="Normal 2 2 2 2 2 5 2 2 2 4 2 2" xfId="45821"/>
    <cellStyle name="Normal 2 2 2 2 2 5 2 2 2 5" xfId="23944"/>
    <cellStyle name="Normal 2 2 2 2 2 5 2 2 3" xfId="5078"/>
    <cellStyle name="Normal 2 2 2 2 2 5 2 2 3 2" xfId="6506"/>
    <cellStyle name="Normal 2 2 2 2 2 5 2 2 3 2 2" xfId="18651"/>
    <cellStyle name="Normal 2 2 2 2 2 5 2 2 3 2 2 2" xfId="20060"/>
    <cellStyle name="Normal 2 2 2 2 2 5 2 2 3 2 2 2 2" xfId="53977"/>
    <cellStyle name="Normal 2 2 2 2 2 5 2 2 3 2 2 2 2 2" xfId="55386"/>
    <cellStyle name="Normal 2 2 2 2 2 5 2 2 3 2 2 3" xfId="33562"/>
    <cellStyle name="Normal 2 2 2 2 2 5 2 2 3 2 3" xfId="32152"/>
    <cellStyle name="Normal 2 2 2 2 2 5 2 2 3 2 3 2" xfId="41934"/>
    <cellStyle name="Normal 2 2 2 2 2 5 2 2 3 3" xfId="11730"/>
    <cellStyle name="Normal 2 2 2 2 2 5 2 2 3 3 2" xfId="40515"/>
    <cellStyle name="Normal 2 2 2 2 2 5 2 2 3 3 2 2" xfId="47078"/>
    <cellStyle name="Normal 2 2 2 2 2 5 2 2 3 4" xfId="25215"/>
    <cellStyle name="Normal 2 2 2 2 2 5 2 2 4" xfId="10281"/>
    <cellStyle name="Normal 2 2 2 2 2 5 2 2 4 2" xfId="14888"/>
    <cellStyle name="Normal 2 2 2 2 2 5 2 2 4 2 2" xfId="45644"/>
    <cellStyle name="Normal 2 2 2 2 2 5 2 2 4 2 2 2" xfId="50227"/>
    <cellStyle name="Normal 2 2 2 2 2 5 2 2 4 3" xfId="28401"/>
    <cellStyle name="Normal 2 2 2 2 2 5 2 2 5" xfId="23767"/>
    <cellStyle name="Normal 2 2 2 2 2 5 2 2 5 2" xfId="36696"/>
    <cellStyle name="Normal 2 2 2 2 2 5 2 3" xfId="2006"/>
    <cellStyle name="Normal 2 2 2 2 2 5 2 3 2" xfId="6314"/>
    <cellStyle name="Normal 2 2 2 2 2 5 2 3 2 2" xfId="7240"/>
    <cellStyle name="Normal 2 2 2 2 2 5 2 3 2 2 2" xfId="19871"/>
    <cellStyle name="Normal 2 2 2 2 2 5 2 3 2 2 2 2" xfId="20792"/>
    <cellStyle name="Normal 2 2 2 2 2 5 2 3 2 2 2 2 2" xfId="55197"/>
    <cellStyle name="Normal 2 2 2 2 2 5 2 3 2 2 2 2 2 2" xfId="56118"/>
    <cellStyle name="Normal 2 2 2 2 2 5 2 3 2 2 2 3" xfId="34295"/>
    <cellStyle name="Normal 2 2 2 2 2 5 2 3 2 2 3" xfId="33373"/>
    <cellStyle name="Normal 2 2 2 2 2 5 2 3 2 2 3 2" xfId="42667"/>
    <cellStyle name="Normal 2 2 2 2 2 5 2 3 2 3" xfId="12465"/>
    <cellStyle name="Normal 2 2 2 2 2 5 2 3 2 3 2" xfId="41743"/>
    <cellStyle name="Normal 2 2 2 2 2 5 2 3 2 3 2 2" xfId="47811"/>
    <cellStyle name="Normal 2 2 2 2 2 5 2 3 2 4" xfId="25949"/>
    <cellStyle name="Normal 2 2 2 2 2 5 2 3 3" xfId="11540"/>
    <cellStyle name="Normal 2 2 2 2 2 5 2 3 3 2" xfId="15670"/>
    <cellStyle name="Normal 2 2 2 2 2 5 2 3 3 2 2" xfId="46889"/>
    <cellStyle name="Normal 2 2 2 2 2 5 2 3 3 2 2 2" xfId="51002"/>
    <cellStyle name="Normal 2 2 2 2 2 5 2 3 3 3" xfId="29176"/>
    <cellStyle name="Normal 2 2 2 2 2 5 2 3 4" xfId="25026"/>
    <cellStyle name="Normal 2 2 2 2 2 5 2 3 4 2" xfId="37484"/>
    <cellStyle name="Normal 2 2 2 2 2 5 2 4" xfId="4020"/>
    <cellStyle name="Normal 2 2 2 2 2 5 2 4 2" xfId="14697"/>
    <cellStyle name="Normal 2 2 2 2 2 5 2 4 2 2" xfId="17615"/>
    <cellStyle name="Normal 2 2 2 2 2 5 2 4 2 2 2" xfId="50036"/>
    <cellStyle name="Normal 2 2 2 2 2 5 2 4 2 2 2 2" xfId="52942"/>
    <cellStyle name="Normal 2 2 2 2 2 5 2 4 2 3" xfId="31117"/>
    <cellStyle name="Normal 2 2 2 2 2 5 2 4 3" xfId="28209"/>
    <cellStyle name="Normal 2 2 2 2 2 5 2 4 3 2" xfId="39464"/>
    <cellStyle name="Normal 2 2 2 2 2 5 2 5" xfId="9212"/>
    <cellStyle name="Normal 2 2 2 2 2 5 2 5 2" xfId="36505"/>
    <cellStyle name="Normal 2 2 2 2 2 5 2 5 2 2" xfId="44595"/>
    <cellStyle name="Normal 2 2 2 2 2 5 2 6" xfId="22709"/>
    <cellStyle name="Normal 2 2 2 2 2 5 3" xfId="1804"/>
    <cellStyle name="Normal 2 2 2 2 2 5 3 2" xfId="2453"/>
    <cellStyle name="Normal 2 2 2 2 2 5 3 2 2" xfId="7056"/>
    <cellStyle name="Normal 2 2 2 2 2 5 3 2 2 2" xfId="7685"/>
    <cellStyle name="Normal 2 2 2 2 2 5 3 2 2 2 2" xfId="20609"/>
    <cellStyle name="Normal 2 2 2 2 2 5 3 2 2 2 2 2" xfId="21237"/>
    <cellStyle name="Normal 2 2 2 2 2 5 3 2 2 2 2 2 2" xfId="55935"/>
    <cellStyle name="Normal 2 2 2 2 2 5 3 2 2 2 2 2 2 2" xfId="56563"/>
    <cellStyle name="Normal 2 2 2 2 2 5 3 2 2 2 2 3" xfId="34740"/>
    <cellStyle name="Normal 2 2 2 2 2 5 3 2 2 2 3" xfId="34111"/>
    <cellStyle name="Normal 2 2 2 2 2 5 3 2 2 2 3 2" xfId="43112"/>
    <cellStyle name="Normal 2 2 2 2 2 5 3 2 2 3" xfId="12910"/>
    <cellStyle name="Normal 2 2 2 2 2 5 3 2 2 3 2" xfId="42484"/>
    <cellStyle name="Normal 2 2 2 2 2 5 3 2 2 3 2 2" xfId="48256"/>
    <cellStyle name="Normal 2 2 2 2 2 5 3 2 2 4" xfId="26394"/>
    <cellStyle name="Normal 2 2 2 2 2 5 3 2 3" xfId="12280"/>
    <cellStyle name="Normal 2 2 2 2 2 5 3 2 3 2" xfId="16116"/>
    <cellStyle name="Normal 2 2 2 2 2 5 3 2 3 2 2" xfId="47627"/>
    <cellStyle name="Normal 2 2 2 2 2 5 3 2 3 2 2 2" xfId="51448"/>
    <cellStyle name="Normal 2 2 2 2 2 5 3 2 3 3" xfId="29622"/>
    <cellStyle name="Normal 2 2 2 2 2 5 3 2 4" xfId="25765"/>
    <cellStyle name="Normal 2 2 2 2 2 5 3 2 4 2" xfId="37931"/>
    <cellStyle name="Normal 2 2 2 2 2 5 3 3" xfId="4488"/>
    <cellStyle name="Normal 2 2 2 2 2 5 3 3 2" xfId="15476"/>
    <cellStyle name="Normal 2 2 2 2 2 5 3 3 2 2" xfId="18078"/>
    <cellStyle name="Normal 2 2 2 2 2 5 3 3 2 2 2" xfId="50809"/>
    <cellStyle name="Normal 2 2 2 2 2 5 3 3 2 2 2 2" xfId="53404"/>
    <cellStyle name="Normal 2 2 2 2 2 5 3 3 2 3" xfId="31579"/>
    <cellStyle name="Normal 2 2 2 2 2 5 3 3 3" xfId="28983"/>
    <cellStyle name="Normal 2 2 2 2 2 5 3 3 3 2" xfId="39930"/>
    <cellStyle name="Normal 2 2 2 2 2 5 3 4" xfId="9693"/>
    <cellStyle name="Normal 2 2 2 2 2 5 3 4 2" xfId="37286"/>
    <cellStyle name="Normal 2 2 2 2 2 5 3 4 2 2" xfId="45071"/>
    <cellStyle name="Normal 2 2 2 2 2 5 3 5" xfId="23194"/>
    <cellStyle name="Normal 2 2 2 2 2 5 4" xfId="3811"/>
    <cellStyle name="Normal 2 2 2 2 2 5 4 2" xfId="5695"/>
    <cellStyle name="Normal 2 2 2 2 2 5 4 2 2" xfId="17426"/>
    <cellStyle name="Normal 2 2 2 2 2 5 4 2 2 2" xfId="19267"/>
    <cellStyle name="Normal 2 2 2 2 2 5 4 2 2 2 2" xfId="52753"/>
    <cellStyle name="Normal 2 2 2 2 2 5 4 2 2 2 2 2" xfId="54593"/>
    <cellStyle name="Normal 2 2 2 2 2 5 4 2 2 3" xfId="32768"/>
    <cellStyle name="Normal 2 2 2 2 2 5 4 2 3" xfId="30927"/>
    <cellStyle name="Normal 2 2 2 2 2 5 4 2 3 2" xfId="41131"/>
    <cellStyle name="Normal 2 2 2 2 2 5 4 3" xfId="10913"/>
    <cellStyle name="Normal 2 2 2 2 2 5 4 3 2" xfId="39261"/>
    <cellStyle name="Normal 2 2 2 2 2 5 4 3 2 2" xfId="46275"/>
    <cellStyle name="Normal 2 2 2 2 2 5 4 4" xfId="24406"/>
    <cellStyle name="Normal 2 2 2 2 2 5 5" xfId="9002"/>
    <cellStyle name="Normal 2 2 2 2 2 5 5 2" xfId="14080"/>
    <cellStyle name="Normal 2 2 2 2 2 5 5 2 2" xfId="44400"/>
    <cellStyle name="Normal 2 2 2 2 2 5 5 2 2 2" xfId="49426"/>
    <cellStyle name="Normal 2 2 2 2 2 5 5 3" xfId="27579"/>
    <cellStyle name="Normal 2 2 2 2 2 5 6" xfId="22509"/>
    <cellStyle name="Normal 2 2 2 2 2 5 6 2" xfId="35892"/>
    <cellStyle name="Normal 2 2 2 2 2 6" xfId="432"/>
    <cellStyle name="Normal 2 2 2 2 2 6 2" xfId="2268"/>
    <cellStyle name="Normal 2 2 2 2 2 6 2 2" xfId="2533"/>
    <cellStyle name="Normal 2 2 2 2 2 6 2 2 2" xfId="7502"/>
    <cellStyle name="Normal 2 2 2 2 2 6 2 2 2 2" xfId="7758"/>
    <cellStyle name="Normal 2 2 2 2 2 6 2 2 2 2 2" xfId="21054"/>
    <cellStyle name="Normal 2 2 2 2 2 6 2 2 2 2 2 2" xfId="21310"/>
    <cellStyle name="Normal 2 2 2 2 2 6 2 2 2 2 2 2 2" xfId="56380"/>
    <cellStyle name="Normal 2 2 2 2 2 6 2 2 2 2 2 2 2 2" xfId="56636"/>
    <cellStyle name="Normal 2 2 2 2 2 6 2 2 2 2 2 3" xfId="34813"/>
    <cellStyle name="Normal 2 2 2 2 2 6 2 2 2 2 3" xfId="34557"/>
    <cellStyle name="Normal 2 2 2 2 2 6 2 2 2 2 3 2" xfId="43185"/>
    <cellStyle name="Normal 2 2 2 2 2 6 2 2 2 3" xfId="12983"/>
    <cellStyle name="Normal 2 2 2 2 2 6 2 2 2 3 2" xfId="42929"/>
    <cellStyle name="Normal 2 2 2 2 2 6 2 2 2 3 2 2" xfId="48329"/>
    <cellStyle name="Normal 2 2 2 2 2 6 2 2 2 4" xfId="26467"/>
    <cellStyle name="Normal 2 2 2 2 2 6 2 2 3" xfId="12727"/>
    <cellStyle name="Normal 2 2 2 2 2 6 2 2 3 2" xfId="16194"/>
    <cellStyle name="Normal 2 2 2 2 2 6 2 2 3 2 2" xfId="48073"/>
    <cellStyle name="Normal 2 2 2 2 2 6 2 2 3 2 2 2" xfId="51525"/>
    <cellStyle name="Normal 2 2 2 2 2 6 2 2 3 3" xfId="29699"/>
    <cellStyle name="Normal 2 2 2 2 2 6 2 2 4" xfId="26211"/>
    <cellStyle name="Normal 2 2 2 2 2 6 2 2 4 2" xfId="38008"/>
    <cellStyle name="Normal 2 2 2 2 2 6 2 3" xfId="4568"/>
    <cellStyle name="Normal 2 2 2 2 2 6 2 3 2" xfId="15932"/>
    <cellStyle name="Normal 2 2 2 2 2 6 2 3 2 2" xfId="18151"/>
    <cellStyle name="Normal 2 2 2 2 2 6 2 3 2 2 2" xfId="51264"/>
    <cellStyle name="Normal 2 2 2 2 2 6 2 3 2 2 2 2" xfId="53477"/>
    <cellStyle name="Normal 2 2 2 2 2 6 2 3 2 3" xfId="31652"/>
    <cellStyle name="Normal 2 2 2 2 2 6 2 3 3" xfId="29438"/>
    <cellStyle name="Normal 2 2 2 2 2 6 2 3 3 2" xfId="40009"/>
    <cellStyle name="Normal 2 2 2 2 2 6 2 4" xfId="9771"/>
    <cellStyle name="Normal 2 2 2 2 2 6 2 4 2" xfId="37746"/>
    <cellStyle name="Normal 2 2 2 2 2 6 2 4 2 2" xfId="45144"/>
    <cellStyle name="Normal 2 2 2 2 2 6 2 5" xfId="23267"/>
    <cellStyle name="Normal 2 2 2 2 2 6 3" xfId="4285"/>
    <cellStyle name="Normal 2 2 2 2 2 6 3 2" xfId="5775"/>
    <cellStyle name="Normal 2 2 2 2 2 6 3 2 2" xfId="17878"/>
    <cellStyle name="Normal 2 2 2 2 2 6 3 2 2 2" xfId="19343"/>
    <cellStyle name="Normal 2 2 2 2 2 6 3 2 2 2 2" xfId="53205"/>
    <cellStyle name="Normal 2 2 2 2 2 6 3 2 2 2 2 2" xfId="54669"/>
    <cellStyle name="Normal 2 2 2 2 2 6 3 2 2 3" xfId="32844"/>
    <cellStyle name="Normal 2 2 2 2 2 6 3 2 3" xfId="31380"/>
    <cellStyle name="Normal 2 2 2 2 2 6 3 2 3 2" xfId="41210"/>
    <cellStyle name="Normal 2 2 2 2 2 6 3 3" xfId="10995"/>
    <cellStyle name="Normal 2 2 2 2 2 6 3 3 2" xfId="39728"/>
    <cellStyle name="Normal 2 2 2 2 2 6 3 3 2 2" xfId="46354"/>
    <cellStyle name="Normal 2 2 2 2 2 6 3 4" xfId="24488"/>
    <cellStyle name="Normal 2 2 2 2 2 6 4" xfId="9476"/>
    <cellStyle name="Normal 2 2 2 2 2 6 4 2" xfId="14158"/>
    <cellStyle name="Normal 2 2 2 2 2 6 4 2 2" xfId="44858"/>
    <cellStyle name="Normal 2 2 2 2 2 6 4 2 2 2" xfId="49503"/>
    <cellStyle name="Normal 2 2 2 2 2 6 4 3" xfId="27660"/>
    <cellStyle name="Normal 2 2 2 2 2 6 5" xfId="22972"/>
    <cellStyle name="Normal 2 2 2 2 2 6 5 2" xfId="35969"/>
    <cellStyle name="Normal 2 2 2 2 2 7" xfId="173"/>
    <cellStyle name="Normal 2 2 2 2 2 7 2" xfId="3851"/>
    <cellStyle name="Normal 2 2 2 2 2 7 2 2" xfId="5554"/>
    <cellStyle name="Normal 2 2 2 2 2 7 2 2 2" xfId="17464"/>
    <cellStyle name="Normal 2 2 2 2 2 7 2 2 2 2" xfId="19127"/>
    <cellStyle name="Normal 2 2 2 2 2 7 2 2 2 2 2" xfId="52791"/>
    <cellStyle name="Normal 2 2 2 2 2 7 2 2 2 2 2 2" xfId="54453"/>
    <cellStyle name="Normal 2 2 2 2 2 7 2 2 2 3" xfId="32628"/>
    <cellStyle name="Normal 2 2 2 2 2 7 2 2 3" xfId="30965"/>
    <cellStyle name="Normal 2 2 2 2 2 7 2 2 3 2" xfId="40991"/>
    <cellStyle name="Normal 2 2 2 2 2 7 2 3" xfId="10764"/>
    <cellStyle name="Normal 2 2 2 2 2 7 2 3 2" xfId="39300"/>
    <cellStyle name="Normal 2 2 2 2 2 7 2 3 2 2" xfId="46126"/>
    <cellStyle name="Normal 2 2 2 2 2 7 2 4" xfId="24252"/>
    <cellStyle name="Normal 2 2 2 2 2 7 3" xfId="9043"/>
    <cellStyle name="Normal 2 2 2 2 2 7 3 2" xfId="13939"/>
    <cellStyle name="Normal 2 2 2 2 2 7 3 2 2" xfId="44440"/>
    <cellStyle name="Normal 2 2 2 2 2 7 3 2 2 2" xfId="49285"/>
    <cellStyle name="Normal 2 2 2 2 2 7 3 3" xfId="27427"/>
    <cellStyle name="Normal 2 2 2 2 2 7 4" xfId="22551"/>
    <cellStyle name="Normal 2 2 2 2 2 7 4 2" xfId="35751"/>
    <cellStyle name="Normal 2 2 2 2 2 8" xfId="1110"/>
    <cellStyle name="Normal 2 2 2 2 2 8 2" xfId="10951"/>
    <cellStyle name="Normal 2 2 2 2 2 8 2 2" xfId="14801"/>
    <cellStyle name="Normal 2 2 2 2 2 8 2 2 2" xfId="46310"/>
    <cellStyle name="Normal 2 2 2 2 2 8 2 2 2 2" xfId="50140"/>
    <cellStyle name="Normal 2 2 2 2 2 8 2 3" xfId="28313"/>
    <cellStyle name="Normal 2 2 2 2 2 8 3" xfId="24443"/>
    <cellStyle name="Normal 2 2 2 2 2 8 3 2" xfId="36609"/>
    <cellStyle name="Normal 2 2 2 2 2 9" xfId="1465"/>
    <cellStyle name="Normal 2 2 2 2 2 9 2" xfId="22303"/>
    <cellStyle name="Normal 2 2 2 2 2 9 2 2" xfId="36962"/>
    <cellStyle name="Normal 2 2 2 2 3" xfId="137"/>
    <cellStyle name="Normal 2 2 2 2 3 2" xfId="156"/>
    <cellStyle name="Normal 2 2 2 2 3 2 2" xfId="311"/>
    <cellStyle name="Normal 2 2 2 2 3 2 2 2" xfId="322"/>
    <cellStyle name="Normal 2 2 2 2 3 2 2 2 2" xfId="640"/>
    <cellStyle name="Normal 2 2 2 2 3 2 2 2 2 2" xfId="651"/>
    <cellStyle name="Normal 2 2 2 2 3 2 2 2 2 2 2" xfId="1436"/>
    <cellStyle name="Normal 2 2 2 2 3 2 2 2 2 2 2 2" xfId="1447"/>
    <cellStyle name="Normal 2 2 2 2 3 2 2 2 2 2 2 2 2" xfId="3454"/>
    <cellStyle name="Normal 2 2 2 2 3 2 2 2 2 2 2 2 2 2" xfId="3465"/>
    <cellStyle name="Normal 2 2 2 2 3 2 2 2 2 2 2 2 2 2 2" xfId="8669"/>
    <cellStyle name="Normal 2 2 2 2 3 2 2 2 2 2 2 2 2 2 2 2" xfId="8680"/>
    <cellStyle name="Normal 2 2 2 2 3 2 2 2 2 2 2 2 2 2 2 2 2" xfId="22221"/>
    <cellStyle name="Normal 2 2 2 2 3 2 2 2 2 2 2 2 2 2 2 2 2 2" xfId="22232"/>
    <cellStyle name="Normal 2 2 2 2 3 2 2 2 2 2 2 2 2 2 2 2 2 2 2" xfId="57547"/>
    <cellStyle name="Normal 2 2 2 2 3 2 2 2 2 2 2 2 2 2 2 2 2 2 2 2" xfId="57558"/>
    <cellStyle name="Normal 2 2 2 2 3 2 2 2 2 2 2 2 2 2 2 2 2 3" xfId="35735"/>
    <cellStyle name="Normal 2 2 2 2 3 2 2 2 2 2 2 2 2 2 2 2 3" xfId="35724"/>
    <cellStyle name="Normal 2 2 2 2 3 2 2 2 2 2 2 2 2 2 2 2 3 2" xfId="44107"/>
    <cellStyle name="Normal 2 2 2 2 3 2 2 2 2 2 2 2 2 2 2 3" xfId="13905"/>
    <cellStyle name="Normal 2 2 2 2 3 2 2 2 2 2 2 2 2 2 2 3 2" xfId="44096"/>
    <cellStyle name="Normal 2 2 2 2 3 2 2 2 2 2 2 2 2 2 2 3 2 2" xfId="49251"/>
    <cellStyle name="Normal 2 2 2 2 3 2 2 2 2 2 2 2 2 2 2 4" xfId="27390"/>
    <cellStyle name="Normal 2 2 2 2 3 2 2 2 2 2 2 2 2 2 3" xfId="13894"/>
    <cellStyle name="Normal 2 2 2 2 3 2 2 2 2 2 2 2 2 2 3 2" xfId="17122"/>
    <cellStyle name="Normal 2 2 2 2 3 2 2 2 2 2 2 2 2 2 3 2 2" xfId="49240"/>
    <cellStyle name="Normal 2 2 2 2 3 2 2 2 2 2 2 2 2 2 3 2 2 2" xfId="52450"/>
    <cellStyle name="Normal 2 2 2 2 3 2 2 2 2 2 2 2 2 2 3 3" xfId="30624"/>
    <cellStyle name="Normal 2 2 2 2 3 2 2 2 2 2 2 2 2 2 4" xfId="27379"/>
    <cellStyle name="Normal 2 2 2 2 3 2 2 2 2 2 2 2 2 2 4 2" xfId="38934"/>
    <cellStyle name="Normal 2 2 2 2 3 2 2 2 2 2 2 2 2 3" xfId="5502"/>
    <cellStyle name="Normal 2 2 2 2 3 2 2 2 2 2 2 2 2 3 2" xfId="17111"/>
    <cellStyle name="Normal 2 2 2 2 3 2 2 2 2 2 2 2 2 3 2 2" xfId="19075"/>
    <cellStyle name="Normal 2 2 2 2 3 2 2 2 2 2 2 2 2 3 2 2 2" xfId="52439"/>
    <cellStyle name="Normal 2 2 2 2 3 2 2 2 2 2 2 2 2 3 2 2 2 2" xfId="54401"/>
    <cellStyle name="Normal 2 2 2 2 3 2 2 2 2 2 2 2 2 3 2 3" xfId="32576"/>
    <cellStyle name="Normal 2 2 2 2 3 2 2 2 2 2 2 2 2 3 3" xfId="30613"/>
    <cellStyle name="Normal 2 2 2 2 3 2 2 2 2 2 2 2 2 3 3 2" xfId="40939"/>
    <cellStyle name="Normal 2 2 2 2 3 2 2 2 2 2 2 2 2 4" xfId="10705"/>
    <cellStyle name="Normal 2 2 2 2 3 2 2 2 2 2 2 2 2 4 2" xfId="38923"/>
    <cellStyle name="Normal 2 2 2 2 3 2 2 2 2 2 2 2 2 4 2 2" xfId="46068"/>
    <cellStyle name="Normal 2 2 2 2 3 2 2 2 2 2 2 2 2 5" xfId="24191"/>
    <cellStyle name="Normal 2 2 2 2 3 2 2 2 2 2 2 2 3" xfId="5491"/>
    <cellStyle name="Normal 2 2 2 2 3 2 2 2 2 2 2 2 3 2" xfId="6755"/>
    <cellStyle name="Normal 2 2 2 2 3 2 2 2 2 2 2 2 3 2 2" xfId="19064"/>
    <cellStyle name="Normal 2 2 2 2 3 2 2 2 2 2 2 2 3 2 2 2" xfId="20308"/>
    <cellStyle name="Normal 2 2 2 2 3 2 2 2 2 2 2 2 3 2 2 2 2" xfId="54390"/>
    <cellStyle name="Normal 2 2 2 2 3 2 2 2 2 2 2 2 3 2 2 2 2 2" xfId="55634"/>
    <cellStyle name="Normal 2 2 2 2 3 2 2 2 2 2 2 2 3 2 2 3" xfId="33810"/>
    <cellStyle name="Normal 2 2 2 2 3 2 2 2 2 2 2 2 3 2 3" xfId="32565"/>
    <cellStyle name="Normal 2 2 2 2 3 2 2 2 2 2 2 2 3 2 3 2" xfId="42183"/>
    <cellStyle name="Normal 2 2 2 2 3 2 2 2 2 2 2 2 3 3" xfId="11978"/>
    <cellStyle name="Normal 2 2 2 2 3 2 2 2 2 2 2 2 3 3 2" xfId="40928"/>
    <cellStyle name="Normal 2 2 2 2 3 2 2 2 2 2 2 2 3 3 2 2" xfId="47326"/>
    <cellStyle name="Normal 2 2 2 2 3 2 2 2 2 2 2 2 3 4" xfId="25463"/>
    <cellStyle name="Normal 2 2 2 2 3 2 2 2 2 2 2 2 4" xfId="10694"/>
    <cellStyle name="Normal 2 2 2 2 3 2 2 2 2 2 2 2 4 2" xfId="15136"/>
    <cellStyle name="Normal 2 2 2 2 3 2 2 2 2 2 2 2 4 2 2" xfId="46057"/>
    <cellStyle name="Normal 2 2 2 2 3 2 2 2 2 2 2 2 4 2 2 2" xfId="50475"/>
    <cellStyle name="Normal 2 2 2 2 3 2 2 2 2 2 2 2 4 3" xfId="28649"/>
    <cellStyle name="Normal 2 2 2 2 3 2 2 2 2 2 2 2 5" xfId="24180"/>
    <cellStyle name="Normal 2 2 2 2 3 2 2 2 2 2 2 2 5 2" xfId="36944"/>
    <cellStyle name="Normal 2 2 2 2 3 2 2 2 2 2 2 3" xfId="2254"/>
    <cellStyle name="Normal 2 2 2 2 3 2 2 2 2 2 2 3 2" xfId="6744"/>
    <cellStyle name="Normal 2 2 2 2 3 2 2 2 2 2 2 3 2 2" xfId="7488"/>
    <cellStyle name="Normal 2 2 2 2 3 2 2 2 2 2 2 3 2 2 2" xfId="20297"/>
    <cellStyle name="Normal 2 2 2 2 3 2 2 2 2 2 2 3 2 2 2 2" xfId="21040"/>
    <cellStyle name="Normal 2 2 2 2 3 2 2 2 2 2 2 3 2 2 2 2 2" xfId="55623"/>
    <cellStyle name="Normal 2 2 2 2 3 2 2 2 2 2 2 3 2 2 2 2 2 2" xfId="56366"/>
    <cellStyle name="Normal 2 2 2 2 3 2 2 2 2 2 2 3 2 2 2 3" xfId="34543"/>
    <cellStyle name="Normal 2 2 2 2 3 2 2 2 2 2 2 3 2 2 3" xfId="33799"/>
    <cellStyle name="Normal 2 2 2 2 3 2 2 2 2 2 2 3 2 2 3 2" xfId="42915"/>
    <cellStyle name="Normal 2 2 2 2 3 2 2 2 2 2 2 3 2 3" xfId="12713"/>
    <cellStyle name="Normal 2 2 2 2 3 2 2 2 2 2 2 3 2 3 2" xfId="42172"/>
    <cellStyle name="Normal 2 2 2 2 3 2 2 2 2 2 2 3 2 3 2 2" xfId="48059"/>
    <cellStyle name="Normal 2 2 2 2 3 2 2 2 2 2 2 3 2 4" xfId="26197"/>
    <cellStyle name="Normal 2 2 2 2 3 2 2 2 2 2 2 3 3" xfId="11967"/>
    <cellStyle name="Normal 2 2 2 2 3 2 2 2 2 2 2 3 3 2" xfId="15918"/>
    <cellStyle name="Normal 2 2 2 2 3 2 2 2 2 2 2 3 3 2 2" xfId="47315"/>
    <cellStyle name="Normal 2 2 2 2 3 2 2 2 2 2 2 3 3 2 2 2" xfId="51250"/>
    <cellStyle name="Normal 2 2 2 2 3 2 2 2 2 2 2 3 3 3" xfId="29424"/>
    <cellStyle name="Normal 2 2 2 2 3 2 2 2 2 2 2 3 4" xfId="25452"/>
    <cellStyle name="Normal 2 2 2 2 3 2 2 2 2 2 2 3 4 2" xfId="37732"/>
    <cellStyle name="Normal 2 2 2 2 3 2 2 2 2 2 2 4" xfId="4270"/>
    <cellStyle name="Normal 2 2 2 2 3 2 2 2 2 2 2 4 2" xfId="15125"/>
    <cellStyle name="Normal 2 2 2 2 3 2 2 2 2 2 2 4 2 2" xfId="17863"/>
    <cellStyle name="Normal 2 2 2 2 3 2 2 2 2 2 2 4 2 2 2" xfId="50464"/>
    <cellStyle name="Normal 2 2 2 2 3 2 2 2 2 2 2 4 2 2 2 2" xfId="53190"/>
    <cellStyle name="Normal 2 2 2 2 3 2 2 2 2 2 2 4 2 3" xfId="31365"/>
    <cellStyle name="Normal 2 2 2 2 3 2 2 2 2 2 2 4 3" xfId="28638"/>
    <cellStyle name="Normal 2 2 2 2 3 2 2 2 2 2 2 4 3 2" xfId="39713"/>
    <cellStyle name="Normal 2 2 2 2 3 2 2 2 2 2 2 5" xfId="9461"/>
    <cellStyle name="Normal 2 2 2 2 3 2 2 2 2 2 2 5 2" xfId="36933"/>
    <cellStyle name="Normal 2 2 2 2 3 2 2 2 2 2 2 5 2 2" xfId="44843"/>
    <cellStyle name="Normal 2 2 2 2 3 2 2 2 2 2 2 6" xfId="22957"/>
    <cellStyle name="Normal 2 2 2 2 3 2 2 2 2 2 3" xfId="2243"/>
    <cellStyle name="Normal 2 2 2 2 3 2 2 2 2 2 3 2" xfId="2741"/>
    <cellStyle name="Normal 2 2 2 2 3 2 2 2 2 2 3 2 2" xfId="7477"/>
    <cellStyle name="Normal 2 2 2 2 3 2 2 2 2 2 3 2 2 2" xfId="7960"/>
    <cellStyle name="Normal 2 2 2 2 3 2 2 2 2 2 3 2 2 2 2" xfId="21029"/>
    <cellStyle name="Normal 2 2 2 2 3 2 2 2 2 2 3 2 2 2 2 2" xfId="21512"/>
    <cellStyle name="Normal 2 2 2 2 3 2 2 2 2 2 3 2 2 2 2 2 2" xfId="56355"/>
    <cellStyle name="Normal 2 2 2 2 3 2 2 2 2 2 3 2 2 2 2 2 2 2" xfId="56838"/>
    <cellStyle name="Normal 2 2 2 2 3 2 2 2 2 2 3 2 2 2 2 3" xfId="35015"/>
    <cellStyle name="Normal 2 2 2 2 3 2 2 2 2 2 3 2 2 2 3" xfId="34532"/>
    <cellStyle name="Normal 2 2 2 2 3 2 2 2 2 2 3 2 2 2 3 2" xfId="43387"/>
    <cellStyle name="Normal 2 2 2 2 3 2 2 2 2 2 3 2 2 3" xfId="13185"/>
    <cellStyle name="Normal 2 2 2 2 3 2 2 2 2 2 3 2 2 3 2" xfId="42904"/>
    <cellStyle name="Normal 2 2 2 2 3 2 2 2 2 2 3 2 2 3 2 2" xfId="48531"/>
    <cellStyle name="Normal 2 2 2 2 3 2 2 2 2 2 3 2 2 4" xfId="26669"/>
    <cellStyle name="Normal 2 2 2 2 3 2 2 2 2 2 3 2 3" xfId="12702"/>
    <cellStyle name="Normal 2 2 2 2 3 2 2 2 2 2 3 2 3 2" xfId="16400"/>
    <cellStyle name="Normal 2 2 2 2 3 2 2 2 2 2 3 2 3 2 2" xfId="48048"/>
    <cellStyle name="Normal 2 2 2 2 3 2 2 2 2 2 3 2 3 2 2 2" xfId="51730"/>
    <cellStyle name="Normal 2 2 2 2 3 2 2 2 2 2 3 2 3 3" xfId="29904"/>
    <cellStyle name="Normal 2 2 2 2 3 2 2 2 2 2 3 2 4" xfId="26186"/>
    <cellStyle name="Normal 2 2 2 2 3 2 2 2 2 2 3 2 4 2" xfId="38214"/>
    <cellStyle name="Normal 2 2 2 2 3 2 2 2 2 2 3 3" xfId="4777"/>
    <cellStyle name="Normal 2 2 2 2 3 2 2 2 2 2 3 3 2" xfId="15907"/>
    <cellStyle name="Normal 2 2 2 2 3 2 2 2 2 2 3 3 2 2" xfId="18354"/>
    <cellStyle name="Normal 2 2 2 2 3 2 2 2 2 2 3 3 2 2 2" xfId="51239"/>
    <cellStyle name="Normal 2 2 2 2 3 2 2 2 2 2 3 3 2 2 2 2" xfId="53680"/>
    <cellStyle name="Normal 2 2 2 2 3 2 2 2 2 2 3 3 2 3" xfId="31855"/>
    <cellStyle name="Normal 2 2 2 2 3 2 2 2 2 2 3 3 3" xfId="29413"/>
    <cellStyle name="Normal 2 2 2 2 3 2 2 2 2 2 3 3 3 2" xfId="40215"/>
    <cellStyle name="Normal 2 2 2 2 3 2 2 2 2 2 3 4" xfId="9980"/>
    <cellStyle name="Normal 2 2 2 2 3 2 2 2 2 2 3 4 2" xfId="37721"/>
    <cellStyle name="Normal 2 2 2 2 3 2 2 2 2 2 3 4 2 2" xfId="45347"/>
    <cellStyle name="Normal 2 2 2 2 3 2 2 2 2 2 3 5" xfId="23470"/>
    <cellStyle name="Normal 2 2 2 2 3 2 2 2 2 2 4" xfId="4259"/>
    <cellStyle name="Normal 2 2 2 2 3 2 2 2 2 2 4 2" xfId="5982"/>
    <cellStyle name="Normal 2 2 2 2 3 2 2 2 2 2 4 2 2" xfId="17852"/>
    <cellStyle name="Normal 2 2 2 2 3 2 2 2 2 2 4 2 2 2" xfId="19549"/>
    <cellStyle name="Normal 2 2 2 2 3 2 2 2 2 2 4 2 2 2 2" xfId="53179"/>
    <cellStyle name="Normal 2 2 2 2 3 2 2 2 2 2 4 2 2 2 2 2" xfId="54875"/>
    <cellStyle name="Normal 2 2 2 2 3 2 2 2 2 2 4 2 2 3" xfId="33050"/>
    <cellStyle name="Normal 2 2 2 2 3 2 2 2 2 2 4 2 3" xfId="31354"/>
    <cellStyle name="Normal 2 2 2 2 3 2 2 2 2 2 4 2 3 2" xfId="41416"/>
    <cellStyle name="Normal 2 2 2 2 3 2 2 2 2 2 4 3" xfId="11207"/>
    <cellStyle name="Normal 2 2 2 2 3 2 2 2 2 2 4 3 2" xfId="39702"/>
    <cellStyle name="Normal 2 2 2 2 3 2 2 2 2 2 4 3 2 2" xfId="46565"/>
    <cellStyle name="Normal 2 2 2 2 3 2 2 2 2 2 4 4" xfId="24700"/>
    <cellStyle name="Normal 2 2 2 2 3 2 2 2 2 2 5" xfId="9450"/>
    <cellStyle name="Normal 2 2 2 2 3 2 2 2 2 2 5 2" xfId="14366"/>
    <cellStyle name="Normal 2 2 2 2 3 2 2 2 2 2 5 2 2" xfId="44832"/>
    <cellStyle name="Normal 2 2 2 2 3 2 2 2 2 2 5 2 2 2" xfId="49711"/>
    <cellStyle name="Normal 2 2 2 2 3 2 2 2 2 2 5 3" xfId="27876"/>
    <cellStyle name="Normal 2 2 2 2 3 2 2 2 2 2 6" xfId="22946"/>
    <cellStyle name="Normal 2 2 2 2 3 2 2 2 2 2 6 2" xfId="36178"/>
    <cellStyle name="Normal 2 2 2 2 3 2 2 2 2 3" xfId="979"/>
    <cellStyle name="Normal 2 2 2 2 3 2 2 2 2 3 2" xfId="2730"/>
    <cellStyle name="Normal 2 2 2 2 3 2 2 2 2 3 2 2" xfId="3017"/>
    <cellStyle name="Normal 2 2 2 2 3 2 2 2 2 3 2 2 2" xfId="7949"/>
    <cellStyle name="Normal 2 2 2 2 3 2 2 2 2 3 2 2 2 2" xfId="8232"/>
    <cellStyle name="Normal 2 2 2 2 3 2 2 2 2 3 2 2 2 2 2" xfId="21501"/>
    <cellStyle name="Normal 2 2 2 2 3 2 2 2 2 3 2 2 2 2 2 2" xfId="21784"/>
    <cellStyle name="Normal 2 2 2 2 3 2 2 2 2 3 2 2 2 2 2 2 2" xfId="56827"/>
    <cellStyle name="Normal 2 2 2 2 3 2 2 2 2 3 2 2 2 2 2 2 2 2" xfId="57110"/>
    <cellStyle name="Normal 2 2 2 2 3 2 2 2 2 3 2 2 2 2 2 3" xfId="35287"/>
    <cellStyle name="Normal 2 2 2 2 3 2 2 2 2 3 2 2 2 2 3" xfId="35004"/>
    <cellStyle name="Normal 2 2 2 2 3 2 2 2 2 3 2 2 2 2 3 2" xfId="43659"/>
    <cellStyle name="Normal 2 2 2 2 3 2 2 2 2 3 2 2 2 3" xfId="13457"/>
    <cellStyle name="Normal 2 2 2 2 3 2 2 2 2 3 2 2 2 3 2" xfId="43376"/>
    <cellStyle name="Normal 2 2 2 2 3 2 2 2 2 3 2 2 2 3 2 2" xfId="48803"/>
    <cellStyle name="Normal 2 2 2 2 3 2 2 2 2 3 2 2 2 4" xfId="26942"/>
    <cellStyle name="Normal 2 2 2 2 3 2 2 2 2 3 2 2 3" xfId="13174"/>
    <cellStyle name="Normal 2 2 2 2 3 2 2 2 2 3 2 2 3 2" xfId="16674"/>
    <cellStyle name="Normal 2 2 2 2 3 2 2 2 2 3 2 2 3 2 2" xfId="48520"/>
    <cellStyle name="Normal 2 2 2 2 3 2 2 2 2 3 2 2 3 2 2 2" xfId="52002"/>
    <cellStyle name="Normal 2 2 2 2 3 2 2 2 2 3 2 2 3 3" xfId="30176"/>
    <cellStyle name="Normal 2 2 2 2 3 2 2 2 2 3 2 2 4" xfId="26658"/>
    <cellStyle name="Normal 2 2 2 2 3 2 2 2 2 3 2 2 4 2" xfId="38486"/>
    <cellStyle name="Normal 2 2 2 2 3 2 2 2 2 3 2 3" xfId="5053"/>
    <cellStyle name="Normal 2 2 2 2 3 2 2 2 2 3 2 3 2" xfId="16389"/>
    <cellStyle name="Normal 2 2 2 2 3 2 2 2 2 3 2 3 2 2" xfId="18626"/>
    <cellStyle name="Normal 2 2 2 2 3 2 2 2 2 3 2 3 2 2 2" xfId="51719"/>
    <cellStyle name="Normal 2 2 2 2 3 2 2 2 2 3 2 3 2 2 2 2" xfId="53952"/>
    <cellStyle name="Normal 2 2 2 2 3 2 2 2 2 3 2 3 2 3" xfId="32127"/>
    <cellStyle name="Normal 2 2 2 2 3 2 2 2 2 3 2 3 3" xfId="29893"/>
    <cellStyle name="Normal 2 2 2 2 3 2 2 2 2 3 2 3 3 2" xfId="40490"/>
    <cellStyle name="Normal 2 2 2 2 3 2 2 2 2 3 2 4" xfId="10256"/>
    <cellStyle name="Normal 2 2 2 2 3 2 2 2 2 3 2 4 2" xfId="38203"/>
    <cellStyle name="Normal 2 2 2 2 3 2 2 2 2 3 2 4 2 2" xfId="45619"/>
    <cellStyle name="Normal 2 2 2 2 3 2 2 2 2 3 2 5" xfId="23742"/>
    <cellStyle name="Normal 2 2 2 2 3 2 2 2 2 3 3" xfId="4766"/>
    <cellStyle name="Normal 2 2 2 2 3 2 2 2 2 3 3 2" xfId="6290"/>
    <cellStyle name="Normal 2 2 2 2 3 2 2 2 2 3 3 2 2" xfId="18343"/>
    <cellStyle name="Normal 2 2 2 2 3 2 2 2 2 3 3 2 2 2" xfId="19847"/>
    <cellStyle name="Normal 2 2 2 2 3 2 2 2 2 3 3 2 2 2 2" xfId="53669"/>
    <cellStyle name="Normal 2 2 2 2 3 2 2 2 2 3 3 2 2 2 2 2" xfId="55173"/>
    <cellStyle name="Normal 2 2 2 2 3 2 2 2 2 3 3 2 2 3" xfId="33349"/>
    <cellStyle name="Normal 2 2 2 2 3 2 2 2 2 3 3 2 3" xfId="31844"/>
    <cellStyle name="Normal 2 2 2 2 3 2 2 2 2 3 3 2 3 2" xfId="41719"/>
    <cellStyle name="Normal 2 2 2 2 3 2 2 2 2 3 3 3" xfId="11515"/>
    <cellStyle name="Normal 2 2 2 2 3 2 2 2 2 3 3 3 2" xfId="40204"/>
    <cellStyle name="Normal 2 2 2 2 3 2 2 2 2 3 3 3 2 2" xfId="46864"/>
    <cellStyle name="Normal 2 2 2 2 3 2 2 2 2 3 3 4" xfId="25001"/>
    <cellStyle name="Normal 2 2 2 2 3 2 2 2 2 3 4" xfId="9969"/>
    <cellStyle name="Normal 2 2 2 2 3 2 2 2 2 3 4 2" xfId="14673"/>
    <cellStyle name="Normal 2 2 2 2 3 2 2 2 2 3 4 2 2" xfId="45336"/>
    <cellStyle name="Normal 2 2 2 2 3 2 2 2 2 3 4 2 2 2" xfId="50012"/>
    <cellStyle name="Normal 2 2 2 2 3 2 2 2 2 3 4 3" xfId="28184"/>
    <cellStyle name="Normal 2 2 2 2 3 2 2 2 2 3 5" xfId="23459"/>
    <cellStyle name="Normal 2 2 2 2 3 2 2 2 2 3 5 2" xfId="36481"/>
    <cellStyle name="Normal 2 2 2 2 3 2 2 2 2 4" xfId="1775"/>
    <cellStyle name="Normal 2 2 2 2 3 2 2 2 2 4 2" xfId="5971"/>
    <cellStyle name="Normal 2 2 2 2 3 2 2 2 2 4 2 2" xfId="7028"/>
    <cellStyle name="Normal 2 2 2 2 3 2 2 2 2 4 2 2 2" xfId="19538"/>
    <cellStyle name="Normal 2 2 2 2 3 2 2 2 2 4 2 2 2 2" xfId="20581"/>
    <cellStyle name="Normal 2 2 2 2 3 2 2 2 2 4 2 2 2 2 2" xfId="54864"/>
    <cellStyle name="Normal 2 2 2 2 3 2 2 2 2 4 2 2 2 2 2 2" xfId="55907"/>
    <cellStyle name="Normal 2 2 2 2 3 2 2 2 2 4 2 2 2 3" xfId="34083"/>
    <cellStyle name="Normal 2 2 2 2 3 2 2 2 2 4 2 2 3" xfId="33039"/>
    <cellStyle name="Normal 2 2 2 2 3 2 2 2 2 4 2 2 3 2" xfId="42456"/>
    <cellStyle name="Normal 2 2 2 2 3 2 2 2 2 4 2 3" xfId="12252"/>
    <cellStyle name="Normal 2 2 2 2 3 2 2 2 2 4 2 3 2" xfId="41405"/>
    <cellStyle name="Normal 2 2 2 2 3 2 2 2 2 4 2 3 2 2" xfId="47599"/>
    <cellStyle name="Normal 2 2 2 2 3 2 2 2 2 4 2 4" xfId="25737"/>
    <cellStyle name="Normal 2 2 2 2 3 2 2 2 2 4 3" xfId="11196"/>
    <cellStyle name="Normal 2 2 2 2 3 2 2 2 2 4 3 2" xfId="15447"/>
    <cellStyle name="Normal 2 2 2 2 3 2 2 2 2 4 3 2 2" xfId="46554"/>
    <cellStyle name="Normal 2 2 2 2 3 2 2 2 2 4 3 2 2 2" xfId="50780"/>
    <cellStyle name="Normal 2 2 2 2 3 2 2 2 2 4 3 3" xfId="28954"/>
    <cellStyle name="Normal 2 2 2 2 3 2 2 2 2 4 4" xfId="24689"/>
    <cellStyle name="Normal 2 2 2 2 3 2 2 2 2 4 4 2" xfId="37257"/>
    <cellStyle name="Normal 2 2 2 2 3 2 2 2 2 5" xfId="3781"/>
    <cellStyle name="Normal 2 2 2 2 3 2 2 2 2 5 2" xfId="14355"/>
    <cellStyle name="Normal 2 2 2 2 3 2 2 2 2 5 2 2" xfId="17397"/>
    <cellStyle name="Normal 2 2 2 2 3 2 2 2 2 5 2 2 2" xfId="49700"/>
    <cellStyle name="Normal 2 2 2 2 3 2 2 2 2 5 2 2 2 2" xfId="52724"/>
    <cellStyle name="Normal 2 2 2 2 3 2 2 2 2 5 2 3" xfId="30898"/>
    <cellStyle name="Normal 2 2 2 2 3 2 2 2 2 5 3" xfId="27865"/>
    <cellStyle name="Normal 2 2 2 2 3 2 2 2 2 5 3 2" xfId="39232"/>
    <cellStyle name="Normal 2 2 2 2 3 2 2 2 2 6" xfId="8971"/>
    <cellStyle name="Normal 2 2 2 2 3 2 2 2 2 6 2" xfId="36167"/>
    <cellStyle name="Normal 2 2 2 2 3 2 2 2 2 6 2 2" xfId="44370"/>
    <cellStyle name="Normal 2 2 2 2 3 2 2 2 2 7" xfId="22478"/>
    <cellStyle name="Normal 2 2 2 2 3 2 2 2 3" xfId="968"/>
    <cellStyle name="Normal 2 2 2 2 3 2 2 2 3 2" xfId="1183"/>
    <cellStyle name="Normal 2 2 2 2 3 2 2 2 3 2 2" xfId="3006"/>
    <cellStyle name="Normal 2 2 2 2 3 2 2 2 3 2 2 2" xfId="3203"/>
    <cellStyle name="Normal 2 2 2 2 3 2 2 2 3 2 2 2 2" xfId="8221"/>
    <cellStyle name="Normal 2 2 2 2 3 2 2 2 3 2 2 2 2 2" xfId="8418"/>
    <cellStyle name="Normal 2 2 2 2 3 2 2 2 3 2 2 2 2 2 2" xfId="21773"/>
    <cellStyle name="Normal 2 2 2 2 3 2 2 2 3 2 2 2 2 2 2 2" xfId="21970"/>
    <cellStyle name="Normal 2 2 2 2 3 2 2 2 3 2 2 2 2 2 2 2 2" xfId="57099"/>
    <cellStyle name="Normal 2 2 2 2 3 2 2 2 3 2 2 2 2 2 2 2 2 2" xfId="57296"/>
    <cellStyle name="Normal 2 2 2 2 3 2 2 2 3 2 2 2 2 2 2 3" xfId="35473"/>
    <cellStyle name="Normal 2 2 2 2 3 2 2 2 3 2 2 2 2 2 3" xfId="35276"/>
    <cellStyle name="Normal 2 2 2 2 3 2 2 2 3 2 2 2 2 2 3 2" xfId="43845"/>
    <cellStyle name="Normal 2 2 2 2 3 2 2 2 3 2 2 2 2 3" xfId="13643"/>
    <cellStyle name="Normal 2 2 2 2 3 2 2 2 3 2 2 2 2 3 2" xfId="43648"/>
    <cellStyle name="Normal 2 2 2 2 3 2 2 2 3 2 2 2 2 3 2 2" xfId="48989"/>
    <cellStyle name="Normal 2 2 2 2 3 2 2 2 3 2 2 2 2 4" xfId="27128"/>
    <cellStyle name="Normal 2 2 2 2 3 2 2 2 3 2 2 2 3" xfId="13446"/>
    <cellStyle name="Normal 2 2 2 2 3 2 2 2 3 2 2 2 3 2" xfId="16860"/>
    <cellStyle name="Normal 2 2 2 2 3 2 2 2 3 2 2 2 3 2 2" xfId="48792"/>
    <cellStyle name="Normal 2 2 2 2 3 2 2 2 3 2 2 2 3 2 2 2" xfId="52188"/>
    <cellStyle name="Normal 2 2 2 2 3 2 2 2 3 2 2 2 3 3" xfId="30362"/>
    <cellStyle name="Normal 2 2 2 2 3 2 2 2 3 2 2 2 4" xfId="26931"/>
    <cellStyle name="Normal 2 2 2 2 3 2 2 2 3 2 2 2 4 2" xfId="38672"/>
    <cellStyle name="Normal 2 2 2 2 3 2 2 2 3 2 2 3" xfId="5240"/>
    <cellStyle name="Normal 2 2 2 2 3 2 2 2 3 2 2 3 2" xfId="16663"/>
    <cellStyle name="Normal 2 2 2 2 3 2 2 2 3 2 2 3 2 2" xfId="18813"/>
    <cellStyle name="Normal 2 2 2 2 3 2 2 2 3 2 2 3 2 2 2" xfId="51991"/>
    <cellStyle name="Normal 2 2 2 2 3 2 2 2 3 2 2 3 2 2 2 2" xfId="54139"/>
    <cellStyle name="Normal 2 2 2 2 3 2 2 2 3 2 2 3 2 3" xfId="32314"/>
    <cellStyle name="Normal 2 2 2 2 3 2 2 2 3 2 2 3 3" xfId="30165"/>
    <cellStyle name="Normal 2 2 2 2 3 2 2 2 3 2 2 3 3 2" xfId="40677"/>
    <cellStyle name="Normal 2 2 2 2 3 2 2 2 3 2 2 4" xfId="10443"/>
    <cellStyle name="Normal 2 2 2 2 3 2 2 2 3 2 2 4 2" xfId="38475"/>
    <cellStyle name="Normal 2 2 2 2 3 2 2 2 3 2 2 4 2 2" xfId="45806"/>
    <cellStyle name="Normal 2 2 2 2 3 2 2 2 3 2 2 5" xfId="23929"/>
    <cellStyle name="Normal 2 2 2 2 3 2 2 2 3 2 3" xfId="5042"/>
    <cellStyle name="Normal 2 2 2 2 3 2 2 2 3 2 3 2" xfId="6491"/>
    <cellStyle name="Normal 2 2 2 2 3 2 2 2 3 2 3 2 2" xfId="18615"/>
    <cellStyle name="Normal 2 2 2 2 3 2 2 2 3 2 3 2 2 2" xfId="20045"/>
    <cellStyle name="Normal 2 2 2 2 3 2 2 2 3 2 3 2 2 2 2" xfId="53941"/>
    <cellStyle name="Normal 2 2 2 2 3 2 2 2 3 2 3 2 2 2 2 2" xfId="55371"/>
    <cellStyle name="Normal 2 2 2 2 3 2 2 2 3 2 3 2 2 3" xfId="33547"/>
    <cellStyle name="Normal 2 2 2 2 3 2 2 2 3 2 3 2 3" xfId="32116"/>
    <cellStyle name="Normal 2 2 2 2 3 2 2 2 3 2 3 2 3 2" xfId="41919"/>
    <cellStyle name="Normal 2 2 2 2 3 2 2 2 3 2 3 3" xfId="11715"/>
    <cellStyle name="Normal 2 2 2 2 3 2 2 2 3 2 3 3 2" xfId="40479"/>
    <cellStyle name="Normal 2 2 2 2 3 2 2 2 3 2 3 3 2 2" xfId="47063"/>
    <cellStyle name="Normal 2 2 2 2 3 2 2 2 3 2 3 4" xfId="25200"/>
    <cellStyle name="Normal 2 2 2 2 3 2 2 2 3 2 4" xfId="10245"/>
    <cellStyle name="Normal 2 2 2 2 3 2 2 2 3 2 4 2" xfId="14873"/>
    <cellStyle name="Normal 2 2 2 2 3 2 2 2 3 2 4 2 2" xfId="45608"/>
    <cellStyle name="Normal 2 2 2 2 3 2 2 2 3 2 4 2 2 2" xfId="50212"/>
    <cellStyle name="Normal 2 2 2 2 3 2 2 2 3 2 4 3" xfId="28386"/>
    <cellStyle name="Normal 2 2 2 2 3 2 2 2 3 2 5" xfId="23731"/>
    <cellStyle name="Normal 2 2 2 2 3 2 2 2 3 2 5 2" xfId="36681"/>
    <cellStyle name="Normal 2 2 2 2 3 2 2 2 3 3" xfId="1991"/>
    <cellStyle name="Normal 2 2 2 2 3 2 2 2 3 3 2" xfId="6279"/>
    <cellStyle name="Normal 2 2 2 2 3 2 2 2 3 3 2 2" xfId="7225"/>
    <cellStyle name="Normal 2 2 2 2 3 2 2 2 3 3 2 2 2" xfId="19836"/>
    <cellStyle name="Normal 2 2 2 2 3 2 2 2 3 3 2 2 2 2" xfId="20777"/>
    <cellStyle name="Normal 2 2 2 2 3 2 2 2 3 3 2 2 2 2 2" xfId="55162"/>
    <cellStyle name="Normal 2 2 2 2 3 2 2 2 3 3 2 2 2 2 2 2" xfId="56103"/>
    <cellStyle name="Normal 2 2 2 2 3 2 2 2 3 3 2 2 2 3" xfId="34280"/>
    <cellStyle name="Normal 2 2 2 2 3 2 2 2 3 3 2 2 3" xfId="33338"/>
    <cellStyle name="Normal 2 2 2 2 3 2 2 2 3 3 2 2 3 2" xfId="42652"/>
    <cellStyle name="Normal 2 2 2 2 3 2 2 2 3 3 2 3" xfId="12450"/>
    <cellStyle name="Normal 2 2 2 2 3 2 2 2 3 3 2 3 2" xfId="41708"/>
    <cellStyle name="Normal 2 2 2 2 3 2 2 2 3 3 2 3 2 2" xfId="47796"/>
    <cellStyle name="Normal 2 2 2 2 3 2 2 2 3 3 2 4" xfId="25934"/>
    <cellStyle name="Normal 2 2 2 2 3 2 2 2 3 3 3" xfId="11504"/>
    <cellStyle name="Normal 2 2 2 2 3 2 2 2 3 3 3 2" xfId="15655"/>
    <cellStyle name="Normal 2 2 2 2 3 2 2 2 3 3 3 2 2" xfId="46853"/>
    <cellStyle name="Normal 2 2 2 2 3 2 2 2 3 3 3 2 2 2" xfId="50987"/>
    <cellStyle name="Normal 2 2 2 2 3 2 2 2 3 3 3 3" xfId="29161"/>
    <cellStyle name="Normal 2 2 2 2 3 2 2 2 3 3 4" xfId="24990"/>
    <cellStyle name="Normal 2 2 2 2 3 2 2 2 3 3 4 2" xfId="37469"/>
    <cellStyle name="Normal 2 2 2 2 3 2 2 2 3 4" xfId="4005"/>
    <cellStyle name="Normal 2 2 2 2 3 2 2 2 3 4 2" xfId="14662"/>
    <cellStyle name="Normal 2 2 2 2 3 2 2 2 3 4 2 2" xfId="17600"/>
    <cellStyle name="Normal 2 2 2 2 3 2 2 2 3 4 2 2 2" xfId="50001"/>
    <cellStyle name="Normal 2 2 2 2 3 2 2 2 3 4 2 2 2 2" xfId="52927"/>
    <cellStyle name="Normal 2 2 2 2 3 2 2 2 3 4 2 3" xfId="31102"/>
    <cellStyle name="Normal 2 2 2 2 3 2 2 2 3 4 3" xfId="28173"/>
    <cellStyle name="Normal 2 2 2 2 3 2 2 2 3 4 3 2" xfId="39449"/>
    <cellStyle name="Normal 2 2 2 2 3 2 2 2 3 5" xfId="9197"/>
    <cellStyle name="Normal 2 2 2 2 3 2 2 2 3 5 2" xfId="36470"/>
    <cellStyle name="Normal 2 2 2 2 3 2 2 2 3 5 2 2" xfId="44580"/>
    <cellStyle name="Normal 2 2 2 2 3 2 2 2 3 6" xfId="22694"/>
    <cellStyle name="Normal 2 2 2 2 3 2 2 2 4" xfId="1764"/>
    <cellStyle name="Normal 2 2 2 2 3 2 2 2 4 2" xfId="2436"/>
    <cellStyle name="Normal 2 2 2 2 3 2 2 2 4 2 2" xfId="7017"/>
    <cellStyle name="Normal 2 2 2 2 3 2 2 2 4 2 2 2" xfId="7668"/>
    <cellStyle name="Normal 2 2 2 2 3 2 2 2 4 2 2 2 2" xfId="20570"/>
    <cellStyle name="Normal 2 2 2 2 3 2 2 2 4 2 2 2 2 2" xfId="21220"/>
    <cellStyle name="Normal 2 2 2 2 3 2 2 2 4 2 2 2 2 2 2" xfId="55896"/>
    <cellStyle name="Normal 2 2 2 2 3 2 2 2 4 2 2 2 2 2 2 2" xfId="56546"/>
    <cellStyle name="Normal 2 2 2 2 3 2 2 2 4 2 2 2 2 3" xfId="34723"/>
    <cellStyle name="Normal 2 2 2 2 3 2 2 2 4 2 2 2 3" xfId="34072"/>
    <cellStyle name="Normal 2 2 2 2 3 2 2 2 4 2 2 2 3 2" xfId="43095"/>
    <cellStyle name="Normal 2 2 2 2 3 2 2 2 4 2 2 3" xfId="12893"/>
    <cellStyle name="Normal 2 2 2 2 3 2 2 2 4 2 2 3 2" xfId="42445"/>
    <cellStyle name="Normal 2 2 2 2 3 2 2 2 4 2 2 3 2 2" xfId="48239"/>
    <cellStyle name="Normal 2 2 2 2 3 2 2 2 4 2 2 4" xfId="26377"/>
    <cellStyle name="Normal 2 2 2 2 3 2 2 2 4 2 3" xfId="12241"/>
    <cellStyle name="Normal 2 2 2 2 3 2 2 2 4 2 3 2" xfId="16099"/>
    <cellStyle name="Normal 2 2 2 2 3 2 2 2 4 2 3 2 2" xfId="47588"/>
    <cellStyle name="Normal 2 2 2 2 3 2 2 2 4 2 3 2 2 2" xfId="51431"/>
    <cellStyle name="Normal 2 2 2 2 3 2 2 2 4 2 3 3" xfId="29605"/>
    <cellStyle name="Normal 2 2 2 2 3 2 2 2 4 2 4" xfId="25726"/>
    <cellStyle name="Normal 2 2 2 2 3 2 2 2 4 2 4 2" xfId="37914"/>
    <cellStyle name="Normal 2 2 2 2 3 2 2 2 4 3" xfId="4471"/>
    <cellStyle name="Normal 2 2 2 2 3 2 2 2 4 3 2" xfId="15436"/>
    <cellStyle name="Normal 2 2 2 2 3 2 2 2 4 3 2 2" xfId="18061"/>
    <cellStyle name="Normal 2 2 2 2 3 2 2 2 4 3 2 2 2" xfId="50769"/>
    <cellStyle name="Normal 2 2 2 2 3 2 2 2 4 3 2 2 2 2" xfId="53387"/>
    <cellStyle name="Normal 2 2 2 2 3 2 2 2 4 3 2 3" xfId="31562"/>
    <cellStyle name="Normal 2 2 2 2 3 2 2 2 4 3 3" xfId="28943"/>
    <cellStyle name="Normal 2 2 2 2 3 2 2 2 4 3 3 2" xfId="39913"/>
    <cellStyle name="Normal 2 2 2 2 3 2 2 2 4 4" xfId="9676"/>
    <cellStyle name="Normal 2 2 2 2 3 2 2 2 4 4 2" xfId="37246"/>
    <cellStyle name="Normal 2 2 2 2 3 2 2 2 4 4 2 2" xfId="45054"/>
    <cellStyle name="Normal 2 2 2 2 3 2 2 2 4 5" xfId="23177"/>
    <cellStyle name="Normal 2 2 2 2 3 2 2 2 5" xfId="3770"/>
    <cellStyle name="Normal 2 2 2 2 3 2 2 2 5 2" xfId="5678"/>
    <cellStyle name="Normal 2 2 2 2 3 2 2 2 5 2 2" xfId="17386"/>
    <cellStyle name="Normal 2 2 2 2 3 2 2 2 5 2 2 2" xfId="19250"/>
    <cellStyle name="Normal 2 2 2 2 3 2 2 2 5 2 2 2 2" xfId="52713"/>
    <cellStyle name="Normal 2 2 2 2 3 2 2 2 5 2 2 2 2 2" xfId="54576"/>
    <cellStyle name="Normal 2 2 2 2 3 2 2 2 5 2 2 3" xfId="32751"/>
    <cellStyle name="Normal 2 2 2 2 3 2 2 2 5 2 3" xfId="30887"/>
    <cellStyle name="Normal 2 2 2 2 3 2 2 2 5 2 3 2" xfId="41114"/>
    <cellStyle name="Normal 2 2 2 2 3 2 2 2 5 3" xfId="10896"/>
    <cellStyle name="Normal 2 2 2 2 3 2 2 2 5 3 2" xfId="39221"/>
    <cellStyle name="Normal 2 2 2 2 3 2 2 2 5 3 2 2" xfId="46258"/>
    <cellStyle name="Normal 2 2 2 2 3 2 2 2 5 4" xfId="24389"/>
    <cellStyle name="Normal 2 2 2 2 3 2 2 2 6" xfId="8960"/>
    <cellStyle name="Normal 2 2 2 2 3 2 2 2 6 2" xfId="14062"/>
    <cellStyle name="Normal 2 2 2 2 3 2 2 2 6 2 2" xfId="44359"/>
    <cellStyle name="Normal 2 2 2 2 3 2 2 2 6 2 2 2" xfId="49408"/>
    <cellStyle name="Normal 2 2 2 2 3 2 2 2 6 3" xfId="27561"/>
    <cellStyle name="Normal 2 2 2 2 3 2 2 2 7" xfId="22467"/>
    <cellStyle name="Normal 2 2 2 2 3 2 2 2 7 2" xfId="35874"/>
    <cellStyle name="Normal 2 2 2 2 3 2 2 3" xfId="467"/>
    <cellStyle name="Normal 2 2 2 2 3 2 2 3 2" xfId="1172"/>
    <cellStyle name="Normal 2 2 2 2 3 2 2 3 2 2" xfId="1282"/>
    <cellStyle name="Normal 2 2 2 2 3 2 2 3 2 2 2" xfId="3192"/>
    <cellStyle name="Normal 2 2 2 2 3 2 2 3 2 2 2 2" xfId="3300"/>
    <cellStyle name="Normal 2 2 2 2 3 2 2 3 2 2 2 2 2" xfId="8407"/>
    <cellStyle name="Normal 2 2 2 2 3 2 2 3 2 2 2 2 2 2" xfId="8515"/>
    <cellStyle name="Normal 2 2 2 2 3 2 2 3 2 2 2 2 2 2 2" xfId="21959"/>
    <cellStyle name="Normal 2 2 2 2 3 2 2 3 2 2 2 2 2 2 2 2" xfId="22067"/>
    <cellStyle name="Normal 2 2 2 2 3 2 2 3 2 2 2 2 2 2 2 2 2" xfId="57285"/>
    <cellStyle name="Normal 2 2 2 2 3 2 2 3 2 2 2 2 2 2 2 2 2 2" xfId="57393"/>
    <cellStyle name="Normal 2 2 2 2 3 2 2 3 2 2 2 2 2 2 2 3" xfId="35570"/>
    <cellStyle name="Normal 2 2 2 2 3 2 2 3 2 2 2 2 2 2 3" xfId="35462"/>
    <cellStyle name="Normal 2 2 2 2 3 2 2 3 2 2 2 2 2 2 3 2" xfId="43942"/>
    <cellStyle name="Normal 2 2 2 2 3 2 2 3 2 2 2 2 2 3" xfId="13740"/>
    <cellStyle name="Normal 2 2 2 2 3 2 2 3 2 2 2 2 2 3 2" xfId="43834"/>
    <cellStyle name="Normal 2 2 2 2 3 2 2 3 2 2 2 2 2 3 2 2" xfId="49086"/>
    <cellStyle name="Normal 2 2 2 2 3 2 2 3 2 2 2 2 2 4" xfId="27225"/>
    <cellStyle name="Normal 2 2 2 2 3 2 2 3 2 2 2 2 3" xfId="13632"/>
    <cellStyle name="Normal 2 2 2 2 3 2 2 3 2 2 2 2 3 2" xfId="16957"/>
    <cellStyle name="Normal 2 2 2 2 3 2 2 3 2 2 2 2 3 2 2" xfId="48978"/>
    <cellStyle name="Normal 2 2 2 2 3 2 2 3 2 2 2 2 3 2 2 2" xfId="52285"/>
    <cellStyle name="Normal 2 2 2 2 3 2 2 3 2 2 2 2 3 3" xfId="30459"/>
    <cellStyle name="Normal 2 2 2 2 3 2 2 3 2 2 2 2 4" xfId="27117"/>
    <cellStyle name="Normal 2 2 2 2 3 2 2 3 2 2 2 2 4 2" xfId="38769"/>
    <cellStyle name="Normal 2 2 2 2 3 2 2 3 2 2 2 3" xfId="5337"/>
    <cellStyle name="Normal 2 2 2 2 3 2 2 3 2 2 2 3 2" xfId="16849"/>
    <cellStyle name="Normal 2 2 2 2 3 2 2 3 2 2 2 3 2 2" xfId="18910"/>
    <cellStyle name="Normal 2 2 2 2 3 2 2 3 2 2 2 3 2 2 2" xfId="52177"/>
    <cellStyle name="Normal 2 2 2 2 3 2 2 3 2 2 2 3 2 2 2 2" xfId="54236"/>
    <cellStyle name="Normal 2 2 2 2 3 2 2 3 2 2 2 3 2 3" xfId="32411"/>
    <cellStyle name="Normal 2 2 2 2 3 2 2 3 2 2 2 3 3" xfId="30351"/>
    <cellStyle name="Normal 2 2 2 2 3 2 2 3 2 2 2 3 3 2" xfId="40774"/>
    <cellStyle name="Normal 2 2 2 2 3 2 2 3 2 2 2 4" xfId="10540"/>
    <cellStyle name="Normal 2 2 2 2 3 2 2 3 2 2 2 4 2" xfId="38661"/>
    <cellStyle name="Normal 2 2 2 2 3 2 2 3 2 2 2 4 2 2" xfId="45903"/>
    <cellStyle name="Normal 2 2 2 2 3 2 2 3 2 2 2 5" xfId="24026"/>
    <cellStyle name="Normal 2 2 2 2 3 2 2 3 2 2 3" xfId="5229"/>
    <cellStyle name="Normal 2 2 2 2 3 2 2 3 2 2 3 2" xfId="6590"/>
    <cellStyle name="Normal 2 2 2 2 3 2 2 3 2 2 3 2 2" xfId="18802"/>
    <cellStyle name="Normal 2 2 2 2 3 2 2 3 2 2 3 2 2 2" xfId="20143"/>
    <cellStyle name="Normal 2 2 2 2 3 2 2 3 2 2 3 2 2 2 2" xfId="54128"/>
    <cellStyle name="Normal 2 2 2 2 3 2 2 3 2 2 3 2 2 2 2 2" xfId="55469"/>
    <cellStyle name="Normal 2 2 2 2 3 2 2 3 2 2 3 2 2 3" xfId="33645"/>
    <cellStyle name="Normal 2 2 2 2 3 2 2 3 2 2 3 2 3" xfId="32303"/>
    <cellStyle name="Normal 2 2 2 2 3 2 2 3 2 2 3 2 3 2" xfId="42018"/>
    <cellStyle name="Normal 2 2 2 2 3 2 2 3 2 2 3 3" xfId="11813"/>
    <cellStyle name="Normal 2 2 2 2 3 2 2 3 2 2 3 3 2" xfId="40666"/>
    <cellStyle name="Normal 2 2 2 2 3 2 2 3 2 2 3 3 2 2" xfId="47161"/>
    <cellStyle name="Normal 2 2 2 2 3 2 2 3 2 2 3 4" xfId="25298"/>
    <cellStyle name="Normal 2 2 2 2 3 2 2 3 2 2 4" xfId="10432"/>
    <cellStyle name="Normal 2 2 2 2 3 2 2 3 2 2 4 2" xfId="14971"/>
    <cellStyle name="Normal 2 2 2 2 3 2 2 3 2 2 4 2 2" xfId="45795"/>
    <cellStyle name="Normal 2 2 2 2 3 2 2 3 2 2 4 2 2 2" xfId="50310"/>
    <cellStyle name="Normal 2 2 2 2 3 2 2 3 2 2 4 3" xfId="28484"/>
    <cellStyle name="Normal 2 2 2 2 3 2 2 3 2 2 5" xfId="23918"/>
    <cellStyle name="Normal 2 2 2 2 3 2 2 3 2 2 5 2" xfId="36779"/>
    <cellStyle name="Normal 2 2 2 2 3 2 2 3 2 3" xfId="2088"/>
    <cellStyle name="Normal 2 2 2 2 3 2 2 3 2 3 2" xfId="6480"/>
    <cellStyle name="Normal 2 2 2 2 3 2 2 3 2 3 2 2" xfId="7322"/>
    <cellStyle name="Normal 2 2 2 2 3 2 2 3 2 3 2 2 2" xfId="20034"/>
    <cellStyle name="Normal 2 2 2 2 3 2 2 3 2 3 2 2 2 2" xfId="20874"/>
    <cellStyle name="Normal 2 2 2 2 3 2 2 3 2 3 2 2 2 2 2" xfId="55360"/>
    <cellStyle name="Normal 2 2 2 2 3 2 2 3 2 3 2 2 2 2 2 2" xfId="56200"/>
    <cellStyle name="Normal 2 2 2 2 3 2 2 3 2 3 2 2 2 3" xfId="34377"/>
    <cellStyle name="Normal 2 2 2 2 3 2 2 3 2 3 2 2 3" xfId="33536"/>
    <cellStyle name="Normal 2 2 2 2 3 2 2 3 2 3 2 2 3 2" xfId="42749"/>
    <cellStyle name="Normal 2 2 2 2 3 2 2 3 2 3 2 3" xfId="12547"/>
    <cellStyle name="Normal 2 2 2 2 3 2 2 3 2 3 2 3 2" xfId="41908"/>
    <cellStyle name="Normal 2 2 2 2 3 2 2 3 2 3 2 3 2 2" xfId="47893"/>
    <cellStyle name="Normal 2 2 2 2 3 2 2 3 2 3 2 4" xfId="26031"/>
    <cellStyle name="Normal 2 2 2 2 3 2 2 3 2 3 3" xfId="11704"/>
    <cellStyle name="Normal 2 2 2 2 3 2 2 3 2 3 3 2" xfId="15752"/>
    <cellStyle name="Normal 2 2 2 2 3 2 2 3 2 3 3 2 2" xfId="47052"/>
    <cellStyle name="Normal 2 2 2 2 3 2 2 3 2 3 3 2 2 2" xfId="51084"/>
    <cellStyle name="Normal 2 2 2 2 3 2 2 3 2 3 3 3" xfId="29258"/>
    <cellStyle name="Normal 2 2 2 2 3 2 2 3 2 3 4" xfId="25189"/>
    <cellStyle name="Normal 2 2 2 2 3 2 2 3 2 3 4 2" xfId="37566"/>
    <cellStyle name="Normal 2 2 2 2 3 2 2 3 2 4" xfId="4104"/>
    <cellStyle name="Normal 2 2 2 2 3 2 2 3 2 4 2" xfId="14862"/>
    <cellStyle name="Normal 2 2 2 2 3 2 2 3 2 4 2 2" xfId="17697"/>
    <cellStyle name="Normal 2 2 2 2 3 2 2 3 2 4 2 2 2" xfId="50201"/>
    <cellStyle name="Normal 2 2 2 2 3 2 2 3 2 4 2 2 2 2" xfId="53024"/>
    <cellStyle name="Normal 2 2 2 2 3 2 2 3 2 4 2 3" xfId="31199"/>
    <cellStyle name="Normal 2 2 2 2 3 2 2 3 2 4 3" xfId="28375"/>
    <cellStyle name="Normal 2 2 2 2 3 2 2 3 2 4 3 2" xfId="39547"/>
    <cellStyle name="Normal 2 2 2 2 3 2 2 3 2 5" xfId="9295"/>
    <cellStyle name="Normal 2 2 2 2 3 2 2 3 2 5 2" xfId="36670"/>
    <cellStyle name="Normal 2 2 2 2 3 2 2 3 2 5 2 2" xfId="44677"/>
    <cellStyle name="Normal 2 2 2 2 3 2 2 3 2 6" xfId="22791"/>
    <cellStyle name="Normal 2 2 2 2 3 2 2 3 3" xfId="1980"/>
    <cellStyle name="Normal 2 2 2 2 3 2 2 3 3 2" xfId="2566"/>
    <cellStyle name="Normal 2 2 2 2 3 2 2 3 3 2 2" xfId="7214"/>
    <cellStyle name="Normal 2 2 2 2 3 2 2 3 3 2 2 2" xfId="7787"/>
    <cellStyle name="Normal 2 2 2 2 3 2 2 3 3 2 2 2 2" xfId="20766"/>
    <cellStyle name="Normal 2 2 2 2 3 2 2 3 3 2 2 2 2 2" xfId="21339"/>
    <cellStyle name="Normal 2 2 2 2 3 2 2 3 3 2 2 2 2 2 2" xfId="56092"/>
    <cellStyle name="Normal 2 2 2 2 3 2 2 3 3 2 2 2 2 2 2 2" xfId="56665"/>
    <cellStyle name="Normal 2 2 2 2 3 2 2 3 3 2 2 2 2 3" xfId="34842"/>
    <cellStyle name="Normal 2 2 2 2 3 2 2 3 3 2 2 2 3" xfId="34269"/>
    <cellStyle name="Normal 2 2 2 2 3 2 2 3 3 2 2 2 3 2" xfId="43214"/>
    <cellStyle name="Normal 2 2 2 2 3 2 2 3 3 2 2 3" xfId="13012"/>
    <cellStyle name="Normal 2 2 2 2 3 2 2 3 3 2 2 3 2" xfId="42641"/>
    <cellStyle name="Normal 2 2 2 2 3 2 2 3 3 2 2 3 2 2" xfId="48358"/>
    <cellStyle name="Normal 2 2 2 2 3 2 2 3 3 2 2 4" xfId="26496"/>
    <cellStyle name="Normal 2 2 2 2 3 2 2 3 3 2 3" xfId="12439"/>
    <cellStyle name="Normal 2 2 2 2 3 2 2 3 3 2 3 2" xfId="16225"/>
    <cellStyle name="Normal 2 2 2 2 3 2 2 3 3 2 3 2 2" xfId="47785"/>
    <cellStyle name="Normal 2 2 2 2 3 2 2 3 3 2 3 2 2 2" xfId="51555"/>
    <cellStyle name="Normal 2 2 2 2 3 2 2 3 3 2 3 3" xfId="29729"/>
    <cellStyle name="Normal 2 2 2 2 3 2 2 3 3 2 4" xfId="25923"/>
    <cellStyle name="Normal 2 2 2 2 3 2 2 3 3 2 4 2" xfId="38039"/>
    <cellStyle name="Normal 2 2 2 2 3 2 2 3 3 3" xfId="4599"/>
    <cellStyle name="Normal 2 2 2 2 3 2 2 3 3 3 2" xfId="15644"/>
    <cellStyle name="Normal 2 2 2 2 3 2 2 3 3 3 2 2" xfId="18180"/>
    <cellStyle name="Normal 2 2 2 2 3 2 2 3 3 3 2 2 2" xfId="50976"/>
    <cellStyle name="Normal 2 2 2 2 3 2 2 3 3 3 2 2 2 2" xfId="53506"/>
    <cellStyle name="Normal 2 2 2 2 3 2 2 3 3 3 2 3" xfId="31681"/>
    <cellStyle name="Normal 2 2 2 2 3 2 2 3 3 3 3" xfId="29150"/>
    <cellStyle name="Normal 2 2 2 2 3 2 2 3 3 3 3 2" xfId="40038"/>
    <cellStyle name="Normal 2 2 2 2 3 2 2 3 3 4" xfId="9803"/>
    <cellStyle name="Normal 2 2 2 2 3 2 2 3 3 4 2" xfId="37458"/>
    <cellStyle name="Normal 2 2 2 2 3 2 2 3 3 4 2 2" xfId="45173"/>
    <cellStyle name="Normal 2 2 2 2 3 2 2 3 3 5" xfId="23296"/>
    <cellStyle name="Normal 2 2 2 2 3 2 2 3 4" xfId="3994"/>
    <cellStyle name="Normal 2 2 2 2 3 2 2 3 4 2" xfId="5805"/>
    <cellStyle name="Normal 2 2 2 2 3 2 2 3 4 2 2" xfId="17589"/>
    <cellStyle name="Normal 2 2 2 2 3 2 2 3 4 2 2 2" xfId="19373"/>
    <cellStyle name="Normal 2 2 2 2 3 2 2 3 4 2 2 2 2" xfId="52916"/>
    <cellStyle name="Normal 2 2 2 2 3 2 2 3 4 2 2 2 2 2" xfId="54699"/>
    <cellStyle name="Normal 2 2 2 2 3 2 2 3 4 2 2 3" xfId="32874"/>
    <cellStyle name="Normal 2 2 2 2 3 2 2 3 4 2 3" xfId="31091"/>
    <cellStyle name="Normal 2 2 2 2 3 2 2 3 4 2 3 2" xfId="41240"/>
    <cellStyle name="Normal 2 2 2 2 3 2 2 3 4 3" xfId="11027"/>
    <cellStyle name="Normal 2 2 2 2 3 2 2 3 4 3 2" xfId="39438"/>
    <cellStyle name="Normal 2 2 2 2 3 2 2 3 4 3 2 2" xfId="46386"/>
    <cellStyle name="Normal 2 2 2 2 3 2 2 3 4 4" xfId="24521"/>
    <cellStyle name="Normal 2 2 2 2 3 2 2 3 5" xfId="9186"/>
    <cellStyle name="Normal 2 2 2 2 3 2 2 3 5 2" xfId="14188"/>
    <cellStyle name="Normal 2 2 2 2 3 2 2 3 5 2 2" xfId="44569"/>
    <cellStyle name="Normal 2 2 2 2 3 2 2 3 5 2 2 2" xfId="49533"/>
    <cellStyle name="Normal 2 2 2 2 3 2 2 3 5 3" xfId="27694"/>
    <cellStyle name="Normal 2 2 2 2 3 2 2 3 6" xfId="22683"/>
    <cellStyle name="Normal 2 2 2 2 3 2 2 3 6 2" xfId="36000"/>
    <cellStyle name="Normal 2 2 2 2 3 2 2 4" xfId="788"/>
    <cellStyle name="Normal 2 2 2 2 3 2 2 4 2" xfId="2425"/>
    <cellStyle name="Normal 2 2 2 2 3 2 2 4 2 2" xfId="2844"/>
    <cellStyle name="Normal 2 2 2 2 3 2 2 4 2 2 2" xfId="7657"/>
    <cellStyle name="Normal 2 2 2 2 3 2 2 4 2 2 2 2" xfId="8060"/>
    <cellStyle name="Normal 2 2 2 2 3 2 2 4 2 2 2 2 2" xfId="21209"/>
    <cellStyle name="Normal 2 2 2 2 3 2 2 4 2 2 2 2 2 2" xfId="21612"/>
    <cellStyle name="Normal 2 2 2 2 3 2 2 4 2 2 2 2 2 2 2" xfId="56535"/>
    <cellStyle name="Normal 2 2 2 2 3 2 2 4 2 2 2 2 2 2 2 2" xfId="56938"/>
    <cellStyle name="Normal 2 2 2 2 3 2 2 4 2 2 2 2 2 3" xfId="35115"/>
    <cellStyle name="Normal 2 2 2 2 3 2 2 4 2 2 2 2 3" xfId="34712"/>
    <cellStyle name="Normal 2 2 2 2 3 2 2 4 2 2 2 2 3 2" xfId="43487"/>
    <cellStyle name="Normal 2 2 2 2 3 2 2 4 2 2 2 3" xfId="13285"/>
    <cellStyle name="Normal 2 2 2 2 3 2 2 4 2 2 2 3 2" xfId="43084"/>
    <cellStyle name="Normal 2 2 2 2 3 2 2 4 2 2 2 3 2 2" xfId="48631"/>
    <cellStyle name="Normal 2 2 2 2 3 2 2 4 2 2 2 4" xfId="26769"/>
    <cellStyle name="Normal 2 2 2 2 3 2 2 4 2 2 3" xfId="12882"/>
    <cellStyle name="Normal 2 2 2 2 3 2 2 4 2 2 3 2" xfId="16502"/>
    <cellStyle name="Normal 2 2 2 2 3 2 2 4 2 2 3 2 2" xfId="48228"/>
    <cellStyle name="Normal 2 2 2 2 3 2 2 4 2 2 3 2 2 2" xfId="51830"/>
    <cellStyle name="Normal 2 2 2 2 3 2 2 4 2 2 3 3" xfId="30004"/>
    <cellStyle name="Normal 2 2 2 2 3 2 2 4 2 2 4" xfId="26366"/>
    <cellStyle name="Normal 2 2 2 2 3 2 2 4 2 2 4 2" xfId="38314"/>
    <cellStyle name="Normal 2 2 2 2 3 2 2 4 2 3" xfId="4880"/>
    <cellStyle name="Normal 2 2 2 2 3 2 2 4 2 3 2" xfId="16088"/>
    <cellStyle name="Normal 2 2 2 2 3 2 2 4 2 3 2 2" xfId="18454"/>
    <cellStyle name="Normal 2 2 2 2 3 2 2 4 2 3 2 2 2" xfId="51420"/>
    <cellStyle name="Normal 2 2 2 2 3 2 2 4 2 3 2 2 2 2" xfId="53780"/>
    <cellStyle name="Normal 2 2 2 2 3 2 2 4 2 3 2 3" xfId="31955"/>
    <cellStyle name="Normal 2 2 2 2 3 2 2 4 2 3 3" xfId="29594"/>
    <cellStyle name="Normal 2 2 2 2 3 2 2 4 2 3 3 2" xfId="40317"/>
    <cellStyle name="Normal 2 2 2 2 3 2 2 4 2 4" xfId="10083"/>
    <cellStyle name="Normal 2 2 2 2 3 2 2 4 2 4 2" xfId="37903"/>
    <cellStyle name="Normal 2 2 2 2 3 2 2 4 2 4 2 2" xfId="45447"/>
    <cellStyle name="Normal 2 2 2 2 3 2 2 4 2 5" xfId="23570"/>
    <cellStyle name="Normal 2 2 2 2 3 2 2 4 3" xfId="4460"/>
    <cellStyle name="Normal 2 2 2 2 3 2 2 4 3 2" xfId="6104"/>
    <cellStyle name="Normal 2 2 2 2 3 2 2 4 3 2 2" xfId="18050"/>
    <cellStyle name="Normal 2 2 2 2 3 2 2 4 3 2 2 2" xfId="19666"/>
    <cellStyle name="Normal 2 2 2 2 3 2 2 4 3 2 2 2 2" xfId="53376"/>
    <cellStyle name="Normal 2 2 2 2 3 2 2 4 3 2 2 2 2 2" xfId="54992"/>
    <cellStyle name="Normal 2 2 2 2 3 2 2 4 3 2 2 3" xfId="33167"/>
    <cellStyle name="Normal 2 2 2 2 3 2 2 4 3 2 3" xfId="31551"/>
    <cellStyle name="Normal 2 2 2 2 3 2 2 4 3 2 3 2" xfId="41537"/>
    <cellStyle name="Normal 2 2 2 2 3 2 2 4 3 3" xfId="11330"/>
    <cellStyle name="Normal 2 2 2 2 3 2 2 4 3 3 2" xfId="39902"/>
    <cellStyle name="Normal 2 2 2 2 3 2 2 4 3 3 2 2" xfId="46683"/>
    <cellStyle name="Normal 2 2 2 2 3 2 2 4 3 4" xfId="24820"/>
    <cellStyle name="Normal 2 2 2 2 3 2 2 4 4" xfId="9665"/>
    <cellStyle name="Normal 2 2 2 2 3 2 2 4 4 2" xfId="14488"/>
    <cellStyle name="Normal 2 2 2 2 3 2 2 4 4 2 2" xfId="45043"/>
    <cellStyle name="Normal 2 2 2 2 3 2 2 4 4 2 2 2" xfId="49830"/>
    <cellStyle name="Normal 2 2 2 2 3 2 2 4 4 3" xfId="27999"/>
    <cellStyle name="Normal 2 2 2 2 3 2 2 4 5" xfId="23166"/>
    <cellStyle name="Normal 2 2 2 2 3 2 2 4 5 2" xfId="36298"/>
    <cellStyle name="Normal 2 2 2 2 3 2 2 5" xfId="1575"/>
    <cellStyle name="Normal 2 2 2 2 3 2 2 5 2" xfId="5667"/>
    <cellStyle name="Normal 2 2 2 2 3 2 2 5 2 2" xfId="6847"/>
    <cellStyle name="Normal 2 2 2 2 3 2 2 5 2 2 2" xfId="19239"/>
    <cellStyle name="Normal 2 2 2 2 3 2 2 5 2 2 2 2" xfId="20400"/>
    <cellStyle name="Normal 2 2 2 2 3 2 2 5 2 2 2 2 2" xfId="54565"/>
    <cellStyle name="Normal 2 2 2 2 3 2 2 5 2 2 2 2 2 2" xfId="55726"/>
    <cellStyle name="Normal 2 2 2 2 3 2 2 5 2 2 2 3" xfId="33902"/>
    <cellStyle name="Normal 2 2 2 2 3 2 2 5 2 2 3" xfId="32740"/>
    <cellStyle name="Normal 2 2 2 2 3 2 2 5 2 2 3 2" xfId="42275"/>
    <cellStyle name="Normal 2 2 2 2 3 2 2 5 2 3" xfId="12071"/>
    <cellStyle name="Normal 2 2 2 2 3 2 2 5 2 3 2" xfId="41103"/>
    <cellStyle name="Normal 2 2 2 2 3 2 2 5 2 3 2 2" xfId="47418"/>
    <cellStyle name="Normal 2 2 2 2 3 2 2 5 2 4" xfId="25556"/>
    <cellStyle name="Normal 2 2 2 2 3 2 2 5 3" xfId="10885"/>
    <cellStyle name="Normal 2 2 2 2 3 2 2 5 3 2" xfId="15251"/>
    <cellStyle name="Normal 2 2 2 2 3 2 2 5 3 2 2" xfId="46247"/>
    <cellStyle name="Normal 2 2 2 2 3 2 2 5 3 2 2 2" xfId="50588"/>
    <cellStyle name="Normal 2 2 2 2 3 2 2 5 3 3" xfId="28762"/>
    <cellStyle name="Normal 2 2 2 2 3 2 2 5 4" xfId="24378"/>
    <cellStyle name="Normal 2 2 2 2 3 2 2 5 4 2" xfId="37063"/>
    <cellStyle name="Normal 2 2 2 2 3 2 2 6" xfId="3576"/>
    <cellStyle name="Normal 2 2 2 2 3 2 2 6 2" xfId="14051"/>
    <cellStyle name="Normal 2 2 2 2 3 2 2 6 2 2" xfId="17212"/>
    <cellStyle name="Normal 2 2 2 2 3 2 2 6 2 2 2" xfId="49397"/>
    <cellStyle name="Normal 2 2 2 2 3 2 2 6 2 2 2 2" xfId="52539"/>
    <cellStyle name="Normal 2 2 2 2 3 2 2 6 2 3" xfId="30713"/>
    <cellStyle name="Normal 2 2 2 2 3 2 2 6 3" xfId="27550"/>
    <cellStyle name="Normal 2 2 2 2 3 2 2 6 3 2" xfId="39033"/>
    <cellStyle name="Normal 2 2 2 2 3 2 2 7" xfId="8767"/>
    <cellStyle name="Normal 2 2 2 2 3 2 2 7 2" xfId="35863"/>
    <cellStyle name="Normal 2 2 2 2 3 2 2 7 2 2" xfId="44180"/>
    <cellStyle name="Normal 2 2 2 2 3 2 2 8" xfId="22284"/>
    <cellStyle name="Normal 2 2 2 2 3 2 3" xfId="456"/>
    <cellStyle name="Normal 2 2 2 2 3 2 3 2" xfId="542"/>
    <cellStyle name="Normal 2 2 2 2 3 2 3 2 2" xfId="1271"/>
    <cellStyle name="Normal 2 2 2 2 3 2 3 2 2 2" xfId="1347"/>
    <cellStyle name="Normal 2 2 2 2 3 2 3 2 2 2 2" xfId="3289"/>
    <cellStyle name="Normal 2 2 2 2 3 2 3 2 2 2 2 2" xfId="3365"/>
    <cellStyle name="Normal 2 2 2 2 3 2 3 2 2 2 2 2 2" xfId="8504"/>
    <cellStyle name="Normal 2 2 2 2 3 2 3 2 2 2 2 2 2 2" xfId="8580"/>
    <cellStyle name="Normal 2 2 2 2 3 2 3 2 2 2 2 2 2 2 2" xfId="22056"/>
    <cellStyle name="Normal 2 2 2 2 3 2 3 2 2 2 2 2 2 2 2 2" xfId="22132"/>
    <cellStyle name="Normal 2 2 2 2 3 2 3 2 2 2 2 2 2 2 2 2 2" xfId="57382"/>
    <cellStyle name="Normal 2 2 2 2 3 2 3 2 2 2 2 2 2 2 2 2 2 2" xfId="57458"/>
    <cellStyle name="Normal 2 2 2 2 3 2 3 2 2 2 2 2 2 2 2 3" xfId="35635"/>
    <cellStyle name="Normal 2 2 2 2 3 2 3 2 2 2 2 2 2 2 3" xfId="35559"/>
    <cellStyle name="Normal 2 2 2 2 3 2 3 2 2 2 2 2 2 2 3 2" xfId="44007"/>
    <cellStyle name="Normal 2 2 2 2 3 2 3 2 2 2 2 2 2 3" xfId="13805"/>
    <cellStyle name="Normal 2 2 2 2 3 2 3 2 2 2 2 2 2 3 2" xfId="43931"/>
    <cellStyle name="Normal 2 2 2 2 3 2 3 2 2 2 2 2 2 3 2 2" xfId="49151"/>
    <cellStyle name="Normal 2 2 2 2 3 2 3 2 2 2 2 2 2 4" xfId="27290"/>
    <cellStyle name="Normal 2 2 2 2 3 2 3 2 2 2 2 2 3" xfId="13729"/>
    <cellStyle name="Normal 2 2 2 2 3 2 3 2 2 2 2 2 3 2" xfId="17022"/>
    <cellStyle name="Normal 2 2 2 2 3 2 3 2 2 2 2 2 3 2 2" xfId="49075"/>
    <cellStyle name="Normal 2 2 2 2 3 2 3 2 2 2 2 2 3 2 2 2" xfId="52350"/>
    <cellStyle name="Normal 2 2 2 2 3 2 3 2 2 2 2 2 3 3" xfId="30524"/>
    <cellStyle name="Normal 2 2 2 2 3 2 3 2 2 2 2 2 4" xfId="27214"/>
    <cellStyle name="Normal 2 2 2 2 3 2 3 2 2 2 2 2 4 2" xfId="38834"/>
    <cellStyle name="Normal 2 2 2 2 3 2 3 2 2 2 2 3" xfId="5402"/>
    <cellStyle name="Normal 2 2 2 2 3 2 3 2 2 2 2 3 2" xfId="16946"/>
    <cellStyle name="Normal 2 2 2 2 3 2 3 2 2 2 2 3 2 2" xfId="18975"/>
    <cellStyle name="Normal 2 2 2 2 3 2 3 2 2 2 2 3 2 2 2" xfId="52274"/>
    <cellStyle name="Normal 2 2 2 2 3 2 3 2 2 2 2 3 2 2 2 2" xfId="54301"/>
    <cellStyle name="Normal 2 2 2 2 3 2 3 2 2 2 2 3 2 3" xfId="32476"/>
    <cellStyle name="Normal 2 2 2 2 3 2 3 2 2 2 2 3 3" xfId="30448"/>
    <cellStyle name="Normal 2 2 2 2 3 2 3 2 2 2 2 3 3 2" xfId="40839"/>
    <cellStyle name="Normal 2 2 2 2 3 2 3 2 2 2 2 4" xfId="10605"/>
    <cellStyle name="Normal 2 2 2 2 3 2 3 2 2 2 2 4 2" xfId="38758"/>
    <cellStyle name="Normal 2 2 2 2 3 2 3 2 2 2 2 4 2 2" xfId="45968"/>
    <cellStyle name="Normal 2 2 2 2 3 2 3 2 2 2 2 5" xfId="24091"/>
    <cellStyle name="Normal 2 2 2 2 3 2 3 2 2 2 3" xfId="5326"/>
    <cellStyle name="Normal 2 2 2 2 3 2 3 2 2 2 3 2" xfId="6655"/>
    <cellStyle name="Normal 2 2 2 2 3 2 3 2 2 2 3 2 2" xfId="18899"/>
    <cellStyle name="Normal 2 2 2 2 3 2 3 2 2 2 3 2 2 2" xfId="20208"/>
    <cellStyle name="Normal 2 2 2 2 3 2 3 2 2 2 3 2 2 2 2" xfId="54225"/>
    <cellStyle name="Normal 2 2 2 2 3 2 3 2 2 2 3 2 2 2 2 2" xfId="55534"/>
    <cellStyle name="Normal 2 2 2 2 3 2 3 2 2 2 3 2 2 3" xfId="33710"/>
    <cellStyle name="Normal 2 2 2 2 3 2 3 2 2 2 3 2 3" xfId="32400"/>
    <cellStyle name="Normal 2 2 2 2 3 2 3 2 2 2 3 2 3 2" xfId="42083"/>
    <cellStyle name="Normal 2 2 2 2 3 2 3 2 2 2 3 3" xfId="11878"/>
    <cellStyle name="Normal 2 2 2 2 3 2 3 2 2 2 3 3 2" xfId="40763"/>
    <cellStyle name="Normal 2 2 2 2 3 2 3 2 2 2 3 3 2 2" xfId="47226"/>
    <cellStyle name="Normal 2 2 2 2 3 2 3 2 2 2 3 4" xfId="25363"/>
    <cellStyle name="Normal 2 2 2 2 3 2 3 2 2 2 4" xfId="10529"/>
    <cellStyle name="Normal 2 2 2 2 3 2 3 2 2 2 4 2" xfId="15036"/>
    <cellStyle name="Normal 2 2 2 2 3 2 3 2 2 2 4 2 2" xfId="45892"/>
    <cellStyle name="Normal 2 2 2 2 3 2 3 2 2 2 4 2 2 2" xfId="50375"/>
    <cellStyle name="Normal 2 2 2 2 3 2 3 2 2 2 4 3" xfId="28549"/>
    <cellStyle name="Normal 2 2 2 2 3 2 3 2 2 2 5" xfId="24015"/>
    <cellStyle name="Normal 2 2 2 2 3 2 3 2 2 2 5 2" xfId="36844"/>
    <cellStyle name="Normal 2 2 2 2 3 2 3 2 2 3" xfId="2154"/>
    <cellStyle name="Normal 2 2 2 2 3 2 3 2 2 3 2" xfId="6579"/>
    <cellStyle name="Normal 2 2 2 2 3 2 3 2 2 3 2 2" xfId="7388"/>
    <cellStyle name="Normal 2 2 2 2 3 2 3 2 2 3 2 2 2" xfId="20132"/>
    <cellStyle name="Normal 2 2 2 2 3 2 3 2 2 3 2 2 2 2" xfId="20940"/>
    <cellStyle name="Normal 2 2 2 2 3 2 3 2 2 3 2 2 2 2 2" xfId="55458"/>
    <cellStyle name="Normal 2 2 2 2 3 2 3 2 2 3 2 2 2 2 2 2" xfId="56266"/>
    <cellStyle name="Normal 2 2 2 2 3 2 3 2 2 3 2 2 2 3" xfId="34443"/>
    <cellStyle name="Normal 2 2 2 2 3 2 3 2 2 3 2 2 3" xfId="33634"/>
    <cellStyle name="Normal 2 2 2 2 3 2 3 2 2 3 2 2 3 2" xfId="42815"/>
    <cellStyle name="Normal 2 2 2 2 3 2 3 2 2 3 2 3" xfId="12613"/>
    <cellStyle name="Normal 2 2 2 2 3 2 3 2 2 3 2 3 2" xfId="42007"/>
    <cellStyle name="Normal 2 2 2 2 3 2 3 2 2 3 2 3 2 2" xfId="47959"/>
    <cellStyle name="Normal 2 2 2 2 3 2 3 2 2 3 2 4" xfId="26097"/>
    <cellStyle name="Normal 2 2 2 2 3 2 3 2 2 3 3" xfId="11802"/>
    <cellStyle name="Normal 2 2 2 2 3 2 3 2 2 3 3 2" xfId="15818"/>
    <cellStyle name="Normal 2 2 2 2 3 2 3 2 2 3 3 2 2" xfId="47150"/>
    <cellStyle name="Normal 2 2 2 2 3 2 3 2 2 3 3 2 2 2" xfId="51150"/>
    <cellStyle name="Normal 2 2 2 2 3 2 3 2 2 3 3 3" xfId="29324"/>
    <cellStyle name="Normal 2 2 2 2 3 2 3 2 2 3 4" xfId="25287"/>
    <cellStyle name="Normal 2 2 2 2 3 2 3 2 2 3 4 2" xfId="37632"/>
    <cellStyle name="Normal 2 2 2 2 3 2 3 2 2 4" xfId="4170"/>
    <cellStyle name="Normal 2 2 2 2 3 2 3 2 2 4 2" xfId="14960"/>
    <cellStyle name="Normal 2 2 2 2 3 2 3 2 2 4 2 2" xfId="17763"/>
    <cellStyle name="Normal 2 2 2 2 3 2 3 2 2 4 2 2 2" xfId="50299"/>
    <cellStyle name="Normal 2 2 2 2 3 2 3 2 2 4 2 2 2 2" xfId="53090"/>
    <cellStyle name="Normal 2 2 2 2 3 2 3 2 2 4 2 3" xfId="31265"/>
    <cellStyle name="Normal 2 2 2 2 3 2 3 2 2 4 3" xfId="28473"/>
    <cellStyle name="Normal 2 2 2 2 3 2 3 2 2 4 3 2" xfId="39613"/>
    <cellStyle name="Normal 2 2 2 2 3 2 3 2 2 5" xfId="9361"/>
    <cellStyle name="Normal 2 2 2 2 3 2 3 2 2 5 2" xfId="36768"/>
    <cellStyle name="Normal 2 2 2 2 3 2 3 2 2 5 2 2" xfId="44743"/>
    <cellStyle name="Normal 2 2 2 2 3 2 3 2 2 6" xfId="22857"/>
    <cellStyle name="Normal 2 2 2 2 3 2 3 2 3" xfId="2077"/>
    <cellStyle name="Normal 2 2 2 2 3 2 3 2 3 2" xfId="2636"/>
    <cellStyle name="Normal 2 2 2 2 3 2 3 2 3 2 2" xfId="7311"/>
    <cellStyle name="Normal 2 2 2 2 3 2 3 2 3 2 2 2" xfId="7856"/>
    <cellStyle name="Normal 2 2 2 2 3 2 3 2 3 2 2 2 2" xfId="20863"/>
    <cellStyle name="Normal 2 2 2 2 3 2 3 2 3 2 2 2 2 2" xfId="21408"/>
    <cellStyle name="Normal 2 2 2 2 3 2 3 2 3 2 2 2 2 2 2" xfId="56189"/>
    <cellStyle name="Normal 2 2 2 2 3 2 3 2 3 2 2 2 2 2 2 2" xfId="56734"/>
    <cellStyle name="Normal 2 2 2 2 3 2 3 2 3 2 2 2 2 3" xfId="34911"/>
    <cellStyle name="Normal 2 2 2 2 3 2 3 2 3 2 2 2 3" xfId="34366"/>
    <cellStyle name="Normal 2 2 2 2 3 2 3 2 3 2 2 2 3 2" xfId="43283"/>
    <cellStyle name="Normal 2 2 2 2 3 2 3 2 3 2 2 3" xfId="13081"/>
    <cellStyle name="Normal 2 2 2 2 3 2 3 2 3 2 2 3 2" xfId="42738"/>
    <cellStyle name="Normal 2 2 2 2 3 2 3 2 3 2 2 3 2 2" xfId="48427"/>
    <cellStyle name="Normal 2 2 2 2 3 2 3 2 3 2 2 4" xfId="26565"/>
    <cellStyle name="Normal 2 2 2 2 3 2 3 2 3 2 3" xfId="12536"/>
    <cellStyle name="Normal 2 2 2 2 3 2 3 2 3 2 3 2" xfId="16295"/>
    <cellStyle name="Normal 2 2 2 2 3 2 3 2 3 2 3 2 2" xfId="47882"/>
    <cellStyle name="Normal 2 2 2 2 3 2 3 2 3 2 3 2 2 2" xfId="51625"/>
    <cellStyle name="Normal 2 2 2 2 3 2 3 2 3 2 3 3" xfId="29799"/>
    <cellStyle name="Normal 2 2 2 2 3 2 3 2 3 2 4" xfId="26020"/>
    <cellStyle name="Normal 2 2 2 2 3 2 3 2 3 2 4 2" xfId="38109"/>
    <cellStyle name="Normal 2 2 2 2 3 2 3 2 3 3" xfId="4671"/>
    <cellStyle name="Normal 2 2 2 2 3 2 3 2 3 3 2" xfId="15741"/>
    <cellStyle name="Normal 2 2 2 2 3 2 3 2 3 3 2 2" xfId="18250"/>
    <cellStyle name="Normal 2 2 2 2 3 2 3 2 3 3 2 2 2" xfId="51073"/>
    <cellStyle name="Normal 2 2 2 2 3 2 3 2 3 3 2 2 2 2" xfId="53576"/>
    <cellStyle name="Normal 2 2 2 2 3 2 3 2 3 3 2 3" xfId="31751"/>
    <cellStyle name="Normal 2 2 2 2 3 2 3 2 3 3 3" xfId="29247"/>
    <cellStyle name="Normal 2 2 2 2 3 2 3 2 3 3 3 2" xfId="40110"/>
    <cellStyle name="Normal 2 2 2 2 3 2 3 2 3 4" xfId="9874"/>
    <cellStyle name="Normal 2 2 2 2 3 2 3 2 3 4 2" xfId="37555"/>
    <cellStyle name="Normal 2 2 2 2 3 2 3 2 3 4 2 2" xfId="45243"/>
    <cellStyle name="Normal 2 2 2 2 3 2 3 2 3 5" xfId="23366"/>
    <cellStyle name="Normal 2 2 2 2 3 2 3 2 4" xfId="4093"/>
    <cellStyle name="Normal 2 2 2 2 3 2 3 2 4 2" xfId="5875"/>
    <cellStyle name="Normal 2 2 2 2 3 2 3 2 4 2 2" xfId="17686"/>
    <cellStyle name="Normal 2 2 2 2 3 2 3 2 4 2 2 2" xfId="19443"/>
    <cellStyle name="Normal 2 2 2 2 3 2 3 2 4 2 2 2 2" xfId="53013"/>
    <cellStyle name="Normal 2 2 2 2 3 2 3 2 4 2 2 2 2 2" xfId="54769"/>
    <cellStyle name="Normal 2 2 2 2 3 2 3 2 4 2 2 3" xfId="32944"/>
    <cellStyle name="Normal 2 2 2 2 3 2 3 2 4 2 3" xfId="31188"/>
    <cellStyle name="Normal 2 2 2 2 3 2 3 2 4 2 3 2" xfId="41310"/>
    <cellStyle name="Normal 2 2 2 2 3 2 3 2 4 3" xfId="11099"/>
    <cellStyle name="Normal 2 2 2 2 3 2 3 2 4 3 2" xfId="39536"/>
    <cellStyle name="Normal 2 2 2 2 3 2 3 2 4 3 2 2" xfId="46458"/>
    <cellStyle name="Normal 2 2 2 2 3 2 3 2 4 4" xfId="24593"/>
    <cellStyle name="Normal 2 2 2 2 3 2 3 2 5" xfId="9284"/>
    <cellStyle name="Normal 2 2 2 2 3 2 3 2 5 2" xfId="14260"/>
    <cellStyle name="Normal 2 2 2 2 3 2 3 2 5 2 2" xfId="44666"/>
    <cellStyle name="Normal 2 2 2 2 3 2 3 2 5 2 2 2" xfId="49605"/>
    <cellStyle name="Normal 2 2 2 2 3 2 3 2 5 3" xfId="27767"/>
    <cellStyle name="Normal 2 2 2 2 3 2 3 2 6" xfId="22780"/>
    <cellStyle name="Normal 2 2 2 2 3 2 3 2 6 2" xfId="36072"/>
    <cellStyle name="Normal 2 2 2 2 3 2 3 3" xfId="870"/>
    <cellStyle name="Normal 2 2 2 2 3 2 3 3 2" xfId="2555"/>
    <cellStyle name="Normal 2 2 2 2 3 2 3 3 2 2" xfId="2917"/>
    <cellStyle name="Normal 2 2 2 2 3 2 3 3 2 2 2" xfId="7776"/>
    <cellStyle name="Normal 2 2 2 2 3 2 3 3 2 2 2 2" xfId="8132"/>
    <cellStyle name="Normal 2 2 2 2 3 2 3 3 2 2 2 2 2" xfId="21328"/>
    <cellStyle name="Normal 2 2 2 2 3 2 3 3 2 2 2 2 2 2" xfId="21684"/>
    <cellStyle name="Normal 2 2 2 2 3 2 3 3 2 2 2 2 2 2 2" xfId="56654"/>
    <cellStyle name="Normal 2 2 2 2 3 2 3 3 2 2 2 2 2 2 2 2" xfId="57010"/>
    <cellStyle name="Normal 2 2 2 2 3 2 3 3 2 2 2 2 2 3" xfId="35187"/>
    <cellStyle name="Normal 2 2 2 2 3 2 3 3 2 2 2 2 3" xfId="34831"/>
    <cellStyle name="Normal 2 2 2 2 3 2 3 3 2 2 2 2 3 2" xfId="43559"/>
    <cellStyle name="Normal 2 2 2 2 3 2 3 3 2 2 2 3" xfId="13357"/>
    <cellStyle name="Normal 2 2 2 2 3 2 3 3 2 2 2 3 2" xfId="43203"/>
    <cellStyle name="Normal 2 2 2 2 3 2 3 3 2 2 2 3 2 2" xfId="48703"/>
    <cellStyle name="Normal 2 2 2 2 3 2 3 3 2 2 2 4" xfId="26842"/>
    <cellStyle name="Normal 2 2 2 2 3 2 3 3 2 2 3" xfId="13001"/>
    <cellStyle name="Normal 2 2 2 2 3 2 3 3 2 2 3 2" xfId="16574"/>
    <cellStyle name="Normal 2 2 2 2 3 2 3 3 2 2 3 2 2" xfId="48347"/>
    <cellStyle name="Normal 2 2 2 2 3 2 3 3 2 2 3 2 2 2" xfId="51902"/>
    <cellStyle name="Normal 2 2 2 2 3 2 3 3 2 2 3 3" xfId="30076"/>
    <cellStyle name="Normal 2 2 2 2 3 2 3 3 2 2 4" xfId="26485"/>
    <cellStyle name="Normal 2 2 2 2 3 2 3 3 2 2 4 2" xfId="38386"/>
    <cellStyle name="Normal 2 2 2 2 3 2 3 3 2 3" xfId="4953"/>
    <cellStyle name="Normal 2 2 2 2 3 2 3 3 2 3 2" xfId="16214"/>
    <cellStyle name="Normal 2 2 2 2 3 2 3 3 2 3 2 2" xfId="18526"/>
    <cellStyle name="Normal 2 2 2 2 3 2 3 3 2 3 2 2 2" xfId="51544"/>
    <cellStyle name="Normal 2 2 2 2 3 2 3 3 2 3 2 2 2 2" xfId="53852"/>
    <cellStyle name="Normal 2 2 2 2 3 2 3 3 2 3 2 3" xfId="32027"/>
    <cellStyle name="Normal 2 2 2 2 3 2 3 3 2 3 3" xfId="29718"/>
    <cellStyle name="Normal 2 2 2 2 3 2 3 3 2 3 3 2" xfId="40390"/>
    <cellStyle name="Normal 2 2 2 2 3 2 3 3 2 4" xfId="10156"/>
    <cellStyle name="Normal 2 2 2 2 3 2 3 3 2 4 2" xfId="38028"/>
    <cellStyle name="Normal 2 2 2 2 3 2 3 3 2 4 2 2" xfId="45519"/>
    <cellStyle name="Normal 2 2 2 2 3 2 3 3 2 5" xfId="23642"/>
    <cellStyle name="Normal 2 2 2 2 3 2 3 3 3" xfId="4588"/>
    <cellStyle name="Normal 2 2 2 2 3 2 3 3 3 2" xfId="6184"/>
    <cellStyle name="Normal 2 2 2 2 3 2 3 3 3 2 2" xfId="18169"/>
    <cellStyle name="Normal 2 2 2 2 3 2 3 3 3 2 2 2" xfId="19743"/>
    <cellStyle name="Normal 2 2 2 2 3 2 3 3 3 2 2 2 2" xfId="53495"/>
    <cellStyle name="Normal 2 2 2 2 3 2 3 3 3 2 2 2 2 2" xfId="55069"/>
    <cellStyle name="Normal 2 2 2 2 3 2 3 3 3 2 2 3" xfId="33245"/>
    <cellStyle name="Normal 2 2 2 2 3 2 3 3 3 2 3" xfId="31670"/>
    <cellStyle name="Normal 2 2 2 2 3 2 3 3 3 2 3 2" xfId="41614"/>
    <cellStyle name="Normal 2 2 2 2 3 2 3 3 3 3" xfId="11409"/>
    <cellStyle name="Normal 2 2 2 2 3 2 3 3 3 3 2" xfId="40027"/>
    <cellStyle name="Normal 2 2 2 2 3 2 3 3 3 3 2 2" xfId="46760"/>
    <cellStyle name="Normal 2 2 2 2 3 2 3 3 3 4" xfId="24897"/>
    <cellStyle name="Normal 2 2 2 2 3 2 3 3 4" xfId="9792"/>
    <cellStyle name="Normal 2 2 2 2 3 2 3 3 4 2" xfId="14567"/>
    <cellStyle name="Normal 2 2 2 2 3 2 3 3 4 2 2" xfId="45162"/>
    <cellStyle name="Normal 2 2 2 2 3 2 3 3 4 2 2 2" xfId="49908"/>
    <cellStyle name="Normal 2 2 2 2 3 2 3 3 4 3" xfId="28078"/>
    <cellStyle name="Normal 2 2 2 2 3 2 3 3 5" xfId="23285"/>
    <cellStyle name="Normal 2 2 2 2 3 2 3 3 5 2" xfId="36377"/>
    <cellStyle name="Normal 2 2 2 2 3 2 3 4" xfId="1665"/>
    <cellStyle name="Normal 2 2 2 2 3 2 3 4 2" xfId="5794"/>
    <cellStyle name="Normal 2 2 2 2 3 2 3 4 2 2" xfId="6927"/>
    <cellStyle name="Normal 2 2 2 2 3 2 3 4 2 2 2" xfId="19362"/>
    <cellStyle name="Normal 2 2 2 2 3 2 3 4 2 2 2 2" xfId="20480"/>
    <cellStyle name="Normal 2 2 2 2 3 2 3 4 2 2 2 2 2" xfId="54688"/>
    <cellStyle name="Normal 2 2 2 2 3 2 3 4 2 2 2 2 2 2" xfId="55806"/>
    <cellStyle name="Normal 2 2 2 2 3 2 3 4 2 2 2 3" xfId="33982"/>
    <cellStyle name="Normal 2 2 2 2 3 2 3 4 2 2 3" xfId="32863"/>
    <cellStyle name="Normal 2 2 2 2 3 2 3 4 2 2 3 2" xfId="42355"/>
    <cellStyle name="Normal 2 2 2 2 3 2 3 4 2 3" xfId="12151"/>
    <cellStyle name="Normal 2 2 2 2 3 2 3 4 2 3 2" xfId="41229"/>
    <cellStyle name="Normal 2 2 2 2 3 2 3 4 2 3 2 2" xfId="47498"/>
    <cellStyle name="Normal 2 2 2 2 3 2 3 4 2 4" xfId="25636"/>
    <cellStyle name="Normal 2 2 2 2 3 2 3 4 3" xfId="11016"/>
    <cellStyle name="Normal 2 2 2 2 3 2 3 4 3 2" xfId="15338"/>
    <cellStyle name="Normal 2 2 2 2 3 2 3 4 3 2 2" xfId="46375"/>
    <cellStyle name="Normal 2 2 2 2 3 2 3 4 3 2 2 2" xfId="50673"/>
    <cellStyle name="Normal 2 2 2 2 3 2 3 4 3 3" xfId="28847"/>
    <cellStyle name="Normal 2 2 2 2 3 2 3 4 4" xfId="24510"/>
    <cellStyle name="Normal 2 2 2 2 3 2 3 4 4 2" xfId="37149"/>
    <cellStyle name="Normal 2 2 2 2 3 2 3 5" xfId="3670"/>
    <cellStyle name="Normal 2 2 2 2 3 2 3 5 2" xfId="14177"/>
    <cellStyle name="Normal 2 2 2 2 3 2 3 5 2 2" xfId="17295"/>
    <cellStyle name="Normal 2 2 2 2 3 2 3 5 2 2 2" xfId="49522"/>
    <cellStyle name="Normal 2 2 2 2 3 2 3 5 2 2 2 2" xfId="52622"/>
    <cellStyle name="Normal 2 2 2 2 3 2 3 5 2 3" xfId="30796"/>
    <cellStyle name="Normal 2 2 2 2 3 2 3 5 3" xfId="27683"/>
    <cellStyle name="Normal 2 2 2 2 3 2 3 5 3 2" xfId="39123"/>
    <cellStyle name="Normal 2 2 2 2 3 2 3 6" xfId="8863"/>
    <cellStyle name="Normal 2 2 2 2 3 2 3 6 2" xfId="35989"/>
    <cellStyle name="Normal 2 2 2 2 3 2 3 6 2 2" xfId="44267"/>
    <cellStyle name="Normal 2 2 2 2 3 2 3 7" xfId="22375"/>
    <cellStyle name="Normal 2 2 2 2 3 2 4" xfId="777"/>
    <cellStyle name="Normal 2 2 2 2 3 2 4 2" xfId="1042"/>
    <cellStyle name="Normal 2 2 2 2 3 2 4 2 2" xfId="2833"/>
    <cellStyle name="Normal 2 2 2 2 3 2 4 2 2 2" xfId="3078"/>
    <cellStyle name="Normal 2 2 2 2 3 2 4 2 2 2 2" xfId="8049"/>
    <cellStyle name="Normal 2 2 2 2 3 2 4 2 2 2 2 2" xfId="8293"/>
    <cellStyle name="Normal 2 2 2 2 3 2 4 2 2 2 2 2 2" xfId="21601"/>
    <cellStyle name="Normal 2 2 2 2 3 2 4 2 2 2 2 2 2 2" xfId="21845"/>
    <cellStyle name="Normal 2 2 2 2 3 2 4 2 2 2 2 2 2 2 2" xfId="56927"/>
    <cellStyle name="Normal 2 2 2 2 3 2 4 2 2 2 2 2 2 2 2 2" xfId="57171"/>
    <cellStyle name="Normal 2 2 2 2 3 2 4 2 2 2 2 2 2 3" xfId="35348"/>
    <cellStyle name="Normal 2 2 2 2 3 2 4 2 2 2 2 2 3" xfId="35104"/>
    <cellStyle name="Normal 2 2 2 2 3 2 4 2 2 2 2 2 3 2" xfId="43720"/>
    <cellStyle name="Normal 2 2 2 2 3 2 4 2 2 2 2 3" xfId="13518"/>
    <cellStyle name="Normal 2 2 2 2 3 2 4 2 2 2 2 3 2" xfId="43476"/>
    <cellStyle name="Normal 2 2 2 2 3 2 4 2 2 2 2 3 2 2" xfId="48864"/>
    <cellStyle name="Normal 2 2 2 2 3 2 4 2 2 2 2 4" xfId="27003"/>
    <cellStyle name="Normal 2 2 2 2 3 2 4 2 2 2 3" xfId="13274"/>
    <cellStyle name="Normal 2 2 2 2 3 2 4 2 2 2 3 2" xfId="16735"/>
    <cellStyle name="Normal 2 2 2 2 3 2 4 2 2 2 3 2 2" xfId="48620"/>
    <cellStyle name="Normal 2 2 2 2 3 2 4 2 2 2 3 2 2 2" xfId="52063"/>
    <cellStyle name="Normal 2 2 2 2 3 2 4 2 2 2 3 3" xfId="30237"/>
    <cellStyle name="Normal 2 2 2 2 3 2 4 2 2 2 4" xfId="26758"/>
    <cellStyle name="Normal 2 2 2 2 3 2 4 2 2 2 4 2" xfId="38547"/>
    <cellStyle name="Normal 2 2 2 2 3 2 4 2 2 3" xfId="5115"/>
    <cellStyle name="Normal 2 2 2 2 3 2 4 2 2 3 2" xfId="16491"/>
    <cellStyle name="Normal 2 2 2 2 3 2 4 2 2 3 2 2" xfId="18688"/>
    <cellStyle name="Normal 2 2 2 2 3 2 4 2 2 3 2 2 2" xfId="51819"/>
    <cellStyle name="Normal 2 2 2 2 3 2 4 2 2 3 2 2 2 2" xfId="54014"/>
    <cellStyle name="Normal 2 2 2 2 3 2 4 2 2 3 2 3" xfId="32189"/>
    <cellStyle name="Normal 2 2 2 2 3 2 4 2 2 3 3" xfId="29993"/>
    <cellStyle name="Normal 2 2 2 2 3 2 4 2 2 3 3 2" xfId="40552"/>
    <cellStyle name="Normal 2 2 2 2 3 2 4 2 2 4" xfId="10318"/>
    <cellStyle name="Normal 2 2 2 2 3 2 4 2 2 4 2" xfId="38303"/>
    <cellStyle name="Normal 2 2 2 2 3 2 4 2 2 4 2 2" xfId="45681"/>
    <cellStyle name="Normal 2 2 2 2 3 2 4 2 2 5" xfId="23804"/>
    <cellStyle name="Normal 2 2 2 2 3 2 4 2 3" xfId="4869"/>
    <cellStyle name="Normal 2 2 2 2 3 2 4 2 3 2" xfId="6352"/>
    <cellStyle name="Normal 2 2 2 2 3 2 4 2 3 2 2" xfId="18443"/>
    <cellStyle name="Normal 2 2 2 2 3 2 4 2 3 2 2 2" xfId="19909"/>
    <cellStyle name="Normal 2 2 2 2 3 2 4 2 3 2 2 2 2" xfId="53769"/>
    <cellStyle name="Normal 2 2 2 2 3 2 4 2 3 2 2 2 2 2" xfId="55235"/>
    <cellStyle name="Normal 2 2 2 2 3 2 4 2 3 2 2 3" xfId="33411"/>
    <cellStyle name="Normal 2 2 2 2 3 2 4 2 3 2 3" xfId="31944"/>
    <cellStyle name="Normal 2 2 2 2 3 2 4 2 3 2 3 2" xfId="41781"/>
    <cellStyle name="Normal 2 2 2 2 3 2 4 2 3 3" xfId="11578"/>
    <cellStyle name="Normal 2 2 2 2 3 2 4 2 3 3 2" xfId="40306"/>
    <cellStyle name="Normal 2 2 2 2 3 2 4 2 3 3 2 2" xfId="46927"/>
    <cellStyle name="Normal 2 2 2 2 3 2 4 2 3 4" xfId="25064"/>
    <cellStyle name="Normal 2 2 2 2 3 2 4 2 4" xfId="10072"/>
    <cellStyle name="Normal 2 2 2 2 3 2 4 2 4 2" xfId="14735"/>
    <cellStyle name="Normal 2 2 2 2 3 2 4 2 4 2 2" xfId="45436"/>
    <cellStyle name="Normal 2 2 2 2 3 2 4 2 4 2 2 2" xfId="50074"/>
    <cellStyle name="Normal 2 2 2 2 3 2 4 2 4 3" xfId="28247"/>
    <cellStyle name="Normal 2 2 2 2 3 2 4 2 5" xfId="23559"/>
    <cellStyle name="Normal 2 2 2 2 3 2 4 2 5 2" xfId="36543"/>
    <cellStyle name="Normal 2 2 2 2 3 2 4 3" xfId="1847"/>
    <cellStyle name="Normal 2 2 2 2 3 2 4 3 2" xfId="6093"/>
    <cellStyle name="Normal 2 2 2 2 3 2 4 3 2 2" xfId="7097"/>
    <cellStyle name="Normal 2 2 2 2 3 2 4 3 2 2 2" xfId="19655"/>
    <cellStyle name="Normal 2 2 2 2 3 2 4 3 2 2 2 2" xfId="20650"/>
    <cellStyle name="Normal 2 2 2 2 3 2 4 3 2 2 2 2 2" xfId="54981"/>
    <cellStyle name="Normal 2 2 2 2 3 2 4 3 2 2 2 2 2 2" xfId="55976"/>
    <cellStyle name="Normal 2 2 2 2 3 2 4 3 2 2 2 3" xfId="34152"/>
    <cellStyle name="Normal 2 2 2 2 3 2 4 3 2 2 3" xfId="33156"/>
    <cellStyle name="Normal 2 2 2 2 3 2 4 3 2 2 3 2" xfId="42525"/>
    <cellStyle name="Normal 2 2 2 2 3 2 4 3 2 3" xfId="12322"/>
    <cellStyle name="Normal 2 2 2 2 3 2 4 3 2 3 2" xfId="41526"/>
    <cellStyle name="Normal 2 2 2 2 3 2 4 3 2 3 2 2" xfId="47669"/>
    <cellStyle name="Normal 2 2 2 2 3 2 4 3 2 4" xfId="25807"/>
    <cellStyle name="Normal 2 2 2 2 3 2 4 3 3" xfId="11319"/>
    <cellStyle name="Normal 2 2 2 2 3 2 4 3 3 2" xfId="15518"/>
    <cellStyle name="Normal 2 2 2 2 3 2 4 3 3 2 2" xfId="46672"/>
    <cellStyle name="Normal 2 2 2 2 3 2 4 3 3 2 2 2" xfId="50851"/>
    <cellStyle name="Normal 2 2 2 2 3 2 4 3 3 3" xfId="29025"/>
    <cellStyle name="Normal 2 2 2 2 3 2 4 3 4" xfId="24809"/>
    <cellStyle name="Normal 2 2 2 2 3 2 4 3 4 2" xfId="37328"/>
    <cellStyle name="Normal 2 2 2 2 3 2 4 4" xfId="3860"/>
    <cellStyle name="Normal 2 2 2 2 3 2 4 4 2" xfId="14477"/>
    <cellStyle name="Normal 2 2 2 2 3 2 4 4 2 2" xfId="17473"/>
    <cellStyle name="Normal 2 2 2 2 3 2 4 4 2 2 2" xfId="49819"/>
    <cellStyle name="Normal 2 2 2 2 3 2 4 4 2 2 2 2" xfId="52800"/>
    <cellStyle name="Normal 2 2 2 2 3 2 4 4 2 3" xfId="30974"/>
    <cellStyle name="Normal 2 2 2 2 3 2 4 4 3" xfId="27988"/>
    <cellStyle name="Normal 2 2 2 2 3 2 4 4 3 2" xfId="39309"/>
    <cellStyle name="Normal 2 2 2 2 3 2 4 5" xfId="9052"/>
    <cellStyle name="Normal 2 2 2 2 3 2 4 5 2" xfId="36287"/>
    <cellStyle name="Normal 2 2 2 2 3 2 4 5 2 2" xfId="44449"/>
    <cellStyle name="Normal 2 2 2 2 3 2 4 6" xfId="22560"/>
    <cellStyle name="Normal 2 2 2 2 3 2 5" xfId="1563"/>
    <cellStyle name="Normal 2 2 2 2 3 2 5 2" xfId="2305"/>
    <cellStyle name="Normal 2 2 2 2 3 2 5 2 2" xfId="6835"/>
    <cellStyle name="Normal 2 2 2 2 3 2 5 2 2 2" xfId="7539"/>
    <cellStyle name="Normal 2 2 2 2 3 2 5 2 2 2 2" xfId="20388"/>
    <cellStyle name="Normal 2 2 2 2 3 2 5 2 2 2 2 2" xfId="21091"/>
    <cellStyle name="Normal 2 2 2 2 3 2 5 2 2 2 2 2 2" xfId="55714"/>
    <cellStyle name="Normal 2 2 2 2 3 2 5 2 2 2 2 2 2 2" xfId="56417"/>
    <cellStyle name="Normal 2 2 2 2 3 2 5 2 2 2 2 3" xfId="34594"/>
    <cellStyle name="Normal 2 2 2 2 3 2 5 2 2 2 3" xfId="33890"/>
    <cellStyle name="Normal 2 2 2 2 3 2 5 2 2 2 3 2" xfId="42966"/>
    <cellStyle name="Normal 2 2 2 2 3 2 5 2 2 3" xfId="12764"/>
    <cellStyle name="Normal 2 2 2 2 3 2 5 2 2 3 2" xfId="42263"/>
    <cellStyle name="Normal 2 2 2 2 3 2 5 2 2 3 2 2" xfId="48110"/>
    <cellStyle name="Normal 2 2 2 2 3 2 5 2 2 4" xfId="26248"/>
    <cellStyle name="Normal 2 2 2 2 3 2 5 2 3" xfId="12059"/>
    <cellStyle name="Normal 2 2 2 2 3 2 5 2 3 2" xfId="15969"/>
    <cellStyle name="Normal 2 2 2 2 3 2 5 2 3 2 2" xfId="47406"/>
    <cellStyle name="Normal 2 2 2 2 3 2 5 2 3 2 2 2" xfId="51301"/>
    <cellStyle name="Normal 2 2 2 2 3 2 5 2 3 3" xfId="29475"/>
    <cellStyle name="Normal 2 2 2 2 3 2 5 2 4" xfId="25544"/>
    <cellStyle name="Normal 2 2 2 2 3 2 5 2 4 2" xfId="37783"/>
    <cellStyle name="Normal 2 2 2 2 3 2 5 3" xfId="4333"/>
    <cellStyle name="Normal 2 2 2 2 3 2 5 3 2" xfId="15239"/>
    <cellStyle name="Normal 2 2 2 2 3 2 5 3 2 2" xfId="17926"/>
    <cellStyle name="Normal 2 2 2 2 3 2 5 3 2 2 2" xfId="50576"/>
    <cellStyle name="Normal 2 2 2 2 3 2 5 3 2 2 2 2" xfId="53253"/>
    <cellStyle name="Normal 2 2 2 2 3 2 5 3 2 3" xfId="31428"/>
    <cellStyle name="Normal 2 2 2 2 3 2 5 3 3" xfId="28750"/>
    <cellStyle name="Normal 2 2 2 2 3 2 5 3 3 2" xfId="39776"/>
    <cellStyle name="Normal 2 2 2 2 3 2 5 4" xfId="9529"/>
    <cellStyle name="Normal 2 2 2 2 3 2 5 4 2" xfId="37051"/>
    <cellStyle name="Normal 2 2 2 2 3 2 5 4 2 2" xfId="44911"/>
    <cellStyle name="Normal 2 2 2 2 3 2 5 5" xfId="23027"/>
    <cellStyle name="Normal 2 2 2 2 3 2 6" xfId="3564"/>
    <cellStyle name="Normal 2 2 2 2 3 2 6 2" xfId="5544"/>
    <cellStyle name="Normal 2 2 2 2 3 2 6 2 2" xfId="17200"/>
    <cellStyle name="Normal 2 2 2 2 3 2 6 2 2 2" xfId="19117"/>
    <cellStyle name="Normal 2 2 2 2 3 2 6 2 2 2 2" xfId="52527"/>
    <cellStyle name="Normal 2 2 2 2 3 2 6 2 2 2 2 2" xfId="54443"/>
    <cellStyle name="Normal 2 2 2 2 3 2 6 2 2 3" xfId="32618"/>
    <cellStyle name="Normal 2 2 2 2 3 2 6 2 3" xfId="30701"/>
    <cellStyle name="Normal 2 2 2 2 3 2 6 2 3 2" xfId="40981"/>
    <cellStyle name="Normal 2 2 2 2 3 2 6 3" xfId="10751"/>
    <cellStyle name="Normal 2 2 2 2 3 2 6 3 2" xfId="39021"/>
    <cellStyle name="Normal 2 2 2 2 3 2 6 3 2 2" xfId="46113"/>
    <cellStyle name="Normal 2 2 2 2 3 2 6 4" xfId="24238"/>
    <cellStyle name="Normal 2 2 2 2 3 2 7" xfId="8755"/>
    <cellStyle name="Normal 2 2 2 2 3 2 7 2" xfId="13929"/>
    <cellStyle name="Normal 2 2 2 2 3 2 7 2 2" xfId="44168"/>
    <cellStyle name="Normal 2 2 2 2 3 2 7 2 2 2" xfId="49275"/>
    <cellStyle name="Normal 2 2 2 2 3 2 7 3" xfId="27415"/>
    <cellStyle name="Normal 2 2 2 2 3 2 8" xfId="22272"/>
    <cellStyle name="Normal 2 2 2 2 3 2 8 2" xfId="27535"/>
    <cellStyle name="Normal 2 2 2 2 3 3" xfId="227"/>
    <cellStyle name="Normal 2 2 2 2 3 3 2" xfId="525"/>
    <cellStyle name="Normal 2 2 2 2 3 3 2 2" xfId="590"/>
    <cellStyle name="Normal 2 2 2 2 3 3 2 2 2" xfId="1334"/>
    <cellStyle name="Normal 2 2 2 2 3 3 2 2 2 2" xfId="1386"/>
    <cellStyle name="Normal 2 2 2 2 3 3 2 2 2 2 2" xfId="3352"/>
    <cellStyle name="Normal 2 2 2 2 3 3 2 2 2 2 2 2" xfId="3404"/>
    <cellStyle name="Normal 2 2 2 2 3 3 2 2 2 2 2 2 2" xfId="8567"/>
    <cellStyle name="Normal 2 2 2 2 3 3 2 2 2 2 2 2 2 2" xfId="8619"/>
    <cellStyle name="Normal 2 2 2 2 3 3 2 2 2 2 2 2 2 2 2" xfId="22119"/>
    <cellStyle name="Normal 2 2 2 2 3 3 2 2 2 2 2 2 2 2 2 2" xfId="22171"/>
    <cellStyle name="Normal 2 2 2 2 3 3 2 2 2 2 2 2 2 2 2 2 2" xfId="57445"/>
    <cellStyle name="Normal 2 2 2 2 3 3 2 2 2 2 2 2 2 2 2 2 2 2" xfId="57497"/>
    <cellStyle name="Normal 2 2 2 2 3 3 2 2 2 2 2 2 2 2 2 3" xfId="35674"/>
    <cellStyle name="Normal 2 2 2 2 3 3 2 2 2 2 2 2 2 2 3" xfId="35622"/>
    <cellStyle name="Normal 2 2 2 2 3 3 2 2 2 2 2 2 2 2 3 2" xfId="44046"/>
    <cellStyle name="Normal 2 2 2 2 3 3 2 2 2 2 2 2 2 3" xfId="13844"/>
    <cellStyle name="Normal 2 2 2 2 3 3 2 2 2 2 2 2 2 3 2" xfId="43994"/>
    <cellStyle name="Normal 2 2 2 2 3 3 2 2 2 2 2 2 2 3 2 2" xfId="49190"/>
    <cellStyle name="Normal 2 2 2 2 3 3 2 2 2 2 2 2 2 4" xfId="27329"/>
    <cellStyle name="Normal 2 2 2 2 3 3 2 2 2 2 2 2 3" xfId="13792"/>
    <cellStyle name="Normal 2 2 2 2 3 3 2 2 2 2 2 2 3 2" xfId="17061"/>
    <cellStyle name="Normal 2 2 2 2 3 3 2 2 2 2 2 2 3 2 2" xfId="49138"/>
    <cellStyle name="Normal 2 2 2 2 3 3 2 2 2 2 2 2 3 2 2 2" xfId="52389"/>
    <cellStyle name="Normal 2 2 2 2 3 3 2 2 2 2 2 2 3 3" xfId="30563"/>
    <cellStyle name="Normal 2 2 2 2 3 3 2 2 2 2 2 2 4" xfId="27277"/>
    <cellStyle name="Normal 2 2 2 2 3 3 2 2 2 2 2 2 4 2" xfId="38873"/>
    <cellStyle name="Normal 2 2 2 2 3 3 2 2 2 2 2 3" xfId="5441"/>
    <cellStyle name="Normal 2 2 2 2 3 3 2 2 2 2 2 3 2" xfId="17009"/>
    <cellStyle name="Normal 2 2 2 2 3 3 2 2 2 2 2 3 2 2" xfId="19014"/>
    <cellStyle name="Normal 2 2 2 2 3 3 2 2 2 2 2 3 2 2 2" xfId="52337"/>
    <cellStyle name="Normal 2 2 2 2 3 3 2 2 2 2 2 3 2 2 2 2" xfId="54340"/>
    <cellStyle name="Normal 2 2 2 2 3 3 2 2 2 2 2 3 2 3" xfId="32515"/>
    <cellStyle name="Normal 2 2 2 2 3 3 2 2 2 2 2 3 3" xfId="30511"/>
    <cellStyle name="Normal 2 2 2 2 3 3 2 2 2 2 2 3 3 2" xfId="40878"/>
    <cellStyle name="Normal 2 2 2 2 3 3 2 2 2 2 2 4" xfId="10644"/>
    <cellStyle name="Normal 2 2 2 2 3 3 2 2 2 2 2 4 2" xfId="38821"/>
    <cellStyle name="Normal 2 2 2 2 3 3 2 2 2 2 2 4 2 2" xfId="46007"/>
    <cellStyle name="Normal 2 2 2 2 3 3 2 2 2 2 2 5" xfId="24130"/>
    <cellStyle name="Normal 2 2 2 2 3 3 2 2 2 2 3" xfId="5389"/>
    <cellStyle name="Normal 2 2 2 2 3 3 2 2 2 2 3 2" xfId="6694"/>
    <cellStyle name="Normal 2 2 2 2 3 3 2 2 2 2 3 2 2" xfId="18962"/>
    <cellStyle name="Normal 2 2 2 2 3 3 2 2 2 2 3 2 2 2" xfId="20247"/>
    <cellStyle name="Normal 2 2 2 2 3 3 2 2 2 2 3 2 2 2 2" xfId="54288"/>
    <cellStyle name="Normal 2 2 2 2 3 3 2 2 2 2 3 2 2 2 2 2" xfId="55573"/>
    <cellStyle name="Normal 2 2 2 2 3 3 2 2 2 2 3 2 2 3" xfId="33749"/>
    <cellStyle name="Normal 2 2 2 2 3 3 2 2 2 2 3 2 3" xfId="32463"/>
    <cellStyle name="Normal 2 2 2 2 3 3 2 2 2 2 3 2 3 2" xfId="42122"/>
    <cellStyle name="Normal 2 2 2 2 3 3 2 2 2 2 3 3" xfId="11917"/>
    <cellStyle name="Normal 2 2 2 2 3 3 2 2 2 2 3 3 2" xfId="40826"/>
    <cellStyle name="Normal 2 2 2 2 3 3 2 2 2 2 3 3 2 2" xfId="47265"/>
    <cellStyle name="Normal 2 2 2 2 3 3 2 2 2 2 3 4" xfId="25402"/>
    <cellStyle name="Normal 2 2 2 2 3 3 2 2 2 2 4" xfId="10592"/>
    <cellStyle name="Normal 2 2 2 2 3 3 2 2 2 2 4 2" xfId="15075"/>
    <cellStyle name="Normal 2 2 2 2 3 3 2 2 2 2 4 2 2" xfId="45955"/>
    <cellStyle name="Normal 2 2 2 2 3 3 2 2 2 2 4 2 2 2" xfId="50414"/>
    <cellStyle name="Normal 2 2 2 2 3 3 2 2 2 2 4 3" xfId="28588"/>
    <cellStyle name="Normal 2 2 2 2 3 3 2 2 2 2 5" xfId="24078"/>
    <cellStyle name="Normal 2 2 2 2 3 3 2 2 2 2 5 2" xfId="36883"/>
    <cellStyle name="Normal 2 2 2 2 3 3 2 2 2 3" xfId="2193"/>
    <cellStyle name="Normal 2 2 2 2 3 3 2 2 2 3 2" xfId="6642"/>
    <cellStyle name="Normal 2 2 2 2 3 3 2 2 2 3 2 2" xfId="7427"/>
    <cellStyle name="Normal 2 2 2 2 3 3 2 2 2 3 2 2 2" xfId="20195"/>
    <cellStyle name="Normal 2 2 2 2 3 3 2 2 2 3 2 2 2 2" xfId="20979"/>
    <cellStyle name="Normal 2 2 2 2 3 3 2 2 2 3 2 2 2 2 2" xfId="55521"/>
    <cellStyle name="Normal 2 2 2 2 3 3 2 2 2 3 2 2 2 2 2 2" xfId="56305"/>
    <cellStyle name="Normal 2 2 2 2 3 3 2 2 2 3 2 2 2 3" xfId="34482"/>
    <cellStyle name="Normal 2 2 2 2 3 3 2 2 2 3 2 2 3" xfId="33697"/>
    <cellStyle name="Normal 2 2 2 2 3 3 2 2 2 3 2 2 3 2" xfId="42854"/>
    <cellStyle name="Normal 2 2 2 2 3 3 2 2 2 3 2 3" xfId="12652"/>
    <cellStyle name="Normal 2 2 2 2 3 3 2 2 2 3 2 3 2" xfId="42070"/>
    <cellStyle name="Normal 2 2 2 2 3 3 2 2 2 3 2 3 2 2" xfId="47998"/>
    <cellStyle name="Normal 2 2 2 2 3 3 2 2 2 3 2 4" xfId="26136"/>
    <cellStyle name="Normal 2 2 2 2 3 3 2 2 2 3 3" xfId="11865"/>
    <cellStyle name="Normal 2 2 2 2 3 3 2 2 2 3 3 2" xfId="15857"/>
    <cellStyle name="Normal 2 2 2 2 3 3 2 2 2 3 3 2 2" xfId="47213"/>
    <cellStyle name="Normal 2 2 2 2 3 3 2 2 2 3 3 2 2 2" xfId="51189"/>
    <cellStyle name="Normal 2 2 2 2 3 3 2 2 2 3 3 3" xfId="29363"/>
    <cellStyle name="Normal 2 2 2 2 3 3 2 2 2 3 4" xfId="25350"/>
    <cellStyle name="Normal 2 2 2 2 3 3 2 2 2 3 4 2" xfId="37671"/>
    <cellStyle name="Normal 2 2 2 2 3 3 2 2 2 4" xfId="4209"/>
    <cellStyle name="Normal 2 2 2 2 3 3 2 2 2 4 2" xfId="15023"/>
    <cellStyle name="Normal 2 2 2 2 3 3 2 2 2 4 2 2" xfId="17802"/>
    <cellStyle name="Normal 2 2 2 2 3 3 2 2 2 4 2 2 2" xfId="50362"/>
    <cellStyle name="Normal 2 2 2 2 3 3 2 2 2 4 2 2 2 2" xfId="53129"/>
    <cellStyle name="Normal 2 2 2 2 3 3 2 2 2 4 2 3" xfId="31304"/>
    <cellStyle name="Normal 2 2 2 2 3 3 2 2 2 4 3" xfId="28536"/>
    <cellStyle name="Normal 2 2 2 2 3 3 2 2 2 4 3 2" xfId="39652"/>
    <cellStyle name="Normal 2 2 2 2 3 3 2 2 2 5" xfId="9400"/>
    <cellStyle name="Normal 2 2 2 2 3 3 2 2 2 5 2" xfId="36831"/>
    <cellStyle name="Normal 2 2 2 2 3 3 2 2 2 5 2 2" xfId="44782"/>
    <cellStyle name="Normal 2 2 2 2 3 3 2 2 2 6" xfId="22896"/>
    <cellStyle name="Normal 2 2 2 2 3 3 2 2 3" xfId="2141"/>
    <cellStyle name="Normal 2 2 2 2 3 3 2 2 3 2" xfId="2680"/>
    <cellStyle name="Normal 2 2 2 2 3 3 2 2 3 2 2" xfId="7375"/>
    <cellStyle name="Normal 2 2 2 2 3 3 2 2 3 2 2 2" xfId="7899"/>
    <cellStyle name="Normal 2 2 2 2 3 3 2 2 3 2 2 2 2" xfId="20927"/>
    <cellStyle name="Normal 2 2 2 2 3 3 2 2 3 2 2 2 2 2" xfId="21451"/>
    <cellStyle name="Normal 2 2 2 2 3 3 2 2 3 2 2 2 2 2 2" xfId="56253"/>
    <cellStyle name="Normal 2 2 2 2 3 3 2 2 3 2 2 2 2 2 2 2" xfId="56777"/>
    <cellStyle name="Normal 2 2 2 2 3 3 2 2 3 2 2 2 2 3" xfId="34954"/>
    <cellStyle name="Normal 2 2 2 2 3 3 2 2 3 2 2 2 3" xfId="34430"/>
    <cellStyle name="Normal 2 2 2 2 3 3 2 2 3 2 2 2 3 2" xfId="43326"/>
    <cellStyle name="Normal 2 2 2 2 3 3 2 2 3 2 2 3" xfId="13124"/>
    <cellStyle name="Normal 2 2 2 2 3 3 2 2 3 2 2 3 2" xfId="42802"/>
    <cellStyle name="Normal 2 2 2 2 3 3 2 2 3 2 2 3 2 2" xfId="48470"/>
    <cellStyle name="Normal 2 2 2 2 3 3 2 2 3 2 2 4" xfId="26608"/>
    <cellStyle name="Normal 2 2 2 2 3 3 2 2 3 2 3" xfId="12600"/>
    <cellStyle name="Normal 2 2 2 2 3 3 2 2 3 2 3 2" xfId="16339"/>
    <cellStyle name="Normal 2 2 2 2 3 3 2 2 3 2 3 2 2" xfId="47946"/>
    <cellStyle name="Normal 2 2 2 2 3 3 2 2 3 2 3 2 2 2" xfId="51669"/>
    <cellStyle name="Normal 2 2 2 2 3 3 2 2 3 2 3 3" xfId="29843"/>
    <cellStyle name="Normal 2 2 2 2 3 3 2 2 3 2 4" xfId="26084"/>
    <cellStyle name="Normal 2 2 2 2 3 3 2 2 3 2 4 2" xfId="38153"/>
    <cellStyle name="Normal 2 2 2 2 3 3 2 2 3 3" xfId="4716"/>
    <cellStyle name="Normal 2 2 2 2 3 3 2 2 3 3 2" xfId="15805"/>
    <cellStyle name="Normal 2 2 2 2 3 3 2 2 3 3 2 2" xfId="18293"/>
    <cellStyle name="Normal 2 2 2 2 3 3 2 2 3 3 2 2 2" xfId="51137"/>
    <cellStyle name="Normal 2 2 2 2 3 3 2 2 3 3 2 2 2 2" xfId="53619"/>
    <cellStyle name="Normal 2 2 2 2 3 3 2 2 3 3 2 3" xfId="31794"/>
    <cellStyle name="Normal 2 2 2 2 3 3 2 2 3 3 3" xfId="29311"/>
    <cellStyle name="Normal 2 2 2 2 3 3 2 2 3 3 3 2" xfId="40154"/>
    <cellStyle name="Normal 2 2 2 2 3 3 2 2 3 4" xfId="9919"/>
    <cellStyle name="Normal 2 2 2 2 3 3 2 2 3 4 2" xfId="37619"/>
    <cellStyle name="Normal 2 2 2 2 3 3 2 2 3 4 2 2" xfId="45286"/>
    <cellStyle name="Normal 2 2 2 2 3 3 2 2 3 5" xfId="23409"/>
    <cellStyle name="Normal 2 2 2 2 3 3 2 2 4" xfId="4157"/>
    <cellStyle name="Normal 2 2 2 2 3 3 2 2 4 2" xfId="5921"/>
    <cellStyle name="Normal 2 2 2 2 3 3 2 2 4 2 2" xfId="17750"/>
    <cellStyle name="Normal 2 2 2 2 3 3 2 2 4 2 2 2" xfId="19488"/>
    <cellStyle name="Normal 2 2 2 2 3 3 2 2 4 2 2 2 2" xfId="53077"/>
    <cellStyle name="Normal 2 2 2 2 3 3 2 2 4 2 2 2 2 2" xfId="54814"/>
    <cellStyle name="Normal 2 2 2 2 3 3 2 2 4 2 2 3" xfId="32989"/>
    <cellStyle name="Normal 2 2 2 2 3 3 2 2 4 2 3" xfId="31252"/>
    <cellStyle name="Normal 2 2 2 2 3 3 2 2 4 2 3 2" xfId="41355"/>
    <cellStyle name="Normal 2 2 2 2 3 3 2 2 4 3" xfId="11146"/>
    <cellStyle name="Normal 2 2 2 2 3 3 2 2 4 3 2" xfId="39600"/>
    <cellStyle name="Normal 2 2 2 2 3 3 2 2 4 3 2 2" xfId="46504"/>
    <cellStyle name="Normal 2 2 2 2 3 3 2 2 4 4" xfId="24639"/>
    <cellStyle name="Normal 2 2 2 2 3 3 2 2 5" xfId="9348"/>
    <cellStyle name="Normal 2 2 2 2 3 3 2 2 5 2" xfId="14305"/>
    <cellStyle name="Normal 2 2 2 2 3 3 2 2 5 2 2" xfId="44730"/>
    <cellStyle name="Normal 2 2 2 2 3 3 2 2 5 2 2 2" xfId="49650"/>
    <cellStyle name="Normal 2 2 2 2 3 3 2 2 5 3" xfId="27815"/>
    <cellStyle name="Normal 2 2 2 2 3 3 2 2 6" xfId="22844"/>
    <cellStyle name="Normal 2 2 2 2 3 3 2 2 6 2" xfId="36117"/>
    <cellStyle name="Normal 2 2 2 2 3 3 2 3" xfId="918"/>
    <cellStyle name="Normal 2 2 2 2 3 3 2 3 2" xfId="2621"/>
    <cellStyle name="Normal 2 2 2 2 3 3 2 3 2 2" xfId="2956"/>
    <cellStyle name="Normal 2 2 2 2 3 3 2 3 2 2 2" xfId="7841"/>
    <cellStyle name="Normal 2 2 2 2 3 3 2 3 2 2 2 2" xfId="8171"/>
    <cellStyle name="Normal 2 2 2 2 3 3 2 3 2 2 2 2 2" xfId="21393"/>
    <cellStyle name="Normal 2 2 2 2 3 3 2 3 2 2 2 2 2 2" xfId="21723"/>
    <cellStyle name="Normal 2 2 2 2 3 3 2 3 2 2 2 2 2 2 2" xfId="56719"/>
    <cellStyle name="Normal 2 2 2 2 3 3 2 3 2 2 2 2 2 2 2 2" xfId="57049"/>
    <cellStyle name="Normal 2 2 2 2 3 3 2 3 2 2 2 2 2 3" xfId="35226"/>
    <cellStyle name="Normal 2 2 2 2 3 3 2 3 2 2 2 2 3" xfId="34896"/>
    <cellStyle name="Normal 2 2 2 2 3 3 2 3 2 2 2 2 3 2" xfId="43598"/>
    <cellStyle name="Normal 2 2 2 2 3 3 2 3 2 2 2 3" xfId="13396"/>
    <cellStyle name="Normal 2 2 2 2 3 3 2 3 2 2 2 3 2" xfId="43268"/>
    <cellStyle name="Normal 2 2 2 2 3 3 2 3 2 2 2 3 2 2" xfId="48742"/>
    <cellStyle name="Normal 2 2 2 2 3 3 2 3 2 2 2 4" xfId="26881"/>
    <cellStyle name="Normal 2 2 2 2 3 3 2 3 2 2 3" xfId="13066"/>
    <cellStyle name="Normal 2 2 2 2 3 3 2 3 2 2 3 2" xfId="16613"/>
    <cellStyle name="Normal 2 2 2 2 3 3 2 3 2 2 3 2 2" xfId="48412"/>
    <cellStyle name="Normal 2 2 2 2 3 3 2 3 2 2 3 2 2 2" xfId="51941"/>
    <cellStyle name="Normal 2 2 2 2 3 3 2 3 2 2 3 3" xfId="30115"/>
    <cellStyle name="Normal 2 2 2 2 3 3 2 3 2 2 4" xfId="26550"/>
    <cellStyle name="Normal 2 2 2 2 3 3 2 3 2 2 4 2" xfId="38425"/>
    <cellStyle name="Normal 2 2 2 2 3 3 2 3 2 3" xfId="4992"/>
    <cellStyle name="Normal 2 2 2 2 3 3 2 3 2 3 2" xfId="16280"/>
    <cellStyle name="Normal 2 2 2 2 3 3 2 3 2 3 2 2" xfId="18565"/>
    <cellStyle name="Normal 2 2 2 2 3 3 2 3 2 3 2 2 2" xfId="51610"/>
    <cellStyle name="Normal 2 2 2 2 3 3 2 3 2 3 2 2 2 2" xfId="53891"/>
    <cellStyle name="Normal 2 2 2 2 3 3 2 3 2 3 2 3" xfId="32066"/>
    <cellStyle name="Normal 2 2 2 2 3 3 2 3 2 3 3" xfId="29784"/>
    <cellStyle name="Normal 2 2 2 2 3 3 2 3 2 3 3 2" xfId="40429"/>
    <cellStyle name="Normal 2 2 2 2 3 3 2 3 2 4" xfId="10195"/>
    <cellStyle name="Normal 2 2 2 2 3 3 2 3 2 4 2" xfId="38094"/>
    <cellStyle name="Normal 2 2 2 2 3 3 2 3 2 4 2 2" xfId="45558"/>
    <cellStyle name="Normal 2 2 2 2 3 3 2 3 2 5" xfId="23681"/>
    <cellStyle name="Normal 2 2 2 2 3 3 2 3 3" xfId="4655"/>
    <cellStyle name="Normal 2 2 2 2 3 3 2 3 3 2" xfId="6229"/>
    <cellStyle name="Normal 2 2 2 2 3 3 2 3 3 2 2" xfId="18235"/>
    <cellStyle name="Normal 2 2 2 2 3 3 2 3 3 2 2 2" xfId="19786"/>
    <cellStyle name="Normal 2 2 2 2 3 3 2 3 3 2 2 2 2" xfId="53561"/>
    <cellStyle name="Normal 2 2 2 2 3 3 2 3 3 2 2 2 2 2" xfId="55112"/>
    <cellStyle name="Normal 2 2 2 2 3 3 2 3 3 2 2 3" xfId="33288"/>
    <cellStyle name="Normal 2 2 2 2 3 3 2 3 3 2 3" xfId="31736"/>
    <cellStyle name="Normal 2 2 2 2 3 3 2 3 3 2 3 2" xfId="41658"/>
    <cellStyle name="Normal 2 2 2 2 3 3 2 3 3 3" xfId="11454"/>
    <cellStyle name="Normal 2 2 2 2 3 3 2 3 3 3 2" xfId="40094"/>
    <cellStyle name="Normal 2 2 2 2 3 3 2 3 3 3 2 2" xfId="46803"/>
    <cellStyle name="Normal 2 2 2 2 3 3 2 3 3 4" xfId="24940"/>
    <cellStyle name="Normal 2 2 2 2 3 3 2 3 4" xfId="9858"/>
    <cellStyle name="Normal 2 2 2 2 3 3 2 3 4 2" xfId="14612"/>
    <cellStyle name="Normal 2 2 2 2 3 3 2 3 4 2 2" xfId="45228"/>
    <cellStyle name="Normal 2 2 2 2 3 3 2 3 4 2 2 2" xfId="49951"/>
    <cellStyle name="Normal 2 2 2 2 3 3 2 3 4 3" xfId="28123"/>
    <cellStyle name="Normal 2 2 2 2 3 3 2 3 5" xfId="23351"/>
    <cellStyle name="Normal 2 2 2 2 3 3 2 3 5 2" xfId="36420"/>
    <cellStyle name="Normal 2 2 2 2 3 3 2 4" xfId="1714"/>
    <cellStyle name="Normal 2 2 2 2 3 3 2 4 2" xfId="5860"/>
    <cellStyle name="Normal 2 2 2 2 3 3 2 4 2 2" xfId="6967"/>
    <cellStyle name="Normal 2 2 2 2 3 3 2 4 2 2 2" xfId="19428"/>
    <cellStyle name="Normal 2 2 2 2 3 3 2 4 2 2 2 2" xfId="20520"/>
    <cellStyle name="Normal 2 2 2 2 3 3 2 4 2 2 2 2 2" xfId="54754"/>
    <cellStyle name="Normal 2 2 2 2 3 3 2 4 2 2 2 2 2 2" xfId="55846"/>
    <cellStyle name="Normal 2 2 2 2 3 3 2 4 2 2 2 3" xfId="34022"/>
    <cellStyle name="Normal 2 2 2 2 3 3 2 4 2 2 3" xfId="32929"/>
    <cellStyle name="Normal 2 2 2 2 3 3 2 4 2 2 3 2" xfId="42395"/>
    <cellStyle name="Normal 2 2 2 2 3 3 2 4 2 3" xfId="12191"/>
    <cellStyle name="Normal 2 2 2 2 3 3 2 4 2 3 2" xfId="41295"/>
    <cellStyle name="Normal 2 2 2 2 3 3 2 4 2 3 2 2" xfId="47538"/>
    <cellStyle name="Normal 2 2 2 2 3 3 2 4 2 4" xfId="25676"/>
    <cellStyle name="Normal 2 2 2 2 3 3 2 4 3" xfId="11083"/>
    <cellStyle name="Normal 2 2 2 2 3 3 2 4 3 2" xfId="15386"/>
    <cellStyle name="Normal 2 2 2 2 3 3 2 4 3 2 2" xfId="46442"/>
    <cellStyle name="Normal 2 2 2 2 3 3 2 4 3 2 2 2" xfId="50719"/>
    <cellStyle name="Normal 2 2 2 2 3 3 2 4 3 3" xfId="28893"/>
    <cellStyle name="Normal 2 2 2 2 3 3 2 4 4" xfId="24577"/>
    <cellStyle name="Normal 2 2 2 2 3 3 2 4 4 2" xfId="37196"/>
    <cellStyle name="Normal 2 2 2 2 3 3 2 5" xfId="3719"/>
    <cellStyle name="Normal 2 2 2 2 3 3 2 5 2" xfId="14244"/>
    <cellStyle name="Normal 2 2 2 2 3 3 2 5 2 2" xfId="17335"/>
    <cellStyle name="Normal 2 2 2 2 3 3 2 5 2 2 2" xfId="49589"/>
    <cellStyle name="Normal 2 2 2 2 3 3 2 5 2 2 2 2" xfId="52662"/>
    <cellStyle name="Normal 2 2 2 2 3 3 2 5 2 3" xfId="30836"/>
    <cellStyle name="Normal 2 2 2 2 3 3 2 5 3" xfId="27751"/>
    <cellStyle name="Normal 2 2 2 2 3 3 2 5 3 2" xfId="39170"/>
    <cellStyle name="Normal 2 2 2 2 3 3 2 6" xfId="8909"/>
    <cellStyle name="Normal 2 2 2 2 3 3 2 6 2" xfId="36056"/>
    <cellStyle name="Normal 2 2 2 2 3 3 2 6 2 2" xfId="44308"/>
    <cellStyle name="Normal 2 2 2 2 3 3 2 7" xfId="22416"/>
    <cellStyle name="Normal 2 2 2 2 3 3 3" xfId="853"/>
    <cellStyle name="Normal 2 2 2 2 3 3 3 2" xfId="1099"/>
    <cellStyle name="Normal 2 2 2 2 3 3 3 2 2" xfId="2904"/>
    <cellStyle name="Normal 2 2 2 2 3 3 3 2 2 2" xfId="3129"/>
    <cellStyle name="Normal 2 2 2 2 3 3 3 2 2 2 2" xfId="8119"/>
    <cellStyle name="Normal 2 2 2 2 3 3 3 2 2 2 2 2" xfId="8344"/>
    <cellStyle name="Normal 2 2 2 2 3 3 3 2 2 2 2 2 2" xfId="21671"/>
    <cellStyle name="Normal 2 2 2 2 3 3 3 2 2 2 2 2 2 2" xfId="21896"/>
    <cellStyle name="Normal 2 2 2 2 3 3 3 2 2 2 2 2 2 2 2" xfId="56997"/>
    <cellStyle name="Normal 2 2 2 2 3 3 3 2 2 2 2 2 2 2 2 2" xfId="57222"/>
    <cellStyle name="Normal 2 2 2 2 3 3 3 2 2 2 2 2 2 3" xfId="35399"/>
    <cellStyle name="Normal 2 2 2 2 3 3 3 2 2 2 2 2 3" xfId="35174"/>
    <cellStyle name="Normal 2 2 2 2 3 3 3 2 2 2 2 2 3 2" xfId="43771"/>
    <cellStyle name="Normal 2 2 2 2 3 3 3 2 2 2 2 3" xfId="13569"/>
    <cellStyle name="Normal 2 2 2 2 3 3 3 2 2 2 2 3 2" xfId="43546"/>
    <cellStyle name="Normal 2 2 2 2 3 3 3 2 2 2 2 3 2 2" xfId="48915"/>
    <cellStyle name="Normal 2 2 2 2 3 3 3 2 2 2 2 4" xfId="27054"/>
    <cellStyle name="Normal 2 2 2 2 3 3 3 2 2 2 3" xfId="13344"/>
    <cellStyle name="Normal 2 2 2 2 3 3 3 2 2 2 3 2" xfId="16786"/>
    <cellStyle name="Normal 2 2 2 2 3 3 3 2 2 2 3 2 2" xfId="48690"/>
    <cellStyle name="Normal 2 2 2 2 3 3 3 2 2 2 3 2 2 2" xfId="52114"/>
    <cellStyle name="Normal 2 2 2 2 3 3 3 2 2 2 3 3" xfId="30288"/>
    <cellStyle name="Normal 2 2 2 2 3 3 3 2 2 2 4" xfId="26829"/>
    <cellStyle name="Normal 2 2 2 2 3 3 3 2 2 2 4 2" xfId="38598"/>
    <cellStyle name="Normal 2 2 2 2 3 3 3 2 2 3" xfId="5166"/>
    <cellStyle name="Normal 2 2 2 2 3 3 3 2 2 3 2" xfId="16561"/>
    <cellStyle name="Normal 2 2 2 2 3 3 3 2 2 3 2 2" xfId="18739"/>
    <cellStyle name="Normal 2 2 2 2 3 3 3 2 2 3 2 2 2" xfId="51889"/>
    <cellStyle name="Normal 2 2 2 2 3 3 3 2 2 3 2 2 2 2" xfId="54065"/>
    <cellStyle name="Normal 2 2 2 2 3 3 3 2 2 3 2 3" xfId="32240"/>
    <cellStyle name="Normal 2 2 2 2 3 3 3 2 2 3 3" xfId="30063"/>
    <cellStyle name="Normal 2 2 2 2 3 3 3 2 2 3 3 2" xfId="40603"/>
    <cellStyle name="Normal 2 2 2 2 3 3 3 2 2 4" xfId="10369"/>
    <cellStyle name="Normal 2 2 2 2 3 3 3 2 2 4 2" xfId="38373"/>
    <cellStyle name="Normal 2 2 2 2 3 3 3 2 2 4 2 2" xfId="45732"/>
    <cellStyle name="Normal 2 2 2 2 3 3 3 2 2 5" xfId="23855"/>
    <cellStyle name="Normal 2 2 2 2 3 3 3 2 3" xfId="4940"/>
    <cellStyle name="Normal 2 2 2 2 3 3 3 2 3 2" xfId="6408"/>
    <cellStyle name="Normal 2 2 2 2 3 3 3 2 3 2 2" xfId="18513"/>
    <cellStyle name="Normal 2 2 2 2 3 3 3 2 3 2 2 2" xfId="19964"/>
    <cellStyle name="Normal 2 2 2 2 3 3 3 2 3 2 2 2 2" xfId="53839"/>
    <cellStyle name="Normal 2 2 2 2 3 3 3 2 3 2 2 2 2 2" xfId="55290"/>
    <cellStyle name="Normal 2 2 2 2 3 3 3 2 3 2 2 3" xfId="33466"/>
    <cellStyle name="Normal 2 2 2 2 3 3 3 2 3 2 3" xfId="32014"/>
    <cellStyle name="Normal 2 2 2 2 3 3 3 2 3 2 3 2" xfId="41837"/>
    <cellStyle name="Normal 2 2 2 2 3 3 3 2 3 3" xfId="11633"/>
    <cellStyle name="Normal 2 2 2 2 3 3 3 2 3 3 2" xfId="40377"/>
    <cellStyle name="Normal 2 2 2 2 3 3 3 2 3 3 2 2" xfId="46982"/>
    <cellStyle name="Normal 2 2 2 2 3 3 3 2 3 4" xfId="25119"/>
    <cellStyle name="Normal 2 2 2 2 3 3 3 2 4" xfId="10143"/>
    <cellStyle name="Normal 2 2 2 2 3 3 3 2 4 2" xfId="14791"/>
    <cellStyle name="Normal 2 2 2 2 3 3 3 2 4 2 2" xfId="45506"/>
    <cellStyle name="Normal 2 2 2 2 3 3 3 2 4 2 2 2" xfId="50130"/>
    <cellStyle name="Normal 2 2 2 2 3 3 3 2 4 3" xfId="28303"/>
    <cellStyle name="Normal 2 2 2 2 3 3 3 2 5" xfId="23629"/>
    <cellStyle name="Normal 2 2 2 2 3 3 3 2 5 2" xfId="36599"/>
    <cellStyle name="Normal 2 2 2 2 3 3 3 3" xfId="1907"/>
    <cellStyle name="Normal 2 2 2 2 3 3 3 3 2" xfId="6168"/>
    <cellStyle name="Normal 2 2 2 2 3 3 3 3 2 2" xfId="7151"/>
    <cellStyle name="Normal 2 2 2 2 3 3 3 3 2 2 2" xfId="19728"/>
    <cellStyle name="Normal 2 2 2 2 3 3 3 3 2 2 2 2" xfId="20703"/>
    <cellStyle name="Normal 2 2 2 2 3 3 3 3 2 2 2 2 2" xfId="55054"/>
    <cellStyle name="Normal 2 2 2 2 3 3 3 3 2 2 2 2 2 2" xfId="56029"/>
    <cellStyle name="Normal 2 2 2 2 3 3 3 3 2 2 2 3" xfId="34206"/>
    <cellStyle name="Normal 2 2 2 2 3 3 3 3 2 2 3" xfId="33230"/>
    <cellStyle name="Normal 2 2 2 2 3 3 3 3 2 2 3 2" xfId="42578"/>
    <cellStyle name="Normal 2 2 2 2 3 3 3 3 2 3" xfId="12376"/>
    <cellStyle name="Normal 2 2 2 2 3 3 3 3 2 3 2" xfId="41599"/>
    <cellStyle name="Normal 2 2 2 2 3 3 3 3 2 3 2 2" xfId="47722"/>
    <cellStyle name="Normal 2 2 2 2 3 3 3 3 2 4" xfId="25860"/>
    <cellStyle name="Normal 2 2 2 2 3 3 3 3 3" xfId="11394"/>
    <cellStyle name="Normal 2 2 2 2 3 3 3 3 3 2" xfId="15574"/>
    <cellStyle name="Normal 2 2 2 2 3 3 3 3 3 2 2" xfId="46745"/>
    <cellStyle name="Normal 2 2 2 2 3 3 3 3 3 2 2 2" xfId="50906"/>
    <cellStyle name="Normal 2 2 2 2 3 3 3 3 3 3" xfId="29080"/>
    <cellStyle name="Normal 2 2 2 2 3 3 3 3 4" xfId="24882"/>
    <cellStyle name="Normal 2 2 2 2 3 3 3 3 4 2" xfId="37386"/>
    <cellStyle name="Normal 2 2 2 2 3 3 3 4" xfId="3921"/>
    <cellStyle name="Normal 2 2 2 2 3 3 3 4 2" xfId="14551"/>
    <cellStyle name="Normal 2 2 2 2 3 3 3 4 2 2" xfId="17526"/>
    <cellStyle name="Normal 2 2 2 2 3 3 3 4 2 2 2" xfId="49892"/>
    <cellStyle name="Normal 2 2 2 2 3 3 3 4 2 2 2 2" xfId="52853"/>
    <cellStyle name="Normal 2 2 2 2 3 3 3 4 2 3" xfId="31028"/>
    <cellStyle name="Normal 2 2 2 2 3 3 3 4 3" xfId="28062"/>
    <cellStyle name="Normal 2 2 2 2 3 3 3 4 3 2" xfId="39366"/>
    <cellStyle name="Normal 2 2 2 2 3 3 3 5" xfId="9113"/>
    <cellStyle name="Normal 2 2 2 2 3 3 3 5 2" xfId="36361"/>
    <cellStyle name="Normal 2 2 2 2 3 3 3 5 2 2" xfId="44505"/>
    <cellStyle name="Normal 2 2 2 2 3 3 3 6" xfId="22619"/>
    <cellStyle name="Normal 2 2 2 2 3 3 4" xfId="1648"/>
    <cellStyle name="Normal 2 2 2 2 3 3 4 2" xfId="2356"/>
    <cellStyle name="Normal 2 2 2 2 3 3 4 2 2" xfId="6913"/>
    <cellStyle name="Normal 2 2 2 2 3 3 4 2 2 2" xfId="7590"/>
    <cellStyle name="Normal 2 2 2 2 3 3 4 2 2 2 2" xfId="20466"/>
    <cellStyle name="Normal 2 2 2 2 3 3 4 2 2 2 2 2" xfId="21142"/>
    <cellStyle name="Normal 2 2 2 2 3 3 4 2 2 2 2 2 2" xfId="55792"/>
    <cellStyle name="Normal 2 2 2 2 3 3 4 2 2 2 2 2 2 2" xfId="56468"/>
    <cellStyle name="Normal 2 2 2 2 3 3 4 2 2 2 2 3" xfId="34645"/>
    <cellStyle name="Normal 2 2 2 2 3 3 4 2 2 2 3" xfId="33968"/>
    <cellStyle name="Normal 2 2 2 2 3 3 4 2 2 2 3 2" xfId="43017"/>
    <cellStyle name="Normal 2 2 2 2 3 3 4 2 2 3" xfId="12815"/>
    <cellStyle name="Normal 2 2 2 2 3 3 4 2 2 3 2" xfId="42341"/>
    <cellStyle name="Normal 2 2 2 2 3 3 4 2 2 3 2 2" xfId="48161"/>
    <cellStyle name="Normal 2 2 2 2 3 3 4 2 2 4" xfId="26299"/>
    <cellStyle name="Normal 2 2 2 2 3 3 4 2 3" xfId="12137"/>
    <cellStyle name="Normal 2 2 2 2 3 3 4 2 3 2" xfId="16020"/>
    <cellStyle name="Normal 2 2 2 2 3 3 4 2 3 2 2" xfId="47484"/>
    <cellStyle name="Normal 2 2 2 2 3 3 4 2 3 2 2 2" xfId="51352"/>
    <cellStyle name="Normal 2 2 2 2 3 3 4 2 3 3" xfId="29526"/>
    <cellStyle name="Normal 2 2 2 2 3 3 4 2 4" xfId="25622"/>
    <cellStyle name="Normal 2 2 2 2 3 3 4 2 4 2" xfId="37834"/>
    <cellStyle name="Normal 2 2 2 2 3 3 4 3" xfId="4387"/>
    <cellStyle name="Normal 2 2 2 2 3 3 4 3 2" xfId="15322"/>
    <cellStyle name="Normal 2 2 2 2 3 3 4 3 2 2" xfId="17979"/>
    <cellStyle name="Normal 2 2 2 2 3 3 4 3 2 2 2" xfId="50657"/>
    <cellStyle name="Normal 2 2 2 2 3 3 4 3 2 2 2 2" xfId="53305"/>
    <cellStyle name="Normal 2 2 2 2 3 3 4 3 2 3" xfId="31480"/>
    <cellStyle name="Normal 2 2 2 2 3 3 4 3 3" xfId="28831"/>
    <cellStyle name="Normal 2 2 2 2 3 3 4 3 3 2" xfId="39829"/>
    <cellStyle name="Normal 2 2 2 2 3 3 4 4" xfId="9589"/>
    <cellStyle name="Normal 2 2 2 2 3 3 4 4 2" xfId="37133"/>
    <cellStyle name="Normal 2 2 2 2 3 3 4 4 2 2" xfId="44970"/>
    <cellStyle name="Normal 2 2 2 2 3 3 4 5" xfId="23090"/>
    <cellStyle name="Normal 2 2 2 2 3 3 5" xfId="3652"/>
    <cellStyle name="Normal 2 2 2 2 3 3 5 2" xfId="5597"/>
    <cellStyle name="Normal 2 2 2 2 3 3 5 2 2" xfId="17281"/>
    <cellStyle name="Normal 2 2 2 2 3 3 5 2 2 2" xfId="19169"/>
    <cellStyle name="Normal 2 2 2 2 3 3 5 2 2 2 2" xfId="52608"/>
    <cellStyle name="Normal 2 2 2 2 3 3 5 2 2 2 2 2" xfId="54495"/>
    <cellStyle name="Normal 2 2 2 2 3 3 5 2 2 3" xfId="32670"/>
    <cellStyle name="Normal 2 2 2 2 3 3 5 2 3" xfId="30782"/>
    <cellStyle name="Normal 2 2 2 2 3 3 5 2 3 2" xfId="41033"/>
    <cellStyle name="Normal 2 2 2 2 3 3 5 3" xfId="10809"/>
    <cellStyle name="Normal 2 2 2 2 3 3 5 3 2" xfId="39107"/>
    <cellStyle name="Normal 2 2 2 2 3 3 5 3 2 2" xfId="46171"/>
    <cellStyle name="Normal 2 2 2 2 3 3 5 4" xfId="24299"/>
    <cellStyle name="Normal 2 2 2 2 3 3 6" xfId="8846"/>
    <cellStyle name="Normal 2 2 2 2 3 3 6 2" xfId="13981"/>
    <cellStyle name="Normal 2 2 2 2 3 3 6 2 2" xfId="44253"/>
    <cellStyle name="Normal 2 2 2 2 3 3 6 2 2 2" xfId="49327"/>
    <cellStyle name="Normal 2 2 2 2 3 3 6 3" xfId="27473"/>
    <cellStyle name="Normal 2 2 2 2 3 3 7" xfId="22361"/>
    <cellStyle name="Normal 2 2 2 2 3 3 7 2" xfId="35793"/>
    <cellStyle name="Normal 2 2 2 2 3 4" xfId="366"/>
    <cellStyle name="Normal 2 2 2 2 3 4 2" xfId="1028"/>
    <cellStyle name="Normal 2 2 2 2 3 4 2 2" xfId="1214"/>
    <cellStyle name="Normal 2 2 2 2 3 4 2 2 2" xfId="3064"/>
    <cellStyle name="Normal 2 2 2 2 3 4 2 2 2 2" xfId="3232"/>
    <cellStyle name="Normal 2 2 2 2 3 4 2 2 2 2 2" xfId="8279"/>
    <cellStyle name="Normal 2 2 2 2 3 4 2 2 2 2 2 2" xfId="8447"/>
    <cellStyle name="Normal 2 2 2 2 3 4 2 2 2 2 2 2 2" xfId="21831"/>
    <cellStyle name="Normal 2 2 2 2 3 4 2 2 2 2 2 2 2 2" xfId="21999"/>
    <cellStyle name="Normal 2 2 2 2 3 4 2 2 2 2 2 2 2 2 2" xfId="57157"/>
    <cellStyle name="Normal 2 2 2 2 3 4 2 2 2 2 2 2 2 2 2 2" xfId="57325"/>
    <cellStyle name="Normal 2 2 2 2 3 4 2 2 2 2 2 2 2 3" xfId="35502"/>
    <cellStyle name="Normal 2 2 2 2 3 4 2 2 2 2 2 2 3" xfId="35334"/>
    <cellStyle name="Normal 2 2 2 2 3 4 2 2 2 2 2 2 3 2" xfId="43874"/>
    <cellStyle name="Normal 2 2 2 2 3 4 2 2 2 2 2 3" xfId="13672"/>
    <cellStyle name="Normal 2 2 2 2 3 4 2 2 2 2 2 3 2" xfId="43706"/>
    <cellStyle name="Normal 2 2 2 2 3 4 2 2 2 2 2 3 2 2" xfId="49018"/>
    <cellStyle name="Normal 2 2 2 2 3 4 2 2 2 2 2 4" xfId="27157"/>
    <cellStyle name="Normal 2 2 2 2 3 4 2 2 2 2 3" xfId="13504"/>
    <cellStyle name="Normal 2 2 2 2 3 4 2 2 2 2 3 2" xfId="16889"/>
    <cellStyle name="Normal 2 2 2 2 3 4 2 2 2 2 3 2 2" xfId="48850"/>
    <cellStyle name="Normal 2 2 2 2 3 4 2 2 2 2 3 2 2 2" xfId="52217"/>
    <cellStyle name="Normal 2 2 2 2 3 4 2 2 2 2 3 3" xfId="30391"/>
    <cellStyle name="Normal 2 2 2 2 3 4 2 2 2 2 4" xfId="26989"/>
    <cellStyle name="Normal 2 2 2 2 3 4 2 2 2 2 4 2" xfId="38701"/>
    <cellStyle name="Normal 2 2 2 2 3 4 2 2 2 3" xfId="5269"/>
    <cellStyle name="Normal 2 2 2 2 3 4 2 2 2 3 2" xfId="16721"/>
    <cellStyle name="Normal 2 2 2 2 3 4 2 2 2 3 2 2" xfId="18842"/>
    <cellStyle name="Normal 2 2 2 2 3 4 2 2 2 3 2 2 2" xfId="52049"/>
    <cellStyle name="Normal 2 2 2 2 3 4 2 2 2 3 2 2 2 2" xfId="54168"/>
    <cellStyle name="Normal 2 2 2 2 3 4 2 2 2 3 2 3" xfId="32343"/>
    <cellStyle name="Normal 2 2 2 2 3 4 2 2 2 3 3" xfId="30223"/>
    <cellStyle name="Normal 2 2 2 2 3 4 2 2 2 3 3 2" xfId="40706"/>
    <cellStyle name="Normal 2 2 2 2 3 4 2 2 2 4" xfId="10472"/>
    <cellStyle name="Normal 2 2 2 2 3 4 2 2 2 4 2" xfId="38533"/>
    <cellStyle name="Normal 2 2 2 2 3 4 2 2 2 4 2 2" xfId="45835"/>
    <cellStyle name="Normal 2 2 2 2 3 4 2 2 2 5" xfId="23958"/>
    <cellStyle name="Normal 2 2 2 2 3 4 2 2 3" xfId="5101"/>
    <cellStyle name="Normal 2 2 2 2 3 4 2 2 3 2" xfId="6522"/>
    <cellStyle name="Normal 2 2 2 2 3 4 2 2 3 2 2" xfId="18674"/>
    <cellStyle name="Normal 2 2 2 2 3 4 2 2 3 2 2 2" xfId="20075"/>
    <cellStyle name="Normal 2 2 2 2 3 4 2 2 3 2 2 2 2" xfId="54000"/>
    <cellStyle name="Normal 2 2 2 2 3 4 2 2 3 2 2 2 2 2" xfId="55401"/>
    <cellStyle name="Normal 2 2 2 2 3 4 2 2 3 2 2 3" xfId="33577"/>
    <cellStyle name="Normal 2 2 2 2 3 4 2 2 3 2 3" xfId="32175"/>
    <cellStyle name="Normal 2 2 2 2 3 4 2 2 3 2 3 2" xfId="41950"/>
    <cellStyle name="Normal 2 2 2 2 3 4 2 2 3 3" xfId="11745"/>
    <cellStyle name="Normal 2 2 2 2 3 4 2 2 3 3 2" xfId="40538"/>
    <cellStyle name="Normal 2 2 2 2 3 4 2 2 3 3 2 2" xfId="47093"/>
    <cellStyle name="Normal 2 2 2 2 3 4 2 2 3 4" xfId="25230"/>
    <cellStyle name="Normal 2 2 2 2 3 4 2 2 4" xfId="10304"/>
    <cellStyle name="Normal 2 2 2 2 3 4 2 2 4 2" xfId="14903"/>
    <cellStyle name="Normal 2 2 2 2 3 4 2 2 4 2 2" xfId="45667"/>
    <cellStyle name="Normal 2 2 2 2 3 4 2 2 4 2 2 2" xfId="50242"/>
    <cellStyle name="Normal 2 2 2 2 3 4 2 2 4 3" xfId="28416"/>
    <cellStyle name="Normal 2 2 2 2 3 4 2 2 5" xfId="23790"/>
    <cellStyle name="Normal 2 2 2 2 3 4 2 2 5 2" xfId="36711"/>
    <cellStyle name="Normal 2 2 2 2 3 4 2 3" xfId="2020"/>
    <cellStyle name="Normal 2 2 2 2 3 4 2 3 2" xfId="6338"/>
    <cellStyle name="Normal 2 2 2 2 3 4 2 3 2 2" xfId="7254"/>
    <cellStyle name="Normal 2 2 2 2 3 4 2 3 2 2 2" xfId="19895"/>
    <cellStyle name="Normal 2 2 2 2 3 4 2 3 2 2 2 2" xfId="20806"/>
    <cellStyle name="Normal 2 2 2 2 3 4 2 3 2 2 2 2 2" xfId="55221"/>
    <cellStyle name="Normal 2 2 2 2 3 4 2 3 2 2 2 2 2 2" xfId="56132"/>
    <cellStyle name="Normal 2 2 2 2 3 4 2 3 2 2 2 3" xfId="34309"/>
    <cellStyle name="Normal 2 2 2 2 3 4 2 3 2 2 3" xfId="33397"/>
    <cellStyle name="Normal 2 2 2 2 3 4 2 3 2 2 3 2" xfId="42681"/>
    <cellStyle name="Normal 2 2 2 2 3 4 2 3 2 3" xfId="12479"/>
    <cellStyle name="Normal 2 2 2 2 3 4 2 3 2 3 2" xfId="41767"/>
    <cellStyle name="Normal 2 2 2 2 3 4 2 3 2 3 2 2" xfId="47825"/>
    <cellStyle name="Normal 2 2 2 2 3 4 2 3 2 4" xfId="25963"/>
    <cellStyle name="Normal 2 2 2 2 3 4 2 3 3" xfId="11564"/>
    <cellStyle name="Normal 2 2 2 2 3 4 2 3 3 2" xfId="15684"/>
    <cellStyle name="Normal 2 2 2 2 3 4 2 3 3 2 2" xfId="46913"/>
    <cellStyle name="Normal 2 2 2 2 3 4 2 3 3 2 2 2" xfId="51016"/>
    <cellStyle name="Normal 2 2 2 2 3 4 2 3 3 3" xfId="29190"/>
    <cellStyle name="Normal 2 2 2 2 3 4 2 3 4" xfId="25050"/>
    <cellStyle name="Normal 2 2 2 2 3 4 2 3 4 2" xfId="37498"/>
    <cellStyle name="Normal 2 2 2 2 3 4 2 4" xfId="4036"/>
    <cellStyle name="Normal 2 2 2 2 3 4 2 4 2" xfId="14721"/>
    <cellStyle name="Normal 2 2 2 2 3 4 2 4 2 2" xfId="17629"/>
    <cellStyle name="Normal 2 2 2 2 3 4 2 4 2 2 2" xfId="50060"/>
    <cellStyle name="Normal 2 2 2 2 3 4 2 4 2 2 2 2" xfId="52956"/>
    <cellStyle name="Normal 2 2 2 2 3 4 2 4 2 3" xfId="31131"/>
    <cellStyle name="Normal 2 2 2 2 3 4 2 4 3" xfId="28233"/>
    <cellStyle name="Normal 2 2 2 2 3 4 2 4 3 2" xfId="39479"/>
    <cellStyle name="Normal 2 2 2 2 3 4 2 5" xfId="9227"/>
    <cellStyle name="Normal 2 2 2 2 3 4 2 5 2" xfId="36529"/>
    <cellStyle name="Normal 2 2 2 2 3 4 2 5 2 2" xfId="44609"/>
    <cellStyle name="Normal 2 2 2 2 3 4 2 6" xfId="22723"/>
    <cellStyle name="Normal 2 2 2 2 3 4 3" xfId="1831"/>
    <cellStyle name="Normal 2 2 2 2 3 4 3 2" xfId="2473"/>
    <cellStyle name="Normal 2 2 2 2 3 4 3 2 2" xfId="7082"/>
    <cellStyle name="Normal 2 2 2 2 3 4 3 2 2 2" xfId="7703"/>
    <cellStyle name="Normal 2 2 2 2 3 4 3 2 2 2 2" xfId="20635"/>
    <cellStyle name="Normal 2 2 2 2 3 4 3 2 2 2 2 2" xfId="21255"/>
    <cellStyle name="Normal 2 2 2 2 3 4 3 2 2 2 2 2 2" xfId="55961"/>
    <cellStyle name="Normal 2 2 2 2 3 4 3 2 2 2 2 2 2 2" xfId="56581"/>
    <cellStyle name="Normal 2 2 2 2 3 4 3 2 2 2 2 3" xfId="34758"/>
    <cellStyle name="Normal 2 2 2 2 3 4 3 2 2 2 3" xfId="34137"/>
    <cellStyle name="Normal 2 2 2 2 3 4 3 2 2 2 3 2" xfId="43130"/>
    <cellStyle name="Normal 2 2 2 2 3 4 3 2 2 3" xfId="12928"/>
    <cellStyle name="Normal 2 2 2 2 3 4 3 2 2 3 2" xfId="42510"/>
    <cellStyle name="Normal 2 2 2 2 3 4 3 2 2 3 2 2" xfId="48274"/>
    <cellStyle name="Normal 2 2 2 2 3 4 3 2 2 4" xfId="26412"/>
    <cellStyle name="Normal 2 2 2 2 3 4 3 2 3" xfId="12306"/>
    <cellStyle name="Normal 2 2 2 2 3 4 3 2 3 2" xfId="16136"/>
    <cellStyle name="Normal 2 2 2 2 3 4 3 2 3 2 2" xfId="47653"/>
    <cellStyle name="Normal 2 2 2 2 3 4 3 2 3 2 2 2" xfId="51467"/>
    <cellStyle name="Normal 2 2 2 2 3 4 3 2 3 3" xfId="29641"/>
    <cellStyle name="Normal 2 2 2 2 3 4 3 2 4" xfId="25791"/>
    <cellStyle name="Normal 2 2 2 2 3 4 3 2 4 2" xfId="37950"/>
    <cellStyle name="Normal 2 2 2 2 3 4 3 3" xfId="4508"/>
    <cellStyle name="Normal 2 2 2 2 3 4 3 3 2" xfId="15503"/>
    <cellStyle name="Normal 2 2 2 2 3 4 3 3 2 2" xfId="18096"/>
    <cellStyle name="Normal 2 2 2 2 3 4 3 3 2 2 2" xfId="50836"/>
    <cellStyle name="Normal 2 2 2 2 3 4 3 3 2 2 2 2" xfId="53422"/>
    <cellStyle name="Normal 2 2 2 2 3 4 3 3 2 3" xfId="31597"/>
    <cellStyle name="Normal 2 2 2 2 3 4 3 3 3" xfId="29010"/>
    <cellStyle name="Normal 2 2 2 2 3 4 3 3 3 2" xfId="39949"/>
    <cellStyle name="Normal 2 2 2 2 3 4 3 4" xfId="9712"/>
    <cellStyle name="Normal 2 2 2 2 3 4 3 4 2" xfId="37313"/>
    <cellStyle name="Normal 2 2 2 2 3 4 3 4 2 2" xfId="45089"/>
    <cellStyle name="Normal 2 2 2 2 3 4 3 5" xfId="23212"/>
    <cellStyle name="Normal 2 2 2 2 3 4 4" xfId="3842"/>
    <cellStyle name="Normal 2 2 2 2 3 4 4 2" xfId="5716"/>
    <cellStyle name="Normal 2 2 2 2 3 4 4 2 2" xfId="17456"/>
    <cellStyle name="Normal 2 2 2 2 3 4 4 2 2 2" xfId="19285"/>
    <cellStyle name="Normal 2 2 2 2 3 4 4 2 2 2 2" xfId="52783"/>
    <cellStyle name="Normal 2 2 2 2 3 4 4 2 2 2 2 2" xfId="54611"/>
    <cellStyle name="Normal 2 2 2 2 3 4 4 2 2 3" xfId="32786"/>
    <cellStyle name="Normal 2 2 2 2 3 4 4 2 3" xfId="30957"/>
    <cellStyle name="Normal 2 2 2 2 3 4 4 2 3 2" xfId="41151"/>
    <cellStyle name="Normal 2 2 2 2 3 4 4 3" xfId="10936"/>
    <cellStyle name="Normal 2 2 2 2 3 4 4 3 2" xfId="39291"/>
    <cellStyle name="Normal 2 2 2 2 3 4 4 3 2 2" xfId="46295"/>
    <cellStyle name="Normal 2 2 2 2 3 4 4 4" xfId="24427"/>
    <cellStyle name="Normal 2 2 2 2 3 4 5" xfId="9035"/>
    <cellStyle name="Normal 2 2 2 2 3 4 5 2" xfId="14099"/>
    <cellStyle name="Normal 2 2 2 2 3 4 5 2 2" xfId="44432"/>
    <cellStyle name="Normal 2 2 2 2 3 4 5 2 2 2" xfId="49444"/>
    <cellStyle name="Normal 2 2 2 2 3 4 5 3" xfId="27599"/>
    <cellStyle name="Normal 2 2 2 2 3 4 6" xfId="22543"/>
    <cellStyle name="Normal 2 2 2 2 3 4 6 2" xfId="35910"/>
    <cellStyle name="Normal 2 2 2 2 3 5" xfId="680"/>
    <cellStyle name="Normal 2 2 2 2 3 5 2" xfId="2291"/>
    <cellStyle name="Normal 2 2 2 2 3 5 2 2" xfId="2768"/>
    <cellStyle name="Normal 2 2 2 2 3 5 2 2 2" xfId="7525"/>
    <cellStyle name="Normal 2 2 2 2 3 5 2 2 2 2" xfId="7985"/>
    <cellStyle name="Normal 2 2 2 2 3 5 2 2 2 2 2" xfId="21077"/>
    <cellStyle name="Normal 2 2 2 2 3 5 2 2 2 2 2 2" xfId="21537"/>
    <cellStyle name="Normal 2 2 2 2 3 5 2 2 2 2 2 2 2" xfId="56403"/>
    <cellStyle name="Normal 2 2 2 2 3 5 2 2 2 2 2 2 2 2" xfId="56863"/>
    <cellStyle name="Normal 2 2 2 2 3 5 2 2 2 2 2 3" xfId="35040"/>
    <cellStyle name="Normal 2 2 2 2 3 5 2 2 2 2 3" xfId="34580"/>
    <cellStyle name="Normal 2 2 2 2 3 5 2 2 2 2 3 2" xfId="43412"/>
    <cellStyle name="Normal 2 2 2 2 3 5 2 2 2 3" xfId="13210"/>
    <cellStyle name="Normal 2 2 2 2 3 5 2 2 2 3 2" xfId="42952"/>
    <cellStyle name="Normal 2 2 2 2 3 5 2 2 2 3 2 2" xfId="48556"/>
    <cellStyle name="Normal 2 2 2 2 3 5 2 2 2 4" xfId="26694"/>
    <cellStyle name="Normal 2 2 2 2 3 5 2 2 3" xfId="12750"/>
    <cellStyle name="Normal 2 2 2 2 3 5 2 2 3 2" xfId="16427"/>
    <cellStyle name="Normal 2 2 2 2 3 5 2 2 3 2 2" xfId="48096"/>
    <cellStyle name="Normal 2 2 2 2 3 5 2 2 3 2 2 2" xfId="51755"/>
    <cellStyle name="Normal 2 2 2 2 3 5 2 2 3 3" xfId="29929"/>
    <cellStyle name="Normal 2 2 2 2 3 5 2 2 4" xfId="26234"/>
    <cellStyle name="Normal 2 2 2 2 3 5 2 2 4 2" xfId="38239"/>
    <cellStyle name="Normal 2 2 2 2 3 5 2 3" xfId="4804"/>
    <cellStyle name="Normal 2 2 2 2 3 5 2 3 2" xfId="15955"/>
    <cellStyle name="Normal 2 2 2 2 3 5 2 3 2 2" xfId="18379"/>
    <cellStyle name="Normal 2 2 2 2 3 5 2 3 2 2 2" xfId="51287"/>
    <cellStyle name="Normal 2 2 2 2 3 5 2 3 2 2 2 2" xfId="53705"/>
    <cellStyle name="Normal 2 2 2 2 3 5 2 3 2 3" xfId="31880"/>
    <cellStyle name="Normal 2 2 2 2 3 5 2 3 3" xfId="29461"/>
    <cellStyle name="Normal 2 2 2 2 3 5 2 3 3 2" xfId="40241"/>
    <cellStyle name="Normal 2 2 2 2 3 5 2 4" xfId="10007"/>
    <cellStyle name="Normal 2 2 2 2 3 5 2 4 2" xfId="37769"/>
    <cellStyle name="Normal 2 2 2 2 3 5 2 4 2 2" xfId="45372"/>
    <cellStyle name="Normal 2 2 2 2 3 5 2 5" xfId="23495"/>
    <cellStyle name="Normal 2 2 2 2 3 5 3" xfId="4317"/>
    <cellStyle name="Normal 2 2 2 2 3 5 3 2" xfId="6009"/>
    <cellStyle name="Normal 2 2 2 2 3 5 3 2 2" xfId="17910"/>
    <cellStyle name="Normal 2 2 2 2 3 5 3 2 2 2" xfId="19574"/>
    <cellStyle name="Normal 2 2 2 2 3 5 3 2 2 2 2" xfId="53237"/>
    <cellStyle name="Normal 2 2 2 2 3 5 3 2 2 2 2 2" xfId="54900"/>
    <cellStyle name="Normal 2 2 2 2 3 5 3 2 2 3" xfId="33075"/>
    <cellStyle name="Normal 2 2 2 2 3 5 3 2 3" xfId="31412"/>
    <cellStyle name="Normal 2 2 2 2 3 5 3 2 3 2" xfId="41443"/>
    <cellStyle name="Normal 2 2 2 2 3 5 3 3" xfId="11234"/>
    <cellStyle name="Normal 2 2 2 2 3 5 3 3 2" xfId="39760"/>
    <cellStyle name="Normal 2 2 2 2 3 5 3 3 2 2" xfId="46590"/>
    <cellStyle name="Normal 2 2 2 2 3 5 3 4" xfId="24727"/>
    <cellStyle name="Normal 2 2 2 2 3 5 4" xfId="9511"/>
    <cellStyle name="Normal 2 2 2 2 3 5 4 2" xfId="14391"/>
    <cellStyle name="Normal 2 2 2 2 3 5 4 2 2" xfId="44893"/>
    <cellStyle name="Normal 2 2 2 2 3 5 4 2 2 2" xfId="49736"/>
    <cellStyle name="Normal 2 2 2 2 3 5 4 3" xfId="27903"/>
    <cellStyle name="Normal 2 2 2 2 3 5 5" xfId="23009"/>
    <cellStyle name="Normal 2 2 2 2 3 5 5 2" xfId="36203"/>
    <cellStyle name="Normal 2 2 2 2 3 6" xfId="884"/>
    <cellStyle name="Normal 2 2 2 2 3 6 2" xfId="5530"/>
    <cellStyle name="Normal 2 2 2 2 3 6 2 2" xfId="6195"/>
    <cellStyle name="Normal 2 2 2 2 3 6 2 2 2" xfId="19103"/>
    <cellStyle name="Normal 2 2 2 2 3 6 2 2 2 2" xfId="19754"/>
    <cellStyle name="Normal 2 2 2 2 3 6 2 2 2 2 2" xfId="54429"/>
    <cellStyle name="Normal 2 2 2 2 3 6 2 2 2 2 2 2" xfId="55080"/>
    <cellStyle name="Normal 2 2 2 2 3 6 2 2 2 3" xfId="33256"/>
    <cellStyle name="Normal 2 2 2 2 3 6 2 2 3" xfId="32604"/>
    <cellStyle name="Normal 2 2 2 2 3 6 2 2 3 2" xfId="41625"/>
    <cellStyle name="Normal 2 2 2 2 3 6 2 3" xfId="11420"/>
    <cellStyle name="Normal 2 2 2 2 3 6 2 3 2" xfId="40967"/>
    <cellStyle name="Normal 2 2 2 2 3 6 2 3 2 2" xfId="46771"/>
    <cellStyle name="Normal 2 2 2 2 3 6 2 4" xfId="24908"/>
    <cellStyle name="Normal 2 2 2 2 3 6 3" xfId="10734"/>
    <cellStyle name="Normal 2 2 2 2 3 6 3 2" xfId="14580"/>
    <cellStyle name="Normal 2 2 2 2 3 6 3 2 2" xfId="46097"/>
    <cellStyle name="Normal 2 2 2 2 3 6 3 2 2 2" xfId="49919"/>
    <cellStyle name="Normal 2 2 2 2 3 6 3 3" xfId="28090"/>
    <cellStyle name="Normal 2 2 2 2 3 6 4" xfId="24221"/>
    <cellStyle name="Normal 2 2 2 2 3 6 4 2" xfId="36388"/>
    <cellStyle name="Normal 2 2 2 2 3 7" xfId="1678"/>
    <cellStyle name="Normal 2 2 2 2 3 7 2" xfId="9573"/>
    <cellStyle name="Normal 2 2 2 2 3 7 2 2" xfId="15351"/>
    <cellStyle name="Normal 2 2 2 2 3 7 2 2 2" xfId="44954"/>
    <cellStyle name="Normal 2 2 2 2 3 7 2 2 2 2" xfId="50685"/>
    <cellStyle name="Normal 2 2 2 2 3 7 2 3" xfId="28859"/>
    <cellStyle name="Normal 2 2 2 2 3 7 3" xfId="23074"/>
    <cellStyle name="Normal 2 2 2 2 3 7 3 2" xfId="37161"/>
    <cellStyle name="Normal 2 2 2 2 3 8" xfId="1466"/>
    <cellStyle name="Normal 2 2 2 2 3 8 2" xfId="3522"/>
    <cellStyle name="Normal 2 2 2 2 3 8 2 2" xfId="36963"/>
    <cellStyle name="Normal 2 2 2 2 3 9" xfId="10029"/>
    <cellStyle name="Normal 2 2 2 2 4" xfId="203"/>
    <cellStyle name="Normal 2 2 2 2 4 2" xfId="263"/>
    <cellStyle name="Normal 2 2 2 2 4 2 2" xfId="575"/>
    <cellStyle name="Normal 2 2 2 2 4 2 2 2" xfId="609"/>
    <cellStyle name="Normal 2 2 2 2 4 2 2 2 2" xfId="1372"/>
    <cellStyle name="Normal 2 2 2 2 4 2 2 2 2 2" xfId="1405"/>
    <cellStyle name="Normal 2 2 2 2 4 2 2 2 2 2 2" xfId="3390"/>
    <cellStyle name="Normal 2 2 2 2 4 2 2 2 2 2 2 2" xfId="3423"/>
    <cellStyle name="Normal 2 2 2 2 4 2 2 2 2 2 2 2 2" xfId="8605"/>
    <cellStyle name="Normal 2 2 2 2 4 2 2 2 2 2 2 2 2 2" xfId="8638"/>
    <cellStyle name="Normal 2 2 2 2 4 2 2 2 2 2 2 2 2 2 2" xfId="22157"/>
    <cellStyle name="Normal 2 2 2 2 4 2 2 2 2 2 2 2 2 2 2 2" xfId="22190"/>
    <cellStyle name="Normal 2 2 2 2 4 2 2 2 2 2 2 2 2 2 2 2 2" xfId="57483"/>
    <cellStyle name="Normal 2 2 2 2 4 2 2 2 2 2 2 2 2 2 2 2 2 2" xfId="57516"/>
    <cellStyle name="Normal 2 2 2 2 4 2 2 2 2 2 2 2 2 2 2 3" xfId="35693"/>
    <cellStyle name="Normal 2 2 2 2 4 2 2 2 2 2 2 2 2 2 3" xfId="35660"/>
    <cellStyle name="Normal 2 2 2 2 4 2 2 2 2 2 2 2 2 2 3 2" xfId="44065"/>
    <cellStyle name="Normal 2 2 2 2 4 2 2 2 2 2 2 2 2 3" xfId="13863"/>
    <cellStyle name="Normal 2 2 2 2 4 2 2 2 2 2 2 2 2 3 2" xfId="44032"/>
    <cellStyle name="Normal 2 2 2 2 4 2 2 2 2 2 2 2 2 3 2 2" xfId="49209"/>
    <cellStyle name="Normal 2 2 2 2 4 2 2 2 2 2 2 2 2 4" xfId="27348"/>
    <cellStyle name="Normal 2 2 2 2 4 2 2 2 2 2 2 2 3" xfId="13830"/>
    <cellStyle name="Normal 2 2 2 2 4 2 2 2 2 2 2 2 3 2" xfId="17080"/>
    <cellStyle name="Normal 2 2 2 2 4 2 2 2 2 2 2 2 3 2 2" xfId="49176"/>
    <cellStyle name="Normal 2 2 2 2 4 2 2 2 2 2 2 2 3 2 2 2" xfId="52408"/>
    <cellStyle name="Normal 2 2 2 2 4 2 2 2 2 2 2 2 3 3" xfId="30582"/>
    <cellStyle name="Normal 2 2 2 2 4 2 2 2 2 2 2 2 4" xfId="27315"/>
    <cellStyle name="Normal 2 2 2 2 4 2 2 2 2 2 2 2 4 2" xfId="38892"/>
    <cellStyle name="Normal 2 2 2 2 4 2 2 2 2 2 2 3" xfId="5460"/>
    <cellStyle name="Normal 2 2 2 2 4 2 2 2 2 2 2 3 2" xfId="17047"/>
    <cellStyle name="Normal 2 2 2 2 4 2 2 2 2 2 2 3 2 2" xfId="19033"/>
    <cellStyle name="Normal 2 2 2 2 4 2 2 2 2 2 2 3 2 2 2" xfId="52375"/>
    <cellStyle name="Normal 2 2 2 2 4 2 2 2 2 2 2 3 2 2 2 2" xfId="54359"/>
    <cellStyle name="Normal 2 2 2 2 4 2 2 2 2 2 2 3 2 3" xfId="32534"/>
    <cellStyle name="Normal 2 2 2 2 4 2 2 2 2 2 2 3 3" xfId="30549"/>
    <cellStyle name="Normal 2 2 2 2 4 2 2 2 2 2 2 3 3 2" xfId="40897"/>
    <cellStyle name="Normal 2 2 2 2 4 2 2 2 2 2 2 4" xfId="10663"/>
    <cellStyle name="Normal 2 2 2 2 4 2 2 2 2 2 2 4 2" xfId="38859"/>
    <cellStyle name="Normal 2 2 2 2 4 2 2 2 2 2 2 4 2 2" xfId="46026"/>
    <cellStyle name="Normal 2 2 2 2 4 2 2 2 2 2 2 5" xfId="24149"/>
    <cellStyle name="Normal 2 2 2 2 4 2 2 2 2 2 3" xfId="5427"/>
    <cellStyle name="Normal 2 2 2 2 4 2 2 2 2 2 3 2" xfId="6713"/>
    <cellStyle name="Normal 2 2 2 2 4 2 2 2 2 2 3 2 2" xfId="19000"/>
    <cellStyle name="Normal 2 2 2 2 4 2 2 2 2 2 3 2 2 2" xfId="20266"/>
    <cellStyle name="Normal 2 2 2 2 4 2 2 2 2 2 3 2 2 2 2" xfId="54326"/>
    <cellStyle name="Normal 2 2 2 2 4 2 2 2 2 2 3 2 2 2 2 2" xfId="55592"/>
    <cellStyle name="Normal 2 2 2 2 4 2 2 2 2 2 3 2 2 3" xfId="33768"/>
    <cellStyle name="Normal 2 2 2 2 4 2 2 2 2 2 3 2 3" xfId="32501"/>
    <cellStyle name="Normal 2 2 2 2 4 2 2 2 2 2 3 2 3 2" xfId="42141"/>
    <cellStyle name="Normal 2 2 2 2 4 2 2 2 2 2 3 3" xfId="11936"/>
    <cellStyle name="Normal 2 2 2 2 4 2 2 2 2 2 3 3 2" xfId="40864"/>
    <cellStyle name="Normal 2 2 2 2 4 2 2 2 2 2 3 3 2 2" xfId="47284"/>
    <cellStyle name="Normal 2 2 2 2 4 2 2 2 2 2 3 4" xfId="25421"/>
    <cellStyle name="Normal 2 2 2 2 4 2 2 2 2 2 4" xfId="10630"/>
    <cellStyle name="Normal 2 2 2 2 4 2 2 2 2 2 4 2" xfId="15094"/>
    <cellStyle name="Normal 2 2 2 2 4 2 2 2 2 2 4 2 2" xfId="45993"/>
    <cellStyle name="Normal 2 2 2 2 4 2 2 2 2 2 4 2 2 2" xfId="50433"/>
    <cellStyle name="Normal 2 2 2 2 4 2 2 2 2 2 4 3" xfId="28607"/>
    <cellStyle name="Normal 2 2 2 2 4 2 2 2 2 2 5" xfId="24116"/>
    <cellStyle name="Normal 2 2 2 2 4 2 2 2 2 2 5 2" xfId="36902"/>
    <cellStyle name="Normal 2 2 2 2 4 2 2 2 2 3" xfId="2212"/>
    <cellStyle name="Normal 2 2 2 2 4 2 2 2 2 3 2" xfId="6680"/>
    <cellStyle name="Normal 2 2 2 2 4 2 2 2 2 3 2 2" xfId="7446"/>
    <cellStyle name="Normal 2 2 2 2 4 2 2 2 2 3 2 2 2" xfId="20233"/>
    <cellStyle name="Normal 2 2 2 2 4 2 2 2 2 3 2 2 2 2" xfId="20998"/>
    <cellStyle name="Normal 2 2 2 2 4 2 2 2 2 3 2 2 2 2 2" xfId="55559"/>
    <cellStyle name="Normal 2 2 2 2 4 2 2 2 2 3 2 2 2 2 2 2" xfId="56324"/>
    <cellStyle name="Normal 2 2 2 2 4 2 2 2 2 3 2 2 2 3" xfId="34501"/>
    <cellStyle name="Normal 2 2 2 2 4 2 2 2 2 3 2 2 3" xfId="33735"/>
    <cellStyle name="Normal 2 2 2 2 4 2 2 2 2 3 2 2 3 2" xfId="42873"/>
    <cellStyle name="Normal 2 2 2 2 4 2 2 2 2 3 2 3" xfId="12671"/>
    <cellStyle name="Normal 2 2 2 2 4 2 2 2 2 3 2 3 2" xfId="42108"/>
    <cellStyle name="Normal 2 2 2 2 4 2 2 2 2 3 2 3 2 2" xfId="48017"/>
    <cellStyle name="Normal 2 2 2 2 4 2 2 2 2 3 2 4" xfId="26155"/>
    <cellStyle name="Normal 2 2 2 2 4 2 2 2 2 3 3" xfId="11903"/>
    <cellStyle name="Normal 2 2 2 2 4 2 2 2 2 3 3 2" xfId="15876"/>
    <cellStyle name="Normal 2 2 2 2 4 2 2 2 2 3 3 2 2" xfId="47251"/>
    <cellStyle name="Normal 2 2 2 2 4 2 2 2 2 3 3 2 2 2" xfId="51208"/>
    <cellStyle name="Normal 2 2 2 2 4 2 2 2 2 3 3 3" xfId="29382"/>
    <cellStyle name="Normal 2 2 2 2 4 2 2 2 2 3 4" xfId="25388"/>
    <cellStyle name="Normal 2 2 2 2 4 2 2 2 2 3 4 2" xfId="37690"/>
    <cellStyle name="Normal 2 2 2 2 4 2 2 2 2 4" xfId="4228"/>
    <cellStyle name="Normal 2 2 2 2 4 2 2 2 2 4 2" xfId="15061"/>
    <cellStyle name="Normal 2 2 2 2 4 2 2 2 2 4 2 2" xfId="17821"/>
    <cellStyle name="Normal 2 2 2 2 4 2 2 2 2 4 2 2 2" xfId="50400"/>
    <cellStyle name="Normal 2 2 2 2 4 2 2 2 2 4 2 2 2 2" xfId="53148"/>
    <cellStyle name="Normal 2 2 2 2 4 2 2 2 2 4 2 3" xfId="31323"/>
    <cellStyle name="Normal 2 2 2 2 4 2 2 2 2 4 3" xfId="28574"/>
    <cellStyle name="Normal 2 2 2 2 4 2 2 2 2 4 3 2" xfId="39671"/>
    <cellStyle name="Normal 2 2 2 2 4 2 2 2 2 5" xfId="9419"/>
    <cellStyle name="Normal 2 2 2 2 4 2 2 2 2 5 2" xfId="36869"/>
    <cellStyle name="Normal 2 2 2 2 4 2 2 2 2 5 2 2" xfId="44801"/>
    <cellStyle name="Normal 2 2 2 2 4 2 2 2 2 6" xfId="22915"/>
    <cellStyle name="Normal 2 2 2 2 4 2 2 2 3" xfId="2179"/>
    <cellStyle name="Normal 2 2 2 2 4 2 2 2 3 2" xfId="2699"/>
    <cellStyle name="Normal 2 2 2 2 4 2 2 2 3 2 2" xfId="7413"/>
    <cellStyle name="Normal 2 2 2 2 4 2 2 2 3 2 2 2" xfId="7918"/>
    <cellStyle name="Normal 2 2 2 2 4 2 2 2 3 2 2 2 2" xfId="20965"/>
    <cellStyle name="Normal 2 2 2 2 4 2 2 2 3 2 2 2 2 2" xfId="21470"/>
    <cellStyle name="Normal 2 2 2 2 4 2 2 2 3 2 2 2 2 2 2" xfId="56291"/>
    <cellStyle name="Normal 2 2 2 2 4 2 2 2 3 2 2 2 2 2 2 2" xfId="56796"/>
    <cellStyle name="Normal 2 2 2 2 4 2 2 2 3 2 2 2 2 3" xfId="34973"/>
    <cellStyle name="Normal 2 2 2 2 4 2 2 2 3 2 2 2 3" xfId="34468"/>
    <cellStyle name="Normal 2 2 2 2 4 2 2 2 3 2 2 2 3 2" xfId="43345"/>
    <cellStyle name="Normal 2 2 2 2 4 2 2 2 3 2 2 3" xfId="13143"/>
    <cellStyle name="Normal 2 2 2 2 4 2 2 2 3 2 2 3 2" xfId="42840"/>
    <cellStyle name="Normal 2 2 2 2 4 2 2 2 3 2 2 3 2 2" xfId="48489"/>
    <cellStyle name="Normal 2 2 2 2 4 2 2 2 3 2 2 4" xfId="26627"/>
    <cellStyle name="Normal 2 2 2 2 4 2 2 2 3 2 3" xfId="12638"/>
    <cellStyle name="Normal 2 2 2 2 4 2 2 2 3 2 3 2" xfId="16358"/>
    <cellStyle name="Normal 2 2 2 2 4 2 2 2 3 2 3 2 2" xfId="47984"/>
    <cellStyle name="Normal 2 2 2 2 4 2 2 2 3 2 3 2 2 2" xfId="51688"/>
    <cellStyle name="Normal 2 2 2 2 4 2 2 2 3 2 3 3" xfId="29862"/>
    <cellStyle name="Normal 2 2 2 2 4 2 2 2 3 2 4" xfId="26122"/>
    <cellStyle name="Normal 2 2 2 2 4 2 2 2 3 2 4 2" xfId="38172"/>
    <cellStyle name="Normal 2 2 2 2 4 2 2 2 3 3" xfId="4735"/>
    <cellStyle name="Normal 2 2 2 2 4 2 2 2 3 3 2" xfId="15843"/>
    <cellStyle name="Normal 2 2 2 2 4 2 2 2 3 3 2 2" xfId="18312"/>
    <cellStyle name="Normal 2 2 2 2 4 2 2 2 3 3 2 2 2" xfId="51175"/>
    <cellStyle name="Normal 2 2 2 2 4 2 2 2 3 3 2 2 2 2" xfId="53638"/>
    <cellStyle name="Normal 2 2 2 2 4 2 2 2 3 3 2 3" xfId="31813"/>
    <cellStyle name="Normal 2 2 2 2 4 2 2 2 3 3 3" xfId="29349"/>
    <cellStyle name="Normal 2 2 2 2 4 2 2 2 3 3 3 2" xfId="40173"/>
    <cellStyle name="Normal 2 2 2 2 4 2 2 2 3 4" xfId="9938"/>
    <cellStyle name="Normal 2 2 2 2 4 2 2 2 3 4 2" xfId="37657"/>
    <cellStyle name="Normal 2 2 2 2 4 2 2 2 3 4 2 2" xfId="45305"/>
    <cellStyle name="Normal 2 2 2 2 4 2 2 2 3 5" xfId="23428"/>
    <cellStyle name="Normal 2 2 2 2 4 2 2 2 4" xfId="4195"/>
    <cellStyle name="Normal 2 2 2 2 4 2 2 2 4 2" xfId="5940"/>
    <cellStyle name="Normal 2 2 2 2 4 2 2 2 4 2 2" xfId="17788"/>
    <cellStyle name="Normal 2 2 2 2 4 2 2 2 4 2 2 2" xfId="19507"/>
    <cellStyle name="Normal 2 2 2 2 4 2 2 2 4 2 2 2 2" xfId="53115"/>
    <cellStyle name="Normal 2 2 2 2 4 2 2 2 4 2 2 2 2 2" xfId="54833"/>
    <cellStyle name="Normal 2 2 2 2 4 2 2 2 4 2 2 3" xfId="33008"/>
    <cellStyle name="Normal 2 2 2 2 4 2 2 2 4 2 3" xfId="31290"/>
    <cellStyle name="Normal 2 2 2 2 4 2 2 2 4 2 3 2" xfId="41374"/>
    <cellStyle name="Normal 2 2 2 2 4 2 2 2 4 3" xfId="11165"/>
    <cellStyle name="Normal 2 2 2 2 4 2 2 2 4 3 2" xfId="39638"/>
    <cellStyle name="Normal 2 2 2 2 4 2 2 2 4 3 2 2" xfId="46523"/>
    <cellStyle name="Normal 2 2 2 2 4 2 2 2 4 4" xfId="24658"/>
    <cellStyle name="Normal 2 2 2 2 4 2 2 2 5" xfId="9386"/>
    <cellStyle name="Normal 2 2 2 2 4 2 2 2 5 2" xfId="14324"/>
    <cellStyle name="Normal 2 2 2 2 4 2 2 2 5 2 2" xfId="44768"/>
    <cellStyle name="Normal 2 2 2 2 4 2 2 2 5 2 2 2" xfId="49669"/>
    <cellStyle name="Normal 2 2 2 2 4 2 2 2 5 3" xfId="27834"/>
    <cellStyle name="Normal 2 2 2 2 4 2 2 2 6" xfId="22882"/>
    <cellStyle name="Normal 2 2 2 2 4 2 2 2 6 2" xfId="36136"/>
    <cellStyle name="Normal 2 2 2 2 4 2 2 3" xfId="937"/>
    <cellStyle name="Normal 2 2 2 2 4 2 2 3 2" xfId="2665"/>
    <cellStyle name="Normal 2 2 2 2 4 2 2 3 2 2" xfId="2975"/>
    <cellStyle name="Normal 2 2 2 2 4 2 2 3 2 2 2" xfId="7884"/>
    <cellStyle name="Normal 2 2 2 2 4 2 2 3 2 2 2 2" xfId="8190"/>
    <cellStyle name="Normal 2 2 2 2 4 2 2 3 2 2 2 2 2" xfId="21436"/>
    <cellStyle name="Normal 2 2 2 2 4 2 2 3 2 2 2 2 2 2" xfId="21742"/>
    <cellStyle name="Normal 2 2 2 2 4 2 2 3 2 2 2 2 2 2 2" xfId="56762"/>
    <cellStyle name="Normal 2 2 2 2 4 2 2 3 2 2 2 2 2 2 2 2" xfId="57068"/>
    <cellStyle name="Normal 2 2 2 2 4 2 2 3 2 2 2 2 2 3" xfId="35245"/>
    <cellStyle name="Normal 2 2 2 2 4 2 2 3 2 2 2 2 3" xfId="34939"/>
    <cellStyle name="Normal 2 2 2 2 4 2 2 3 2 2 2 2 3 2" xfId="43617"/>
    <cellStyle name="Normal 2 2 2 2 4 2 2 3 2 2 2 3" xfId="13415"/>
    <cellStyle name="Normal 2 2 2 2 4 2 2 3 2 2 2 3 2" xfId="43311"/>
    <cellStyle name="Normal 2 2 2 2 4 2 2 3 2 2 2 3 2 2" xfId="48761"/>
    <cellStyle name="Normal 2 2 2 2 4 2 2 3 2 2 2 4" xfId="26900"/>
    <cellStyle name="Normal 2 2 2 2 4 2 2 3 2 2 3" xfId="13109"/>
    <cellStyle name="Normal 2 2 2 2 4 2 2 3 2 2 3 2" xfId="16632"/>
    <cellStyle name="Normal 2 2 2 2 4 2 2 3 2 2 3 2 2" xfId="48455"/>
    <cellStyle name="Normal 2 2 2 2 4 2 2 3 2 2 3 2 2 2" xfId="51960"/>
    <cellStyle name="Normal 2 2 2 2 4 2 2 3 2 2 3 3" xfId="30134"/>
    <cellStyle name="Normal 2 2 2 2 4 2 2 3 2 2 4" xfId="26593"/>
    <cellStyle name="Normal 2 2 2 2 4 2 2 3 2 2 4 2" xfId="38444"/>
    <cellStyle name="Normal 2 2 2 2 4 2 2 3 2 3" xfId="5011"/>
    <cellStyle name="Normal 2 2 2 2 4 2 2 3 2 3 2" xfId="16324"/>
    <cellStyle name="Normal 2 2 2 2 4 2 2 3 2 3 2 2" xfId="18584"/>
    <cellStyle name="Normal 2 2 2 2 4 2 2 3 2 3 2 2 2" xfId="51654"/>
    <cellStyle name="Normal 2 2 2 2 4 2 2 3 2 3 2 2 2 2" xfId="53910"/>
    <cellStyle name="Normal 2 2 2 2 4 2 2 3 2 3 2 3" xfId="32085"/>
    <cellStyle name="Normal 2 2 2 2 4 2 2 3 2 3 3" xfId="29828"/>
    <cellStyle name="Normal 2 2 2 2 4 2 2 3 2 3 3 2" xfId="40448"/>
    <cellStyle name="Normal 2 2 2 2 4 2 2 3 2 4" xfId="10214"/>
    <cellStyle name="Normal 2 2 2 2 4 2 2 3 2 4 2" xfId="38138"/>
    <cellStyle name="Normal 2 2 2 2 4 2 2 3 2 4 2 2" xfId="45577"/>
    <cellStyle name="Normal 2 2 2 2 4 2 2 3 2 5" xfId="23700"/>
    <cellStyle name="Normal 2 2 2 2 4 2 2 3 3" xfId="4701"/>
    <cellStyle name="Normal 2 2 2 2 4 2 2 3 3 2" xfId="6248"/>
    <cellStyle name="Normal 2 2 2 2 4 2 2 3 3 2 2" xfId="18278"/>
    <cellStyle name="Normal 2 2 2 2 4 2 2 3 3 2 2 2" xfId="19805"/>
    <cellStyle name="Normal 2 2 2 2 4 2 2 3 3 2 2 2 2" xfId="53604"/>
    <cellStyle name="Normal 2 2 2 2 4 2 2 3 3 2 2 2 2 2" xfId="55131"/>
    <cellStyle name="Normal 2 2 2 2 4 2 2 3 3 2 2 3" xfId="33307"/>
    <cellStyle name="Normal 2 2 2 2 4 2 2 3 3 2 3" xfId="31779"/>
    <cellStyle name="Normal 2 2 2 2 4 2 2 3 3 2 3 2" xfId="41677"/>
    <cellStyle name="Normal 2 2 2 2 4 2 2 3 3 3" xfId="11473"/>
    <cellStyle name="Normal 2 2 2 2 4 2 2 3 3 3 2" xfId="40139"/>
    <cellStyle name="Normal 2 2 2 2 4 2 2 3 3 3 2 2" xfId="46822"/>
    <cellStyle name="Normal 2 2 2 2 4 2 2 3 3 4" xfId="24959"/>
    <cellStyle name="Normal 2 2 2 2 4 2 2 3 4" xfId="9904"/>
    <cellStyle name="Normal 2 2 2 2 4 2 2 3 4 2" xfId="14631"/>
    <cellStyle name="Normal 2 2 2 2 4 2 2 3 4 2 2" xfId="45271"/>
    <cellStyle name="Normal 2 2 2 2 4 2 2 3 4 2 2 2" xfId="49970"/>
    <cellStyle name="Normal 2 2 2 2 4 2 2 3 4 3" xfId="28142"/>
    <cellStyle name="Normal 2 2 2 2 4 2 2 3 5" xfId="23394"/>
    <cellStyle name="Normal 2 2 2 2 4 2 2 3 5 2" xfId="36439"/>
    <cellStyle name="Normal 2 2 2 2 4 2 2 4" xfId="1733"/>
    <cellStyle name="Normal 2 2 2 2 4 2 2 4 2" xfId="5906"/>
    <cellStyle name="Normal 2 2 2 2 4 2 2 4 2 2" xfId="6986"/>
    <cellStyle name="Normal 2 2 2 2 4 2 2 4 2 2 2" xfId="19473"/>
    <cellStyle name="Normal 2 2 2 2 4 2 2 4 2 2 2 2" xfId="20539"/>
    <cellStyle name="Normal 2 2 2 2 4 2 2 4 2 2 2 2 2" xfId="54799"/>
    <cellStyle name="Normal 2 2 2 2 4 2 2 4 2 2 2 2 2 2" xfId="55865"/>
    <cellStyle name="Normal 2 2 2 2 4 2 2 4 2 2 2 3" xfId="34041"/>
    <cellStyle name="Normal 2 2 2 2 4 2 2 4 2 2 3" xfId="32974"/>
    <cellStyle name="Normal 2 2 2 2 4 2 2 4 2 2 3 2" xfId="42414"/>
    <cellStyle name="Normal 2 2 2 2 4 2 2 4 2 3" xfId="12210"/>
    <cellStyle name="Normal 2 2 2 2 4 2 2 4 2 3 2" xfId="41340"/>
    <cellStyle name="Normal 2 2 2 2 4 2 2 4 2 3 2 2" xfId="47557"/>
    <cellStyle name="Normal 2 2 2 2 4 2 2 4 2 4" xfId="25695"/>
    <cellStyle name="Normal 2 2 2 2 4 2 2 4 3" xfId="11131"/>
    <cellStyle name="Normal 2 2 2 2 4 2 2 4 3 2" xfId="15405"/>
    <cellStyle name="Normal 2 2 2 2 4 2 2 4 3 2 2" xfId="46489"/>
    <cellStyle name="Normal 2 2 2 2 4 2 2 4 3 2 2 2" xfId="50738"/>
    <cellStyle name="Normal 2 2 2 2 4 2 2 4 3 3" xfId="28912"/>
    <cellStyle name="Normal 2 2 2 2 4 2 2 4 4" xfId="24624"/>
    <cellStyle name="Normal 2 2 2 2 4 2 2 4 4 2" xfId="37215"/>
    <cellStyle name="Normal 2 2 2 2 4 2 2 5" xfId="3738"/>
    <cellStyle name="Normal 2 2 2 2 4 2 2 5 2" xfId="14290"/>
    <cellStyle name="Normal 2 2 2 2 4 2 2 5 2 2" xfId="17354"/>
    <cellStyle name="Normal 2 2 2 2 4 2 2 5 2 2 2" xfId="49635"/>
    <cellStyle name="Normal 2 2 2 2 4 2 2 5 2 2 2 2" xfId="52681"/>
    <cellStyle name="Normal 2 2 2 2 4 2 2 5 2 3" xfId="30855"/>
    <cellStyle name="Normal 2 2 2 2 4 2 2 5 3" xfId="27800"/>
    <cellStyle name="Normal 2 2 2 2 4 2 2 5 3 2" xfId="39189"/>
    <cellStyle name="Normal 2 2 2 2 4 2 2 6" xfId="8928"/>
    <cellStyle name="Normal 2 2 2 2 4 2 2 6 2" xfId="36102"/>
    <cellStyle name="Normal 2 2 2 2 4 2 2 6 2 2" xfId="44327"/>
    <cellStyle name="Normal 2 2 2 2 4 2 2 7" xfId="22435"/>
    <cellStyle name="Normal 2 2 2 2 4 2 3" xfId="903"/>
    <cellStyle name="Normal 2 2 2 2 4 2 3 2" xfId="1129"/>
    <cellStyle name="Normal 2 2 2 2 4 2 3 2 2" xfId="2942"/>
    <cellStyle name="Normal 2 2 2 2 4 2 3 2 2 2" xfId="3154"/>
    <cellStyle name="Normal 2 2 2 2 4 2 3 2 2 2 2" xfId="8157"/>
    <cellStyle name="Normal 2 2 2 2 4 2 3 2 2 2 2 2" xfId="8369"/>
    <cellStyle name="Normal 2 2 2 2 4 2 3 2 2 2 2 2 2" xfId="21709"/>
    <cellStyle name="Normal 2 2 2 2 4 2 3 2 2 2 2 2 2 2" xfId="21921"/>
    <cellStyle name="Normal 2 2 2 2 4 2 3 2 2 2 2 2 2 2 2" xfId="57035"/>
    <cellStyle name="Normal 2 2 2 2 4 2 3 2 2 2 2 2 2 2 2 2" xfId="57247"/>
    <cellStyle name="Normal 2 2 2 2 4 2 3 2 2 2 2 2 2 3" xfId="35424"/>
    <cellStyle name="Normal 2 2 2 2 4 2 3 2 2 2 2 2 3" xfId="35212"/>
    <cellStyle name="Normal 2 2 2 2 4 2 3 2 2 2 2 2 3 2" xfId="43796"/>
    <cellStyle name="Normal 2 2 2 2 4 2 3 2 2 2 2 3" xfId="13594"/>
    <cellStyle name="Normal 2 2 2 2 4 2 3 2 2 2 2 3 2" xfId="43584"/>
    <cellStyle name="Normal 2 2 2 2 4 2 3 2 2 2 2 3 2 2" xfId="48940"/>
    <cellStyle name="Normal 2 2 2 2 4 2 3 2 2 2 2 4" xfId="27079"/>
    <cellStyle name="Normal 2 2 2 2 4 2 3 2 2 2 3" xfId="13382"/>
    <cellStyle name="Normal 2 2 2 2 4 2 3 2 2 2 3 2" xfId="16811"/>
    <cellStyle name="Normal 2 2 2 2 4 2 3 2 2 2 3 2 2" xfId="48728"/>
    <cellStyle name="Normal 2 2 2 2 4 2 3 2 2 2 3 2 2 2" xfId="52139"/>
    <cellStyle name="Normal 2 2 2 2 4 2 3 2 2 2 3 3" xfId="30313"/>
    <cellStyle name="Normal 2 2 2 2 4 2 3 2 2 2 4" xfId="26867"/>
    <cellStyle name="Normal 2 2 2 2 4 2 3 2 2 2 4 2" xfId="38623"/>
    <cellStyle name="Normal 2 2 2 2 4 2 3 2 2 3" xfId="5191"/>
    <cellStyle name="Normal 2 2 2 2 4 2 3 2 2 3 2" xfId="16599"/>
    <cellStyle name="Normal 2 2 2 2 4 2 3 2 2 3 2 2" xfId="18764"/>
    <cellStyle name="Normal 2 2 2 2 4 2 3 2 2 3 2 2 2" xfId="51927"/>
    <cellStyle name="Normal 2 2 2 2 4 2 3 2 2 3 2 2 2 2" xfId="54090"/>
    <cellStyle name="Normal 2 2 2 2 4 2 3 2 2 3 2 3" xfId="32265"/>
    <cellStyle name="Normal 2 2 2 2 4 2 3 2 2 3 3" xfId="30101"/>
    <cellStyle name="Normal 2 2 2 2 4 2 3 2 2 3 3 2" xfId="40628"/>
    <cellStyle name="Normal 2 2 2 2 4 2 3 2 2 4" xfId="10394"/>
    <cellStyle name="Normal 2 2 2 2 4 2 3 2 2 4 2" xfId="38411"/>
    <cellStyle name="Normal 2 2 2 2 4 2 3 2 2 4 2 2" xfId="45757"/>
    <cellStyle name="Normal 2 2 2 2 4 2 3 2 2 5" xfId="23880"/>
    <cellStyle name="Normal 2 2 2 2 4 2 3 2 3" xfId="4978"/>
    <cellStyle name="Normal 2 2 2 2 4 2 3 2 3 2" xfId="6437"/>
    <cellStyle name="Normal 2 2 2 2 4 2 3 2 3 2 2" xfId="18551"/>
    <cellStyle name="Normal 2 2 2 2 4 2 3 2 3 2 2 2" xfId="19992"/>
    <cellStyle name="Normal 2 2 2 2 4 2 3 2 3 2 2 2 2" xfId="53877"/>
    <cellStyle name="Normal 2 2 2 2 4 2 3 2 3 2 2 2 2 2" xfId="55318"/>
    <cellStyle name="Normal 2 2 2 2 4 2 3 2 3 2 2 3" xfId="33494"/>
    <cellStyle name="Normal 2 2 2 2 4 2 3 2 3 2 3" xfId="32052"/>
    <cellStyle name="Normal 2 2 2 2 4 2 3 2 3 2 3 2" xfId="41865"/>
    <cellStyle name="Normal 2 2 2 2 4 2 3 2 3 3" xfId="11661"/>
    <cellStyle name="Normal 2 2 2 2 4 2 3 2 3 3 2" xfId="40415"/>
    <cellStyle name="Normal 2 2 2 2 4 2 3 2 3 3 2 2" xfId="47010"/>
    <cellStyle name="Normal 2 2 2 2 4 2 3 2 3 4" xfId="25147"/>
    <cellStyle name="Normal 2 2 2 2 4 2 3 2 4" xfId="10181"/>
    <cellStyle name="Normal 2 2 2 2 4 2 3 2 4 2" xfId="14820"/>
    <cellStyle name="Normal 2 2 2 2 4 2 3 2 4 2 2" xfId="45544"/>
    <cellStyle name="Normal 2 2 2 2 4 2 3 2 4 2 2 2" xfId="50159"/>
    <cellStyle name="Normal 2 2 2 2 4 2 3 2 4 3" xfId="28332"/>
    <cellStyle name="Normal 2 2 2 2 4 2 3 2 5" xfId="23667"/>
    <cellStyle name="Normal 2 2 2 2 4 2 3 2 5 2" xfId="36628"/>
    <cellStyle name="Normal 2 2 2 2 4 2 3 3" xfId="1937"/>
    <cellStyle name="Normal 2 2 2 2 4 2 3 3 2" xfId="6214"/>
    <cellStyle name="Normal 2 2 2 2 4 2 3 3 2 2" xfId="7176"/>
    <cellStyle name="Normal 2 2 2 2 4 2 3 3 2 2 2" xfId="19772"/>
    <cellStyle name="Normal 2 2 2 2 4 2 3 3 2 2 2 2" xfId="20728"/>
    <cellStyle name="Normal 2 2 2 2 4 2 3 3 2 2 2 2 2" xfId="55098"/>
    <cellStyle name="Normal 2 2 2 2 4 2 3 3 2 2 2 2 2 2" xfId="56054"/>
    <cellStyle name="Normal 2 2 2 2 4 2 3 3 2 2 2 3" xfId="34231"/>
    <cellStyle name="Normal 2 2 2 2 4 2 3 3 2 2 3" xfId="33274"/>
    <cellStyle name="Normal 2 2 2 2 4 2 3 3 2 2 3 2" xfId="42603"/>
    <cellStyle name="Normal 2 2 2 2 4 2 3 3 2 3" xfId="12401"/>
    <cellStyle name="Normal 2 2 2 2 4 2 3 3 2 3 2" xfId="41643"/>
    <cellStyle name="Normal 2 2 2 2 4 2 3 3 2 3 2 2" xfId="47747"/>
    <cellStyle name="Normal 2 2 2 2 4 2 3 3 2 4" xfId="25885"/>
    <cellStyle name="Normal 2 2 2 2 4 2 3 3 3" xfId="11439"/>
    <cellStyle name="Normal 2 2 2 2 4 2 3 3 3 2" xfId="15602"/>
    <cellStyle name="Normal 2 2 2 2 4 2 3 3 3 2 2" xfId="46789"/>
    <cellStyle name="Normal 2 2 2 2 4 2 3 3 3 2 2 2" xfId="50934"/>
    <cellStyle name="Normal 2 2 2 2 4 2 3 3 3 3" xfId="29108"/>
    <cellStyle name="Normal 2 2 2 2 4 2 3 3 4" xfId="24926"/>
    <cellStyle name="Normal 2 2 2 2 4 2 3 3 4 2" xfId="37415"/>
    <cellStyle name="Normal 2 2 2 2 4 2 3 4" xfId="3951"/>
    <cellStyle name="Normal 2 2 2 2 4 2 3 4 2" xfId="14598"/>
    <cellStyle name="Normal 2 2 2 2 4 2 3 4 2 2" xfId="17551"/>
    <cellStyle name="Normal 2 2 2 2 4 2 3 4 2 2 2" xfId="49937"/>
    <cellStyle name="Normal 2 2 2 2 4 2 3 4 2 2 2 2" xfId="52878"/>
    <cellStyle name="Normal 2 2 2 2 4 2 3 4 2 3" xfId="31053"/>
    <cellStyle name="Normal 2 2 2 2 4 2 3 4 3" xfId="28108"/>
    <cellStyle name="Normal 2 2 2 2 4 2 3 4 3 2" xfId="39395"/>
    <cellStyle name="Normal 2 2 2 2 4 2 3 5" xfId="9143"/>
    <cellStyle name="Normal 2 2 2 2 4 2 3 5 2" xfId="36406"/>
    <cellStyle name="Normal 2 2 2 2 4 2 3 5 2 2" xfId="44531"/>
    <cellStyle name="Normal 2 2 2 2 4 2 3 6" xfId="22645"/>
    <cellStyle name="Normal 2 2 2 2 4 2 4" xfId="1699"/>
    <cellStyle name="Normal 2 2 2 2 4 2 4 2" xfId="2385"/>
    <cellStyle name="Normal 2 2 2 2 4 2 4 2 2" xfId="6953"/>
    <cellStyle name="Normal 2 2 2 2 4 2 4 2 2 2" xfId="7618"/>
    <cellStyle name="Normal 2 2 2 2 4 2 4 2 2 2 2" xfId="20506"/>
    <cellStyle name="Normal 2 2 2 2 4 2 4 2 2 2 2 2" xfId="21170"/>
    <cellStyle name="Normal 2 2 2 2 4 2 4 2 2 2 2 2 2" xfId="55832"/>
    <cellStyle name="Normal 2 2 2 2 4 2 4 2 2 2 2 2 2 2" xfId="56496"/>
    <cellStyle name="Normal 2 2 2 2 4 2 4 2 2 2 2 3" xfId="34673"/>
    <cellStyle name="Normal 2 2 2 2 4 2 4 2 2 2 3" xfId="34008"/>
    <cellStyle name="Normal 2 2 2 2 4 2 4 2 2 2 3 2" xfId="43045"/>
    <cellStyle name="Normal 2 2 2 2 4 2 4 2 2 3" xfId="12843"/>
    <cellStyle name="Normal 2 2 2 2 4 2 4 2 2 3 2" xfId="42381"/>
    <cellStyle name="Normal 2 2 2 2 4 2 4 2 2 3 2 2" xfId="48189"/>
    <cellStyle name="Normal 2 2 2 2 4 2 4 2 2 4" xfId="26327"/>
    <cellStyle name="Normal 2 2 2 2 4 2 4 2 3" xfId="12177"/>
    <cellStyle name="Normal 2 2 2 2 4 2 4 2 3 2" xfId="16048"/>
    <cellStyle name="Normal 2 2 2 2 4 2 4 2 3 2 2" xfId="47524"/>
    <cellStyle name="Normal 2 2 2 2 4 2 4 2 3 2 2 2" xfId="51380"/>
    <cellStyle name="Normal 2 2 2 2 4 2 4 2 3 3" xfId="29554"/>
    <cellStyle name="Normal 2 2 2 2 4 2 4 2 4" xfId="25662"/>
    <cellStyle name="Normal 2 2 2 2 4 2 4 2 4 2" xfId="37863"/>
    <cellStyle name="Normal 2 2 2 2 4 2 4 3" xfId="4419"/>
    <cellStyle name="Normal 2 2 2 2 4 2 4 3 2" xfId="15371"/>
    <cellStyle name="Normal 2 2 2 2 4 2 4 3 2 2" xfId="18010"/>
    <cellStyle name="Normal 2 2 2 2 4 2 4 3 2 2 2" xfId="50705"/>
    <cellStyle name="Normal 2 2 2 2 4 2 4 3 2 2 2 2" xfId="53336"/>
    <cellStyle name="Normal 2 2 2 2 4 2 4 3 2 3" xfId="31511"/>
    <cellStyle name="Normal 2 2 2 2 4 2 4 3 3" xfId="28879"/>
    <cellStyle name="Normal 2 2 2 2 4 2 4 3 3 2" xfId="39861"/>
    <cellStyle name="Normal 2 2 2 2 4 2 4 4" xfId="9622"/>
    <cellStyle name="Normal 2 2 2 2 4 2 4 4 2" xfId="37182"/>
    <cellStyle name="Normal 2 2 2 2 4 2 4 4 2 2" xfId="45002"/>
    <cellStyle name="Normal 2 2 2 2 4 2 4 5" xfId="23123"/>
    <cellStyle name="Normal 2 2 2 2 4 2 5" xfId="3704"/>
    <cellStyle name="Normal 2 2 2 2 4 2 5 2" xfId="5626"/>
    <cellStyle name="Normal 2 2 2 2 4 2 5 2 2" xfId="17321"/>
    <cellStyle name="Normal 2 2 2 2 4 2 5 2 2 2" xfId="19198"/>
    <cellStyle name="Normal 2 2 2 2 4 2 5 2 2 2 2" xfId="52648"/>
    <cellStyle name="Normal 2 2 2 2 4 2 5 2 2 2 2 2" xfId="54524"/>
    <cellStyle name="Normal 2 2 2 2 4 2 5 2 2 3" xfId="32699"/>
    <cellStyle name="Normal 2 2 2 2 4 2 5 2 3" xfId="30822"/>
    <cellStyle name="Normal 2 2 2 2 4 2 5 2 3 2" xfId="41062"/>
    <cellStyle name="Normal 2 2 2 2 4 2 5 3" xfId="10842"/>
    <cellStyle name="Normal 2 2 2 2 4 2 5 3 2" xfId="39155"/>
    <cellStyle name="Normal 2 2 2 2 4 2 5 3 2 2" xfId="46204"/>
    <cellStyle name="Normal 2 2 2 2 4 2 5 4" xfId="24334"/>
    <cellStyle name="Normal 2 2 2 2 4 2 6" xfId="8893"/>
    <cellStyle name="Normal 2 2 2 2 4 2 6 2" xfId="14010"/>
    <cellStyle name="Normal 2 2 2 2 4 2 6 2 2" xfId="44293"/>
    <cellStyle name="Normal 2 2 2 2 4 2 6 2 2 2" xfId="49356"/>
    <cellStyle name="Normal 2 2 2 2 4 2 6 3" xfId="27504"/>
    <cellStyle name="Normal 2 2 2 2 4 2 7" xfId="22401"/>
    <cellStyle name="Normal 2 2 2 2 4 2 7 2" xfId="35822"/>
    <cellStyle name="Normal 2 2 2 2 4 3" xfId="404"/>
    <cellStyle name="Normal 2 2 2 2 4 3 2" xfId="1077"/>
    <cellStyle name="Normal 2 2 2 2 4 3 2 2" xfId="1235"/>
    <cellStyle name="Normal 2 2 2 2 4 3 2 2 2" xfId="3112"/>
    <cellStyle name="Normal 2 2 2 2 4 3 2 2 2 2" xfId="3253"/>
    <cellStyle name="Normal 2 2 2 2 4 3 2 2 2 2 2" xfId="8327"/>
    <cellStyle name="Normal 2 2 2 2 4 3 2 2 2 2 2 2" xfId="8468"/>
    <cellStyle name="Normal 2 2 2 2 4 3 2 2 2 2 2 2 2" xfId="21879"/>
    <cellStyle name="Normal 2 2 2 2 4 3 2 2 2 2 2 2 2 2" xfId="22020"/>
    <cellStyle name="Normal 2 2 2 2 4 3 2 2 2 2 2 2 2 2 2" xfId="57205"/>
    <cellStyle name="Normal 2 2 2 2 4 3 2 2 2 2 2 2 2 2 2 2" xfId="57346"/>
    <cellStyle name="Normal 2 2 2 2 4 3 2 2 2 2 2 2 2 3" xfId="35523"/>
    <cellStyle name="Normal 2 2 2 2 4 3 2 2 2 2 2 2 3" xfId="35382"/>
    <cellStyle name="Normal 2 2 2 2 4 3 2 2 2 2 2 2 3 2" xfId="43895"/>
    <cellStyle name="Normal 2 2 2 2 4 3 2 2 2 2 2 3" xfId="13693"/>
    <cellStyle name="Normal 2 2 2 2 4 3 2 2 2 2 2 3 2" xfId="43754"/>
    <cellStyle name="Normal 2 2 2 2 4 3 2 2 2 2 2 3 2 2" xfId="49039"/>
    <cellStyle name="Normal 2 2 2 2 4 3 2 2 2 2 2 4" xfId="27178"/>
    <cellStyle name="Normal 2 2 2 2 4 3 2 2 2 2 3" xfId="13552"/>
    <cellStyle name="Normal 2 2 2 2 4 3 2 2 2 2 3 2" xfId="16910"/>
    <cellStyle name="Normal 2 2 2 2 4 3 2 2 2 2 3 2 2" xfId="48898"/>
    <cellStyle name="Normal 2 2 2 2 4 3 2 2 2 2 3 2 2 2" xfId="52238"/>
    <cellStyle name="Normal 2 2 2 2 4 3 2 2 2 2 3 3" xfId="30412"/>
    <cellStyle name="Normal 2 2 2 2 4 3 2 2 2 2 4" xfId="27037"/>
    <cellStyle name="Normal 2 2 2 2 4 3 2 2 2 2 4 2" xfId="38722"/>
    <cellStyle name="Normal 2 2 2 2 4 3 2 2 2 3" xfId="5290"/>
    <cellStyle name="Normal 2 2 2 2 4 3 2 2 2 3 2" xfId="16769"/>
    <cellStyle name="Normal 2 2 2 2 4 3 2 2 2 3 2 2" xfId="18863"/>
    <cellStyle name="Normal 2 2 2 2 4 3 2 2 2 3 2 2 2" xfId="52097"/>
    <cellStyle name="Normal 2 2 2 2 4 3 2 2 2 3 2 2 2 2" xfId="54189"/>
    <cellStyle name="Normal 2 2 2 2 4 3 2 2 2 3 2 3" xfId="32364"/>
    <cellStyle name="Normal 2 2 2 2 4 3 2 2 2 3 3" xfId="30271"/>
    <cellStyle name="Normal 2 2 2 2 4 3 2 2 2 3 3 2" xfId="40727"/>
    <cellStyle name="Normal 2 2 2 2 4 3 2 2 2 4" xfId="10493"/>
    <cellStyle name="Normal 2 2 2 2 4 3 2 2 2 4 2" xfId="38581"/>
    <cellStyle name="Normal 2 2 2 2 4 3 2 2 2 4 2 2" xfId="45856"/>
    <cellStyle name="Normal 2 2 2 2 4 3 2 2 2 5" xfId="23979"/>
    <cellStyle name="Normal 2 2 2 2 4 3 2 2 3" xfId="5149"/>
    <cellStyle name="Normal 2 2 2 2 4 3 2 2 3 2" xfId="6543"/>
    <cellStyle name="Normal 2 2 2 2 4 3 2 2 3 2 2" xfId="18722"/>
    <cellStyle name="Normal 2 2 2 2 4 3 2 2 3 2 2 2" xfId="20096"/>
    <cellStyle name="Normal 2 2 2 2 4 3 2 2 3 2 2 2 2" xfId="54048"/>
    <cellStyle name="Normal 2 2 2 2 4 3 2 2 3 2 2 2 2 2" xfId="55422"/>
    <cellStyle name="Normal 2 2 2 2 4 3 2 2 3 2 2 3" xfId="33598"/>
    <cellStyle name="Normal 2 2 2 2 4 3 2 2 3 2 3" xfId="32223"/>
    <cellStyle name="Normal 2 2 2 2 4 3 2 2 3 2 3 2" xfId="41971"/>
    <cellStyle name="Normal 2 2 2 2 4 3 2 2 3 3" xfId="11766"/>
    <cellStyle name="Normal 2 2 2 2 4 3 2 2 3 3 2" xfId="40586"/>
    <cellStyle name="Normal 2 2 2 2 4 3 2 2 3 3 2 2" xfId="47114"/>
    <cellStyle name="Normal 2 2 2 2 4 3 2 2 3 4" xfId="25251"/>
    <cellStyle name="Normal 2 2 2 2 4 3 2 2 4" xfId="10352"/>
    <cellStyle name="Normal 2 2 2 2 4 3 2 2 4 2" xfId="14924"/>
    <cellStyle name="Normal 2 2 2 2 4 3 2 2 4 2 2" xfId="45715"/>
    <cellStyle name="Normal 2 2 2 2 4 3 2 2 4 2 2 2" xfId="50263"/>
    <cellStyle name="Normal 2 2 2 2 4 3 2 2 4 3" xfId="28437"/>
    <cellStyle name="Normal 2 2 2 2 4 3 2 2 5" xfId="23838"/>
    <cellStyle name="Normal 2 2 2 2 4 3 2 2 5 2" xfId="36732"/>
    <cellStyle name="Normal 2 2 2 2 4 3 2 3" xfId="2041"/>
    <cellStyle name="Normal 2 2 2 2 4 3 2 3 2" xfId="6387"/>
    <cellStyle name="Normal 2 2 2 2 4 3 2 3 2 2" xfId="7275"/>
    <cellStyle name="Normal 2 2 2 2 4 3 2 3 2 2 2" xfId="19943"/>
    <cellStyle name="Normal 2 2 2 2 4 3 2 3 2 2 2 2" xfId="20827"/>
    <cellStyle name="Normal 2 2 2 2 4 3 2 3 2 2 2 2 2" xfId="55269"/>
    <cellStyle name="Normal 2 2 2 2 4 3 2 3 2 2 2 2 2 2" xfId="56153"/>
    <cellStyle name="Normal 2 2 2 2 4 3 2 3 2 2 2 3" xfId="34330"/>
    <cellStyle name="Normal 2 2 2 2 4 3 2 3 2 2 3" xfId="33445"/>
    <cellStyle name="Normal 2 2 2 2 4 3 2 3 2 2 3 2" xfId="42702"/>
    <cellStyle name="Normal 2 2 2 2 4 3 2 3 2 3" xfId="12500"/>
    <cellStyle name="Normal 2 2 2 2 4 3 2 3 2 3 2" xfId="41816"/>
    <cellStyle name="Normal 2 2 2 2 4 3 2 3 2 3 2 2" xfId="47846"/>
    <cellStyle name="Normal 2 2 2 2 4 3 2 3 2 4" xfId="25984"/>
    <cellStyle name="Normal 2 2 2 2 4 3 2 3 3" xfId="11612"/>
    <cellStyle name="Normal 2 2 2 2 4 3 2 3 3 2" xfId="15705"/>
    <cellStyle name="Normal 2 2 2 2 4 3 2 3 3 2 2" xfId="46961"/>
    <cellStyle name="Normal 2 2 2 2 4 3 2 3 3 2 2 2" xfId="51037"/>
    <cellStyle name="Normal 2 2 2 2 4 3 2 3 3 3" xfId="29211"/>
    <cellStyle name="Normal 2 2 2 2 4 3 2 3 4" xfId="25098"/>
    <cellStyle name="Normal 2 2 2 2 4 3 2 3 4 2" xfId="37519"/>
    <cellStyle name="Normal 2 2 2 2 4 3 2 4" xfId="4057"/>
    <cellStyle name="Normal 2 2 2 2 4 3 2 4 2" xfId="14769"/>
    <cellStyle name="Normal 2 2 2 2 4 3 2 4 2 2" xfId="17650"/>
    <cellStyle name="Normal 2 2 2 2 4 3 2 4 2 2 2" xfId="50108"/>
    <cellStyle name="Normal 2 2 2 2 4 3 2 4 2 2 2 2" xfId="52977"/>
    <cellStyle name="Normal 2 2 2 2 4 3 2 4 2 3" xfId="31152"/>
    <cellStyle name="Normal 2 2 2 2 4 3 2 4 3" xfId="28281"/>
    <cellStyle name="Normal 2 2 2 2 4 3 2 4 3 2" xfId="39500"/>
    <cellStyle name="Normal 2 2 2 2 4 3 2 5" xfId="9248"/>
    <cellStyle name="Normal 2 2 2 2 4 3 2 5 2" xfId="36577"/>
    <cellStyle name="Normal 2 2 2 2 4 3 2 5 2 2" xfId="44630"/>
    <cellStyle name="Normal 2 2 2 2 4 3 2 6" xfId="22744"/>
    <cellStyle name="Normal 2 2 2 2 4 3 3" xfId="1885"/>
    <cellStyle name="Normal 2 2 2 2 4 3 3 2" xfId="2506"/>
    <cellStyle name="Normal 2 2 2 2 4 3 3 2 2" xfId="7134"/>
    <cellStyle name="Normal 2 2 2 2 4 3 3 2 2 2" xfId="7731"/>
    <cellStyle name="Normal 2 2 2 2 4 3 3 2 2 2 2" xfId="20686"/>
    <cellStyle name="Normal 2 2 2 2 4 3 3 2 2 2 2 2" xfId="21283"/>
    <cellStyle name="Normal 2 2 2 2 4 3 3 2 2 2 2 2 2" xfId="56012"/>
    <cellStyle name="Normal 2 2 2 2 4 3 3 2 2 2 2 2 2 2" xfId="56609"/>
    <cellStyle name="Normal 2 2 2 2 4 3 3 2 2 2 2 3" xfId="34786"/>
    <cellStyle name="Normal 2 2 2 2 4 3 3 2 2 2 3" xfId="34189"/>
    <cellStyle name="Normal 2 2 2 2 4 3 3 2 2 2 3 2" xfId="43158"/>
    <cellStyle name="Normal 2 2 2 2 4 3 3 2 2 3" xfId="12956"/>
    <cellStyle name="Normal 2 2 2 2 4 3 3 2 2 3 2" xfId="42561"/>
    <cellStyle name="Normal 2 2 2 2 4 3 3 2 2 3 2 2" xfId="48302"/>
    <cellStyle name="Normal 2 2 2 2 4 3 3 2 2 4" xfId="26440"/>
    <cellStyle name="Normal 2 2 2 2 4 3 3 2 3" xfId="12359"/>
    <cellStyle name="Normal 2 2 2 2 4 3 3 2 3 2" xfId="16167"/>
    <cellStyle name="Normal 2 2 2 2 4 3 3 2 3 2 2" xfId="47705"/>
    <cellStyle name="Normal 2 2 2 2 4 3 3 2 3 2 2 2" xfId="51498"/>
    <cellStyle name="Normal 2 2 2 2 4 3 3 2 3 3" xfId="29672"/>
    <cellStyle name="Normal 2 2 2 2 4 3 3 2 4" xfId="25843"/>
    <cellStyle name="Normal 2 2 2 2 4 3 3 2 4 2" xfId="37981"/>
    <cellStyle name="Normal 2 2 2 2 4 3 3 3" xfId="4541"/>
    <cellStyle name="Normal 2 2 2 2 4 3 3 3 2" xfId="15555"/>
    <cellStyle name="Normal 2 2 2 2 4 3 3 3 2 2" xfId="18124"/>
    <cellStyle name="Normal 2 2 2 2 4 3 3 3 2 2 2" xfId="50887"/>
    <cellStyle name="Normal 2 2 2 2 4 3 3 3 2 2 2 2" xfId="53450"/>
    <cellStyle name="Normal 2 2 2 2 4 3 3 3 2 3" xfId="31625"/>
    <cellStyle name="Normal 2 2 2 2 4 3 3 3 3" xfId="29061"/>
    <cellStyle name="Normal 2 2 2 2 4 3 3 3 3 2" xfId="39982"/>
    <cellStyle name="Normal 2 2 2 2 4 3 3 4" xfId="9744"/>
    <cellStyle name="Normal 2 2 2 2 4 3 3 4 2" xfId="37366"/>
    <cellStyle name="Normal 2 2 2 2 4 3 3 4 2 2" xfId="45117"/>
    <cellStyle name="Normal 2 2 2 2 4 3 3 5" xfId="23240"/>
    <cellStyle name="Normal 2 2 2 2 4 3 4" xfId="3899"/>
    <cellStyle name="Normal 2 2 2 2 4 3 4 2" xfId="5747"/>
    <cellStyle name="Normal 2 2 2 2 4 3 4 2 2" xfId="17509"/>
    <cellStyle name="Normal 2 2 2 2 4 3 4 2 2 2" xfId="19316"/>
    <cellStyle name="Normal 2 2 2 2 4 3 4 2 2 2 2" xfId="52836"/>
    <cellStyle name="Normal 2 2 2 2 4 3 4 2 2 2 2 2" xfId="54642"/>
    <cellStyle name="Normal 2 2 2 2 4 3 4 2 2 3" xfId="32817"/>
    <cellStyle name="Normal 2 2 2 2 4 3 4 2 3" xfId="31011"/>
    <cellStyle name="Normal 2 2 2 2 4 3 4 2 3 2" xfId="41182"/>
    <cellStyle name="Normal 2 2 2 2 4 3 4 3" xfId="10968"/>
    <cellStyle name="Normal 2 2 2 2 4 3 4 3 2" xfId="39347"/>
    <cellStyle name="Normal 2 2 2 2 4 3 4 3 2 2" xfId="46327"/>
    <cellStyle name="Normal 2 2 2 2 4 3 4 4" xfId="24461"/>
    <cellStyle name="Normal 2 2 2 2 4 3 5" xfId="9092"/>
    <cellStyle name="Normal 2 2 2 2 4 3 5 2" xfId="14131"/>
    <cellStyle name="Normal 2 2 2 2 4 3 5 2 2" xfId="44488"/>
    <cellStyle name="Normal 2 2 2 2 4 3 5 2 2 2" xfId="49476"/>
    <cellStyle name="Normal 2 2 2 2 4 3 5 3" xfId="27633"/>
    <cellStyle name="Normal 2 2 2 2 4 3 6" xfId="22601"/>
    <cellStyle name="Normal 2 2 2 2 4 3 6 2" xfId="35942"/>
    <cellStyle name="Normal 2 2 2 2 4 4" xfId="720"/>
    <cellStyle name="Normal 2 2 2 2 4 4 2" xfId="2339"/>
    <cellStyle name="Normal 2 2 2 2 4 4 2 2" xfId="2792"/>
    <cellStyle name="Normal 2 2 2 2 4 4 2 2 2" xfId="7573"/>
    <cellStyle name="Normal 2 2 2 2 4 4 2 2 2 2" xfId="8008"/>
    <cellStyle name="Normal 2 2 2 2 4 4 2 2 2 2 2" xfId="21125"/>
    <cellStyle name="Normal 2 2 2 2 4 4 2 2 2 2 2 2" xfId="21560"/>
    <cellStyle name="Normal 2 2 2 2 4 4 2 2 2 2 2 2 2" xfId="56451"/>
    <cellStyle name="Normal 2 2 2 2 4 4 2 2 2 2 2 2 2 2" xfId="56886"/>
    <cellStyle name="Normal 2 2 2 2 4 4 2 2 2 2 2 3" xfId="35063"/>
    <cellStyle name="Normal 2 2 2 2 4 4 2 2 2 2 3" xfId="34628"/>
    <cellStyle name="Normal 2 2 2 2 4 4 2 2 2 2 3 2" xfId="43435"/>
    <cellStyle name="Normal 2 2 2 2 4 4 2 2 2 3" xfId="13233"/>
    <cellStyle name="Normal 2 2 2 2 4 4 2 2 2 3 2" xfId="43000"/>
    <cellStyle name="Normal 2 2 2 2 4 4 2 2 2 3 2 2" xfId="48579"/>
    <cellStyle name="Normal 2 2 2 2 4 4 2 2 2 4" xfId="26717"/>
    <cellStyle name="Normal 2 2 2 2 4 4 2 2 3" xfId="12798"/>
    <cellStyle name="Normal 2 2 2 2 4 4 2 2 3 2" xfId="16450"/>
    <cellStyle name="Normal 2 2 2 2 4 4 2 2 3 2 2" xfId="48144"/>
    <cellStyle name="Normal 2 2 2 2 4 4 2 2 3 2 2 2" xfId="51778"/>
    <cellStyle name="Normal 2 2 2 2 4 4 2 2 3 3" xfId="29952"/>
    <cellStyle name="Normal 2 2 2 2 4 4 2 2 4" xfId="26282"/>
    <cellStyle name="Normal 2 2 2 2 4 4 2 2 4 2" xfId="38262"/>
    <cellStyle name="Normal 2 2 2 2 4 4 2 3" xfId="4828"/>
    <cellStyle name="Normal 2 2 2 2 4 4 2 3 2" xfId="16003"/>
    <cellStyle name="Normal 2 2 2 2 4 4 2 3 2 2" xfId="18402"/>
    <cellStyle name="Normal 2 2 2 2 4 4 2 3 2 2 2" xfId="51335"/>
    <cellStyle name="Normal 2 2 2 2 4 4 2 3 2 2 2 2" xfId="53728"/>
    <cellStyle name="Normal 2 2 2 2 4 4 2 3 2 3" xfId="31903"/>
    <cellStyle name="Normal 2 2 2 2 4 4 2 3 3" xfId="29509"/>
    <cellStyle name="Normal 2 2 2 2 4 4 2 3 3 2" xfId="40265"/>
    <cellStyle name="Normal 2 2 2 2 4 4 2 4" xfId="10031"/>
    <cellStyle name="Normal 2 2 2 2 4 4 2 4 2" xfId="37817"/>
    <cellStyle name="Normal 2 2 2 2 4 4 2 4 2 2" xfId="45395"/>
    <cellStyle name="Normal 2 2 2 2 4 4 2 5" xfId="23518"/>
    <cellStyle name="Normal 2 2 2 2 4 4 3" xfId="4369"/>
    <cellStyle name="Normal 2 2 2 2 4 4 3 2" xfId="6044"/>
    <cellStyle name="Normal 2 2 2 2 4 4 3 2 2" xfId="17961"/>
    <cellStyle name="Normal 2 2 2 2 4 4 3 2 2 2" xfId="19608"/>
    <cellStyle name="Normal 2 2 2 2 4 4 3 2 2 2 2" xfId="53288"/>
    <cellStyle name="Normal 2 2 2 2 4 4 3 2 2 2 2 2" xfId="54934"/>
    <cellStyle name="Normal 2 2 2 2 4 4 3 2 2 3" xfId="33109"/>
    <cellStyle name="Normal 2 2 2 2 4 4 3 2 3" xfId="31463"/>
    <cellStyle name="Normal 2 2 2 2 4 4 3 2 3 2" xfId="41478"/>
    <cellStyle name="Normal 2 2 2 2 4 4 3 3" xfId="11270"/>
    <cellStyle name="Normal 2 2 2 2 4 4 3 3 2" xfId="39811"/>
    <cellStyle name="Normal 2 2 2 2 4 4 3 3 2 2" xfId="46625"/>
    <cellStyle name="Normal 2 2 2 2 4 4 3 4" xfId="24762"/>
    <cellStyle name="Normal 2 2 2 2 4 4 4" xfId="9569"/>
    <cellStyle name="Normal 2 2 2 2 4 4 4 2" xfId="14427"/>
    <cellStyle name="Normal 2 2 2 2 4 4 4 2 2" xfId="44951"/>
    <cellStyle name="Normal 2 2 2 2 4 4 4 2 2 2" xfId="49772"/>
    <cellStyle name="Normal 2 2 2 2 4 4 4 3" xfId="27940"/>
    <cellStyle name="Normal 2 2 2 2 4 4 5" xfId="23070"/>
    <cellStyle name="Normal 2 2 2 2 4 4 5 2" xfId="36240"/>
    <cellStyle name="Normal 2 2 2 2 4 5" xfId="1499"/>
    <cellStyle name="Normal 2 2 2 2 4 5 2" xfId="5580"/>
    <cellStyle name="Normal 2 2 2 2 4 5 2 2" xfId="6789"/>
    <cellStyle name="Normal 2 2 2 2 4 5 2 2 2" xfId="19152"/>
    <cellStyle name="Normal 2 2 2 2 4 5 2 2 2 2" xfId="20342"/>
    <cellStyle name="Normal 2 2 2 2 4 5 2 2 2 2 2" xfId="54478"/>
    <cellStyle name="Normal 2 2 2 2 4 5 2 2 2 2 2 2" xfId="55668"/>
    <cellStyle name="Normal 2 2 2 2 4 5 2 2 2 3" xfId="33844"/>
    <cellStyle name="Normal 2 2 2 2 4 5 2 2 3" xfId="32653"/>
    <cellStyle name="Normal 2 2 2 2 4 5 2 2 3 2" xfId="42217"/>
    <cellStyle name="Normal 2 2 2 2 4 5 2 3" xfId="12013"/>
    <cellStyle name="Normal 2 2 2 2 4 5 2 3 2" xfId="41016"/>
    <cellStyle name="Normal 2 2 2 2 4 5 2 3 2 2" xfId="47360"/>
    <cellStyle name="Normal 2 2 2 2 4 5 2 4" xfId="25497"/>
    <cellStyle name="Normal 2 2 2 2 4 5 3" xfId="10789"/>
    <cellStyle name="Normal 2 2 2 2 4 5 3 2" xfId="15182"/>
    <cellStyle name="Normal 2 2 2 2 4 5 3 2 2" xfId="46151"/>
    <cellStyle name="Normal 2 2 2 2 4 5 3 2 2 2" xfId="50520"/>
    <cellStyle name="Normal 2 2 2 2 4 5 3 3" xfId="28694"/>
    <cellStyle name="Normal 2 2 2 2 4 5 4" xfId="24278"/>
    <cellStyle name="Normal 2 2 2 2 4 5 4 2" xfId="36992"/>
    <cellStyle name="Normal 2 2 2 2 4 6" xfId="3498"/>
    <cellStyle name="Normal 2 2 2 2 4 6 2" xfId="13964"/>
    <cellStyle name="Normal 2 2 2 2 4 6 2 2" xfId="17152"/>
    <cellStyle name="Normal 2 2 2 2 4 6 2 2 2" xfId="49310"/>
    <cellStyle name="Normal 2 2 2 2 4 6 2 2 2 2" xfId="52479"/>
    <cellStyle name="Normal 2 2 2 2 4 6 2 3" xfId="30653"/>
    <cellStyle name="Normal 2 2 2 2 4 6 3" xfId="27454"/>
    <cellStyle name="Normal 2 2 2 2 4 6 3 2" xfId="38964"/>
    <cellStyle name="Normal 2 2 2 2 4 7" xfId="4921"/>
    <cellStyle name="Normal 2 2 2 2 4 7 2" xfId="35776"/>
    <cellStyle name="Normal 2 2 2 2 4 7 2 2" xfId="40358"/>
    <cellStyle name="Normal 2 2 2 2 4 8" xfId="8732"/>
    <cellStyle name="Normal 2 2 2 2 5" xfId="339"/>
    <cellStyle name="Normal 2 2 2 2 5 2" xfId="370"/>
    <cellStyle name="Normal 2 2 2 2 5 2 2" xfId="1197"/>
    <cellStyle name="Normal 2 2 2 2 5 2 2 2" xfId="1218"/>
    <cellStyle name="Normal 2 2 2 2 5 2 2 2 2" xfId="3217"/>
    <cellStyle name="Normal 2 2 2 2 5 2 2 2 2 2" xfId="3236"/>
    <cellStyle name="Normal 2 2 2 2 5 2 2 2 2 2 2" xfId="8432"/>
    <cellStyle name="Normal 2 2 2 2 5 2 2 2 2 2 2 2" xfId="8451"/>
    <cellStyle name="Normal 2 2 2 2 5 2 2 2 2 2 2 2 2" xfId="21984"/>
    <cellStyle name="Normal 2 2 2 2 5 2 2 2 2 2 2 2 2 2" xfId="22003"/>
    <cellStyle name="Normal 2 2 2 2 5 2 2 2 2 2 2 2 2 2 2" xfId="57310"/>
    <cellStyle name="Normal 2 2 2 2 5 2 2 2 2 2 2 2 2 2 2 2" xfId="57329"/>
    <cellStyle name="Normal 2 2 2 2 5 2 2 2 2 2 2 2 2 3" xfId="35506"/>
    <cellStyle name="Normal 2 2 2 2 5 2 2 2 2 2 2 2 3" xfId="35487"/>
    <cellStyle name="Normal 2 2 2 2 5 2 2 2 2 2 2 2 3 2" xfId="43878"/>
    <cellStyle name="Normal 2 2 2 2 5 2 2 2 2 2 2 3" xfId="13676"/>
    <cellStyle name="Normal 2 2 2 2 5 2 2 2 2 2 2 3 2" xfId="43859"/>
    <cellStyle name="Normal 2 2 2 2 5 2 2 2 2 2 2 3 2 2" xfId="49022"/>
    <cellStyle name="Normal 2 2 2 2 5 2 2 2 2 2 2 4" xfId="27161"/>
    <cellStyle name="Normal 2 2 2 2 5 2 2 2 2 2 3" xfId="13657"/>
    <cellStyle name="Normal 2 2 2 2 5 2 2 2 2 2 3 2" xfId="16893"/>
    <cellStyle name="Normal 2 2 2 2 5 2 2 2 2 2 3 2 2" xfId="49003"/>
    <cellStyle name="Normal 2 2 2 2 5 2 2 2 2 2 3 2 2 2" xfId="52221"/>
    <cellStyle name="Normal 2 2 2 2 5 2 2 2 2 2 3 3" xfId="30395"/>
    <cellStyle name="Normal 2 2 2 2 5 2 2 2 2 2 4" xfId="27142"/>
    <cellStyle name="Normal 2 2 2 2 5 2 2 2 2 2 4 2" xfId="38705"/>
    <cellStyle name="Normal 2 2 2 2 5 2 2 2 2 3" xfId="5273"/>
    <cellStyle name="Normal 2 2 2 2 5 2 2 2 2 3 2" xfId="16874"/>
    <cellStyle name="Normal 2 2 2 2 5 2 2 2 2 3 2 2" xfId="18846"/>
    <cellStyle name="Normal 2 2 2 2 5 2 2 2 2 3 2 2 2" xfId="52202"/>
    <cellStyle name="Normal 2 2 2 2 5 2 2 2 2 3 2 2 2 2" xfId="54172"/>
    <cellStyle name="Normal 2 2 2 2 5 2 2 2 2 3 2 3" xfId="32347"/>
    <cellStyle name="Normal 2 2 2 2 5 2 2 2 2 3 3" xfId="30376"/>
    <cellStyle name="Normal 2 2 2 2 5 2 2 2 2 3 3 2" xfId="40710"/>
    <cellStyle name="Normal 2 2 2 2 5 2 2 2 2 4" xfId="10476"/>
    <cellStyle name="Normal 2 2 2 2 5 2 2 2 2 4 2" xfId="38686"/>
    <cellStyle name="Normal 2 2 2 2 5 2 2 2 2 4 2 2" xfId="45839"/>
    <cellStyle name="Normal 2 2 2 2 5 2 2 2 2 5" xfId="23962"/>
    <cellStyle name="Normal 2 2 2 2 5 2 2 2 3" xfId="5254"/>
    <cellStyle name="Normal 2 2 2 2 5 2 2 2 3 2" xfId="6526"/>
    <cellStyle name="Normal 2 2 2 2 5 2 2 2 3 2 2" xfId="18827"/>
    <cellStyle name="Normal 2 2 2 2 5 2 2 2 3 2 2 2" xfId="20079"/>
    <cellStyle name="Normal 2 2 2 2 5 2 2 2 3 2 2 2 2" xfId="54153"/>
    <cellStyle name="Normal 2 2 2 2 5 2 2 2 3 2 2 2 2 2" xfId="55405"/>
    <cellStyle name="Normal 2 2 2 2 5 2 2 2 3 2 2 3" xfId="33581"/>
    <cellStyle name="Normal 2 2 2 2 5 2 2 2 3 2 3" xfId="32328"/>
    <cellStyle name="Normal 2 2 2 2 5 2 2 2 3 2 3 2" xfId="41954"/>
    <cellStyle name="Normal 2 2 2 2 5 2 2 2 3 3" xfId="11749"/>
    <cellStyle name="Normal 2 2 2 2 5 2 2 2 3 3 2" xfId="40691"/>
    <cellStyle name="Normal 2 2 2 2 5 2 2 2 3 3 2 2" xfId="47097"/>
    <cellStyle name="Normal 2 2 2 2 5 2 2 2 3 4" xfId="25234"/>
    <cellStyle name="Normal 2 2 2 2 5 2 2 2 4" xfId="10457"/>
    <cellStyle name="Normal 2 2 2 2 5 2 2 2 4 2" xfId="14907"/>
    <cellStyle name="Normal 2 2 2 2 5 2 2 2 4 2 2" xfId="45820"/>
    <cellStyle name="Normal 2 2 2 2 5 2 2 2 4 2 2 2" xfId="50246"/>
    <cellStyle name="Normal 2 2 2 2 5 2 2 2 4 3" xfId="28420"/>
    <cellStyle name="Normal 2 2 2 2 5 2 2 2 5" xfId="23943"/>
    <cellStyle name="Normal 2 2 2 2 5 2 2 2 5 2" xfId="36715"/>
    <cellStyle name="Normal 2 2 2 2 5 2 2 3" xfId="2024"/>
    <cellStyle name="Normal 2 2 2 2 5 2 2 3 2" xfId="6505"/>
    <cellStyle name="Normal 2 2 2 2 5 2 2 3 2 2" xfId="7258"/>
    <cellStyle name="Normal 2 2 2 2 5 2 2 3 2 2 2" xfId="20059"/>
    <cellStyle name="Normal 2 2 2 2 5 2 2 3 2 2 2 2" xfId="20810"/>
    <cellStyle name="Normal 2 2 2 2 5 2 2 3 2 2 2 2 2" xfId="55385"/>
    <cellStyle name="Normal 2 2 2 2 5 2 2 3 2 2 2 2 2 2" xfId="56136"/>
    <cellStyle name="Normal 2 2 2 2 5 2 2 3 2 2 2 3" xfId="34313"/>
    <cellStyle name="Normal 2 2 2 2 5 2 2 3 2 2 3" xfId="33561"/>
    <cellStyle name="Normal 2 2 2 2 5 2 2 3 2 2 3 2" xfId="42685"/>
    <cellStyle name="Normal 2 2 2 2 5 2 2 3 2 3" xfId="12483"/>
    <cellStyle name="Normal 2 2 2 2 5 2 2 3 2 3 2" xfId="41933"/>
    <cellStyle name="Normal 2 2 2 2 5 2 2 3 2 3 2 2" xfId="47829"/>
    <cellStyle name="Normal 2 2 2 2 5 2 2 3 2 4" xfId="25967"/>
    <cellStyle name="Normal 2 2 2 2 5 2 2 3 3" xfId="11729"/>
    <cellStyle name="Normal 2 2 2 2 5 2 2 3 3 2" xfId="15688"/>
    <cellStyle name="Normal 2 2 2 2 5 2 2 3 3 2 2" xfId="47077"/>
    <cellStyle name="Normal 2 2 2 2 5 2 2 3 3 2 2 2" xfId="51020"/>
    <cellStyle name="Normal 2 2 2 2 5 2 2 3 3 3" xfId="29194"/>
    <cellStyle name="Normal 2 2 2 2 5 2 2 3 4" xfId="25214"/>
    <cellStyle name="Normal 2 2 2 2 5 2 2 3 4 2" xfId="37502"/>
    <cellStyle name="Normal 2 2 2 2 5 2 2 4" xfId="4040"/>
    <cellStyle name="Normal 2 2 2 2 5 2 2 4 2" xfId="14887"/>
    <cellStyle name="Normal 2 2 2 2 5 2 2 4 2 2" xfId="17633"/>
    <cellStyle name="Normal 2 2 2 2 5 2 2 4 2 2 2" xfId="50226"/>
    <cellStyle name="Normal 2 2 2 2 5 2 2 4 2 2 2 2" xfId="52960"/>
    <cellStyle name="Normal 2 2 2 2 5 2 2 4 2 3" xfId="31135"/>
    <cellStyle name="Normal 2 2 2 2 5 2 2 4 3" xfId="28400"/>
    <cellStyle name="Normal 2 2 2 2 5 2 2 4 3 2" xfId="39483"/>
    <cellStyle name="Normal 2 2 2 2 5 2 2 5" xfId="9231"/>
    <cellStyle name="Normal 2 2 2 2 5 2 2 5 2" xfId="36695"/>
    <cellStyle name="Normal 2 2 2 2 5 2 2 5 2 2" xfId="44613"/>
    <cellStyle name="Normal 2 2 2 2 5 2 2 6" xfId="22727"/>
    <cellStyle name="Normal 2 2 2 2 5 2 3" xfId="2005"/>
    <cellStyle name="Normal 2 2 2 2 5 2 3 2" xfId="2477"/>
    <cellStyle name="Normal 2 2 2 2 5 2 3 2 2" xfId="7239"/>
    <cellStyle name="Normal 2 2 2 2 5 2 3 2 2 2" xfId="7707"/>
    <cellStyle name="Normal 2 2 2 2 5 2 3 2 2 2 2" xfId="20791"/>
    <cellStyle name="Normal 2 2 2 2 5 2 3 2 2 2 2 2" xfId="21259"/>
    <cellStyle name="Normal 2 2 2 2 5 2 3 2 2 2 2 2 2" xfId="56117"/>
    <cellStyle name="Normal 2 2 2 2 5 2 3 2 2 2 2 2 2 2" xfId="56585"/>
    <cellStyle name="Normal 2 2 2 2 5 2 3 2 2 2 2 3" xfId="34762"/>
    <cellStyle name="Normal 2 2 2 2 5 2 3 2 2 2 3" xfId="34294"/>
    <cellStyle name="Normal 2 2 2 2 5 2 3 2 2 2 3 2" xfId="43134"/>
    <cellStyle name="Normal 2 2 2 2 5 2 3 2 2 3" xfId="12932"/>
    <cellStyle name="Normal 2 2 2 2 5 2 3 2 2 3 2" xfId="42666"/>
    <cellStyle name="Normal 2 2 2 2 5 2 3 2 2 3 2 2" xfId="48278"/>
    <cellStyle name="Normal 2 2 2 2 5 2 3 2 2 4" xfId="26416"/>
    <cellStyle name="Normal 2 2 2 2 5 2 3 2 3" xfId="12464"/>
    <cellStyle name="Normal 2 2 2 2 5 2 3 2 3 2" xfId="16140"/>
    <cellStyle name="Normal 2 2 2 2 5 2 3 2 3 2 2" xfId="47810"/>
    <cellStyle name="Normal 2 2 2 2 5 2 3 2 3 2 2 2" xfId="51471"/>
    <cellStyle name="Normal 2 2 2 2 5 2 3 2 3 3" xfId="29645"/>
    <cellStyle name="Normal 2 2 2 2 5 2 3 2 4" xfId="25948"/>
    <cellStyle name="Normal 2 2 2 2 5 2 3 2 4 2" xfId="37954"/>
    <cellStyle name="Normal 2 2 2 2 5 2 3 3" xfId="4512"/>
    <cellStyle name="Normal 2 2 2 2 5 2 3 3 2" xfId="15669"/>
    <cellStyle name="Normal 2 2 2 2 5 2 3 3 2 2" xfId="18100"/>
    <cellStyle name="Normal 2 2 2 2 5 2 3 3 2 2 2" xfId="51001"/>
    <cellStyle name="Normal 2 2 2 2 5 2 3 3 2 2 2 2" xfId="53426"/>
    <cellStyle name="Normal 2 2 2 2 5 2 3 3 2 3" xfId="31601"/>
    <cellStyle name="Normal 2 2 2 2 5 2 3 3 3" xfId="29175"/>
    <cellStyle name="Normal 2 2 2 2 5 2 3 3 3 2" xfId="39953"/>
    <cellStyle name="Normal 2 2 2 2 5 2 3 4" xfId="9716"/>
    <cellStyle name="Normal 2 2 2 2 5 2 3 4 2" xfId="37483"/>
    <cellStyle name="Normal 2 2 2 2 5 2 3 4 2 2" xfId="45093"/>
    <cellStyle name="Normal 2 2 2 2 5 2 3 5" xfId="23216"/>
    <cellStyle name="Normal 2 2 2 2 5 2 4" xfId="4019"/>
    <cellStyle name="Normal 2 2 2 2 5 2 4 2" xfId="5720"/>
    <cellStyle name="Normal 2 2 2 2 5 2 4 2 2" xfId="17614"/>
    <cellStyle name="Normal 2 2 2 2 5 2 4 2 2 2" xfId="19289"/>
    <cellStyle name="Normal 2 2 2 2 5 2 4 2 2 2 2" xfId="52941"/>
    <cellStyle name="Normal 2 2 2 2 5 2 4 2 2 2 2 2" xfId="54615"/>
    <cellStyle name="Normal 2 2 2 2 5 2 4 2 2 3" xfId="32790"/>
    <cellStyle name="Normal 2 2 2 2 5 2 4 2 3" xfId="31116"/>
    <cellStyle name="Normal 2 2 2 2 5 2 4 2 3 2" xfId="41155"/>
    <cellStyle name="Normal 2 2 2 2 5 2 4 3" xfId="10940"/>
    <cellStyle name="Normal 2 2 2 2 5 2 4 3 2" xfId="39463"/>
    <cellStyle name="Normal 2 2 2 2 5 2 4 3 2 2" xfId="46299"/>
    <cellStyle name="Normal 2 2 2 2 5 2 4 4" xfId="24431"/>
    <cellStyle name="Normal 2 2 2 2 5 2 5" xfId="9211"/>
    <cellStyle name="Normal 2 2 2 2 5 2 5 2" xfId="14103"/>
    <cellStyle name="Normal 2 2 2 2 5 2 5 2 2" xfId="44594"/>
    <cellStyle name="Normal 2 2 2 2 5 2 5 2 2 2" xfId="49448"/>
    <cellStyle name="Normal 2 2 2 2 5 2 5 3" xfId="27603"/>
    <cellStyle name="Normal 2 2 2 2 5 2 6" xfId="22708"/>
    <cellStyle name="Normal 2 2 2 2 5 2 6 2" xfId="35914"/>
    <cellStyle name="Normal 2 2 2 2 5 3" xfId="684"/>
    <cellStyle name="Normal 2 2 2 2 5 3 2" xfId="2452"/>
    <cellStyle name="Normal 2 2 2 2 5 3 2 2" xfId="2772"/>
    <cellStyle name="Normal 2 2 2 2 5 3 2 2 2" xfId="7684"/>
    <cellStyle name="Normal 2 2 2 2 5 3 2 2 2 2" xfId="7989"/>
    <cellStyle name="Normal 2 2 2 2 5 3 2 2 2 2 2" xfId="21236"/>
    <cellStyle name="Normal 2 2 2 2 5 3 2 2 2 2 2 2" xfId="21541"/>
    <cellStyle name="Normal 2 2 2 2 5 3 2 2 2 2 2 2 2" xfId="56562"/>
    <cellStyle name="Normal 2 2 2 2 5 3 2 2 2 2 2 2 2 2" xfId="56867"/>
    <cellStyle name="Normal 2 2 2 2 5 3 2 2 2 2 2 3" xfId="35044"/>
    <cellStyle name="Normal 2 2 2 2 5 3 2 2 2 2 3" xfId="34739"/>
    <cellStyle name="Normal 2 2 2 2 5 3 2 2 2 2 3 2" xfId="43416"/>
    <cellStyle name="Normal 2 2 2 2 5 3 2 2 2 3" xfId="13214"/>
    <cellStyle name="Normal 2 2 2 2 5 3 2 2 2 3 2" xfId="43111"/>
    <cellStyle name="Normal 2 2 2 2 5 3 2 2 2 3 2 2" xfId="48560"/>
    <cellStyle name="Normal 2 2 2 2 5 3 2 2 2 4" xfId="26698"/>
    <cellStyle name="Normal 2 2 2 2 5 3 2 2 3" xfId="12909"/>
    <cellStyle name="Normal 2 2 2 2 5 3 2 2 3 2" xfId="16431"/>
    <cellStyle name="Normal 2 2 2 2 5 3 2 2 3 2 2" xfId="48255"/>
    <cellStyle name="Normal 2 2 2 2 5 3 2 2 3 2 2 2" xfId="51759"/>
    <cellStyle name="Normal 2 2 2 2 5 3 2 2 3 3" xfId="29933"/>
    <cellStyle name="Normal 2 2 2 2 5 3 2 2 4" xfId="26393"/>
    <cellStyle name="Normal 2 2 2 2 5 3 2 2 4 2" xfId="38243"/>
    <cellStyle name="Normal 2 2 2 2 5 3 2 3" xfId="4808"/>
    <cellStyle name="Normal 2 2 2 2 5 3 2 3 2" xfId="16115"/>
    <cellStyle name="Normal 2 2 2 2 5 3 2 3 2 2" xfId="18383"/>
    <cellStyle name="Normal 2 2 2 2 5 3 2 3 2 2 2" xfId="51447"/>
    <cellStyle name="Normal 2 2 2 2 5 3 2 3 2 2 2 2" xfId="53709"/>
    <cellStyle name="Normal 2 2 2 2 5 3 2 3 2 3" xfId="31884"/>
    <cellStyle name="Normal 2 2 2 2 5 3 2 3 3" xfId="29621"/>
    <cellStyle name="Normal 2 2 2 2 5 3 2 3 3 2" xfId="40245"/>
    <cellStyle name="Normal 2 2 2 2 5 3 2 4" xfId="10011"/>
    <cellStyle name="Normal 2 2 2 2 5 3 2 4 2" xfId="37930"/>
    <cellStyle name="Normal 2 2 2 2 5 3 2 4 2 2" xfId="45376"/>
    <cellStyle name="Normal 2 2 2 2 5 3 2 5" xfId="23499"/>
    <cellStyle name="Normal 2 2 2 2 5 3 3" xfId="4487"/>
    <cellStyle name="Normal 2 2 2 2 5 3 3 2" xfId="6013"/>
    <cellStyle name="Normal 2 2 2 2 5 3 3 2 2" xfId="18077"/>
    <cellStyle name="Normal 2 2 2 2 5 3 3 2 2 2" xfId="19578"/>
    <cellStyle name="Normal 2 2 2 2 5 3 3 2 2 2 2" xfId="53403"/>
    <cellStyle name="Normal 2 2 2 2 5 3 3 2 2 2 2 2" xfId="54904"/>
    <cellStyle name="Normal 2 2 2 2 5 3 3 2 2 3" xfId="33079"/>
    <cellStyle name="Normal 2 2 2 2 5 3 3 2 3" xfId="31578"/>
    <cellStyle name="Normal 2 2 2 2 5 3 3 2 3 2" xfId="41447"/>
    <cellStyle name="Normal 2 2 2 2 5 3 3 3" xfId="11238"/>
    <cellStyle name="Normal 2 2 2 2 5 3 3 3 2" xfId="39929"/>
    <cellStyle name="Normal 2 2 2 2 5 3 3 3 2 2" xfId="46594"/>
    <cellStyle name="Normal 2 2 2 2 5 3 3 4" xfId="24731"/>
    <cellStyle name="Normal 2 2 2 2 5 3 4" xfId="9692"/>
    <cellStyle name="Normal 2 2 2 2 5 3 4 2" xfId="14395"/>
    <cellStyle name="Normal 2 2 2 2 5 3 4 2 2" xfId="45070"/>
    <cellStyle name="Normal 2 2 2 2 5 3 4 2 2 2" xfId="49740"/>
    <cellStyle name="Normal 2 2 2 2 5 3 4 3" xfId="27907"/>
    <cellStyle name="Normal 2 2 2 2 5 3 5" xfId="23193"/>
    <cellStyle name="Normal 2 2 2 2 5 3 5 2" xfId="36207"/>
    <cellStyle name="Normal 2 2 2 2 5 4" xfId="1462"/>
    <cellStyle name="Normal 2 2 2 2 5 4 2" xfId="5694"/>
    <cellStyle name="Normal 2 2 2 2 5 4 2 2" xfId="6770"/>
    <cellStyle name="Normal 2 2 2 2 5 4 2 2 2" xfId="19266"/>
    <cellStyle name="Normal 2 2 2 2 5 4 2 2 2 2" xfId="20323"/>
    <cellStyle name="Normal 2 2 2 2 5 4 2 2 2 2 2" xfId="54592"/>
    <cellStyle name="Normal 2 2 2 2 5 4 2 2 2 2 2 2" xfId="55649"/>
    <cellStyle name="Normal 2 2 2 2 5 4 2 2 2 3" xfId="33825"/>
    <cellStyle name="Normal 2 2 2 2 5 4 2 2 3" xfId="32767"/>
    <cellStyle name="Normal 2 2 2 2 5 4 2 2 3 2" xfId="42198"/>
    <cellStyle name="Normal 2 2 2 2 5 4 2 3" xfId="11993"/>
    <cellStyle name="Normal 2 2 2 2 5 4 2 3 2" xfId="41130"/>
    <cellStyle name="Normal 2 2 2 2 5 4 2 3 2 2" xfId="47341"/>
    <cellStyle name="Normal 2 2 2 2 5 4 2 4" xfId="25478"/>
    <cellStyle name="Normal 2 2 2 2 5 4 3" xfId="10912"/>
    <cellStyle name="Normal 2 2 2 2 5 4 3 2" xfId="15151"/>
    <cellStyle name="Normal 2 2 2 2 5 4 3 2 2" xfId="46274"/>
    <cellStyle name="Normal 2 2 2 2 5 4 3 2 2 2" xfId="50490"/>
    <cellStyle name="Normal 2 2 2 2 5 4 3 3" xfId="28664"/>
    <cellStyle name="Normal 2 2 2 2 5 4 4" xfId="24405"/>
    <cellStyle name="Normal 2 2 2 2 5 4 4 2" xfId="36959"/>
    <cellStyle name="Normal 2 2 2 2 5 5" xfId="1653"/>
    <cellStyle name="Normal 2 2 2 2 5 5 2" xfId="14079"/>
    <cellStyle name="Normal 2 2 2 2 5 5 2 2" xfId="15326"/>
    <cellStyle name="Normal 2 2 2 2 5 5 2 2 2" xfId="49425"/>
    <cellStyle name="Normal 2 2 2 2 5 5 2 2 2 2" xfId="50661"/>
    <cellStyle name="Normal 2 2 2 2 5 5 2 3" xfId="28835"/>
    <cellStyle name="Normal 2 2 2 2 5 5 3" xfId="27578"/>
    <cellStyle name="Normal 2 2 2 2 5 5 3 2" xfId="37137"/>
    <cellStyle name="Normal 2 2 2 2 5 6" xfId="1540"/>
    <cellStyle name="Normal 2 2 2 2 5 6 2" xfId="35891"/>
    <cellStyle name="Normal 2 2 2 2 5 6 2 2" xfId="37030"/>
    <cellStyle name="Normal 2 2 2 2 5 7" xfId="4575"/>
    <cellStyle name="Normal 2 2 2 2 6" xfId="531"/>
    <cellStyle name="Normal 2 2 2 2 6 2" xfId="341"/>
    <cellStyle name="Normal 2 2 2 2 6 2 2" xfId="2625"/>
    <cellStyle name="Normal 2 2 2 2 6 2 2 2" xfId="2454"/>
    <cellStyle name="Normal 2 2 2 2 6 2 2 2 2" xfId="7845"/>
    <cellStyle name="Normal 2 2 2 2 6 2 2 2 2 2" xfId="7686"/>
    <cellStyle name="Normal 2 2 2 2 6 2 2 2 2 2 2" xfId="21397"/>
    <cellStyle name="Normal 2 2 2 2 6 2 2 2 2 2 2 2" xfId="21238"/>
    <cellStyle name="Normal 2 2 2 2 6 2 2 2 2 2 2 2 2" xfId="56723"/>
    <cellStyle name="Normal 2 2 2 2 6 2 2 2 2 2 2 2 2 2" xfId="56564"/>
    <cellStyle name="Normal 2 2 2 2 6 2 2 2 2 2 2 3" xfId="34741"/>
    <cellStyle name="Normal 2 2 2 2 6 2 2 2 2 2 3" xfId="34900"/>
    <cellStyle name="Normal 2 2 2 2 6 2 2 2 2 2 3 2" xfId="43113"/>
    <cellStyle name="Normal 2 2 2 2 6 2 2 2 2 3" xfId="12911"/>
    <cellStyle name="Normal 2 2 2 2 6 2 2 2 2 3 2" xfId="43272"/>
    <cellStyle name="Normal 2 2 2 2 6 2 2 2 2 3 2 2" xfId="48257"/>
    <cellStyle name="Normal 2 2 2 2 6 2 2 2 2 4" xfId="26395"/>
    <cellStyle name="Normal 2 2 2 2 6 2 2 2 3" xfId="13070"/>
    <cellStyle name="Normal 2 2 2 2 6 2 2 2 3 2" xfId="16117"/>
    <cellStyle name="Normal 2 2 2 2 6 2 2 2 3 2 2" xfId="48416"/>
    <cellStyle name="Normal 2 2 2 2 6 2 2 2 3 2 2 2" xfId="51449"/>
    <cellStyle name="Normal 2 2 2 2 6 2 2 2 3 3" xfId="29623"/>
    <cellStyle name="Normal 2 2 2 2 6 2 2 2 4" xfId="26554"/>
    <cellStyle name="Normal 2 2 2 2 6 2 2 2 4 2" xfId="37932"/>
    <cellStyle name="Normal 2 2 2 2 6 2 2 3" xfId="4489"/>
    <cellStyle name="Normal 2 2 2 2 6 2 2 3 2" xfId="16284"/>
    <cellStyle name="Normal 2 2 2 2 6 2 2 3 2 2" xfId="18079"/>
    <cellStyle name="Normal 2 2 2 2 6 2 2 3 2 2 2" xfId="51614"/>
    <cellStyle name="Normal 2 2 2 2 6 2 2 3 2 2 2 2" xfId="53405"/>
    <cellStyle name="Normal 2 2 2 2 6 2 2 3 2 3" xfId="31580"/>
    <cellStyle name="Normal 2 2 2 2 6 2 2 3 3" xfId="29788"/>
    <cellStyle name="Normal 2 2 2 2 6 2 2 3 3 2" xfId="39931"/>
    <cellStyle name="Normal 2 2 2 2 6 2 2 4" xfId="9694"/>
    <cellStyle name="Normal 2 2 2 2 6 2 2 4 2" xfId="38098"/>
    <cellStyle name="Normal 2 2 2 2 6 2 2 4 2 2" xfId="45072"/>
    <cellStyle name="Normal 2 2 2 2 6 2 2 5" xfId="23195"/>
    <cellStyle name="Normal 2 2 2 2 6 2 3" xfId="4660"/>
    <cellStyle name="Normal 2 2 2 2 6 2 3 2" xfId="5696"/>
    <cellStyle name="Normal 2 2 2 2 6 2 3 2 2" xfId="18239"/>
    <cellStyle name="Normal 2 2 2 2 6 2 3 2 2 2" xfId="19268"/>
    <cellStyle name="Normal 2 2 2 2 6 2 3 2 2 2 2" xfId="53565"/>
    <cellStyle name="Normal 2 2 2 2 6 2 3 2 2 2 2 2" xfId="54594"/>
    <cellStyle name="Normal 2 2 2 2 6 2 3 2 2 3" xfId="32769"/>
    <cellStyle name="Normal 2 2 2 2 6 2 3 2 3" xfId="31740"/>
    <cellStyle name="Normal 2 2 2 2 6 2 3 2 3 2" xfId="41132"/>
    <cellStyle name="Normal 2 2 2 2 6 2 3 3" xfId="10914"/>
    <cellStyle name="Normal 2 2 2 2 6 2 3 3 2" xfId="40099"/>
    <cellStyle name="Normal 2 2 2 2 6 2 3 3 2 2" xfId="46276"/>
    <cellStyle name="Normal 2 2 2 2 6 2 3 4" xfId="24407"/>
    <cellStyle name="Normal 2 2 2 2 6 2 4" xfId="9863"/>
    <cellStyle name="Normal 2 2 2 2 6 2 4 2" xfId="14081"/>
    <cellStyle name="Normal 2 2 2 2 6 2 4 2 2" xfId="45232"/>
    <cellStyle name="Normal 2 2 2 2 6 2 4 2 2 2" xfId="49427"/>
    <cellStyle name="Normal 2 2 2 2 6 2 4 3" xfId="27580"/>
    <cellStyle name="Normal 2 2 2 2 6 2 5" xfId="23355"/>
    <cellStyle name="Normal 2 2 2 2 6 2 5 2" xfId="35893"/>
    <cellStyle name="Normal 2 2 2 2 6 3" xfId="697"/>
    <cellStyle name="Normal 2 2 2 2 6 3 2" xfId="5864"/>
    <cellStyle name="Normal 2 2 2 2 6 3 2 2" xfId="6025"/>
    <cellStyle name="Normal 2 2 2 2 6 3 2 2 2" xfId="19432"/>
    <cellStyle name="Normal 2 2 2 2 6 3 2 2 2 2" xfId="19589"/>
    <cellStyle name="Normal 2 2 2 2 6 3 2 2 2 2 2" xfId="54758"/>
    <cellStyle name="Normal 2 2 2 2 6 3 2 2 2 2 2 2" xfId="54915"/>
    <cellStyle name="Normal 2 2 2 2 6 3 2 2 2 3" xfId="33090"/>
    <cellStyle name="Normal 2 2 2 2 6 3 2 2 3" xfId="32933"/>
    <cellStyle name="Normal 2 2 2 2 6 3 2 2 3 2" xfId="41459"/>
    <cellStyle name="Normal 2 2 2 2 6 3 2 3" xfId="11250"/>
    <cellStyle name="Normal 2 2 2 2 6 3 2 3 2" xfId="41299"/>
    <cellStyle name="Normal 2 2 2 2 6 3 2 3 2 2" xfId="46605"/>
    <cellStyle name="Normal 2 2 2 2 6 3 2 4" xfId="24742"/>
    <cellStyle name="Normal 2 2 2 2 6 3 3" xfId="11088"/>
    <cellStyle name="Normal 2 2 2 2 6 3 3 2" xfId="14406"/>
    <cellStyle name="Normal 2 2 2 2 6 3 3 2 2" xfId="46447"/>
    <cellStyle name="Normal 2 2 2 2 6 3 3 2 2 2" xfId="49751"/>
    <cellStyle name="Normal 2 2 2 2 6 3 3 3" xfId="27919"/>
    <cellStyle name="Normal 2 2 2 2 6 3 4" xfId="24582"/>
    <cellStyle name="Normal 2 2 2 2 6 3 4 2" xfId="36218"/>
    <cellStyle name="Normal 2 2 2 2 6 4" xfId="374"/>
    <cellStyle name="Normal 2 2 2 2 6 4 2" xfId="14249"/>
    <cellStyle name="Normal 2 2 2 2 6 4 2 2" xfId="14106"/>
    <cellStyle name="Normal 2 2 2 2 6 4 2 2 2" xfId="49594"/>
    <cellStyle name="Normal 2 2 2 2 6 4 2 2 2 2" xfId="49451"/>
    <cellStyle name="Normal 2 2 2 2 6 4 2 3" xfId="27606"/>
    <cellStyle name="Normal 2 2 2 2 6 4 3" xfId="27756"/>
    <cellStyle name="Normal 2 2 2 2 6 4 3 2" xfId="35917"/>
    <cellStyle name="Normal 2 2 2 2 6 5" xfId="3551"/>
    <cellStyle name="Normal 2 2 2 2 6 5 2" xfId="36061"/>
    <cellStyle name="Normal 2 2 2 2 6 5 2 2" xfId="39008"/>
    <cellStyle name="Normal 2 2 2 2 6 6" xfId="9116"/>
    <cellStyle name="Normal 2 2 2 2 7" xfId="690"/>
    <cellStyle name="Normal 2 2 2 2 7 2" xfId="1800"/>
    <cellStyle name="Normal 2 2 2 2 7 2 2" xfId="6019"/>
    <cellStyle name="Normal 2 2 2 2 7 2 2 2" xfId="7052"/>
    <cellStyle name="Normal 2 2 2 2 7 2 2 2 2" xfId="19584"/>
    <cellStyle name="Normal 2 2 2 2 7 2 2 2 2 2" xfId="20605"/>
    <cellStyle name="Normal 2 2 2 2 7 2 2 2 2 2 2" xfId="54910"/>
    <cellStyle name="Normal 2 2 2 2 7 2 2 2 2 2 2 2" xfId="55931"/>
    <cellStyle name="Normal 2 2 2 2 7 2 2 2 2 3" xfId="34107"/>
    <cellStyle name="Normal 2 2 2 2 7 2 2 2 3" xfId="33085"/>
    <cellStyle name="Normal 2 2 2 2 7 2 2 2 3 2" xfId="42480"/>
    <cellStyle name="Normal 2 2 2 2 7 2 2 3" xfId="12276"/>
    <cellStyle name="Normal 2 2 2 2 7 2 2 3 2" xfId="41453"/>
    <cellStyle name="Normal 2 2 2 2 7 2 2 3 2 2" xfId="47623"/>
    <cellStyle name="Normal 2 2 2 2 7 2 2 4" xfId="25761"/>
    <cellStyle name="Normal 2 2 2 2 7 2 3" xfId="11244"/>
    <cellStyle name="Normal 2 2 2 2 7 2 3 2" xfId="15472"/>
    <cellStyle name="Normal 2 2 2 2 7 2 3 2 2" xfId="46600"/>
    <cellStyle name="Normal 2 2 2 2 7 2 3 2 2 2" xfId="50805"/>
    <cellStyle name="Normal 2 2 2 2 7 2 3 3" xfId="28979"/>
    <cellStyle name="Normal 2 2 2 2 7 2 4" xfId="24737"/>
    <cellStyle name="Normal 2 2 2 2 7 2 4 2" xfId="37282"/>
    <cellStyle name="Normal 2 2 2 2 7 3" xfId="3807"/>
    <cellStyle name="Normal 2 2 2 2 7 3 2" xfId="14401"/>
    <cellStyle name="Normal 2 2 2 2 7 3 2 2" xfId="17422"/>
    <cellStyle name="Normal 2 2 2 2 7 3 2 2 2" xfId="49746"/>
    <cellStyle name="Normal 2 2 2 2 7 3 2 2 2 2" xfId="52749"/>
    <cellStyle name="Normal 2 2 2 2 7 3 2 3" xfId="30923"/>
    <cellStyle name="Normal 2 2 2 2 7 3 3" xfId="27913"/>
    <cellStyle name="Normal 2 2 2 2 7 3 3 2" xfId="39257"/>
    <cellStyle name="Normal 2 2 2 2 7 4" xfId="8997"/>
    <cellStyle name="Normal 2 2 2 2 7 4 2" xfId="36213"/>
    <cellStyle name="Normal 2 2 2 2 7 4 2 2" xfId="44395"/>
    <cellStyle name="Normal 2 2 2 2 7 5" xfId="22504"/>
    <cellStyle name="Normal 2 2 2 2 8" xfId="1473"/>
    <cellStyle name="Normal 2 2 2 2 8 2" xfId="4294"/>
    <cellStyle name="Normal 2 2 2 2 8 2 2" xfId="15159"/>
    <cellStyle name="Normal 2 2 2 2 8 2 2 2" xfId="17887"/>
    <cellStyle name="Normal 2 2 2 2 8 2 2 2 2" xfId="50498"/>
    <cellStyle name="Normal 2 2 2 2 8 2 2 2 2 2" xfId="53214"/>
    <cellStyle name="Normal 2 2 2 2 8 2 2 3" xfId="31389"/>
    <cellStyle name="Normal 2 2 2 2 8 2 3" xfId="28672"/>
    <cellStyle name="Normal 2 2 2 2 8 2 3 2" xfId="39737"/>
    <cellStyle name="Normal 2 2 2 2 8 3" xfId="9486"/>
    <cellStyle name="Normal 2 2 2 2 8 3 2" xfId="36970"/>
    <cellStyle name="Normal 2 2 2 2 8 3 2 2" xfId="44868"/>
    <cellStyle name="Normal 2 2 2 2 8 4" xfId="22982"/>
    <cellStyle name="Normal 2 2 2 2 9" xfId="1964"/>
    <cellStyle name="Normal 2 2 2 2 9 2" xfId="9034"/>
    <cellStyle name="Normal 2 2 2 2 9 2 2" xfId="37442"/>
    <cellStyle name="Normal 2 2 2 2 9 2 2 2" xfId="44431"/>
    <cellStyle name="Normal 2 2 2 2 9 3" xfId="22542"/>
    <cellStyle name="Normal 2 2 2 3" xfId="71"/>
    <cellStyle name="Normal 2 2 2 3 2" xfId="155"/>
    <cellStyle name="Normal 2 2 2 3 2 2" xfId="166"/>
    <cellStyle name="Normal 2 2 2 3 2 2 2" xfId="321"/>
    <cellStyle name="Normal 2 2 2 3 2 2 2 2" xfId="325"/>
    <cellStyle name="Normal 2 2 2 3 2 2 2 2 2" xfId="650"/>
    <cellStyle name="Normal 2 2 2 3 2 2 2 2 2 2" xfId="654"/>
    <cellStyle name="Normal 2 2 2 3 2 2 2 2 2 2 2" xfId="1446"/>
    <cellStyle name="Normal 2 2 2 3 2 2 2 2 2 2 2 2" xfId="1450"/>
    <cellStyle name="Normal 2 2 2 3 2 2 2 2 2 2 2 2 2" xfId="3464"/>
    <cellStyle name="Normal 2 2 2 3 2 2 2 2 2 2 2 2 2 2" xfId="3468"/>
    <cellStyle name="Normal 2 2 2 3 2 2 2 2 2 2 2 2 2 2 2" xfId="8679"/>
    <cellStyle name="Normal 2 2 2 3 2 2 2 2 2 2 2 2 2 2 2 2" xfId="8683"/>
    <cellStyle name="Normal 2 2 2 3 2 2 2 2 2 2 2 2 2 2 2 2 2" xfId="22231"/>
    <cellStyle name="Normal 2 2 2 3 2 2 2 2 2 2 2 2 2 2 2 2 2 2" xfId="22235"/>
    <cellStyle name="Normal 2 2 2 3 2 2 2 2 2 2 2 2 2 2 2 2 2 2 2" xfId="57557"/>
    <cellStyle name="Normal 2 2 2 3 2 2 2 2 2 2 2 2 2 2 2 2 2 2 2 2" xfId="57561"/>
    <cellStyle name="Normal 2 2 2 3 2 2 2 2 2 2 2 2 2 2 2 2 2 3" xfId="35738"/>
    <cellStyle name="Normal 2 2 2 3 2 2 2 2 2 2 2 2 2 2 2 2 3" xfId="35734"/>
    <cellStyle name="Normal 2 2 2 3 2 2 2 2 2 2 2 2 2 2 2 2 3 2" xfId="44110"/>
    <cellStyle name="Normal 2 2 2 3 2 2 2 2 2 2 2 2 2 2 2 3" xfId="13908"/>
    <cellStyle name="Normal 2 2 2 3 2 2 2 2 2 2 2 2 2 2 2 3 2" xfId="44106"/>
    <cellStyle name="Normal 2 2 2 3 2 2 2 2 2 2 2 2 2 2 2 3 2 2" xfId="49254"/>
    <cellStyle name="Normal 2 2 2 3 2 2 2 2 2 2 2 2 2 2 2 4" xfId="27393"/>
    <cellStyle name="Normal 2 2 2 3 2 2 2 2 2 2 2 2 2 2 3" xfId="13904"/>
    <cellStyle name="Normal 2 2 2 3 2 2 2 2 2 2 2 2 2 2 3 2" xfId="17125"/>
    <cellStyle name="Normal 2 2 2 3 2 2 2 2 2 2 2 2 2 2 3 2 2" xfId="49250"/>
    <cellStyle name="Normal 2 2 2 3 2 2 2 2 2 2 2 2 2 2 3 2 2 2" xfId="52453"/>
    <cellStyle name="Normal 2 2 2 3 2 2 2 2 2 2 2 2 2 2 3 3" xfId="30627"/>
    <cellStyle name="Normal 2 2 2 3 2 2 2 2 2 2 2 2 2 2 4" xfId="27389"/>
    <cellStyle name="Normal 2 2 2 3 2 2 2 2 2 2 2 2 2 2 4 2" xfId="38937"/>
    <cellStyle name="Normal 2 2 2 3 2 2 2 2 2 2 2 2 2 3" xfId="5505"/>
    <cellStyle name="Normal 2 2 2 3 2 2 2 2 2 2 2 2 2 3 2" xfId="17121"/>
    <cellStyle name="Normal 2 2 2 3 2 2 2 2 2 2 2 2 2 3 2 2" xfId="19078"/>
    <cellStyle name="Normal 2 2 2 3 2 2 2 2 2 2 2 2 2 3 2 2 2" xfId="52449"/>
    <cellStyle name="Normal 2 2 2 3 2 2 2 2 2 2 2 2 2 3 2 2 2 2" xfId="54404"/>
    <cellStyle name="Normal 2 2 2 3 2 2 2 2 2 2 2 2 2 3 2 3" xfId="32579"/>
    <cellStyle name="Normal 2 2 2 3 2 2 2 2 2 2 2 2 2 3 3" xfId="30623"/>
    <cellStyle name="Normal 2 2 2 3 2 2 2 2 2 2 2 2 2 3 3 2" xfId="40942"/>
    <cellStyle name="Normal 2 2 2 3 2 2 2 2 2 2 2 2 2 4" xfId="10708"/>
    <cellStyle name="Normal 2 2 2 3 2 2 2 2 2 2 2 2 2 4 2" xfId="38933"/>
    <cellStyle name="Normal 2 2 2 3 2 2 2 2 2 2 2 2 2 4 2 2" xfId="46071"/>
    <cellStyle name="Normal 2 2 2 3 2 2 2 2 2 2 2 2 2 5" xfId="24194"/>
    <cellStyle name="Normal 2 2 2 3 2 2 2 2 2 2 2 2 3" xfId="5501"/>
    <cellStyle name="Normal 2 2 2 3 2 2 2 2 2 2 2 2 3 2" xfId="6758"/>
    <cellStyle name="Normal 2 2 2 3 2 2 2 2 2 2 2 2 3 2 2" xfId="19074"/>
    <cellStyle name="Normal 2 2 2 3 2 2 2 2 2 2 2 2 3 2 2 2" xfId="20311"/>
    <cellStyle name="Normal 2 2 2 3 2 2 2 2 2 2 2 2 3 2 2 2 2" xfId="54400"/>
    <cellStyle name="Normal 2 2 2 3 2 2 2 2 2 2 2 2 3 2 2 2 2 2" xfId="55637"/>
    <cellStyle name="Normal 2 2 2 3 2 2 2 2 2 2 2 2 3 2 2 3" xfId="33813"/>
    <cellStyle name="Normal 2 2 2 3 2 2 2 2 2 2 2 2 3 2 3" xfId="32575"/>
    <cellStyle name="Normal 2 2 2 3 2 2 2 2 2 2 2 2 3 2 3 2" xfId="42186"/>
    <cellStyle name="Normal 2 2 2 3 2 2 2 2 2 2 2 2 3 3" xfId="11981"/>
    <cellStyle name="Normal 2 2 2 3 2 2 2 2 2 2 2 2 3 3 2" xfId="40938"/>
    <cellStyle name="Normal 2 2 2 3 2 2 2 2 2 2 2 2 3 3 2 2" xfId="47329"/>
    <cellStyle name="Normal 2 2 2 3 2 2 2 2 2 2 2 2 3 4" xfId="25466"/>
    <cellStyle name="Normal 2 2 2 3 2 2 2 2 2 2 2 2 4" xfId="10704"/>
    <cellStyle name="Normal 2 2 2 3 2 2 2 2 2 2 2 2 4 2" xfId="15139"/>
    <cellStyle name="Normal 2 2 2 3 2 2 2 2 2 2 2 2 4 2 2" xfId="46067"/>
    <cellStyle name="Normal 2 2 2 3 2 2 2 2 2 2 2 2 4 2 2 2" xfId="50478"/>
    <cellStyle name="Normal 2 2 2 3 2 2 2 2 2 2 2 2 4 3" xfId="28652"/>
    <cellStyle name="Normal 2 2 2 3 2 2 2 2 2 2 2 2 5" xfId="24190"/>
    <cellStyle name="Normal 2 2 2 3 2 2 2 2 2 2 2 2 5 2" xfId="36947"/>
    <cellStyle name="Normal 2 2 2 3 2 2 2 2 2 2 2 3" xfId="2257"/>
    <cellStyle name="Normal 2 2 2 3 2 2 2 2 2 2 2 3 2" xfId="6754"/>
    <cellStyle name="Normal 2 2 2 3 2 2 2 2 2 2 2 3 2 2" xfId="7491"/>
    <cellStyle name="Normal 2 2 2 3 2 2 2 2 2 2 2 3 2 2 2" xfId="20307"/>
    <cellStyle name="Normal 2 2 2 3 2 2 2 2 2 2 2 3 2 2 2 2" xfId="21043"/>
    <cellStyle name="Normal 2 2 2 3 2 2 2 2 2 2 2 3 2 2 2 2 2" xfId="55633"/>
    <cellStyle name="Normal 2 2 2 3 2 2 2 2 2 2 2 3 2 2 2 2 2 2" xfId="56369"/>
    <cellStyle name="Normal 2 2 2 3 2 2 2 2 2 2 2 3 2 2 2 3" xfId="34546"/>
    <cellStyle name="Normal 2 2 2 3 2 2 2 2 2 2 2 3 2 2 3" xfId="33809"/>
    <cellStyle name="Normal 2 2 2 3 2 2 2 2 2 2 2 3 2 2 3 2" xfId="42918"/>
    <cellStyle name="Normal 2 2 2 3 2 2 2 2 2 2 2 3 2 3" xfId="12716"/>
    <cellStyle name="Normal 2 2 2 3 2 2 2 2 2 2 2 3 2 3 2" xfId="42182"/>
    <cellStyle name="Normal 2 2 2 3 2 2 2 2 2 2 2 3 2 3 2 2" xfId="48062"/>
    <cellStyle name="Normal 2 2 2 3 2 2 2 2 2 2 2 3 2 4" xfId="26200"/>
    <cellStyle name="Normal 2 2 2 3 2 2 2 2 2 2 2 3 3" xfId="11977"/>
    <cellStyle name="Normal 2 2 2 3 2 2 2 2 2 2 2 3 3 2" xfId="15921"/>
    <cellStyle name="Normal 2 2 2 3 2 2 2 2 2 2 2 3 3 2 2" xfId="47325"/>
    <cellStyle name="Normal 2 2 2 3 2 2 2 2 2 2 2 3 3 2 2 2" xfId="51253"/>
    <cellStyle name="Normal 2 2 2 3 2 2 2 2 2 2 2 3 3 3" xfId="29427"/>
    <cellStyle name="Normal 2 2 2 3 2 2 2 2 2 2 2 3 4" xfId="25462"/>
    <cellStyle name="Normal 2 2 2 3 2 2 2 2 2 2 2 3 4 2" xfId="37735"/>
    <cellStyle name="Normal 2 2 2 3 2 2 2 2 2 2 2 4" xfId="4273"/>
    <cellStyle name="Normal 2 2 2 3 2 2 2 2 2 2 2 4 2" xfId="15135"/>
    <cellStyle name="Normal 2 2 2 3 2 2 2 2 2 2 2 4 2 2" xfId="17866"/>
    <cellStyle name="Normal 2 2 2 3 2 2 2 2 2 2 2 4 2 2 2" xfId="50474"/>
    <cellStyle name="Normal 2 2 2 3 2 2 2 2 2 2 2 4 2 2 2 2" xfId="53193"/>
    <cellStyle name="Normal 2 2 2 3 2 2 2 2 2 2 2 4 2 3" xfId="31368"/>
    <cellStyle name="Normal 2 2 2 3 2 2 2 2 2 2 2 4 3" xfId="28648"/>
    <cellStyle name="Normal 2 2 2 3 2 2 2 2 2 2 2 4 3 2" xfId="39716"/>
    <cellStyle name="Normal 2 2 2 3 2 2 2 2 2 2 2 5" xfId="9464"/>
    <cellStyle name="Normal 2 2 2 3 2 2 2 2 2 2 2 5 2" xfId="36943"/>
    <cellStyle name="Normal 2 2 2 3 2 2 2 2 2 2 2 5 2 2" xfId="44846"/>
    <cellStyle name="Normal 2 2 2 3 2 2 2 2 2 2 2 6" xfId="22960"/>
    <cellStyle name="Normal 2 2 2 3 2 2 2 2 2 2 3" xfId="2253"/>
    <cellStyle name="Normal 2 2 2 3 2 2 2 2 2 2 3 2" xfId="2744"/>
    <cellStyle name="Normal 2 2 2 3 2 2 2 2 2 2 3 2 2" xfId="7487"/>
    <cellStyle name="Normal 2 2 2 3 2 2 2 2 2 2 3 2 2 2" xfId="7963"/>
    <cellStyle name="Normal 2 2 2 3 2 2 2 2 2 2 3 2 2 2 2" xfId="21039"/>
    <cellStyle name="Normal 2 2 2 3 2 2 2 2 2 2 3 2 2 2 2 2" xfId="21515"/>
    <cellStyle name="Normal 2 2 2 3 2 2 2 2 2 2 3 2 2 2 2 2 2" xfId="56365"/>
    <cellStyle name="Normal 2 2 2 3 2 2 2 2 2 2 3 2 2 2 2 2 2 2" xfId="56841"/>
    <cellStyle name="Normal 2 2 2 3 2 2 2 2 2 2 3 2 2 2 2 3" xfId="35018"/>
    <cellStyle name="Normal 2 2 2 3 2 2 2 2 2 2 3 2 2 2 3" xfId="34542"/>
    <cellStyle name="Normal 2 2 2 3 2 2 2 2 2 2 3 2 2 2 3 2" xfId="43390"/>
    <cellStyle name="Normal 2 2 2 3 2 2 2 2 2 2 3 2 2 3" xfId="13188"/>
    <cellStyle name="Normal 2 2 2 3 2 2 2 2 2 2 3 2 2 3 2" xfId="42914"/>
    <cellStyle name="Normal 2 2 2 3 2 2 2 2 2 2 3 2 2 3 2 2" xfId="48534"/>
    <cellStyle name="Normal 2 2 2 3 2 2 2 2 2 2 3 2 2 4" xfId="26672"/>
    <cellStyle name="Normal 2 2 2 3 2 2 2 2 2 2 3 2 3" xfId="12712"/>
    <cellStyle name="Normal 2 2 2 3 2 2 2 2 2 2 3 2 3 2" xfId="16403"/>
    <cellStyle name="Normal 2 2 2 3 2 2 2 2 2 2 3 2 3 2 2" xfId="48058"/>
    <cellStyle name="Normal 2 2 2 3 2 2 2 2 2 2 3 2 3 2 2 2" xfId="51733"/>
    <cellStyle name="Normal 2 2 2 3 2 2 2 2 2 2 3 2 3 3" xfId="29907"/>
    <cellStyle name="Normal 2 2 2 3 2 2 2 2 2 2 3 2 4" xfId="26196"/>
    <cellStyle name="Normal 2 2 2 3 2 2 2 2 2 2 3 2 4 2" xfId="38217"/>
    <cellStyle name="Normal 2 2 2 3 2 2 2 2 2 2 3 3" xfId="4780"/>
    <cellStyle name="Normal 2 2 2 3 2 2 2 2 2 2 3 3 2" xfId="15917"/>
    <cellStyle name="Normal 2 2 2 3 2 2 2 2 2 2 3 3 2 2" xfId="18357"/>
    <cellStyle name="Normal 2 2 2 3 2 2 2 2 2 2 3 3 2 2 2" xfId="51249"/>
    <cellStyle name="Normal 2 2 2 3 2 2 2 2 2 2 3 3 2 2 2 2" xfId="53683"/>
    <cellStyle name="Normal 2 2 2 3 2 2 2 2 2 2 3 3 2 3" xfId="31858"/>
    <cellStyle name="Normal 2 2 2 3 2 2 2 2 2 2 3 3 3" xfId="29423"/>
    <cellStyle name="Normal 2 2 2 3 2 2 2 2 2 2 3 3 3 2" xfId="40218"/>
    <cellStyle name="Normal 2 2 2 3 2 2 2 2 2 2 3 4" xfId="9983"/>
    <cellStyle name="Normal 2 2 2 3 2 2 2 2 2 2 3 4 2" xfId="37731"/>
    <cellStyle name="Normal 2 2 2 3 2 2 2 2 2 2 3 4 2 2" xfId="45350"/>
    <cellStyle name="Normal 2 2 2 3 2 2 2 2 2 2 3 5" xfId="23473"/>
    <cellStyle name="Normal 2 2 2 3 2 2 2 2 2 2 4" xfId="4269"/>
    <cellStyle name="Normal 2 2 2 3 2 2 2 2 2 2 4 2" xfId="5985"/>
    <cellStyle name="Normal 2 2 2 3 2 2 2 2 2 2 4 2 2" xfId="17862"/>
    <cellStyle name="Normal 2 2 2 3 2 2 2 2 2 2 4 2 2 2" xfId="19552"/>
    <cellStyle name="Normal 2 2 2 3 2 2 2 2 2 2 4 2 2 2 2" xfId="53189"/>
    <cellStyle name="Normal 2 2 2 3 2 2 2 2 2 2 4 2 2 2 2 2" xfId="54878"/>
    <cellStyle name="Normal 2 2 2 3 2 2 2 2 2 2 4 2 2 3" xfId="33053"/>
    <cellStyle name="Normal 2 2 2 3 2 2 2 2 2 2 4 2 3" xfId="31364"/>
    <cellStyle name="Normal 2 2 2 3 2 2 2 2 2 2 4 2 3 2" xfId="41419"/>
    <cellStyle name="Normal 2 2 2 3 2 2 2 2 2 2 4 3" xfId="11210"/>
    <cellStyle name="Normal 2 2 2 3 2 2 2 2 2 2 4 3 2" xfId="39712"/>
    <cellStyle name="Normal 2 2 2 3 2 2 2 2 2 2 4 3 2 2" xfId="46568"/>
    <cellStyle name="Normal 2 2 2 3 2 2 2 2 2 2 4 4" xfId="24703"/>
    <cellStyle name="Normal 2 2 2 3 2 2 2 2 2 2 5" xfId="9460"/>
    <cellStyle name="Normal 2 2 2 3 2 2 2 2 2 2 5 2" xfId="14369"/>
    <cellStyle name="Normal 2 2 2 3 2 2 2 2 2 2 5 2 2" xfId="44842"/>
    <cellStyle name="Normal 2 2 2 3 2 2 2 2 2 2 5 2 2 2" xfId="49714"/>
    <cellStyle name="Normal 2 2 2 3 2 2 2 2 2 2 5 3" xfId="27879"/>
    <cellStyle name="Normal 2 2 2 3 2 2 2 2 2 2 6" xfId="22956"/>
    <cellStyle name="Normal 2 2 2 3 2 2 2 2 2 2 6 2" xfId="36181"/>
    <cellStyle name="Normal 2 2 2 3 2 2 2 2 2 3" xfId="982"/>
    <cellStyle name="Normal 2 2 2 3 2 2 2 2 2 3 2" xfId="2740"/>
    <cellStyle name="Normal 2 2 2 3 2 2 2 2 2 3 2 2" xfId="3020"/>
    <cellStyle name="Normal 2 2 2 3 2 2 2 2 2 3 2 2 2" xfId="7959"/>
    <cellStyle name="Normal 2 2 2 3 2 2 2 2 2 3 2 2 2 2" xfId="8235"/>
    <cellStyle name="Normal 2 2 2 3 2 2 2 2 2 3 2 2 2 2 2" xfId="21511"/>
    <cellStyle name="Normal 2 2 2 3 2 2 2 2 2 3 2 2 2 2 2 2" xfId="21787"/>
    <cellStyle name="Normal 2 2 2 3 2 2 2 2 2 3 2 2 2 2 2 2 2" xfId="56837"/>
    <cellStyle name="Normal 2 2 2 3 2 2 2 2 2 3 2 2 2 2 2 2 2 2" xfId="57113"/>
    <cellStyle name="Normal 2 2 2 3 2 2 2 2 2 3 2 2 2 2 2 3" xfId="35290"/>
    <cellStyle name="Normal 2 2 2 3 2 2 2 2 2 3 2 2 2 2 3" xfId="35014"/>
    <cellStyle name="Normal 2 2 2 3 2 2 2 2 2 3 2 2 2 2 3 2" xfId="43662"/>
    <cellStyle name="Normal 2 2 2 3 2 2 2 2 2 3 2 2 2 3" xfId="13460"/>
    <cellStyle name="Normal 2 2 2 3 2 2 2 2 2 3 2 2 2 3 2" xfId="43386"/>
    <cellStyle name="Normal 2 2 2 3 2 2 2 2 2 3 2 2 2 3 2 2" xfId="48806"/>
    <cellStyle name="Normal 2 2 2 3 2 2 2 2 2 3 2 2 2 4" xfId="26945"/>
    <cellStyle name="Normal 2 2 2 3 2 2 2 2 2 3 2 2 3" xfId="13184"/>
    <cellStyle name="Normal 2 2 2 3 2 2 2 2 2 3 2 2 3 2" xfId="16677"/>
    <cellStyle name="Normal 2 2 2 3 2 2 2 2 2 3 2 2 3 2 2" xfId="48530"/>
    <cellStyle name="Normal 2 2 2 3 2 2 2 2 2 3 2 2 3 2 2 2" xfId="52005"/>
    <cellStyle name="Normal 2 2 2 3 2 2 2 2 2 3 2 2 3 3" xfId="30179"/>
    <cellStyle name="Normal 2 2 2 3 2 2 2 2 2 3 2 2 4" xfId="26668"/>
    <cellStyle name="Normal 2 2 2 3 2 2 2 2 2 3 2 2 4 2" xfId="38489"/>
    <cellStyle name="Normal 2 2 2 3 2 2 2 2 2 3 2 3" xfId="5056"/>
    <cellStyle name="Normal 2 2 2 3 2 2 2 2 2 3 2 3 2" xfId="16399"/>
    <cellStyle name="Normal 2 2 2 3 2 2 2 2 2 3 2 3 2 2" xfId="18629"/>
    <cellStyle name="Normal 2 2 2 3 2 2 2 2 2 3 2 3 2 2 2" xfId="51729"/>
    <cellStyle name="Normal 2 2 2 3 2 2 2 2 2 3 2 3 2 2 2 2" xfId="53955"/>
    <cellStyle name="Normal 2 2 2 3 2 2 2 2 2 3 2 3 2 3" xfId="32130"/>
    <cellStyle name="Normal 2 2 2 3 2 2 2 2 2 3 2 3 3" xfId="29903"/>
    <cellStyle name="Normal 2 2 2 3 2 2 2 2 2 3 2 3 3 2" xfId="40493"/>
    <cellStyle name="Normal 2 2 2 3 2 2 2 2 2 3 2 4" xfId="10259"/>
    <cellStyle name="Normal 2 2 2 3 2 2 2 2 2 3 2 4 2" xfId="38213"/>
    <cellStyle name="Normal 2 2 2 3 2 2 2 2 2 3 2 4 2 2" xfId="45622"/>
    <cellStyle name="Normal 2 2 2 3 2 2 2 2 2 3 2 5" xfId="23745"/>
    <cellStyle name="Normal 2 2 2 3 2 2 2 2 2 3 3" xfId="4776"/>
    <cellStyle name="Normal 2 2 2 3 2 2 2 2 2 3 3 2" xfId="6293"/>
    <cellStyle name="Normal 2 2 2 3 2 2 2 2 2 3 3 2 2" xfId="18353"/>
    <cellStyle name="Normal 2 2 2 3 2 2 2 2 2 3 3 2 2 2" xfId="19850"/>
    <cellStyle name="Normal 2 2 2 3 2 2 2 2 2 3 3 2 2 2 2" xfId="53679"/>
    <cellStyle name="Normal 2 2 2 3 2 2 2 2 2 3 3 2 2 2 2 2" xfId="55176"/>
    <cellStyle name="Normal 2 2 2 3 2 2 2 2 2 3 3 2 2 3" xfId="33352"/>
    <cellStyle name="Normal 2 2 2 3 2 2 2 2 2 3 3 2 3" xfId="31854"/>
    <cellStyle name="Normal 2 2 2 3 2 2 2 2 2 3 3 2 3 2" xfId="41722"/>
    <cellStyle name="Normal 2 2 2 3 2 2 2 2 2 3 3 3" xfId="11518"/>
    <cellStyle name="Normal 2 2 2 3 2 2 2 2 2 3 3 3 2" xfId="40214"/>
    <cellStyle name="Normal 2 2 2 3 2 2 2 2 2 3 3 3 2 2" xfId="46867"/>
    <cellStyle name="Normal 2 2 2 3 2 2 2 2 2 3 3 4" xfId="25004"/>
    <cellStyle name="Normal 2 2 2 3 2 2 2 2 2 3 4" xfId="9979"/>
    <cellStyle name="Normal 2 2 2 3 2 2 2 2 2 3 4 2" xfId="14676"/>
    <cellStyle name="Normal 2 2 2 3 2 2 2 2 2 3 4 2 2" xfId="45346"/>
    <cellStyle name="Normal 2 2 2 3 2 2 2 2 2 3 4 2 2 2" xfId="50015"/>
    <cellStyle name="Normal 2 2 2 3 2 2 2 2 2 3 4 3" xfId="28187"/>
    <cellStyle name="Normal 2 2 2 3 2 2 2 2 2 3 5" xfId="23469"/>
    <cellStyle name="Normal 2 2 2 3 2 2 2 2 2 3 5 2" xfId="36484"/>
    <cellStyle name="Normal 2 2 2 3 2 2 2 2 2 4" xfId="1778"/>
    <cellStyle name="Normal 2 2 2 3 2 2 2 2 2 4 2" xfId="5981"/>
    <cellStyle name="Normal 2 2 2 3 2 2 2 2 2 4 2 2" xfId="7031"/>
    <cellStyle name="Normal 2 2 2 3 2 2 2 2 2 4 2 2 2" xfId="19548"/>
    <cellStyle name="Normal 2 2 2 3 2 2 2 2 2 4 2 2 2 2" xfId="20584"/>
    <cellStyle name="Normal 2 2 2 3 2 2 2 2 2 4 2 2 2 2 2" xfId="54874"/>
    <cellStyle name="Normal 2 2 2 3 2 2 2 2 2 4 2 2 2 2 2 2" xfId="55910"/>
    <cellStyle name="Normal 2 2 2 3 2 2 2 2 2 4 2 2 2 3" xfId="34086"/>
    <cellStyle name="Normal 2 2 2 3 2 2 2 2 2 4 2 2 3" xfId="33049"/>
    <cellStyle name="Normal 2 2 2 3 2 2 2 2 2 4 2 2 3 2" xfId="42459"/>
    <cellStyle name="Normal 2 2 2 3 2 2 2 2 2 4 2 3" xfId="12255"/>
    <cellStyle name="Normal 2 2 2 3 2 2 2 2 2 4 2 3 2" xfId="41415"/>
    <cellStyle name="Normal 2 2 2 3 2 2 2 2 2 4 2 3 2 2" xfId="47602"/>
    <cellStyle name="Normal 2 2 2 3 2 2 2 2 2 4 2 4" xfId="25740"/>
    <cellStyle name="Normal 2 2 2 3 2 2 2 2 2 4 3" xfId="11206"/>
    <cellStyle name="Normal 2 2 2 3 2 2 2 2 2 4 3 2" xfId="15450"/>
    <cellStyle name="Normal 2 2 2 3 2 2 2 2 2 4 3 2 2" xfId="46564"/>
    <cellStyle name="Normal 2 2 2 3 2 2 2 2 2 4 3 2 2 2" xfId="50783"/>
    <cellStyle name="Normal 2 2 2 3 2 2 2 2 2 4 3 3" xfId="28957"/>
    <cellStyle name="Normal 2 2 2 3 2 2 2 2 2 4 4" xfId="24699"/>
    <cellStyle name="Normal 2 2 2 3 2 2 2 2 2 4 4 2" xfId="37260"/>
    <cellStyle name="Normal 2 2 2 3 2 2 2 2 2 5" xfId="3784"/>
    <cellStyle name="Normal 2 2 2 3 2 2 2 2 2 5 2" xfId="14365"/>
    <cellStyle name="Normal 2 2 2 3 2 2 2 2 2 5 2 2" xfId="17400"/>
    <cellStyle name="Normal 2 2 2 3 2 2 2 2 2 5 2 2 2" xfId="49710"/>
    <cellStyle name="Normal 2 2 2 3 2 2 2 2 2 5 2 2 2 2" xfId="52727"/>
    <cellStyle name="Normal 2 2 2 3 2 2 2 2 2 5 2 3" xfId="30901"/>
    <cellStyle name="Normal 2 2 2 3 2 2 2 2 2 5 3" xfId="27875"/>
    <cellStyle name="Normal 2 2 2 3 2 2 2 2 2 5 3 2" xfId="39235"/>
    <cellStyle name="Normal 2 2 2 3 2 2 2 2 2 6" xfId="8974"/>
    <cellStyle name="Normal 2 2 2 3 2 2 2 2 2 6 2" xfId="36177"/>
    <cellStyle name="Normal 2 2 2 3 2 2 2 2 2 6 2 2" xfId="44373"/>
    <cellStyle name="Normal 2 2 2 3 2 2 2 2 2 7" xfId="22481"/>
    <cellStyle name="Normal 2 2 2 3 2 2 2 2 3" xfId="978"/>
    <cellStyle name="Normal 2 2 2 3 2 2 2 2 3 2" xfId="1186"/>
    <cellStyle name="Normal 2 2 2 3 2 2 2 2 3 2 2" xfId="3016"/>
    <cellStyle name="Normal 2 2 2 3 2 2 2 2 3 2 2 2" xfId="3206"/>
    <cellStyle name="Normal 2 2 2 3 2 2 2 2 3 2 2 2 2" xfId="8231"/>
    <cellStyle name="Normal 2 2 2 3 2 2 2 2 3 2 2 2 2 2" xfId="8421"/>
    <cellStyle name="Normal 2 2 2 3 2 2 2 2 3 2 2 2 2 2 2" xfId="21783"/>
    <cellStyle name="Normal 2 2 2 3 2 2 2 2 3 2 2 2 2 2 2 2" xfId="21973"/>
    <cellStyle name="Normal 2 2 2 3 2 2 2 2 3 2 2 2 2 2 2 2 2" xfId="57109"/>
    <cellStyle name="Normal 2 2 2 3 2 2 2 2 3 2 2 2 2 2 2 2 2 2" xfId="57299"/>
    <cellStyle name="Normal 2 2 2 3 2 2 2 2 3 2 2 2 2 2 2 3" xfId="35476"/>
    <cellStyle name="Normal 2 2 2 3 2 2 2 2 3 2 2 2 2 2 3" xfId="35286"/>
    <cellStyle name="Normal 2 2 2 3 2 2 2 2 3 2 2 2 2 2 3 2" xfId="43848"/>
    <cellStyle name="Normal 2 2 2 3 2 2 2 2 3 2 2 2 2 3" xfId="13646"/>
    <cellStyle name="Normal 2 2 2 3 2 2 2 2 3 2 2 2 2 3 2" xfId="43658"/>
    <cellStyle name="Normal 2 2 2 3 2 2 2 2 3 2 2 2 2 3 2 2" xfId="48992"/>
    <cellStyle name="Normal 2 2 2 3 2 2 2 2 3 2 2 2 2 4" xfId="27131"/>
    <cellStyle name="Normal 2 2 2 3 2 2 2 2 3 2 2 2 3" xfId="13456"/>
    <cellStyle name="Normal 2 2 2 3 2 2 2 2 3 2 2 2 3 2" xfId="16863"/>
    <cellStyle name="Normal 2 2 2 3 2 2 2 2 3 2 2 2 3 2 2" xfId="48802"/>
    <cellStyle name="Normal 2 2 2 3 2 2 2 2 3 2 2 2 3 2 2 2" xfId="52191"/>
    <cellStyle name="Normal 2 2 2 3 2 2 2 2 3 2 2 2 3 3" xfId="30365"/>
    <cellStyle name="Normal 2 2 2 3 2 2 2 2 3 2 2 2 4" xfId="26941"/>
    <cellStyle name="Normal 2 2 2 3 2 2 2 2 3 2 2 2 4 2" xfId="38675"/>
    <cellStyle name="Normal 2 2 2 3 2 2 2 2 3 2 2 3" xfId="5243"/>
    <cellStyle name="Normal 2 2 2 3 2 2 2 2 3 2 2 3 2" xfId="16673"/>
    <cellStyle name="Normal 2 2 2 3 2 2 2 2 3 2 2 3 2 2" xfId="18816"/>
    <cellStyle name="Normal 2 2 2 3 2 2 2 2 3 2 2 3 2 2 2" xfId="52001"/>
    <cellStyle name="Normal 2 2 2 3 2 2 2 2 3 2 2 3 2 2 2 2" xfId="54142"/>
    <cellStyle name="Normal 2 2 2 3 2 2 2 2 3 2 2 3 2 3" xfId="32317"/>
    <cellStyle name="Normal 2 2 2 3 2 2 2 2 3 2 2 3 3" xfId="30175"/>
    <cellStyle name="Normal 2 2 2 3 2 2 2 2 3 2 2 3 3 2" xfId="40680"/>
    <cellStyle name="Normal 2 2 2 3 2 2 2 2 3 2 2 4" xfId="10446"/>
    <cellStyle name="Normal 2 2 2 3 2 2 2 2 3 2 2 4 2" xfId="38485"/>
    <cellStyle name="Normal 2 2 2 3 2 2 2 2 3 2 2 4 2 2" xfId="45809"/>
    <cellStyle name="Normal 2 2 2 3 2 2 2 2 3 2 2 5" xfId="23932"/>
    <cellStyle name="Normal 2 2 2 3 2 2 2 2 3 2 3" xfId="5052"/>
    <cellStyle name="Normal 2 2 2 3 2 2 2 2 3 2 3 2" xfId="6494"/>
    <cellStyle name="Normal 2 2 2 3 2 2 2 2 3 2 3 2 2" xfId="18625"/>
    <cellStyle name="Normal 2 2 2 3 2 2 2 2 3 2 3 2 2 2" xfId="20048"/>
    <cellStyle name="Normal 2 2 2 3 2 2 2 2 3 2 3 2 2 2 2" xfId="53951"/>
    <cellStyle name="Normal 2 2 2 3 2 2 2 2 3 2 3 2 2 2 2 2" xfId="55374"/>
    <cellStyle name="Normal 2 2 2 3 2 2 2 2 3 2 3 2 2 3" xfId="33550"/>
    <cellStyle name="Normal 2 2 2 3 2 2 2 2 3 2 3 2 3" xfId="32126"/>
    <cellStyle name="Normal 2 2 2 3 2 2 2 2 3 2 3 2 3 2" xfId="41922"/>
    <cellStyle name="Normal 2 2 2 3 2 2 2 2 3 2 3 3" xfId="11718"/>
    <cellStyle name="Normal 2 2 2 3 2 2 2 2 3 2 3 3 2" xfId="40489"/>
    <cellStyle name="Normal 2 2 2 3 2 2 2 2 3 2 3 3 2 2" xfId="47066"/>
    <cellStyle name="Normal 2 2 2 3 2 2 2 2 3 2 3 4" xfId="25203"/>
    <cellStyle name="Normal 2 2 2 3 2 2 2 2 3 2 4" xfId="10255"/>
    <cellStyle name="Normal 2 2 2 3 2 2 2 2 3 2 4 2" xfId="14876"/>
    <cellStyle name="Normal 2 2 2 3 2 2 2 2 3 2 4 2 2" xfId="45618"/>
    <cellStyle name="Normal 2 2 2 3 2 2 2 2 3 2 4 2 2 2" xfId="50215"/>
    <cellStyle name="Normal 2 2 2 3 2 2 2 2 3 2 4 3" xfId="28389"/>
    <cellStyle name="Normal 2 2 2 3 2 2 2 2 3 2 5" xfId="23741"/>
    <cellStyle name="Normal 2 2 2 3 2 2 2 2 3 2 5 2" xfId="36684"/>
    <cellStyle name="Normal 2 2 2 3 2 2 2 2 3 3" xfId="1994"/>
    <cellStyle name="Normal 2 2 2 3 2 2 2 2 3 3 2" xfId="6289"/>
    <cellStyle name="Normal 2 2 2 3 2 2 2 2 3 3 2 2" xfId="7228"/>
    <cellStyle name="Normal 2 2 2 3 2 2 2 2 3 3 2 2 2" xfId="19846"/>
    <cellStyle name="Normal 2 2 2 3 2 2 2 2 3 3 2 2 2 2" xfId="20780"/>
    <cellStyle name="Normal 2 2 2 3 2 2 2 2 3 3 2 2 2 2 2" xfId="55172"/>
    <cellStyle name="Normal 2 2 2 3 2 2 2 2 3 3 2 2 2 2 2 2" xfId="56106"/>
    <cellStyle name="Normal 2 2 2 3 2 2 2 2 3 3 2 2 2 3" xfId="34283"/>
    <cellStyle name="Normal 2 2 2 3 2 2 2 2 3 3 2 2 3" xfId="33348"/>
    <cellStyle name="Normal 2 2 2 3 2 2 2 2 3 3 2 2 3 2" xfId="42655"/>
    <cellStyle name="Normal 2 2 2 3 2 2 2 2 3 3 2 3" xfId="12453"/>
    <cellStyle name="Normal 2 2 2 3 2 2 2 2 3 3 2 3 2" xfId="41718"/>
    <cellStyle name="Normal 2 2 2 3 2 2 2 2 3 3 2 3 2 2" xfId="47799"/>
    <cellStyle name="Normal 2 2 2 3 2 2 2 2 3 3 2 4" xfId="25937"/>
    <cellStyle name="Normal 2 2 2 3 2 2 2 2 3 3 3" xfId="11514"/>
    <cellStyle name="Normal 2 2 2 3 2 2 2 2 3 3 3 2" xfId="15658"/>
    <cellStyle name="Normal 2 2 2 3 2 2 2 2 3 3 3 2 2" xfId="46863"/>
    <cellStyle name="Normal 2 2 2 3 2 2 2 2 3 3 3 2 2 2" xfId="50990"/>
    <cellStyle name="Normal 2 2 2 3 2 2 2 2 3 3 3 3" xfId="29164"/>
    <cellStyle name="Normal 2 2 2 3 2 2 2 2 3 3 4" xfId="25000"/>
    <cellStyle name="Normal 2 2 2 3 2 2 2 2 3 3 4 2" xfId="37472"/>
    <cellStyle name="Normal 2 2 2 3 2 2 2 2 3 4" xfId="4008"/>
    <cellStyle name="Normal 2 2 2 3 2 2 2 2 3 4 2" xfId="14672"/>
    <cellStyle name="Normal 2 2 2 3 2 2 2 2 3 4 2 2" xfId="17603"/>
    <cellStyle name="Normal 2 2 2 3 2 2 2 2 3 4 2 2 2" xfId="50011"/>
    <cellStyle name="Normal 2 2 2 3 2 2 2 2 3 4 2 2 2 2" xfId="52930"/>
    <cellStyle name="Normal 2 2 2 3 2 2 2 2 3 4 2 3" xfId="31105"/>
    <cellStyle name="Normal 2 2 2 3 2 2 2 2 3 4 3" xfId="28183"/>
    <cellStyle name="Normal 2 2 2 3 2 2 2 2 3 4 3 2" xfId="39452"/>
    <cellStyle name="Normal 2 2 2 3 2 2 2 2 3 5" xfId="9200"/>
    <cellStyle name="Normal 2 2 2 3 2 2 2 2 3 5 2" xfId="36480"/>
    <cellStyle name="Normal 2 2 2 3 2 2 2 2 3 5 2 2" xfId="44583"/>
    <cellStyle name="Normal 2 2 2 3 2 2 2 2 3 6" xfId="22697"/>
    <cellStyle name="Normal 2 2 2 3 2 2 2 2 4" xfId="1774"/>
    <cellStyle name="Normal 2 2 2 3 2 2 2 2 4 2" xfId="2439"/>
    <cellStyle name="Normal 2 2 2 3 2 2 2 2 4 2 2" xfId="7027"/>
    <cellStyle name="Normal 2 2 2 3 2 2 2 2 4 2 2 2" xfId="7671"/>
    <cellStyle name="Normal 2 2 2 3 2 2 2 2 4 2 2 2 2" xfId="20580"/>
    <cellStyle name="Normal 2 2 2 3 2 2 2 2 4 2 2 2 2 2" xfId="21223"/>
    <cellStyle name="Normal 2 2 2 3 2 2 2 2 4 2 2 2 2 2 2" xfId="55906"/>
    <cellStyle name="Normal 2 2 2 3 2 2 2 2 4 2 2 2 2 2 2 2" xfId="56549"/>
    <cellStyle name="Normal 2 2 2 3 2 2 2 2 4 2 2 2 2 3" xfId="34726"/>
    <cellStyle name="Normal 2 2 2 3 2 2 2 2 4 2 2 2 3" xfId="34082"/>
    <cellStyle name="Normal 2 2 2 3 2 2 2 2 4 2 2 2 3 2" xfId="43098"/>
    <cellStyle name="Normal 2 2 2 3 2 2 2 2 4 2 2 3" xfId="12896"/>
    <cellStyle name="Normal 2 2 2 3 2 2 2 2 4 2 2 3 2" xfId="42455"/>
    <cellStyle name="Normal 2 2 2 3 2 2 2 2 4 2 2 3 2 2" xfId="48242"/>
    <cellStyle name="Normal 2 2 2 3 2 2 2 2 4 2 2 4" xfId="26380"/>
    <cellStyle name="Normal 2 2 2 3 2 2 2 2 4 2 3" xfId="12251"/>
    <cellStyle name="Normal 2 2 2 3 2 2 2 2 4 2 3 2" xfId="16102"/>
    <cellStyle name="Normal 2 2 2 3 2 2 2 2 4 2 3 2 2" xfId="47598"/>
    <cellStyle name="Normal 2 2 2 3 2 2 2 2 4 2 3 2 2 2" xfId="51434"/>
    <cellStyle name="Normal 2 2 2 3 2 2 2 2 4 2 3 3" xfId="29608"/>
    <cellStyle name="Normal 2 2 2 3 2 2 2 2 4 2 4" xfId="25736"/>
    <cellStyle name="Normal 2 2 2 3 2 2 2 2 4 2 4 2" xfId="37917"/>
    <cellStyle name="Normal 2 2 2 3 2 2 2 2 4 3" xfId="4474"/>
    <cellStyle name="Normal 2 2 2 3 2 2 2 2 4 3 2" xfId="15446"/>
    <cellStyle name="Normal 2 2 2 3 2 2 2 2 4 3 2 2" xfId="18064"/>
    <cellStyle name="Normal 2 2 2 3 2 2 2 2 4 3 2 2 2" xfId="50779"/>
    <cellStyle name="Normal 2 2 2 3 2 2 2 2 4 3 2 2 2 2" xfId="53390"/>
    <cellStyle name="Normal 2 2 2 3 2 2 2 2 4 3 2 3" xfId="31565"/>
    <cellStyle name="Normal 2 2 2 3 2 2 2 2 4 3 3" xfId="28953"/>
    <cellStyle name="Normal 2 2 2 3 2 2 2 2 4 3 3 2" xfId="39916"/>
    <cellStyle name="Normal 2 2 2 3 2 2 2 2 4 4" xfId="9679"/>
    <cellStyle name="Normal 2 2 2 3 2 2 2 2 4 4 2" xfId="37256"/>
    <cellStyle name="Normal 2 2 2 3 2 2 2 2 4 4 2 2" xfId="45057"/>
    <cellStyle name="Normal 2 2 2 3 2 2 2 2 4 5" xfId="23180"/>
    <cellStyle name="Normal 2 2 2 3 2 2 2 2 5" xfId="3780"/>
    <cellStyle name="Normal 2 2 2 3 2 2 2 2 5 2" xfId="5681"/>
    <cellStyle name="Normal 2 2 2 3 2 2 2 2 5 2 2" xfId="17396"/>
    <cellStyle name="Normal 2 2 2 3 2 2 2 2 5 2 2 2" xfId="19253"/>
    <cellStyle name="Normal 2 2 2 3 2 2 2 2 5 2 2 2 2" xfId="52723"/>
    <cellStyle name="Normal 2 2 2 3 2 2 2 2 5 2 2 2 2 2" xfId="54579"/>
    <cellStyle name="Normal 2 2 2 3 2 2 2 2 5 2 2 3" xfId="32754"/>
    <cellStyle name="Normal 2 2 2 3 2 2 2 2 5 2 3" xfId="30897"/>
    <cellStyle name="Normal 2 2 2 3 2 2 2 2 5 2 3 2" xfId="41117"/>
    <cellStyle name="Normal 2 2 2 3 2 2 2 2 5 3" xfId="10899"/>
    <cellStyle name="Normal 2 2 2 3 2 2 2 2 5 3 2" xfId="39231"/>
    <cellStyle name="Normal 2 2 2 3 2 2 2 2 5 3 2 2" xfId="46261"/>
    <cellStyle name="Normal 2 2 2 3 2 2 2 2 5 4" xfId="24392"/>
    <cellStyle name="Normal 2 2 2 3 2 2 2 2 6" xfId="8970"/>
    <cellStyle name="Normal 2 2 2 3 2 2 2 2 6 2" xfId="14065"/>
    <cellStyle name="Normal 2 2 2 3 2 2 2 2 6 2 2" xfId="44369"/>
    <cellStyle name="Normal 2 2 2 3 2 2 2 2 6 2 2 2" xfId="49411"/>
    <cellStyle name="Normal 2 2 2 3 2 2 2 2 6 3" xfId="27564"/>
    <cellStyle name="Normal 2 2 2 3 2 2 2 2 7" xfId="22477"/>
    <cellStyle name="Normal 2 2 2 3 2 2 2 2 7 2" xfId="35877"/>
    <cellStyle name="Normal 2 2 2 3 2 2 2 3" xfId="470"/>
    <cellStyle name="Normal 2 2 2 3 2 2 2 3 2" xfId="1182"/>
    <cellStyle name="Normal 2 2 2 3 2 2 2 3 2 2" xfId="1285"/>
    <cellStyle name="Normal 2 2 2 3 2 2 2 3 2 2 2" xfId="3202"/>
    <cellStyle name="Normal 2 2 2 3 2 2 2 3 2 2 2 2" xfId="3303"/>
    <cellStyle name="Normal 2 2 2 3 2 2 2 3 2 2 2 2 2" xfId="8417"/>
    <cellStyle name="Normal 2 2 2 3 2 2 2 3 2 2 2 2 2 2" xfId="8518"/>
    <cellStyle name="Normal 2 2 2 3 2 2 2 3 2 2 2 2 2 2 2" xfId="21969"/>
    <cellStyle name="Normal 2 2 2 3 2 2 2 3 2 2 2 2 2 2 2 2" xfId="22070"/>
    <cellStyle name="Normal 2 2 2 3 2 2 2 3 2 2 2 2 2 2 2 2 2" xfId="57295"/>
    <cellStyle name="Normal 2 2 2 3 2 2 2 3 2 2 2 2 2 2 2 2 2 2" xfId="57396"/>
    <cellStyle name="Normal 2 2 2 3 2 2 2 3 2 2 2 2 2 2 2 3" xfId="35573"/>
    <cellStyle name="Normal 2 2 2 3 2 2 2 3 2 2 2 2 2 2 3" xfId="35472"/>
    <cellStyle name="Normal 2 2 2 3 2 2 2 3 2 2 2 2 2 2 3 2" xfId="43945"/>
    <cellStyle name="Normal 2 2 2 3 2 2 2 3 2 2 2 2 2 3" xfId="13743"/>
    <cellStyle name="Normal 2 2 2 3 2 2 2 3 2 2 2 2 2 3 2" xfId="43844"/>
    <cellStyle name="Normal 2 2 2 3 2 2 2 3 2 2 2 2 2 3 2 2" xfId="49089"/>
    <cellStyle name="Normal 2 2 2 3 2 2 2 3 2 2 2 2 2 4" xfId="27228"/>
    <cellStyle name="Normal 2 2 2 3 2 2 2 3 2 2 2 2 3" xfId="13642"/>
    <cellStyle name="Normal 2 2 2 3 2 2 2 3 2 2 2 2 3 2" xfId="16960"/>
    <cellStyle name="Normal 2 2 2 3 2 2 2 3 2 2 2 2 3 2 2" xfId="48988"/>
    <cellStyle name="Normal 2 2 2 3 2 2 2 3 2 2 2 2 3 2 2 2" xfId="52288"/>
    <cellStyle name="Normal 2 2 2 3 2 2 2 3 2 2 2 2 3 3" xfId="30462"/>
    <cellStyle name="Normal 2 2 2 3 2 2 2 3 2 2 2 2 4" xfId="27127"/>
    <cellStyle name="Normal 2 2 2 3 2 2 2 3 2 2 2 2 4 2" xfId="38772"/>
    <cellStyle name="Normal 2 2 2 3 2 2 2 3 2 2 2 3" xfId="5340"/>
    <cellStyle name="Normal 2 2 2 3 2 2 2 3 2 2 2 3 2" xfId="16859"/>
    <cellStyle name="Normal 2 2 2 3 2 2 2 3 2 2 2 3 2 2" xfId="18913"/>
    <cellStyle name="Normal 2 2 2 3 2 2 2 3 2 2 2 3 2 2 2" xfId="52187"/>
    <cellStyle name="Normal 2 2 2 3 2 2 2 3 2 2 2 3 2 2 2 2" xfId="54239"/>
    <cellStyle name="Normal 2 2 2 3 2 2 2 3 2 2 2 3 2 3" xfId="32414"/>
    <cellStyle name="Normal 2 2 2 3 2 2 2 3 2 2 2 3 3" xfId="30361"/>
    <cellStyle name="Normal 2 2 2 3 2 2 2 3 2 2 2 3 3 2" xfId="40777"/>
    <cellStyle name="Normal 2 2 2 3 2 2 2 3 2 2 2 4" xfId="10543"/>
    <cellStyle name="Normal 2 2 2 3 2 2 2 3 2 2 2 4 2" xfId="38671"/>
    <cellStyle name="Normal 2 2 2 3 2 2 2 3 2 2 2 4 2 2" xfId="45906"/>
    <cellStyle name="Normal 2 2 2 3 2 2 2 3 2 2 2 5" xfId="24029"/>
    <cellStyle name="Normal 2 2 2 3 2 2 2 3 2 2 3" xfId="5239"/>
    <cellStyle name="Normal 2 2 2 3 2 2 2 3 2 2 3 2" xfId="6593"/>
    <cellStyle name="Normal 2 2 2 3 2 2 2 3 2 2 3 2 2" xfId="18812"/>
    <cellStyle name="Normal 2 2 2 3 2 2 2 3 2 2 3 2 2 2" xfId="20146"/>
    <cellStyle name="Normal 2 2 2 3 2 2 2 3 2 2 3 2 2 2 2" xfId="54138"/>
    <cellStyle name="Normal 2 2 2 3 2 2 2 3 2 2 3 2 2 2 2 2" xfId="55472"/>
    <cellStyle name="Normal 2 2 2 3 2 2 2 3 2 2 3 2 2 3" xfId="33648"/>
    <cellStyle name="Normal 2 2 2 3 2 2 2 3 2 2 3 2 3" xfId="32313"/>
    <cellStyle name="Normal 2 2 2 3 2 2 2 3 2 2 3 2 3 2" xfId="42021"/>
    <cellStyle name="Normal 2 2 2 3 2 2 2 3 2 2 3 3" xfId="11816"/>
    <cellStyle name="Normal 2 2 2 3 2 2 2 3 2 2 3 3 2" xfId="40676"/>
    <cellStyle name="Normal 2 2 2 3 2 2 2 3 2 2 3 3 2 2" xfId="47164"/>
    <cellStyle name="Normal 2 2 2 3 2 2 2 3 2 2 3 4" xfId="25301"/>
    <cellStyle name="Normal 2 2 2 3 2 2 2 3 2 2 4" xfId="10442"/>
    <cellStyle name="Normal 2 2 2 3 2 2 2 3 2 2 4 2" xfId="14974"/>
    <cellStyle name="Normal 2 2 2 3 2 2 2 3 2 2 4 2 2" xfId="45805"/>
    <cellStyle name="Normal 2 2 2 3 2 2 2 3 2 2 4 2 2 2" xfId="50313"/>
    <cellStyle name="Normal 2 2 2 3 2 2 2 3 2 2 4 3" xfId="28487"/>
    <cellStyle name="Normal 2 2 2 3 2 2 2 3 2 2 5" xfId="23928"/>
    <cellStyle name="Normal 2 2 2 3 2 2 2 3 2 2 5 2" xfId="36782"/>
    <cellStyle name="Normal 2 2 2 3 2 2 2 3 2 3" xfId="2091"/>
    <cellStyle name="Normal 2 2 2 3 2 2 2 3 2 3 2" xfId="6490"/>
    <cellStyle name="Normal 2 2 2 3 2 2 2 3 2 3 2 2" xfId="7325"/>
    <cellStyle name="Normal 2 2 2 3 2 2 2 3 2 3 2 2 2" xfId="20044"/>
    <cellStyle name="Normal 2 2 2 3 2 2 2 3 2 3 2 2 2 2" xfId="20877"/>
    <cellStyle name="Normal 2 2 2 3 2 2 2 3 2 3 2 2 2 2 2" xfId="55370"/>
    <cellStyle name="Normal 2 2 2 3 2 2 2 3 2 3 2 2 2 2 2 2" xfId="56203"/>
    <cellStyle name="Normal 2 2 2 3 2 2 2 3 2 3 2 2 2 3" xfId="34380"/>
    <cellStyle name="Normal 2 2 2 3 2 2 2 3 2 3 2 2 3" xfId="33546"/>
    <cellStyle name="Normal 2 2 2 3 2 2 2 3 2 3 2 2 3 2" xfId="42752"/>
    <cellStyle name="Normal 2 2 2 3 2 2 2 3 2 3 2 3" xfId="12550"/>
    <cellStyle name="Normal 2 2 2 3 2 2 2 3 2 3 2 3 2" xfId="41918"/>
    <cellStyle name="Normal 2 2 2 3 2 2 2 3 2 3 2 3 2 2" xfId="47896"/>
    <cellStyle name="Normal 2 2 2 3 2 2 2 3 2 3 2 4" xfId="26034"/>
    <cellStyle name="Normal 2 2 2 3 2 2 2 3 2 3 3" xfId="11714"/>
    <cellStyle name="Normal 2 2 2 3 2 2 2 3 2 3 3 2" xfId="15755"/>
    <cellStyle name="Normal 2 2 2 3 2 2 2 3 2 3 3 2 2" xfId="47062"/>
    <cellStyle name="Normal 2 2 2 3 2 2 2 3 2 3 3 2 2 2" xfId="51087"/>
    <cellStyle name="Normal 2 2 2 3 2 2 2 3 2 3 3 3" xfId="29261"/>
    <cellStyle name="Normal 2 2 2 3 2 2 2 3 2 3 4" xfId="25199"/>
    <cellStyle name="Normal 2 2 2 3 2 2 2 3 2 3 4 2" xfId="37569"/>
    <cellStyle name="Normal 2 2 2 3 2 2 2 3 2 4" xfId="4107"/>
    <cellStyle name="Normal 2 2 2 3 2 2 2 3 2 4 2" xfId="14872"/>
    <cellStyle name="Normal 2 2 2 3 2 2 2 3 2 4 2 2" xfId="17700"/>
    <cellStyle name="Normal 2 2 2 3 2 2 2 3 2 4 2 2 2" xfId="50211"/>
    <cellStyle name="Normal 2 2 2 3 2 2 2 3 2 4 2 2 2 2" xfId="53027"/>
    <cellStyle name="Normal 2 2 2 3 2 2 2 3 2 4 2 3" xfId="31202"/>
    <cellStyle name="Normal 2 2 2 3 2 2 2 3 2 4 3" xfId="28385"/>
    <cellStyle name="Normal 2 2 2 3 2 2 2 3 2 4 3 2" xfId="39550"/>
    <cellStyle name="Normal 2 2 2 3 2 2 2 3 2 5" xfId="9298"/>
    <cellStyle name="Normal 2 2 2 3 2 2 2 3 2 5 2" xfId="36680"/>
    <cellStyle name="Normal 2 2 2 3 2 2 2 3 2 5 2 2" xfId="44680"/>
    <cellStyle name="Normal 2 2 2 3 2 2 2 3 2 6" xfId="22794"/>
    <cellStyle name="Normal 2 2 2 3 2 2 2 3 3" xfId="1990"/>
    <cellStyle name="Normal 2 2 2 3 2 2 2 3 3 2" xfId="2569"/>
    <cellStyle name="Normal 2 2 2 3 2 2 2 3 3 2 2" xfId="7224"/>
    <cellStyle name="Normal 2 2 2 3 2 2 2 3 3 2 2 2" xfId="7790"/>
    <cellStyle name="Normal 2 2 2 3 2 2 2 3 3 2 2 2 2" xfId="20776"/>
    <cellStyle name="Normal 2 2 2 3 2 2 2 3 3 2 2 2 2 2" xfId="21342"/>
    <cellStyle name="Normal 2 2 2 3 2 2 2 3 3 2 2 2 2 2 2" xfId="56102"/>
    <cellStyle name="Normal 2 2 2 3 2 2 2 3 3 2 2 2 2 2 2 2" xfId="56668"/>
    <cellStyle name="Normal 2 2 2 3 2 2 2 3 3 2 2 2 2 3" xfId="34845"/>
    <cellStyle name="Normal 2 2 2 3 2 2 2 3 3 2 2 2 3" xfId="34279"/>
    <cellStyle name="Normal 2 2 2 3 2 2 2 3 3 2 2 2 3 2" xfId="43217"/>
    <cellStyle name="Normal 2 2 2 3 2 2 2 3 3 2 2 3" xfId="13015"/>
    <cellStyle name="Normal 2 2 2 3 2 2 2 3 3 2 2 3 2" xfId="42651"/>
    <cellStyle name="Normal 2 2 2 3 2 2 2 3 3 2 2 3 2 2" xfId="48361"/>
    <cellStyle name="Normal 2 2 2 3 2 2 2 3 3 2 2 4" xfId="26499"/>
    <cellStyle name="Normal 2 2 2 3 2 2 2 3 3 2 3" xfId="12449"/>
    <cellStyle name="Normal 2 2 2 3 2 2 2 3 3 2 3 2" xfId="16228"/>
    <cellStyle name="Normal 2 2 2 3 2 2 2 3 3 2 3 2 2" xfId="47795"/>
    <cellStyle name="Normal 2 2 2 3 2 2 2 3 3 2 3 2 2 2" xfId="51558"/>
    <cellStyle name="Normal 2 2 2 3 2 2 2 3 3 2 3 3" xfId="29732"/>
    <cellStyle name="Normal 2 2 2 3 2 2 2 3 3 2 4" xfId="25933"/>
    <cellStyle name="Normal 2 2 2 3 2 2 2 3 3 2 4 2" xfId="38042"/>
    <cellStyle name="Normal 2 2 2 3 2 2 2 3 3 3" xfId="4602"/>
    <cellStyle name="Normal 2 2 2 3 2 2 2 3 3 3 2" xfId="15654"/>
    <cellStyle name="Normal 2 2 2 3 2 2 2 3 3 3 2 2" xfId="18183"/>
    <cellStyle name="Normal 2 2 2 3 2 2 2 3 3 3 2 2 2" xfId="50986"/>
    <cellStyle name="Normal 2 2 2 3 2 2 2 3 3 3 2 2 2 2" xfId="53509"/>
    <cellStyle name="Normal 2 2 2 3 2 2 2 3 3 3 2 3" xfId="31684"/>
    <cellStyle name="Normal 2 2 2 3 2 2 2 3 3 3 3" xfId="29160"/>
    <cellStyle name="Normal 2 2 2 3 2 2 2 3 3 3 3 2" xfId="40041"/>
    <cellStyle name="Normal 2 2 2 3 2 2 2 3 3 4" xfId="9806"/>
    <cellStyle name="Normal 2 2 2 3 2 2 2 3 3 4 2" xfId="37468"/>
    <cellStyle name="Normal 2 2 2 3 2 2 2 3 3 4 2 2" xfId="45176"/>
    <cellStyle name="Normal 2 2 2 3 2 2 2 3 3 5" xfId="23299"/>
    <cellStyle name="Normal 2 2 2 3 2 2 2 3 4" xfId="4004"/>
    <cellStyle name="Normal 2 2 2 3 2 2 2 3 4 2" xfId="5808"/>
    <cellStyle name="Normal 2 2 2 3 2 2 2 3 4 2 2" xfId="17599"/>
    <cellStyle name="Normal 2 2 2 3 2 2 2 3 4 2 2 2" xfId="19376"/>
    <cellStyle name="Normal 2 2 2 3 2 2 2 3 4 2 2 2 2" xfId="52926"/>
    <cellStyle name="Normal 2 2 2 3 2 2 2 3 4 2 2 2 2 2" xfId="54702"/>
    <cellStyle name="Normal 2 2 2 3 2 2 2 3 4 2 2 3" xfId="32877"/>
    <cellStyle name="Normal 2 2 2 3 2 2 2 3 4 2 3" xfId="31101"/>
    <cellStyle name="Normal 2 2 2 3 2 2 2 3 4 2 3 2" xfId="41243"/>
    <cellStyle name="Normal 2 2 2 3 2 2 2 3 4 3" xfId="11030"/>
    <cellStyle name="Normal 2 2 2 3 2 2 2 3 4 3 2" xfId="39448"/>
    <cellStyle name="Normal 2 2 2 3 2 2 2 3 4 3 2 2" xfId="46389"/>
    <cellStyle name="Normal 2 2 2 3 2 2 2 3 4 4" xfId="24524"/>
    <cellStyle name="Normal 2 2 2 3 2 2 2 3 5" xfId="9196"/>
    <cellStyle name="Normal 2 2 2 3 2 2 2 3 5 2" xfId="14191"/>
    <cellStyle name="Normal 2 2 2 3 2 2 2 3 5 2 2" xfId="44579"/>
    <cellStyle name="Normal 2 2 2 3 2 2 2 3 5 2 2 2" xfId="49536"/>
    <cellStyle name="Normal 2 2 2 3 2 2 2 3 5 3" xfId="27697"/>
    <cellStyle name="Normal 2 2 2 3 2 2 2 3 6" xfId="22693"/>
    <cellStyle name="Normal 2 2 2 3 2 2 2 3 6 2" xfId="36003"/>
    <cellStyle name="Normal 2 2 2 3 2 2 2 4" xfId="791"/>
    <cellStyle name="Normal 2 2 2 3 2 2 2 4 2" xfId="2435"/>
    <cellStyle name="Normal 2 2 2 3 2 2 2 4 2 2" xfId="2847"/>
    <cellStyle name="Normal 2 2 2 3 2 2 2 4 2 2 2" xfId="7667"/>
    <cellStyle name="Normal 2 2 2 3 2 2 2 4 2 2 2 2" xfId="8063"/>
    <cellStyle name="Normal 2 2 2 3 2 2 2 4 2 2 2 2 2" xfId="21219"/>
    <cellStyle name="Normal 2 2 2 3 2 2 2 4 2 2 2 2 2 2" xfId="21615"/>
    <cellStyle name="Normal 2 2 2 3 2 2 2 4 2 2 2 2 2 2 2" xfId="56545"/>
    <cellStyle name="Normal 2 2 2 3 2 2 2 4 2 2 2 2 2 2 2 2" xfId="56941"/>
    <cellStyle name="Normal 2 2 2 3 2 2 2 4 2 2 2 2 2 3" xfId="35118"/>
    <cellStyle name="Normal 2 2 2 3 2 2 2 4 2 2 2 2 3" xfId="34722"/>
    <cellStyle name="Normal 2 2 2 3 2 2 2 4 2 2 2 2 3 2" xfId="43490"/>
    <cellStyle name="Normal 2 2 2 3 2 2 2 4 2 2 2 3" xfId="13288"/>
    <cellStyle name="Normal 2 2 2 3 2 2 2 4 2 2 2 3 2" xfId="43094"/>
    <cellStyle name="Normal 2 2 2 3 2 2 2 4 2 2 2 3 2 2" xfId="48634"/>
    <cellStyle name="Normal 2 2 2 3 2 2 2 4 2 2 2 4" xfId="26772"/>
    <cellStyle name="Normal 2 2 2 3 2 2 2 4 2 2 3" xfId="12892"/>
    <cellStyle name="Normal 2 2 2 3 2 2 2 4 2 2 3 2" xfId="16505"/>
    <cellStyle name="Normal 2 2 2 3 2 2 2 4 2 2 3 2 2" xfId="48238"/>
    <cellStyle name="Normal 2 2 2 3 2 2 2 4 2 2 3 2 2 2" xfId="51833"/>
    <cellStyle name="Normal 2 2 2 3 2 2 2 4 2 2 3 3" xfId="30007"/>
    <cellStyle name="Normal 2 2 2 3 2 2 2 4 2 2 4" xfId="26376"/>
    <cellStyle name="Normal 2 2 2 3 2 2 2 4 2 2 4 2" xfId="38317"/>
    <cellStyle name="Normal 2 2 2 3 2 2 2 4 2 3" xfId="4883"/>
    <cellStyle name="Normal 2 2 2 3 2 2 2 4 2 3 2" xfId="16098"/>
    <cellStyle name="Normal 2 2 2 3 2 2 2 4 2 3 2 2" xfId="18457"/>
    <cellStyle name="Normal 2 2 2 3 2 2 2 4 2 3 2 2 2" xfId="51430"/>
    <cellStyle name="Normal 2 2 2 3 2 2 2 4 2 3 2 2 2 2" xfId="53783"/>
    <cellStyle name="Normal 2 2 2 3 2 2 2 4 2 3 2 3" xfId="31958"/>
    <cellStyle name="Normal 2 2 2 3 2 2 2 4 2 3 3" xfId="29604"/>
    <cellStyle name="Normal 2 2 2 3 2 2 2 4 2 3 3 2" xfId="40320"/>
    <cellStyle name="Normal 2 2 2 3 2 2 2 4 2 4" xfId="10086"/>
    <cellStyle name="Normal 2 2 2 3 2 2 2 4 2 4 2" xfId="37913"/>
    <cellStyle name="Normal 2 2 2 3 2 2 2 4 2 4 2 2" xfId="45450"/>
    <cellStyle name="Normal 2 2 2 3 2 2 2 4 2 5" xfId="23573"/>
    <cellStyle name="Normal 2 2 2 3 2 2 2 4 3" xfId="4470"/>
    <cellStyle name="Normal 2 2 2 3 2 2 2 4 3 2" xfId="6107"/>
    <cellStyle name="Normal 2 2 2 3 2 2 2 4 3 2 2" xfId="18060"/>
    <cellStyle name="Normal 2 2 2 3 2 2 2 4 3 2 2 2" xfId="19669"/>
    <cellStyle name="Normal 2 2 2 3 2 2 2 4 3 2 2 2 2" xfId="53386"/>
    <cellStyle name="Normal 2 2 2 3 2 2 2 4 3 2 2 2 2 2" xfId="54995"/>
    <cellStyle name="Normal 2 2 2 3 2 2 2 4 3 2 2 3" xfId="33170"/>
    <cellStyle name="Normal 2 2 2 3 2 2 2 4 3 2 3" xfId="31561"/>
    <cellStyle name="Normal 2 2 2 3 2 2 2 4 3 2 3 2" xfId="41540"/>
    <cellStyle name="Normal 2 2 2 3 2 2 2 4 3 3" xfId="11333"/>
    <cellStyle name="Normal 2 2 2 3 2 2 2 4 3 3 2" xfId="39912"/>
    <cellStyle name="Normal 2 2 2 3 2 2 2 4 3 3 2 2" xfId="46686"/>
    <cellStyle name="Normal 2 2 2 3 2 2 2 4 3 4" xfId="24823"/>
    <cellStyle name="Normal 2 2 2 3 2 2 2 4 4" xfId="9675"/>
    <cellStyle name="Normal 2 2 2 3 2 2 2 4 4 2" xfId="14491"/>
    <cellStyle name="Normal 2 2 2 3 2 2 2 4 4 2 2" xfId="45053"/>
    <cellStyle name="Normal 2 2 2 3 2 2 2 4 4 2 2 2" xfId="49833"/>
    <cellStyle name="Normal 2 2 2 3 2 2 2 4 4 3" xfId="28002"/>
    <cellStyle name="Normal 2 2 2 3 2 2 2 4 5" xfId="23176"/>
    <cellStyle name="Normal 2 2 2 3 2 2 2 4 5 2" xfId="36301"/>
    <cellStyle name="Normal 2 2 2 3 2 2 2 5" xfId="1578"/>
    <cellStyle name="Normal 2 2 2 3 2 2 2 5 2" xfId="5677"/>
    <cellStyle name="Normal 2 2 2 3 2 2 2 5 2 2" xfId="6850"/>
    <cellStyle name="Normal 2 2 2 3 2 2 2 5 2 2 2" xfId="19249"/>
    <cellStyle name="Normal 2 2 2 3 2 2 2 5 2 2 2 2" xfId="20403"/>
    <cellStyle name="Normal 2 2 2 3 2 2 2 5 2 2 2 2 2" xfId="54575"/>
    <cellStyle name="Normal 2 2 2 3 2 2 2 5 2 2 2 2 2 2" xfId="55729"/>
    <cellStyle name="Normal 2 2 2 3 2 2 2 5 2 2 2 3" xfId="33905"/>
    <cellStyle name="Normal 2 2 2 3 2 2 2 5 2 2 3" xfId="32750"/>
    <cellStyle name="Normal 2 2 2 3 2 2 2 5 2 2 3 2" xfId="42278"/>
    <cellStyle name="Normal 2 2 2 3 2 2 2 5 2 3" xfId="12074"/>
    <cellStyle name="Normal 2 2 2 3 2 2 2 5 2 3 2" xfId="41113"/>
    <cellStyle name="Normal 2 2 2 3 2 2 2 5 2 3 2 2" xfId="47421"/>
    <cellStyle name="Normal 2 2 2 3 2 2 2 5 2 4" xfId="25559"/>
    <cellStyle name="Normal 2 2 2 3 2 2 2 5 3" xfId="10895"/>
    <cellStyle name="Normal 2 2 2 3 2 2 2 5 3 2" xfId="15254"/>
    <cellStyle name="Normal 2 2 2 3 2 2 2 5 3 2 2" xfId="46257"/>
    <cellStyle name="Normal 2 2 2 3 2 2 2 5 3 2 2 2" xfId="50591"/>
    <cellStyle name="Normal 2 2 2 3 2 2 2 5 3 3" xfId="28765"/>
    <cellStyle name="Normal 2 2 2 3 2 2 2 5 4" xfId="24388"/>
    <cellStyle name="Normal 2 2 2 3 2 2 2 5 4 2" xfId="37066"/>
    <cellStyle name="Normal 2 2 2 3 2 2 2 6" xfId="3579"/>
    <cellStyle name="Normal 2 2 2 3 2 2 2 6 2" xfId="14061"/>
    <cellStyle name="Normal 2 2 2 3 2 2 2 6 2 2" xfId="17215"/>
    <cellStyle name="Normal 2 2 2 3 2 2 2 6 2 2 2" xfId="49407"/>
    <cellStyle name="Normal 2 2 2 3 2 2 2 6 2 2 2 2" xfId="52542"/>
    <cellStyle name="Normal 2 2 2 3 2 2 2 6 2 3" xfId="30716"/>
    <cellStyle name="Normal 2 2 2 3 2 2 2 6 3" xfId="27560"/>
    <cellStyle name="Normal 2 2 2 3 2 2 2 6 3 2" xfId="39036"/>
    <cellStyle name="Normal 2 2 2 3 2 2 2 7" xfId="8770"/>
    <cellStyle name="Normal 2 2 2 3 2 2 2 7 2" xfId="35873"/>
    <cellStyle name="Normal 2 2 2 3 2 2 2 7 2 2" xfId="44183"/>
    <cellStyle name="Normal 2 2 2 3 2 2 2 8" xfId="22287"/>
    <cellStyle name="Normal 2 2 2 3 2 2 3" xfId="466"/>
    <cellStyle name="Normal 2 2 2 3 2 2 3 2" xfId="551"/>
    <cellStyle name="Normal 2 2 2 3 2 2 3 2 2" xfId="1281"/>
    <cellStyle name="Normal 2 2 2 3 2 2 3 2 2 2" xfId="1353"/>
    <cellStyle name="Normal 2 2 2 3 2 2 3 2 2 2 2" xfId="3299"/>
    <cellStyle name="Normal 2 2 2 3 2 2 3 2 2 2 2 2" xfId="3371"/>
    <cellStyle name="Normal 2 2 2 3 2 2 3 2 2 2 2 2 2" xfId="8514"/>
    <cellStyle name="Normal 2 2 2 3 2 2 3 2 2 2 2 2 2 2" xfId="8586"/>
    <cellStyle name="Normal 2 2 2 3 2 2 3 2 2 2 2 2 2 2 2" xfId="22066"/>
    <cellStyle name="Normal 2 2 2 3 2 2 3 2 2 2 2 2 2 2 2 2" xfId="22138"/>
    <cellStyle name="Normal 2 2 2 3 2 2 3 2 2 2 2 2 2 2 2 2 2" xfId="57392"/>
    <cellStyle name="Normal 2 2 2 3 2 2 3 2 2 2 2 2 2 2 2 2 2 2" xfId="57464"/>
    <cellStyle name="Normal 2 2 2 3 2 2 3 2 2 2 2 2 2 2 2 3" xfId="35641"/>
    <cellStyle name="Normal 2 2 2 3 2 2 3 2 2 2 2 2 2 2 3" xfId="35569"/>
    <cellStyle name="Normal 2 2 2 3 2 2 3 2 2 2 2 2 2 2 3 2" xfId="44013"/>
    <cellStyle name="Normal 2 2 2 3 2 2 3 2 2 2 2 2 2 3" xfId="13811"/>
    <cellStyle name="Normal 2 2 2 3 2 2 3 2 2 2 2 2 2 3 2" xfId="43941"/>
    <cellStyle name="Normal 2 2 2 3 2 2 3 2 2 2 2 2 2 3 2 2" xfId="49157"/>
    <cellStyle name="Normal 2 2 2 3 2 2 3 2 2 2 2 2 2 4" xfId="27296"/>
    <cellStyle name="Normal 2 2 2 3 2 2 3 2 2 2 2 2 3" xfId="13739"/>
    <cellStyle name="Normal 2 2 2 3 2 2 3 2 2 2 2 2 3 2" xfId="17028"/>
    <cellStyle name="Normal 2 2 2 3 2 2 3 2 2 2 2 2 3 2 2" xfId="49085"/>
    <cellStyle name="Normal 2 2 2 3 2 2 3 2 2 2 2 2 3 2 2 2" xfId="52356"/>
    <cellStyle name="Normal 2 2 2 3 2 2 3 2 2 2 2 2 3 3" xfId="30530"/>
    <cellStyle name="Normal 2 2 2 3 2 2 3 2 2 2 2 2 4" xfId="27224"/>
    <cellStyle name="Normal 2 2 2 3 2 2 3 2 2 2 2 2 4 2" xfId="38840"/>
    <cellStyle name="Normal 2 2 2 3 2 2 3 2 2 2 2 3" xfId="5408"/>
    <cellStyle name="Normal 2 2 2 3 2 2 3 2 2 2 2 3 2" xfId="16956"/>
    <cellStyle name="Normal 2 2 2 3 2 2 3 2 2 2 2 3 2 2" xfId="18981"/>
    <cellStyle name="Normal 2 2 2 3 2 2 3 2 2 2 2 3 2 2 2" xfId="52284"/>
    <cellStyle name="Normal 2 2 2 3 2 2 3 2 2 2 2 3 2 2 2 2" xfId="54307"/>
    <cellStyle name="Normal 2 2 2 3 2 2 3 2 2 2 2 3 2 3" xfId="32482"/>
    <cellStyle name="Normal 2 2 2 3 2 2 3 2 2 2 2 3 3" xfId="30458"/>
    <cellStyle name="Normal 2 2 2 3 2 2 3 2 2 2 2 3 3 2" xfId="40845"/>
    <cellStyle name="Normal 2 2 2 3 2 2 3 2 2 2 2 4" xfId="10611"/>
    <cellStyle name="Normal 2 2 2 3 2 2 3 2 2 2 2 4 2" xfId="38768"/>
    <cellStyle name="Normal 2 2 2 3 2 2 3 2 2 2 2 4 2 2" xfId="45974"/>
    <cellStyle name="Normal 2 2 2 3 2 2 3 2 2 2 2 5" xfId="24097"/>
    <cellStyle name="Normal 2 2 2 3 2 2 3 2 2 2 3" xfId="5336"/>
    <cellStyle name="Normal 2 2 2 3 2 2 3 2 2 2 3 2" xfId="6661"/>
    <cellStyle name="Normal 2 2 2 3 2 2 3 2 2 2 3 2 2" xfId="18909"/>
    <cellStyle name="Normal 2 2 2 3 2 2 3 2 2 2 3 2 2 2" xfId="20214"/>
    <cellStyle name="Normal 2 2 2 3 2 2 3 2 2 2 3 2 2 2 2" xfId="54235"/>
    <cellStyle name="Normal 2 2 2 3 2 2 3 2 2 2 3 2 2 2 2 2" xfId="55540"/>
    <cellStyle name="Normal 2 2 2 3 2 2 3 2 2 2 3 2 2 3" xfId="33716"/>
    <cellStyle name="Normal 2 2 2 3 2 2 3 2 2 2 3 2 3" xfId="32410"/>
    <cellStyle name="Normal 2 2 2 3 2 2 3 2 2 2 3 2 3 2" xfId="42089"/>
    <cellStyle name="Normal 2 2 2 3 2 2 3 2 2 2 3 3" xfId="11884"/>
    <cellStyle name="Normal 2 2 2 3 2 2 3 2 2 2 3 3 2" xfId="40773"/>
    <cellStyle name="Normal 2 2 2 3 2 2 3 2 2 2 3 3 2 2" xfId="47232"/>
    <cellStyle name="Normal 2 2 2 3 2 2 3 2 2 2 3 4" xfId="25369"/>
    <cellStyle name="Normal 2 2 2 3 2 2 3 2 2 2 4" xfId="10539"/>
    <cellStyle name="Normal 2 2 2 3 2 2 3 2 2 2 4 2" xfId="15042"/>
    <cellStyle name="Normal 2 2 2 3 2 2 3 2 2 2 4 2 2" xfId="45902"/>
    <cellStyle name="Normal 2 2 2 3 2 2 3 2 2 2 4 2 2 2" xfId="50381"/>
    <cellStyle name="Normal 2 2 2 3 2 2 3 2 2 2 4 3" xfId="28555"/>
    <cellStyle name="Normal 2 2 2 3 2 2 3 2 2 2 5" xfId="24025"/>
    <cellStyle name="Normal 2 2 2 3 2 2 3 2 2 2 5 2" xfId="36850"/>
    <cellStyle name="Normal 2 2 2 3 2 2 3 2 2 3" xfId="2160"/>
    <cellStyle name="Normal 2 2 2 3 2 2 3 2 2 3 2" xfId="6589"/>
    <cellStyle name="Normal 2 2 2 3 2 2 3 2 2 3 2 2" xfId="7394"/>
    <cellStyle name="Normal 2 2 2 3 2 2 3 2 2 3 2 2 2" xfId="20142"/>
    <cellStyle name="Normal 2 2 2 3 2 2 3 2 2 3 2 2 2 2" xfId="20946"/>
    <cellStyle name="Normal 2 2 2 3 2 2 3 2 2 3 2 2 2 2 2" xfId="55468"/>
    <cellStyle name="Normal 2 2 2 3 2 2 3 2 2 3 2 2 2 2 2 2" xfId="56272"/>
    <cellStyle name="Normal 2 2 2 3 2 2 3 2 2 3 2 2 2 3" xfId="34449"/>
    <cellStyle name="Normal 2 2 2 3 2 2 3 2 2 3 2 2 3" xfId="33644"/>
    <cellStyle name="Normal 2 2 2 3 2 2 3 2 2 3 2 2 3 2" xfId="42821"/>
    <cellStyle name="Normal 2 2 2 3 2 2 3 2 2 3 2 3" xfId="12619"/>
    <cellStyle name="Normal 2 2 2 3 2 2 3 2 2 3 2 3 2" xfId="42017"/>
    <cellStyle name="Normal 2 2 2 3 2 2 3 2 2 3 2 3 2 2" xfId="47965"/>
    <cellStyle name="Normal 2 2 2 3 2 2 3 2 2 3 2 4" xfId="26103"/>
    <cellStyle name="Normal 2 2 2 3 2 2 3 2 2 3 3" xfId="11812"/>
    <cellStyle name="Normal 2 2 2 3 2 2 3 2 2 3 3 2" xfId="15824"/>
    <cellStyle name="Normal 2 2 2 3 2 2 3 2 2 3 3 2 2" xfId="47160"/>
    <cellStyle name="Normal 2 2 2 3 2 2 3 2 2 3 3 2 2 2" xfId="51156"/>
    <cellStyle name="Normal 2 2 2 3 2 2 3 2 2 3 3 3" xfId="29330"/>
    <cellStyle name="Normal 2 2 2 3 2 2 3 2 2 3 4" xfId="25297"/>
    <cellStyle name="Normal 2 2 2 3 2 2 3 2 2 3 4 2" xfId="37638"/>
    <cellStyle name="Normal 2 2 2 3 2 2 3 2 2 4" xfId="4176"/>
    <cellStyle name="Normal 2 2 2 3 2 2 3 2 2 4 2" xfId="14970"/>
    <cellStyle name="Normal 2 2 2 3 2 2 3 2 2 4 2 2" xfId="17769"/>
    <cellStyle name="Normal 2 2 2 3 2 2 3 2 2 4 2 2 2" xfId="50309"/>
    <cellStyle name="Normal 2 2 2 3 2 2 3 2 2 4 2 2 2 2" xfId="53096"/>
    <cellStyle name="Normal 2 2 2 3 2 2 3 2 2 4 2 3" xfId="31271"/>
    <cellStyle name="Normal 2 2 2 3 2 2 3 2 2 4 3" xfId="28483"/>
    <cellStyle name="Normal 2 2 2 3 2 2 3 2 2 4 3 2" xfId="39619"/>
    <cellStyle name="Normal 2 2 2 3 2 2 3 2 2 5" xfId="9367"/>
    <cellStyle name="Normal 2 2 2 3 2 2 3 2 2 5 2" xfId="36778"/>
    <cellStyle name="Normal 2 2 2 3 2 2 3 2 2 5 2 2" xfId="44749"/>
    <cellStyle name="Normal 2 2 2 3 2 2 3 2 2 6" xfId="22863"/>
    <cellStyle name="Normal 2 2 2 3 2 2 3 2 3" xfId="2087"/>
    <cellStyle name="Normal 2 2 2 3 2 2 3 2 3 2" xfId="2644"/>
    <cellStyle name="Normal 2 2 2 3 2 2 3 2 3 2 2" xfId="7321"/>
    <cellStyle name="Normal 2 2 2 3 2 2 3 2 3 2 2 2" xfId="7864"/>
    <cellStyle name="Normal 2 2 2 3 2 2 3 2 3 2 2 2 2" xfId="20873"/>
    <cellStyle name="Normal 2 2 2 3 2 2 3 2 3 2 2 2 2 2" xfId="21416"/>
    <cellStyle name="Normal 2 2 2 3 2 2 3 2 3 2 2 2 2 2 2" xfId="56199"/>
    <cellStyle name="Normal 2 2 2 3 2 2 3 2 3 2 2 2 2 2 2 2" xfId="56742"/>
    <cellStyle name="Normal 2 2 2 3 2 2 3 2 3 2 2 2 2 3" xfId="34919"/>
    <cellStyle name="Normal 2 2 2 3 2 2 3 2 3 2 2 2 3" xfId="34376"/>
    <cellStyle name="Normal 2 2 2 3 2 2 3 2 3 2 2 2 3 2" xfId="43291"/>
    <cellStyle name="Normal 2 2 2 3 2 2 3 2 3 2 2 3" xfId="13089"/>
    <cellStyle name="Normal 2 2 2 3 2 2 3 2 3 2 2 3 2" xfId="42748"/>
    <cellStyle name="Normal 2 2 2 3 2 2 3 2 3 2 2 3 2 2" xfId="48435"/>
    <cellStyle name="Normal 2 2 2 3 2 2 3 2 3 2 2 4" xfId="26573"/>
    <cellStyle name="Normal 2 2 2 3 2 2 3 2 3 2 3" xfId="12546"/>
    <cellStyle name="Normal 2 2 2 3 2 2 3 2 3 2 3 2" xfId="16303"/>
    <cellStyle name="Normal 2 2 2 3 2 2 3 2 3 2 3 2 2" xfId="47892"/>
    <cellStyle name="Normal 2 2 2 3 2 2 3 2 3 2 3 2 2 2" xfId="51633"/>
    <cellStyle name="Normal 2 2 2 3 2 2 3 2 3 2 3 3" xfId="29807"/>
    <cellStyle name="Normal 2 2 2 3 2 2 3 2 3 2 4" xfId="26030"/>
    <cellStyle name="Normal 2 2 2 3 2 2 3 2 3 2 4 2" xfId="38117"/>
    <cellStyle name="Normal 2 2 2 3 2 2 3 2 3 3" xfId="4679"/>
    <cellStyle name="Normal 2 2 2 3 2 2 3 2 3 3 2" xfId="15751"/>
    <cellStyle name="Normal 2 2 2 3 2 2 3 2 3 3 2 2" xfId="18258"/>
    <cellStyle name="Normal 2 2 2 3 2 2 3 2 3 3 2 2 2" xfId="51083"/>
    <cellStyle name="Normal 2 2 2 3 2 2 3 2 3 3 2 2 2 2" xfId="53584"/>
    <cellStyle name="Normal 2 2 2 3 2 2 3 2 3 3 2 3" xfId="31759"/>
    <cellStyle name="Normal 2 2 2 3 2 2 3 2 3 3 3" xfId="29257"/>
    <cellStyle name="Normal 2 2 2 3 2 2 3 2 3 3 3 2" xfId="40118"/>
    <cellStyle name="Normal 2 2 2 3 2 2 3 2 3 4" xfId="9882"/>
    <cellStyle name="Normal 2 2 2 3 2 2 3 2 3 4 2" xfId="37565"/>
    <cellStyle name="Normal 2 2 2 3 2 2 3 2 3 4 2 2" xfId="45251"/>
    <cellStyle name="Normal 2 2 2 3 2 2 3 2 3 5" xfId="23374"/>
    <cellStyle name="Normal 2 2 2 3 2 2 3 2 4" xfId="4103"/>
    <cellStyle name="Normal 2 2 2 3 2 2 3 2 4 2" xfId="5884"/>
    <cellStyle name="Normal 2 2 2 3 2 2 3 2 4 2 2" xfId="17696"/>
    <cellStyle name="Normal 2 2 2 3 2 2 3 2 4 2 2 2" xfId="19452"/>
    <cellStyle name="Normal 2 2 2 3 2 2 3 2 4 2 2 2 2" xfId="53023"/>
    <cellStyle name="Normal 2 2 2 3 2 2 3 2 4 2 2 2 2 2" xfId="54778"/>
    <cellStyle name="Normal 2 2 2 3 2 2 3 2 4 2 2 3" xfId="32953"/>
    <cellStyle name="Normal 2 2 2 3 2 2 3 2 4 2 3" xfId="31198"/>
    <cellStyle name="Normal 2 2 2 3 2 2 3 2 4 2 3 2" xfId="41319"/>
    <cellStyle name="Normal 2 2 2 3 2 2 3 2 4 3" xfId="11108"/>
    <cellStyle name="Normal 2 2 2 3 2 2 3 2 4 3 2" xfId="39546"/>
    <cellStyle name="Normal 2 2 2 3 2 2 3 2 4 3 2 2" xfId="46467"/>
    <cellStyle name="Normal 2 2 2 3 2 2 3 2 4 4" xfId="24602"/>
    <cellStyle name="Normal 2 2 2 3 2 2 3 2 5" xfId="9294"/>
    <cellStyle name="Normal 2 2 2 3 2 2 3 2 5 2" xfId="14269"/>
    <cellStyle name="Normal 2 2 2 3 2 2 3 2 5 2 2" xfId="44676"/>
    <cellStyle name="Normal 2 2 2 3 2 2 3 2 5 2 2 2" xfId="49614"/>
    <cellStyle name="Normal 2 2 2 3 2 2 3 2 5 3" xfId="27776"/>
    <cellStyle name="Normal 2 2 2 3 2 2 3 2 6" xfId="22790"/>
    <cellStyle name="Normal 2 2 2 3 2 2 3 2 6 2" xfId="36081"/>
    <cellStyle name="Normal 2 2 2 3 2 2 3 3" xfId="879"/>
    <cellStyle name="Normal 2 2 2 3 2 2 3 3 2" xfId="2565"/>
    <cellStyle name="Normal 2 2 2 3 2 2 3 3 2 2" xfId="2923"/>
    <cellStyle name="Normal 2 2 2 3 2 2 3 3 2 2 2" xfId="7786"/>
    <cellStyle name="Normal 2 2 2 3 2 2 3 3 2 2 2 2" xfId="8138"/>
    <cellStyle name="Normal 2 2 2 3 2 2 3 3 2 2 2 2 2" xfId="21338"/>
    <cellStyle name="Normal 2 2 2 3 2 2 3 3 2 2 2 2 2 2" xfId="21690"/>
    <cellStyle name="Normal 2 2 2 3 2 2 3 3 2 2 2 2 2 2 2" xfId="56664"/>
    <cellStyle name="Normal 2 2 2 3 2 2 3 3 2 2 2 2 2 2 2 2" xfId="57016"/>
    <cellStyle name="Normal 2 2 2 3 2 2 3 3 2 2 2 2 2 3" xfId="35193"/>
    <cellStyle name="Normal 2 2 2 3 2 2 3 3 2 2 2 2 3" xfId="34841"/>
    <cellStyle name="Normal 2 2 2 3 2 2 3 3 2 2 2 2 3 2" xfId="43565"/>
    <cellStyle name="Normal 2 2 2 3 2 2 3 3 2 2 2 3" xfId="13363"/>
    <cellStyle name="Normal 2 2 2 3 2 2 3 3 2 2 2 3 2" xfId="43213"/>
    <cellStyle name="Normal 2 2 2 3 2 2 3 3 2 2 2 3 2 2" xfId="48709"/>
    <cellStyle name="Normal 2 2 2 3 2 2 3 3 2 2 2 4" xfId="26848"/>
    <cellStyle name="Normal 2 2 2 3 2 2 3 3 2 2 3" xfId="13011"/>
    <cellStyle name="Normal 2 2 2 3 2 2 3 3 2 2 3 2" xfId="16580"/>
    <cellStyle name="Normal 2 2 2 3 2 2 3 3 2 2 3 2 2" xfId="48357"/>
    <cellStyle name="Normal 2 2 2 3 2 2 3 3 2 2 3 2 2 2" xfId="51908"/>
    <cellStyle name="Normal 2 2 2 3 2 2 3 3 2 2 3 3" xfId="30082"/>
    <cellStyle name="Normal 2 2 2 3 2 2 3 3 2 2 4" xfId="26495"/>
    <cellStyle name="Normal 2 2 2 3 2 2 3 3 2 2 4 2" xfId="38392"/>
    <cellStyle name="Normal 2 2 2 3 2 2 3 3 2 3" xfId="4959"/>
    <cellStyle name="Normal 2 2 2 3 2 2 3 3 2 3 2" xfId="16224"/>
    <cellStyle name="Normal 2 2 2 3 2 2 3 3 2 3 2 2" xfId="18532"/>
    <cellStyle name="Normal 2 2 2 3 2 2 3 3 2 3 2 2 2" xfId="51554"/>
    <cellStyle name="Normal 2 2 2 3 2 2 3 3 2 3 2 2 2 2" xfId="53858"/>
    <cellStyle name="Normal 2 2 2 3 2 2 3 3 2 3 2 3" xfId="32033"/>
    <cellStyle name="Normal 2 2 2 3 2 2 3 3 2 3 3" xfId="29728"/>
    <cellStyle name="Normal 2 2 2 3 2 2 3 3 2 3 3 2" xfId="40396"/>
    <cellStyle name="Normal 2 2 2 3 2 2 3 3 2 4" xfId="10162"/>
    <cellStyle name="Normal 2 2 2 3 2 2 3 3 2 4 2" xfId="38038"/>
    <cellStyle name="Normal 2 2 2 3 2 2 3 3 2 4 2 2" xfId="45525"/>
    <cellStyle name="Normal 2 2 2 3 2 2 3 3 2 5" xfId="23648"/>
    <cellStyle name="Normal 2 2 2 3 2 2 3 3 3" xfId="4598"/>
    <cellStyle name="Normal 2 2 2 3 2 2 3 3 3 2" xfId="6192"/>
    <cellStyle name="Normal 2 2 2 3 2 2 3 3 3 2 2" xfId="18179"/>
    <cellStyle name="Normal 2 2 2 3 2 2 3 3 3 2 2 2" xfId="19751"/>
    <cellStyle name="Normal 2 2 2 3 2 2 3 3 3 2 2 2 2" xfId="53505"/>
    <cellStyle name="Normal 2 2 2 3 2 2 3 3 3 2 2 2 2 2" xfId="55077"/>
    <cellStyle name="Normal 2 2 2 3 2 2 3 3 3 2 2 3" xfId="33253"/>
    <cellStyle name="Normal 2 2 2 3 2 2 3 3 3 2 3" xfId="31680"/>
    <cellStyle name="Normal 2 2 2 3 2 2 3 3 3 2 3 2" xfId="41622"/>
    <cellStyle name="Normal 2 2 2 3 2 2 3 3 3 3" xfId="11417"/>
    <cellStyle name="Normal 2 2 2 3 2 2 3 3 3 3 2" xfId="40037"/>
    <cellStyle name="Normal 2 2 2 3 2 2 3 3 3 3 2 2" xfId="46768"/>
    <cellStyle name="Normal 2 2 2 3 2 2 3 3 3 4" xfId="24905"/>
    <cellStyle name="Normal 2 2 2 3 2 2 3 3 4" xfId="9802"/>
    <cellStyle name="Normal 2 2 2 3 2 2 3 3 4 2" xfId="14575"/>
    <cellStyle name="Normal 2 2 2 3 2 2 3 3 4 2 2" xfId="45172"/>
    <cellStyle name="Normal 2 2 2 3 2 2 3 3 4 2 2 2" xfId="49916"/>
    <cellStyle name="Normal 2 2 2 3 2 2 3 3 4 3" xfId="28087"/>
    <cellStyle name="Normal 2 2 2 3 2 2 3 3 5" xfId="23295"/>
    <cellStyle name="Normal 2 2 2 3 2 2 3 3 5 2" xfId="36385"/>
    <cellStyle name="Normal 2 2 2 3 2 2 3 4" xfId="1674"/>
    <cellStyle name="Normal 2 2 2 3 2 2 3 4 2" xfId="5804"/>
    <cellStyle name="Normal 2 2 2 3 2 2 3 4 2 2" xfId="6933"/>
    <cellStyle name="Normal 2 2 2 3 2 2 3 4 2 2 2" xfId="19372"/>
    <cellStyle name="Normal 2 2 2 3 2 2 3 4 2 2 2 2" xfId="20486"/>
    <cellStyle name="Normal 2 2 2 3 2 2 3 4 2 2 2 2 2" xfId="54698"/>
    <cellStyle name="Normal 2 2 2 3 2 2 3 4 2 2 2 2 2 2" xfId="55812"/>
    <cellStyle name="Normal 2 2 2 3 2 2 3 4 2 2 2 3" xfId="33988"/>
    <cellStyle name="Normal 2 2 2 3 2 2 3 4 2 2 3" xfId="32873"/>
    <cellStyle name="Normal 2 2 2 3 2 2 3 4 2 2 3 2" xfId="42361"/>
    <cellStyle name="Normal 2 2 2 3 2 2 3 4 2 3" xfId="12157"/>
    <cellStyle name="Normal 2 2 2 3 2 2 3 4 2 3 2" xfId="41239"/>
    <cellStyle name="Normal 2 2 2 3 2 2 3 4 2 3 2 2" xfId="47504"/>
    <cellStyle name="Normal 2 2 2 3 2 2 3 4 2 4" xfId="25642"/>
    <cellStyle name="Normal 2 2 2 3 2 2 3 4 3" xfId="11026"/>
    <cellStyle name="Normal 2 2 2 3 2 2 3 4 3 2" xfId="15347"/>
    <cellStyle name="Normal 2 2 2 3 2 2 3 4 3 2 2" xfId="46385"/>
    <cellStyle name="Normal 2 2 2 3 2 2 3 4 3 2 2 2" xfId="50681"/>
    <cellStyle name="Normal 2 2 2 3 2 2 3 4 3 3" xfId="28855"/>
    <cellStyle name="Normal 2 2 2 3 2 2 3 4 4" xfId="24520"/>
    <cellStyle name="Normal 2 2 2 3 2 2 3 4 4 2" xfId="37157"/>
    <cellStyle name="Normal 2 2 2 3 2 2 3 5" xfId="3679"/>
    <cellStyle name="Normal 2 2 2 3 2 2 3 5 2" xfId="14187"/>
    <cellStyle name="Normal 2 2 2 3 2 2 3 5 2 2" xfId="17301"/>
    <cellStyle name="Normal 2 2 2 3 2 2 3 5 2 2 2" xfId="49532"/>
    <cellStyle name="Normal 2 2 2 3 2 2 3 5 2 2 2 2" xfId="52628"/>
    <cellStyle name="Normal 2 2 2 3 2 2 3 5 2 3" xfId="30802"/>
    <cellStyle name="Normal 2 2 2 3 2 2 3 5 3" xfId="27693"/>
    <cellStyle name="Normal 2 2 2 3 2 2 3 5 3 2" xfId="39130"/>
    <cellStyle name="Normal 2 2 2 3 2 2 3 6" xfId="8870"/>
    <cellStyle name="Normal 2 2 2 3 2 2 3 6 2" xfId="35999"/>
    <cellStyle name="Normal 2 2 2 3 2 2 3 6 2 2" xfId="44273"/>
    <cellStyle name="Normal 2 2 2 3 2 2 3 7" xfId="22381"/>
    <cellStyle name="Normal 2 2 2 3 2 2 4" xfId="787"/>
    <cellStyle name="Normal 2 2 2 3 2 2 4 2" xfId="1049"/>
    <cellStyle name="Normal 2 2 2 3 2 2 4 2 2" xfId="2843"/>
    <cellStyle name="Normal 2 2 2 3 2 2 4 2 2 2" xfId="3085"/>
    <cellStyle name="Normal 2 2 2 3 2 2 4 2 2 2 2" xfId="8059"/>
    <cellStyle name="Normal 2 2 2 3 2 2 4 2 2 2 2 2" xfId="8300"/>
    <cellStyle name="Normal 2 2 2 3 2 2 4 2 2 2 2 2 2" xfId="21611"/>
    <cellStyle name="Normal 2 2 2 3 2 2 4 2 2 2 2 2 2 2" xfId="21852"/>
    <cellStyle name="Normal 2 2 2 3 2 2 4 2 2 2 2 2 2 2 2" xfId="56937"/>
    <cellStyle name="Normal 2 2 2 3 2 2 4 2 2 2 2 2 2 2 2 2" xfId="57178"/>
    <cellStyle name="Normal 2 2 2 3 2 2 4 2 2 2 2 2 2 3" xfId="35355"/>
    <cellStyle name="Normal 2 2 2 3 2 2 4 2 2 2 2 2 3" xfId="35114"/>
    <cellStyle name="Normal 2 2 2 3 2 2 4 2 2 2 2 2 3 2" xfId="43727"/>
    <cellStyle name="Normal 2 2 2 3 2 2 4 2 2 2 2 3" xfId="13525"/>
    <cellStyle name="Normal 2 2 2 3 2 2 4 2 2 2 2 3 2" xfId="43486"/>
    <cellStyle name="Normal 2 2 2 3 2 2 4 2 2 2 2 3 2 2" xfId="48871"/>
    <cellStyle name="Normal 2 2 2 3 2 2 4 2 2 2 2 4" xfId="27010"/>
    <cellStyle name="Normal 2 2 2 3 2 2 4 2 2 2 3" xfId="13284"/>
    <cellStyle name="Normal 2 2 2 3 2 2 4 2 2 2 3 2" xfId="16742"/>
    <cellStyle name="Normal 2 2 2 3 2 2 4 2 2 2 3 2 2" xfId="48630"/>
    <cellStyle name="Normal 2 2 2 3 2 2 4 2 2 2 3 2 2 2" xfId="52070"/>
    <cellStyle name="Normal 2 2 2 3 2 2 4 2 2 2 3 3" xfId="30244"/>
    <cellStyle name="Normal 2 2 2 3 2 2 4 2 2 2 4" xfId="26768"/>
    <cellStyle name="Normal 2 2 2 3 2 2 4 2 2 2 4 2" xfId="38554"/>
    <cellStyle name="Normal 2 2 2 3 2 2 4 2 2 3" xfId="5122"/>
    <cellStyle name="Normal 2 2 2 3 2 2 4 2 2 3 2" xfId="16501"/>
    <cellStyle name="Normal 2 2 2 3 2 2 4 2 2 3 2 2" xfId="18695"/>
    <cellStyle name="Normal 2 2 2 3 2 2 4 2 2 3 2 2 2" xfId="51829"/>
    <cellStyle name="Normal 2 2 2 3 2 2 4 2 2 3 2 2 2 2" xfId="54021"/>
    <cellStyle name="Normal 2 2 2 3 2 2 4 2 2 3 2 3" xfId="32196"/>
    <cellStyle name="Normal 2 2 2 3 2 2 4 2 2 3 3" xfId="30003"/>
    <cellStyle name="Normal 2 2 2 3 2 2 4 2 2 3 3 2" xfId="40559"/>
    <cellStyle name="Normal 2 2 2 3 2 2 4 2 2 4" xfId="10325"/>
    <cellStyle name="Normal 2 2 2 3 2 2 4 2 2 4 2" xfId="38313"/>
    <cellStyle name="Normal 2 2 2 3 2 2 4 2 2 4 2 2" xfId="45688"/>
    <cellStyle name="Normal 2 2 2 3 2 2 4 2 2 5" xfId="23811"/>
    <cellStyle name="Normal 2 2 2 3 2 2 4 2 3" xfId="4879"/>
    <cellStyle name="Normal 2 2 2 3 2 2 4 2 3 2" xfId="6359"/>
    <cellStyle name="Normal 2 2 2 3 2 2 4 2 3 2 2" xfId="18453"/>
    <cellStyle name="Normal 2 2 2 3 2 2 4 2 3 2 2 2" xfId="19916"/>
    <cellStyle name="Normal 2 2 2 3 2 2 4 2 3 2 2 2 2" xfId="53779"/>
    <cellStyle name="Normal 2 2 2 3 2 2 4 2 3 2 2 2 2 2" xfId="55242"/>
    <cellStyle name="Normal 2 2 2 3 2 2 4 2 3 2 2 3" xfId="33418"/>
    <cellStyle name="Normal 2 2 2 3 2 2 4 2 3 2 3" xfId="31954"/>
    <cellStyle name="Normal 2 2 2 3 2 2 4 2 3 2 3 2" xfId="41788"/>
    <cellStyle name="Normal 2 2 2 3 2 2 4 2 3 3" xfId="11585"/>
    <cellStyle name="Normal 2 2 2 3 2 2 4 2 3 3 2" xfId="40316"/>
    <cellStyle name="Normal 2 2 2 3 2 2 4 2 3 3 2 2" xfId="46934"/>
    <cellStyle name="Normal 2 2 2 3 2 2 4 2 3 4" xfId="25071"/>
    <cellStyle name="Normal 2 2 2 3 2 2 4 2 4" xfId="10082"/>
    <cellStyle name="Normal 2 2 2 3 2 2 4 2 4 2" xfId="14742"/>
    <cellStyle name="Normal 2 2 2 3 2 2 4 2 4 2 2" xfId="45446"/>
    <cellStyle name="Normal 2 2 2 3 2 2 4 2 4 2 2 2" xfId="50081"/>
    <cellStyle name="Normal 2 2 2 3 2 2 4 2 4 3" xfId="28254"/>
    <cellStyle name="Normal 2 2 2 3 2 2 4 2 5" xfId="23569"/>
    <cellStyle name="Normal 2 2 2 3 2 2 4 2 5 2" xfId="36550"/>
    <cellStyle name="Normal 2 2 2 3 2 2 4 3" xfId="1855"/>
    <cellStyle name="Normal 2 2 2 3 2 2 4 3 2" xfId="6103"/>
    <cellStyle name="Normal 2 2 2 3 2 2 4 3 2 2" xfId="7105"/>
    <cellStyle name="Normal 2 2 2 3 2 2 4 3 2 2 2" xfId="19665"/>
    <cellStyle name="Normal 2 2 2 3 2 2 4 3 2 2 2 2" xfId="20657"/>
    <cellStyle name="Normal 2 2 2 3 2 2 4 3 2 2 2 2 2" xfId="54991"/>
    <cellStyle name="Normal 2 2 2 3 2 2 4 3 2 2 2 2 2 2" xfId="55983"/>
    <cellStyle name="Normal 2 2 2 3 2 2 4 3 2 2 2 3" xfId="34160"/>
    <cellStyle name="Normal 2 2 2 3 2 2 4 3 2 2 3" xfId="33166"/>
    <cellStyle name="Normal 2 2 2 3 2 2 4 3 2 2 3 2" xfId="42532"/>
    <cellStyle name="Normal 2 2 2 3 2 2 4 3 2 3" xfId="12330"/>
    <cellStyle name="Normal 2 2 2 3 2 2 4 3 2 3 2" xfId="41536"/>
    <cellStyle name="Normal 2 2 2 3 2 2 4 3 2 3 2 2" xfId="47676"/>
    <cellStyle name="Normal 2 2 2 3 2 2 4 3 2 4" xfId="25814"/>
    <cellStyle name="Normal 2 2 2 3 2 2 4 3 3" xfId="11329"/>
    <cellStyle name="Normal 2 2 2 3 2 2 4 3 3 2" xfId="15526"/>
    <cellStyle name="Normal 2 2 2 3 2 2 4 3 3 2 2" xfId="46682"/>
    <cellStyle name="Normal 2 2 2 3 2 2 4 3 3 2 2 2" xfId="50858"/>
    <cellStyle name="Normal 2 2 2 3 2 2 4 3 3 3" xfId="29032"/>
    <cellStyle name="Normal 2 2 2 3 2 2 4 3 4" xfId="24819"/>
    <cellStyle name="Normal 2 2 2 3 2 2 4 3 4 2" xfId="37336"/>
    <cellStyle name="Normal 2 2 2 3 2 2 4 4" xfId="3869"/>
    <cellStyle name="Normal 2 2 2 3 2 2 4 4 2" xfId="14487"/>
    <cellStyle name="Normal 2 2 2 3 2 2 4 4 2 2" xfId="17480"/>
    <cellStyle name="Normal 2 2 2 3 2 2 4 4 2 2 2" xfId="49829"/>
    <cellStyle name="Normal 2 2 2 3 2 2 4 4 2 2 2 2" xfId="52807"/>
    <cellStyle name="Normal 2 2 2 3 2 2 4 4 2 3" xfId="30982"/>
    <cellStyle name="Normal 2 2 2 3 2 2 4 4 3" xfId="27998"/>
    <cellStyle name="Normal 2 2 2 3 2 2 4 4 3 2" xfId="39317"/>
    <cellStyle name="Normal 2 2 2 3 2 2 4 5" xfId="9061"/>
    <cellStyle name="Normal 2 2 2 3 2 2 4 5 2" xfId="36297"/>
    <cellStyle name="Normal 2 2 2 3 2 2 4 5 2 2" xfId="44457"/>
    <cellStyle name="Normal 2 2 2 3 2 2 4 6" xfId="22568"/>
    <cellStyle name="Normal 2 2 2 3 2 2 5" xfId="1574"/>
    <cellStyle name="Normal 2 2 2 3 2 2 5 2" xfId="2312"/>
    <cellStyle name="Normal 2 2 2 3 2 2 5 2 2" xfId="6846"/>
    <cellStyle name="Normal 2 2 2 3 2 2 5 2 2 2" xfId="7546"/>
    <cellStyle name="Normal 2 2 2 3 2 2 5 2 2 2 2" xfId="20399"/>
    <cellStyle name="Normal 2 2 2 3 2 2 5 2 2 2 2 2" xfId="21098"/>
    <cellStyle name="Normal 2 2 2 3 2 2 5 2 2 2 2 2 2" xfId="55725"/>
    <cellStyle name="Normal 2 2 2 3 2 2 5 2 2 2 2 2 2 2" xfId="56424"/>
    <cellStyle name="Normal 2 2 2 3 2 2 5 2 2 2 2 3" xfId="34601"/>
    <cellStyle name="Normal 2 2 2 3 2 2 5 2 2 2 3" xfId="33901"/>
    <cellStyle name="Normal 2 2 2 3 2 2 5 2 2 2 3 2" xfId="42973"/>
    <cellStyle name="Normal 2 2 2 3 2 2 5 2 2 3" xfId="12771"/>
    <cellStyle name="Normal 2 2 2 3 2 2 5 2 2 3 2" xfId="42274"/>
    <cellStyle name="Normal 2 2 2 3 2 2 5 2 2 3 2 2" xfId="48117"/>
    <cellStyle name="Normal 2 2 2 3 2 2 5 2 2 4" xfId="26255"/>
    <cellStyle name="Normal 2 2 2 3 2 2 5 2 3" xfId="12070"/>
    <cellStyle name="Normal 2 2 2 3 2 2 5 2 3 2" xfId="15976"/>
    <cellStyle name="Normal 2 2 2 3 2 2 5 2 3 2 2" xfId="47417"/>
    <cellStyle name="Normal 2 2 2 3 2 2 5 2 3 2 2 2" xfId="51308"/>
    <cellStyle name="Normal 2 2 2 3 2 2 5 2 3 3" xfId="29482"/>
    <cellStyle name="Normal 2 2 2 3 2 2 5 2 4" xfId="25555"/>
    <cellStyle name="Normal 2 2 2 3 2 2 5 2 4 2" xfId="37790"/>
    <cellStyle name="Normal 2 2 2 3 2 2 5 3" xfId="4341"/>
    <cellStyle name="Normal 2 2 2 3 2 2 5 3 2" xfId="15250"/>
    <cellStyle name="Normal 2 2 2 3 2 2 5 3 2 2" xfId="17934"/>
    <cellStyle name="Normal 2 2 2 3 2 2 5 3 2 2 2" xfId="50587"/>
    <cellStyle name="Normal 2 2 2 3 2 2 5 3 2 2 2 2" xfId="53261"/>
    <cellStyle name="Normal 2 2 2 3 2 2 5 3 2 3" xfId="31436"/>
    <cellStyle name="Normal 2 2 2 3 2 2 5 3 3" xfId="28761"/>
    <cellStyle name="Normal 2 2 2 3 2 2 5 3 3 2" xfId="39784"/>
    <cellStyle name="Normal 2 2 2 3 2 2 5 4" xfId="9538"/>
    <cellStyle name="Normal 2 2 2 3 2 2 5 4 2" xfId="37062"/>
    <cellStyle name="Normal 2 2 2 3 2 2 5 4 2 2" xfId="44920"/>
    <cellStyle name="Normal 2 2 2 3 2 2 5 5" xfId="23037"/>
    <cellStyle name="Normal 2 2 2 3 2 2 6" xfId="3575"/>
    <cellStyle name="Normal 2 2 2 3 2 2 6 2" xfId="5551"/>
    <cellStyle name="Normal 2 2 2 3 2 2 6 2 2" xfId="17211"/>
    <cellStyle name="Normal 2 2 2 3 2 2 6 2 2 2" xfId="19124"/>
    <cellStyle name="Normal 2 2 2 3 2 2 6 2 2 2 2" xfId="52538"/>
    <cellStyle name="Normal 2 2 2 3 2 2 6 2 2 2 2 2" xfId="54450"/>
    <cellStyle name="Normal 2 2 2 3 2 2 6 2 2 3" xfId="32625"/>
    <cellStyle name="Normal 2 2 2 3 2 2 6 2 3" xfId="30712"/>
    <cellStyle name="Normal 2 2 2 3 2 2 6 2 3 2" xfId="40988"/>
    <cellStyle name="Normal 2 2 2 3 2 2 6 3" xfId="10759"/>
    <cellStyle name="Normal 2 2 2 3 2 2 6 3 2" xfId="39032"/>
    <cellStyle name="Normal 2 2 2 3 2 2 6 3 2 2" xfId="46121"/>
    <cellStyle name="Normal 2 2 2 3 2 2 6 4" xfId="24247"/>
    <cellStyle name="Normal 2 2 2 3 2 2 7" xfId="8766"/>
    <cellStyle name="Normal 2 2 2 3 2 2 7 2" xfId="13936"/>
    <cellStyle name="Normal 2 2 2 3 2 2 7 2 2" xfId="44179"/>
    <cellStyle name="Normal 2 2 2 3 2 2 7 2 2 2" xfId="49282"/>
    <cellStyle name="Normal 2 2 2 3 2 2 7 3" xfId="27422"/>
    <cellStyle name="Normal 2 2 2 3 2 2 8" xfId="22283"/>
    <cellStyle name="Normal 2 2 2 3 2 2 8 2" xfId="33210"/>
    <cellStyle name="Normal 2 2 2 3 2 3" xfId="238"/>
    <cellStyle name="Normal 2 2 2 3 2 3 2" xfId="541"/>
    <cellStyle name="Normal 2 2 2 3 2 3 2 2" xfId="594"/>
    <cellStyle name="Normal 2 2 2 3 2 3 2 2 2" xfId="1346"/>
    <cellStyle name="Normal 2 2 2 3 2 3 2 2 2 2" xfId="1390"/>
    <cellStyle name="Normal 2 2 2 3 2 3 2 2 2 2 2" xfId="3364"/>
    <cellStyle name="Normal 2 2 2 3 2 3 2 2 2 2 2 2" xfId="3408"/>
    <cellStyle name="Normal 2 2 2 3 2 3 2 2 2 2 2 2 2" xfId="8579"/>
    <cellStyle name="Normal 2 2 2 3 2 3 2 2 2 2 2 2 2 2" xfId="8623"/>
    <cellStyle name="Normal 2 2 2 3 2 3 2 2 2 2 2 2 2 2 2" xfId="22131"/>
    <cellStyle name="Normal 2 2 2 3 2 3 2 2 2 2 2 2 2 2 2 2" xfId="22175"/>
    <cellStyle name="Normal 2 2 2 3 2 3 2 2 2 2 2 2 2 2 2 2 2" xfId="57457"/>
    <cellStyle name="Normal 2 2 2 3 2 3 2 2 2 2 2 2 2 2 2 2 2 2" xfId="57501"/>
    <cellStyle name="Normal 2 2 2 3 2 3 2 2 2 2 2 2 2 2 2 3" xfId="35678"/>
    <cellStyle name="Normal 2 2 2 3 2 3 2 2 2 2 2 2 2 2 3" xfId="35634"/>
    <cellStyle name="Normal 2 2 2 3 2 3 2 2 2 2 2 2 2 2 3 2" xfId="44050"/>
    <cellStyle name="Normal 2 2 2 3 2 3 2 2 2 2 2 2 2 3" xfId="13848"/>
    <cellStyle name="Normal 2 2 2 3 2 3 2 2 2 2 2 2 2 3 2" xfId="44006"/>
    <cellStyle name="Normal 2 2 2 3 2 3 2 2 2 2 2 2 2 3 2 2" xfId="49194"/>
    <cellStyle name="Normal 2 2 2 3 2 3 2 2 2 2 2 2 2 4" xfId="27333"/>
    <cellStyle name="Normal 2 2 2 3 2 3 2 2 2 2 2 2 3" xfId="13804"/>
    <cellStyle name="Normal 2 2 2 3 2 3 2 2 2 2 2 2 3 2" xfId="17065"/>
    <cellStyle name="Normal 2 2 2 3 2 3 2 2 2 2 2 2 3 2 2" xfId="49150"/>
    <cellStyle name="Normal 2 2 2 3 2 3 2 2 2 2 2 2 3 2 2 2" xfId="52393"/>
    <cellStyle name="Normal 2 2 2 3 2 3 2 2 2 2 2 2 3 3" xfId="30567"/>
    <cellStyle name="Normal 2 2 2 3 2 3 2 2 2 2 2 2 4" xfId="27289"/>
    <cellStyle name="Normal 2 2 2 3 2 3 2 2 2 2 2 2 4 2" xfId="38877"/>
    <cellStyle name="Normal 2 2 2 3 2 3 2 2 2 2 2 3" xfId="5445"/>
    <cellStyle name="Normal 2 2 2 3 2 3 2 2 2 2 2 3 2" xfId="17021"/>
    <cellStyle name="Normal 2 2 2 3 2 3 2 2 2 2 2 3 2 2" xfId="19018"/>
    <cellStyle name="Normal 2 2 2 3 2 3 2 2 2 2 2 3 2 2 2" xfId="52349"/>
    <cellStyle name="Normal 2 2 2 3 2 3 2 2 2 2 2 3 2 2 2 2" xfId="54344"/>
    <cellStyle name="Normal 2 2 2 3 2 3 2 2 2 2 2 3 2 3" xfId="32519"/>
    <cellStyle name="Normal 2 2 2 3 2 3 2 2 2 2 2 3 3" xfId="30523"/>
    <cellStyle name="Normal 2 2 2 3 2 3 2 2 2 2 2 3 3 2" xfId="40882"/>
    <cellStyle name="Normal 2 2 2 3 2 3 2 2 2 2 2 4" xfId="10648"/>
    <cellStyle name="Normal 2 2 2 3 2 3 2 2 2 2 2 4 2" xfId="38833"/>
    <cellStyle name="Normal 2 2 2 3 2 3 2 2 2 2 2 4 2 2" xfId="46011"/>
    <cellStyle name="Normal 2 2 2 3 2 3 2 2 2 2 2 5" xfId="24134"/>
    <cellStyle name="Normal 2 2 2 3 2 3 2 2 2 2 3" xfId="5401"/>
    <cellStyle name="Normal 2 2 2 3 2 3 2 2 2 2 3 2" xfId="6698"/>
    <cellStyle name="Normal 2 2 2 3 2 3 2 2 2 2 3 2 2" xfId="18974"/>
    <cellStyle name="Normal 2 2 2 3 2 3 2 2 2 2 3 2 2 2" xfId="20251"/>
    <cellStyle name="Normal 2 2 2 3 2 3 2 2 2 2 3 2 2 2 2" xfId="54300"/>
    <cellStyle name="Normal 2 2 2 3 2 3 2 2 2 2 3 2 2 2 2 2" xfId="55577"/>
    <cellStyle name="Normal 2 2 2 3 2 3 2 2 2 2 3 2 2 3" xfId="33753"/>
    <cellStyle name="Normal 2 2 2 3 2 3 2 2 2 2 3 2 3" xfId="32475"/>
    <cellStyle name="Normal 2 2 2 3 2 3 2 2 2 2 3 2 3 2" xfId="42126"/>
    <cellStyle name="Normal 2 2 2 3 2 3 2 2 2 2 3 3" xfId="11921"/>
    <cellStyle name="Normal 2 2 2 3 2 3 2 2 2 2 3 3 2" xfId="40838"/>
    <cellStyle name="Normal 2 2 2 3 2 3 2 2 2 2 3 3 2 2" xfId="47269"/>
    <cellStyle name="Normal 2 2 2 3 2 3 2 2 2 2 3 4" xfId="25406"/>
    <cellStyle name="Normal 2 2 2 3 2 3 2 2 2 2 4" xfId="10604"/>
    <cellStyle name="Normal 2 2 2 3 2 3 2 2 2 2 4 2" xfId="15079"/>
    <cellStyle name="Normal 2 2 2 3 2 3 2 2 2 2 4 2 2" xfId="45967"/>
    <cellStyle name="Normal 2 2 2 3 2 3 2 2 2 2 4 2 2 2" xfId="50418"/>
    <cellStyle name="Normal 2 2 2 3 2 3 2 2 2 2 4 3" xfId="28592"/>
    <cellStyle name="Normal 2 2 2 3 2 3 2 2 2 2 5" xfId="24090"/>
    <cellStyle name="Normal 2 2 2 3 2 3 2 2 2 2 5 2" xfId="36887"/>
    <cellStyle name="Normal 2 2 2 3 2 3 2 2 2 3" xfId="2197"/>
    <cellStyle name="Normal 2 2 2 3 2 3 2 2 2 3 2" xfId="6654"/>
    <cellStyle name="Normal 2 2 2 3 2 3 2 2 2 3 2 2" xfId="7431"/>
    <cellStyle name="Normal 2 2 2 3 2 3 2 2 2 3 2 2 2" xfId="20207"/>
    <cellStyle name="Normal 2 2 2 3 2 3 2 2 2 3 2 2 2 2" xfId="20983"/>
    <cellStyle name="Normal 2 2 2 3 2 3 2 2 2 3 2 2 2 2 2" xfId="55533"/>
    <cellStyle name="Normal 2 2 2 3 2 3 2 2 2 3 2 2 2 2 2 2" xfId="56309"/>
    <cellStyle name="Normal 2 2 2 3 2 3 2 2 2 3 2 2 2 3" xfId="34486"/>
    <cellStyle name="Normal 2 2 2 3 2 3 2 2 2 3 2 2 3" xfId="33709"/>
    <cellStyle name="Normal 2 2 2 3 2 3 2 2 2 3 2 2 3 2" xfId="42858"/>
    <cellStyle name="Normal 2 2 2 3 2 3 2 2 2 3 2 3" xfId="12656"/>
    <cellStyle name="Normal 2 2 2 3 2 3 2 2 2 3 2 3 2" xfId="42082"/>
    <cellStyle name="Normal 2 2 2 3 2 3 2 2 2 3 2 3 2 2" xfId="48002"/>
    <cellStyle name="Normal 2 2 2 3 2 3 2 2 2 3 2 4" xfId="26140"/>
    <cellStyle name="Normal 2 2 2 3 2 3 2 2 2 3 3" xfId="11877"/>
    <cellStyle name="Normal 2 2 2 3 2 3 2 2 2 3 3 2" xfId="15861"/>
    <cellStyle name="Normal 2 2 2 3 2 3 2 2 2 3 3 2 2" xfId="47225"/>
    <cellStyle name="Normal 2 2 2 3 2 3 2 2 2 3 3 2 2 2" xfId="51193"/>
    <cellStyle name="Normal 2 2 2 3 2 3 2 2 2 3 3 3" xfId="29367"/>
    <cellStyle name="Normal 2 2 2 3 2 3 2 2 2 3 4" xfId="25362"/>
    <cellStyle name="Normal 2 2 2 3 2 3 2 2 2 3 4 2" xfId="37675"/>
    <cellStyle name="Normal 2 2 2 3 2 3 2 2 2 4" xfId="4213"/>
    <cellStyle name="Normal 2 2 2 3 2 3 2 2 2 4 2" xfId="15035"/>
    <cellStyle name="Normal 2 2 2 3 2 3 2 2 2 4 2 2" xfId="17806"/>
    <cellStyle name="Normal 2 2 2 3 2 3 2 2 2 4 2 2 2" xfId="50374"/>
    <cellStyle name="Normal 2 2 2 3 2 3 2 2 2 4 2 2 2 2" xfId="53133"/>
    <cellStyle name="Normal 2 2 2 3 2 3 2 2 2 4 2 3" xfId="31308"/>
    <cellStyle name="Normal 2 2 2 3 2 3 2 2 2 4 3" xfId="28548"/>
    <cellStyle name="Normal 2 2 2 3 2 3 2 2 2 4 3 2" xfId="39656"/>
    <cellStyle name="Normal 2 2 2 3 2 3 2 2 2 5" xfId="9404"/>
    <cellStyle name="Normal 2 2 2 3 2 3 2 2 2 5 2" xfId="36843"/>
    <cellStyle name="Normal 2 2 2 3 2 3 2 2 2 5 2 2" xfId="44786"/>
    <cellStyle name="Normal 2 2 2 3 2 3 2 2 2 6" xfId="22900"/>
    <cellStyle name="Normal 2 2 2 3 2 3 2 2 3" xfId="2153"/>
    <cellStyle name="Normal 2 2 2 3 2 3 2 2 3 2" xfId="2684"/>
    <cellStyle name="Normal 2 2 2 3 2 3 2 2 3 2 2" xfId="7387"/>
    <cellStyle name="Normal 2 2 2 3 2 3 2 2 3 2 2 2" xfId="7903"/>
    <cellStyle name="Normal 2 2 2 3 2 3 2 2 3 2 2 2 2" xfId="20939"/>
    <cellStyle name="Normal 2 2 2 3 2 3 2 2 3 2 2 2 2 2" xfId="21455"/>
    <cellStyle name="Normal 2 2 2 3 2 3 2 2 3 2 2 2 2 2 2" xfId="56265"/>
    <cellStyle name="Normal 2 2 2 3 2 3 2 2 3 2 2 2 2 2 2 2" xfId="56781"/>
    <cellStyle name="Normal 2 2 2 3 2 3 2 2 3 2 2 2 2 3" xfId="34958"/>
    <cellStyle name="Normal 2 2 2 3 2 3 2 2 3 2 2 2 3" xfId="34442"/>
    <cellStyle name="Normal 2 2 2 3 2 3 2 2 3 2 2 2 3 2" xfId="43330"/>
    <cellStyle name="Normal 2 2 2 3 2 3 2 2 3 2 2 3" xfId="13128"/>
    <cellStyle name="Normal 2 2 2 3 2 3 2 2 3 2 2 3 2" xfId="42814"/>
    <cellStyle name="Normal 2 2 2 3 2 3 2 2 3 2 2 3 2 2" xfId="48474"/>
    <cellStyle name="Normal 2 2 2 3 2 3 2 2 3 2 2 4" xfId="26612"/>
    <cellStyle name="Normal 2 2 2 3 2 3 2 2 3 2 3" xfId="12612"/>
    <cellStyle name="Normal 2 2 2 3 2 3 2 2 3 2 3 2" xfId="16343"/>
    <cellStyle name="Normal 2 2 2 3 2 3 2 2 3 2 3 2 2" xfId="47958"/>
    <cellStyle name="Normal 2 2 2 3 2 3 2 2 3 2 3 2 2 2" xfId="51673"/>
    <cellStyle name="Normal 2 2 2 3 2 3 2 2 3 2 3 3" xfId="29847"/>
    <cellStyle name="Normal 2 2 2 3 2 3 2 2 3 2 4" xfId="26096"/>
    <cellStyle name="Normal 2 2 2 3 2 3 2 2 3 2 4 2" xfId="38157"/>
    <cellStyle name="Normal 2 2 2 3 2 3 2 2 3 3" xfId="4720"/>
    <cellStyle name="Normal 2 2 2 3 2 3 2 2 3 3 2" xfId="15817"/>
    <cellStyle name="Normal 2 2 2 3 2 3 2 2 3 3 2 2" xfId="18297"/>
    <cellStyle name="Normal 2 2 2 3 2 3 2 2 3 3 2 2 2" xfId="51149"/>
    <cellStyle name="Normal 2 2 2 3 2 3 2 2 3 3 2 2 2 2" xfId="53623"/>
    <cellStyle name="Normal 2 2 2 3 2 3 2 2 3 3 2 3" xfId="31798"/>
    <cellStyle name="Normal 2 2 2 3 2 3 2 2 3 3 3" xfId="29323"/>
    <cellStyle name="Normal 2 2 2 3 2 3 2 2 3 3 3 2" xfId="40158"/>
    <cellStyle name="Normal 2 2 2 3 2 3 2 2 3 4" xfId="9923"/>
    <cellStyle name="Normal 2 2 2 3 2 3 2 2 3 4 2" xfId="37631"/>
    <cellStyle name="Normal 2 2 2 3 2 3 2 2 3 4 2 2" xfId="45290"/>
    <cellStyle name="Normal 2 2 2 3 2 3 2 2 3 5" xfId="23413"/>
    <cellStyle name="Normal 2 2 2 3 2 3 2 2 4" xfId="4169"/>
    <cellStyle name="Normal 2 2 2 3 2 3 2 2 4 2" xfId="5925"/>
    <cellStyle name="Normal 2 2 2 3 2 3 2 2 4 2 2" xfId="17762"/>
    <cellStyle name="Normal 2 2 2 3 2 3 2 2 4 2 2 2" xfId="19492"/>
    <cellStyle name="Normal 2 2 2 3 2 3 2 2 4 2 2 2 2" xfId="53089"/>
    <cellStyle name="Normal 2 2 2 3 2 3 2 2 4 2 2 2 2 2" xfId="54818"/>
    <cellStyle name="Normal 2 2 2 3 2 3 2 2 4 2 2 3" xfId="32993"/>
    <cellStyle name="Normal 2 2 2 3 2 3 2 2 4 2 3" xfId="31264"/>
    <cellStyle name="Normal 2 2 2 3 2 3 2 2 4 2 3 2" xfId="41359"/>
    <cellStyle name="Normal 2 2 2 3 2 3 2 2 4 3" xfId="11150"/>
    <cellStyle name="Normal 2 2 2 3 2 3 2 2 4 3 2" xfId="39612"/>
    <cellStyle name="Normal 2 2 2 3 2 3 2 2 4 3 2 2" xfId="46508"/>
    <cellStyle name="Normal 2 2 2 3 2 3 2 2 4 4" xfId="24643"/>
    <cellStyle name="Normal 2 2 2 3 2 3 2 2 5" xfId="9360"/>
    <cellStyle name="Normal 2 2 2 3 2 3 2 2 5 2" xfId="14309"/>
    <cellStyle name="Normal 2 2 2 3 2 3 2 2 5 2 2" xfId="44742"/>
    <cellStyle name="Normal 2 2 2 3 2 3 2 2 5 2 2 2" xfId="49654"/>
    <cellStyle name="Normal 2 2 2 3 2 3 2 2 5 3" xfId="27819"/>
    <cellStyle name="Normal 2 2 2 3 2 3 2 2 6" xfId="22856"/>
    <cellStyle name="Normal 2 2 2 3 2 3 2 2 6 2" xfId="36121"/>
    <cellStyle name="Normal 2 2 2 3 2 3 2 3" xfId="922"/>
    <cellStyle name="Normal 2 2 2 3 2 3 2 3 2" xfId="2635"/>
    <cellStyle name="Normal 2 2 2 3 2 3 2 3 2 2" xfId="2960"/>
    <cellStyle name="Normal 2 2 2 3 2 3 2 3 2 2 2" xfId="7855"/>
    <cellStyle name="Normal 2 2 2 3 2 3 2 3 2 2 2 2" xfId="8175"/>
    <cellStyle name="Normal 2 2 2 3 2 3 2 3 2 2 2 2 2" xfId="21407"/>
    <cellStyle name="Normal 2 2 2 3 2 3 2 3 2 2 2 2 2 2" xfId="21727"/>
    <cellStyle name="Normal 2 2 2 3 2 3 2 3 2 2 2 2 2 2 2" xfId="56733"/>
    <cellStyle name="Normal 2 2 2 3 2 3 2 3 2 2 2 2 2 2 2 2" xfId="57053"/>
    <cellStyle name="Normal 2 2 2 3 2 3 2 3 2 2 2 2 2 3" xfId="35230"/>
    <cellStyle name="Normal 2 2 2 3 2 3 2 3 2 2 2 2 3" xfId="34910"/>
    <cellStyle name="Normal 2 2 2 3 2 3 2 3 2 2 2 2 3 2" xfId="43602"/>
    <cellStyle name="Normal 2 2 2 3 2 3 2 3 2 2 2 3" xfId="13400"/>
    <cellStyle name="Normal 2 2 2 3 2 3 2 3 2 2 2 3 2" xfId="43282"/>
    <cellStyle name="Normal 2 2 2 3 2 3 2 3 2 2 2 3 2 2" xfId="48746"/>
    <cellStyle name="Normal 2 2 2 3 2 3 2 3 2 2 2 4" xfId="26885"/>
    <cellStyle name="Normal 2 2 2 3 2 3 2 3 2 2 3" xfId="13080"/>
    <cellStyle name="Normal 2 2 2 3 2 3 2 3 2 2 3 2" xfId="16617"/>
    <cellStyle name="Normal 2 2 2 3 2 3 2 3 2 2 3 2 2" xfId="48426"/>
    <cellStyle name="Normal 2 2 2 3 2 3 2 3 2 2 3 2 2 2" xfId="51945"/>
    <cellStyle name="Normal 2 2 2 3 2 3 2 3 2 2 3 3" xfId="30119"/>
    <cellStyle name="Normal 2 2 2 3 2 3 2 3 2 2 4" xfId="26564"/>
    <cellStyle name="Normal 2 2 2 3 2 3 2 3 2 2 4 2" xfId="38429"/>
    <cellStyle name="Normal 2 2 2 3 2 3 2 3 2 3" xfId="4996"/>
    <cellStyle name="Normal 2 2 2 3 2 3 2 3 2 3 2" xfId="16294"/>
    <cellStyle name="Normal 2 2 2 3 2 3 2 3 2 3 2 2" xfId="18569"/>
    <cellStyle name="Normal 2 2 2 3 2 3 2 3 2 3 2 2 2" xfId="51624"/>
    <cellStyle name="Normal 2 2 2 3 2 3 2 3 2 3 2 2 2 2" xfId="53895"/>
    <cellStyle name="Normal 2 2 2 3 2 3 2 3 2 3 2 3" xfId="32070"/>
    <cellStyle name="Normal 2 2 2 3 2 3 2 3 2 3 3" xfId="29798"/>
    <cellStyle name="Normal 2 2 2 3 2 3 2 3 2 3 3 2" xfId="40433"/>
    <cellStyle name="Normal 2 2 2 3 2 3 2 3 2 4" xfId="10199"/>
    <cellStyle name="Normal 2 2 2 3 2 3 2 3 2 4 2" xfId="38108"/>
    <cellStyle name="Normal 2 2 2 3 2 3 2 3 2 4 2 2" xfId="45562"/>
    <cellStyle name="Normal 2 2 2 3 2 3 2 3 2 5" xfId="23685"/>
    <cellStyle name="Normal 2 2 2 3 2 3 2 3 3" xfId="4670"/>
    <cellStyle name="Normal 2 2 2 3 2 3 2 3 3 2" xfId="6233"/>
    <cellStyle name="Normal 2 2 2 3 2 3 2 3 3 2 2" xfId="18249"/>
    <cellStyle name="Normal 2 2 2 3 2 3 2 3 3 2 2 2" xfId="19790"/>
    <cellStyle name="Normal 2 2 2 3 2 3 2 3 3 2 2 2 2" xfId="53575"/>
    <cellStyle name="Normal 2 2 2 3 2 3 2 3 3 2 2 2 2 2" xfId="55116"/>
    <cellStyle name="Normal 2 2 2 3 2 3 2 3 3 2 2 3" xfId="33292"/>
    <cellStyle name="Normal 2 2 2 3 2 3 2 3 3 2 3" xfId="31750"/>
    <cellStyle name="Normal 2 2 2 3 2 3 2 3 3 2 3 2" xfId="41662"/>
    <cellStyle name="Normal 2 2 2 3 2 3 2 3 3 3" xfId="11458"/>
    <cellStyle name="Normal 2 2 2 3 2 3 2 3 3 3 2" xfId="40109"/>
    <cellStyle name="Normal 2 2 2 3 2 3 2 3 3 3 2 2" xfId="46807"/>
    <cellStyle name="Normal 2 2 2 3 2 3 2 3 3 4" xfId="24944"/>
    <cellStyle name="Normal 2 2 2 3 2 3 2 3 4" xfId="9873"/>
    <cellStyle name="Normal 2 2 2 3 2 3 2 3 4 2" xfId="14616"/>
    <cellStyle name="Normal 2 2 2 3 2 3 2 3 4 2 2" xfId="45242"/>
    <cellStyle name="Normal 2 2 2 3 2 3 2 3 4 2 2 2" xfId="49955"/>
    <cellStyle name="Normal 2 2 2 3 2 3 2 3 4 3" xfId="28127"/>
    <cellStyle name="Normal 2 2 2 3 2 3 2 3 5" xfId="23365"/>
    <cellStyle name="Normal 2 2 2 3 2 3 2 3 5 2" xfId="36424"/>
    <cellStyle name="Normal 2 2 2 3 2 3 2 4" xfId="1718"/>
    <cellStyle name="Normal 2 2 2 3 2 3 2 4 2" xfId="5874"/>
    <cellStyle name="Normal 2 2 2 3 2 3 2 4 2 2" xfId="6971"/>
    <cellStyle name="Normal 2 2 2 3 2 3 2 4 2 2 2" xfId="19442"/>
    <cellStyle name="Normal 2 2 2 3 2 3 2 4 2 2 2 2" xfId="20524"/>
    <cellStyle name="Normal 2 2 2 3 2 3 2 4 2 2 2 2 2" xfId="54768"/>
    <cellStyle name="Normal 2 2 2 3 2 3 2 4 2 2 2 2 2 2" xfId="55850"/>
    <cellStyle name="Normal 2 2 2 3 2 3 2 4 2 2 2 3" xfId="34026"/>
    <cellStyle name="Normal 2 2 2 3 2 3 2 4 2 2 3" xfId="32943"/>
    <cellStyle name="Normal 2 2 2 3 2 3 2 4 2 2 3 2" xfId="42399"/>
    <cellStyle name="Normal 2 2 2 3 2 3 2 4 2 3" xfId="12195"/>
    <cellStyle name="Normal 2 2 2 3 2 3 2 4 2 3 2" xfId="41309"/>
    <cellStyle name="Normal 2 2 2 3 2 3 2 4 2 3 2 2" xfId="47542"/>
    <cellStyle name="Normal 2 2 2 3 2 3 2 4 2 4" xfId="25680"/>
    <cellStyle name="Normal 2 2 2 3 2 3 2 4 3" xfId="11098"/>
    <cellStyle name="Normal 2 2 2 3 2 3 2 4 3 2" xfId="15390"/>
    <cellStyle name="Normal 2 2 2 3 2 3 2 4 3 2 2" xfId="46457"/>
    <cellStyle name="Normal 2 2 2 3 2 3 2 4 3 2 2 2" xfId="50723"/>
    <cellStyle name="Normal 2 2 2 3 2 3 2 4 3 3" xfId="28897"/>
    <cellStyle name="Normal 2 2 2 3 2 3 2 4 4" xfId="24592"/>
    <cellStyle name="Normal 2 2 2 3 2 3 2 4 4 2" xfId="37200"/>
    <cellStyle name="Normal 2 2 2 3 2 3 2 5" xfId="3723"/>
    <cellStyle name="Normal 2 2 2 3 2 3 2 5 2" xfId="14259"/>
    <cellStyle name="Normal 2 2 2 3 2 3 2 5 2 2" xfId="17339"/>
    <cellStyle name="Normal 2 2 2 3 2 3 2 5 2 2 2" xfId="49604"/>
    <cellStyle name="Normal 2 2 2 3 2 3 2 5 2 2 2 2" xfId="52666"/>
    <cellStyle name="Normal 2 2 2 3 2 3 2 5 2 3" xfId="30840"/>
    <cellStyle name="Normal 2 2 2 3 2 3 2 5 3" xfId="27766"/>
    <cellStyle name="Normal 2 2 2 3 2 3 2 5 3 2" xfId="39174"/>
    <cellStyle name="Normal 2 2 2 3 2 3 2 6" xfId="8913"/>
    <cellStyle name="Normal 2 2 2 3 2 3 2 6 2" xfId="36071"/>
    <cellStyle name="Normal 2 2 2 3 2 3 2 6 2 2" xfId="44312"/>
    <cellStyle name="Normal 2 2 2 3 2 3 2 7" xfId="22420"/>
    <cellStyle name="Normal 2 2 2 3 2 3 3" xfId="869"/>
    <cellStyle name="Normal 2 2 2 3 2 3 3 2" xfId="1107"/>
    <cellStyle name="Normal 2 2 2 3 2 3 3 2 2" xfId="2916"/>
    <cellStyle name="Normal 2 2 2 3 2 3 3 2 2 2" xfId="3136"/>
    <cellStyle name="Normal 2 2 2 3 2 3 3 2 2 2 2" xfId="8131"/>
    <cellStyle name="Normal 2 2 2 3 2 3 3 2 2 2 2 2" xfId="8351"/>
    <cellStyle name="Normal 2 2 2 3 2 3 3 2 2 2 2 2 2" xfId="21683"/>
    <cellStyle name="Normal 2 2 2 3 2 3 3 2 2 2 2 2 2 2" xfId="21903"/>
    <cellStyle name="Normal 2 2 2 3 2 3 3 2 2 2 2 2 2 2 2" xfId="57009"/>
    <cellStyle name="Normal 2 2 2 3 2 3 3 2 2 2 2 2 2 2 2 2" xfId="57229"/>
    <cellStyle name="Normal 2 2 2 3 2 3 3 2 2 2 2 2 2 3" xfId="35406"/>
    <cellStyle name="Normal 2 2 2 3 2 3 3 2 2 2 2 2 3" xfId="35186"/>
    <cellStyle name="Normal 2 2 2 3 2 3 3 2 2 2 2 2 3 2" xfId="43778"/>
    <cellStyle name="Normal 2 2 2 3 2 3 3 2 2 2 2 3" xfId="13576"/>
    <cellStyle name="Normal 2 2 2 3 2 3 3 2 2 2 2 3 2" xfId="43558"/>
    <cellStyle name="Normal 2 2 2 3 2 3 3 2 2 2 2 3 2 2" xfId="48922"/>
    <cellStyle name="Normal 2 2 2 3 2 3 3 2 2 2 2 4" xfId="27061"/>
    <cellStyle name="Normal 2 2 2 3 2 3 3 2 2 2 3" xfId="13356"/>
    <cellStyle name="Normal 2 2 2 3 2 3 3 2 2 2 3 2" xfId="16793"/>
    <cellStyle name="Normal 2 2 2 3 2 3 3 2 2 2 3 2 2" xfId="48702"/>
    <cellStyle name="Normal 2 2 2 3 2 3 3 2 2 2 3 2 2 2" xfId="52121"/>
    <cellStyle name="Normal 2 2 2 3 2 3 3 2 2 2 3 3" xfId="30295"/>
    <cellStyle name="Normal 2 2 2 3 2 3 3 2 2 2 4" xfId="26841"/>
    <cellStyle name="Normal 2 2 2 3 2 3 3 2 2 2 4 2" xfId="38605"/>
    <cellStyle name="Normal 2 2 2 3 2 3 3 2 2 3" xfId="5173"/>
    <cellStyle name="Normal 2 2 2 3 2 3 3 2 2 3 2" xfId="16573"/>
    <cellStyle name="Normal 2 2 2 3 2 3 3 2 2 3 2 2" xfId="18746"/>
    <cellStyle name="Normal 2 2 2 3 2 3 3 2 2 3 2 2 2" xfId="51901"/>
    <cellStyle name="Normal 2 2 2 3 2 3 3 2 2 3 2 2 2 2" xfId="54072"/>
    <cellStyle name="Normal 2 2 2 3 2 3 3 2 2 3 2 3" xfId="32247"/>
    <cellStyle name="Normal 2 2 2 3 2 3 3 2 2 3 3" xfId="30075"/>
    <cellStyle name="Normal 2 2 2 3 2 3 3 2 2 3 3 2" xfId="40610"/>
    <cellStyle name="Normal 2 2 2 3 2 3 3 2 2 4" xfId="10376"/>
    <cellStyle name="Normal 2 2 2 3 2 3 3 2 2 4 2" xfId="38385"/>
    <cellStyle name="Normal 2 2 2 3 2 3 3 2 2 4 2 2" xfId="45739"/>
    <cellStyle name="Normal 2 2 2 3 2 3 3 2 2 5" xfId="23862"/>
    <cellStyle name="Normal 2 2 2 3 2 3 3 2 3" xfId="4952"/>
    <cellStyle name="Normal 2 2 2 3 2 3 3 2 3 2" xfId="6416"/>
    <cellStyle name="Normal 2 2 2 3 2 3 3 2 3 2 2" xfId="18525"/>
    <cellStyle name="Normal 2 2 2 3 2 3 3 2 3 2 2 2" xfId="19971"/>
    <cellStyle name="Normal 2 2 2 3 2 3 3 2 3 2 2 2 2" xfId="53851"/>
    <cellStyle name="Normal 2 2 2 3 2 3 3 2 3 2 2 2 2 2" xfId="55297"/>
    <cellStyle name="Normal 2 2 2 3 2 3 3 2 3 2 2 3" xfId="33473"/>
    <cellStyle name="Normal 2 2 2 3 2 3 3 2 3 2 3" xfId="32026"/>
    <cellStyle name="Normal 2 2 2 3 2 3 3 2 3 2 3 2" xfId="41844"/>
    <cellStyle name="Normal 2 2 2 3 2 3 3 2 3 3" xfId="11640"/>
    <cellStyle name="Normal 2 2 2 3 2 3 3 2 3 3 2" xfId="40389"/>
    <cellStyle name="Normal 2 2 2 3 2 3 3 2 3 3 2 2" xfId="46989"/>
    <cellStyle name="Normal 2 2 2 3 2 3 3 2 3 4" xfId="25126"/>
    <cellStyle name="Normal 2 2 2 3 2 3 3 2 4" xfId="10155"/>
    <cellStyle name="Normal 2 2 2 3 2 3 3 2 4 2" xfId="14798"/>
    <cellStyle name="Normal 2 2 2 3 2 3 3 2 4 2 2" xfId="45518"/>
    <cellStyle name="Normal 2 2 2 3 2 3 3 2 4 2 2 2" xfId="50137"/>
    <cellStyle name="Normal 2 2 2 3 2 3 3 2 4 3" xfId="28310"/>
    <cellStyle name="Normal 2 2 2 3 2 3 3 2 5" xfId="23641"/>
    <cellStyle name="Normal 2 2 2 3 2 3 3 2 5 2" xfId="36606"/>
    <cellStyle name="Normal 2 2 2 3 2 3 3 3" xfId="1915"/>
    <cellStyle name="Normal 2 2 2 3 2 3 3 3 2" xfId="6183"/>
    <cellStyle name="Normal 2 2 2 3 2 3 3 3 2 2" xfId="7158"/>
    <cellStyle name="Normal 2 2 2 3 2 3 3 3 2 2 2" xfId="19742"/>
    <cellStyle name="Normal 2 2 2 3 2 3 3 3 2 2 2 2" xfId="20710"/>
    <cellStyle name="Normal 2 2 2 3 2 3 3 3 2 2 2 2 2" xfId="55068"/>
    <cellStyle name="Normal 2 2 2 3 2 3 3 3 2 2 2 2 2 2" xfId="56036"/>
    <cellStyle name="Normal 2 2 2 3 2 3 3 3 2 2 2 3" xfId="34213"/>
    <cellStyle name="Normal 2 2 2 3 2 3 3 3 2 2 3" xfId="33244"/>
    <cellStyle name="Normal 2 2 2 3 2 3 3 3 2 2 3 2" xfId="42585"/>
    <cellStyle name="Normal 2 2 2 3 2 3 3 3 2 3" xfId="12383"/>
    <cellStyle name="Normal 2 2 2 3 2 3 3 3 2 3 2" xfId="41613"/>
    <cellStyle name="Normal 2 2 2 3 2 3 3 3 2 3 2 2" xfId="47729"/>
    <cellStyle name="Normal 2 2 2 3 2 3 3 3 2 4" xfId="25867"/>
    <cellStyle name="Normal 2 2 2 3 2 3 3 3 3" xfId="11408"/>
    <cellStyle name="Normal 2 2 2 3 2 3 3 3 3 2" xfId="15582"/>
    <cellStyle name="Normal 2 2 2 3 2 3 3 3 3 2 2" xfId="46759"/>
    <cellStyle name="Normal 2 2 2 3 2 3 3 3 3 2 2 2" xfId="50914"/>
    <cellStyle name="Normal 2 2 2 3 2 3 3 3 3 3" xfId="29088"/>
    <cellStyle name="Normal 2 2 2 3 2 3 3 3 4" xfId="24896"/>
    <cellStyle name="Normal 2 2 2 3 2 3 3 3 4 2" xfId="37394"/>
    <cellStyle name="Normal 2 2 2 3 2 3 3 4" xfId="3929"/>
    <cellStyle name="Normal 2 2 2 3 2 3 3 4 2" xfId="14566"/>
    <cellStyle name="Normal 2 2 2 3 2 3 3 4 2 2" xfId="17533"/>
    <cellStyle name="Normal 2 2 2 3 2 3 3 4 2 2 2" xfId="49907"/>
    <cellStyle name="Normal 2 2 2 3 2 3 3 4 2 2 2 2" xfId="52860"/>
    <cellStyle name="Normal 2 2 2 3 2 3 3 4 2 3" xfId="31035"/>
    <cellStyle name="Normal 2 2 2 3 2 3 3 4 3" xfId="28077"/>
    <cellStyle name="Normal 2 2 2 3 2 3 3 4 3 2" xfId="39373"/>
    <cellStyle name="Normal 2 2 2 3 2 3 3 5" xfId="9122"/>
    <cellStyle name="Normal 2 2 2 3 2 3 3 5 2" xfId="36376"/>
    <cellStyle name="Normal 2 2 2 3 2 3 3 5 2 2" xfId="44513"/>
    <cellStyle name="Normal 2 2 2 3 2 3 3 6" xfId="22627"/>
    <cellStyle name="Normal 2 2 2 3 2 3 4" xfId="1664"/>
    <cellStyle name="Normal 2 2 2 3 2 3 4 2" xfId="2365"/>
    <cellStyle name="Normal 2 2 2 3 2 3 4 2 2" xfId="6926"/>
    <cellStyle name="Normal 2 2 2 3 2 3 4 2 2 2" xfId="7599"/>
    <cellStyle name="Normal 2 2 2 3 2 3 4 2 2 2 2" xfId="20479"/>
    <cellStyle name="Normal 2 2 2 3 2 3 4 2 2 2 2 2" xfId="21151"/>
    <cellStyle name="Normal 2 2 2 3 2 3 4 2 2 2 2 2 2" xfId="55805"/>
    <cellStyle name="Normal 2 2 2 3 2 3 4 2 2 2 2 2 2 2" xfId="56477"/>
    <cellStyle name="Normal 2 2 2 3 2 3 4 2 2 2 2 3" xfId="34654"/>
    <cellStyle name="Normal 2 2 2 3 2 3 4 2 2 2 3" xfId="33981"/>
    <cellStyle name="Normal 2 2 2 3 2 3 4 2 2 2 3 2" xfId="43026"/>
    <cellStyle name="Normal 2 2 2 3 2 3 4 2 2 3" xfId="12824"/>
    <cellStyle name="Normal 2 2 2 3 2 3 4 2 2 3 2" xfId="42354"/>
    <cellStyle name="Normal 2 2 2 3 2 3 4 2 2 3 2 2" xfId="48170"/>
    <cellStyle name="Normal 2 2 2 3 2 3 4 2 2 4" xfId="26308"/>
    <cellStyle name="Normal 2 2 2 3 2 3 4 2 3" xfId="12150"/>
    <cellStyle name="Normal 2 2 2 3 2 3 4 2 3 2" xfId="16029"/>
    <cellStyle name="Normal 2 2 2 3 2 3 4 2 3 2 2" xfId="47497"/>
    <cellStyle name="Normal 2 2 2 3 2 3 4 2 3 2 2 2" xfId="51361"/>
    <cellStyle name="Normal 2 2 2 3 2 3 4 2 3 3" xfId="29535"/>
    <cellStyle name="Normal 2 2 2 3 2 3 4 2 4" xfId="25635"/>
    <cellStyle name="Normal 2 2 2 3 2 3 4 2 4 2" xfId="37843"/>
    <cellStyle name="Normal 2 2 2 3 2 3 4 3" xfId="4396"/>
    <cellStyle name="Normal 2 2 2 3 2 3 4 3 2" xfId="15337"/>
    <cellStyle name="Normal 2 2 2 3 2 3 4 3 2 2" xfId="17988"/>
    <cellStyle name="Normal 2 2 2 3 2 3 4 3 2 2 2" xfId="50672"/>
    <cellStyle name="Normal 2 2 2 3 2 3 4 3 2 2 2 2" xfId="53314"/>
    <cellStyle name="Normal 2 2 2 3 2 3 4 3 2 3" xfId="31489"/>
    <cellStyle name="Normal 2 2 2 3 2 3 4 3 3" xfId="28846"/>
    <cellStyle name="Normal 2 2 2 3 2 3 4 3 3 2" xfId="39838"/>
    <cellStyle name="Normal 2 2 2 3 2 3 4 4" xfId="9599"/>
    <cellStyle name="Normal 2 2 2 3 2 3 4 4 2" xfId="37148"/>
    <cellStyle name="Normal 2 2 2 3 2 3 4 4 2 2" xfId="44980"/>
    <cellStyle name="Normal 2 2 2 3 2 3 4 5" xfId="23101"/>
    <cellStyle name="Normal 2 2 2 3 2 3 5" xfId="3669"/>
    <cellStyle name="Normal 2 2 2 3 2 3 5 2" xfId="5606"/>
    <cellStyle name="Normal 2 2 2 3 2 3 5 2 2" xfId="17294"/>
    <cellStyle name="Normal 2 2 2 3 2 3 5 2 2 2" xfId="19178"/>
    <cellStyle name="Normal 2 2 2 3 2 3 5 2 2 2 2" xfId="52621"/>
    <cellStyle name="Normal 2 2 2 3 2 3 5 2 2 2 2 2" xfId="54504"/>
    <cellStyle name="Normal 2 2 2 3 2 3 5 2 2 3" xfId="32679"/>
    <cellStyle name="Normal 2 2 2 3 2 3 5 2 3" xfId="30795"/>
    <cellStyle name="Normal 2 2 2 3 2 3 5 2 3 2" xfId="41042"/>
    <cellStyle name="Normal 2 2 2 3 2 3 5 3" xfId="10819"/>
    <cellStyle name="Normal 2 2 2 3 2 3 5 3 2" xfId="39122"/>
    <cellStyle name="Normal 2 2 2 3 2 3 5 3 2 2" xfId="46181"/>
    <cellStyle name="Normal 2 2 2 3 2 3 5 4" xfId="24310"/>
    <cellStyle name="Normal 2 2 2 3 2 3 6" xfId="8862"/>
    <cellStyle name="Normal 2 2 2 3 2 3 6 2" xfId="13990"/>
    <cellStyle name="Normal 2 2 2 3 2 3 6 2 2" xfId="44266"/>
    <cellStyle name="Normal 2 2 2 3 2 3 6 2 2 2" xfId="49336"/>
    <cellStyle name="Normal 2 2 2 3 2 3 6 3" xfId="27482"/>
    <cellStyle name="Normal 2 2 2 3 2 3 7" xfId="22374"/>
    <cellStyle name="Normal 2 2 2 3 2 3 7 2" xfId="35802"/>
    <cellStyle name="Normal 2 2 2 3 2 4" xfId="379"/>
    <cellStyle name="Normal 2 2 2 3 2 4 2" xfId="1041"/>
    <cellStyle name="Normal 2 2 2 3 2 4 2 2" xfId="1220"/>
    <cellStyle name="Normal 2 2 2 3 2 4 2 2 2" xfId="3077"/>
    <cellStyle name="Normal 2 2 2 3 2 4 2 2 2 2" xfId="3238"/>
    <cellStyle name="Normal 2 2 2 3 2 4 2 2 2 2 2" xfId="8292"/>
    <cellStyle name="Normal 2 2 2 3 2 4 2 2 2 2 2 2" xfId="8453"/>
    <cellStyle name="Normal 2 2 2 3 2 4 2 2 2 2 2 2 2" xfId="21844"/>
    <cellStyle name="Normal 2 2 2 3 2 4 2 2 2 2 2 2 2 2" xfId="22005"/>
    <cellStyle name="Normal 2 2 2 3 2 4 2 2 2 2 2 2 2 2 2" xfId="57170"/>
    <cellStyle name="Normal 2 2 2 3 2 4 2 2 2 2 2 2 2 2 2 2" xfId="57331"/>
    <cellStyle name="Normal 2 2 2 3 2 4 2 2 2 2 2 2 2 3" xfId="35508"/>
    <cellStyle name="Normal 2 2 2 3 2 4 2 2 2 2 2 2 3" xfId="35347"/>
    <cellStyle name="Normal 2 2 2 3 2 4 2 2 2 2 2 2 3 2" xfId="43880"/>
    <cellStyle name="Normal 2 2 2 3 2 4 2 2 2 2 2 3" xfId="13678"/>
    <cellStyle name="Normal 2 2 2 3 2 4 2 2 2 2 2 3 2" xfId="43719"/>
    <cellStyle name="Normal 2 2 2 3 2 4 2 2 2 2 2 3 2 2" xfId="49024"/>
    <cellStyle name="Normal 2 2 2 3 2 4 2 2 2 2 2 4" xfId="27163"/>
    <cellStyle name="Normal 2 2 2 3 2 4 2 2 2 2 3" xfId="13517"/>
    <cellStyle name="Normal 2 2 2 3 2 4 2 2 2 2 3 2" xfId="16895"/>
    <cellStyle name="Normal 2 2 2 3 2 4 2 2 2 2 3 2 2" xfId="48863"/>
    <cellStyle name="Normal 2 2 2 3 2 4 2 2 2 2 3 2 2 2" xfId="52223"/>
    <cellStyle name="Normal 2 2 2 3 2 4 2 2 2 2 3 3" xfId="30397"/>
    <cellStyle name="Normal 2 2 2 3 2 4 2 2 2 2 4" xfId="27002"/>
    <cellStyle name="Normal 2 2 2 3 2 4 2 2 2 2 4 2" xfId="38707"/>
    <cellStyle name="Normal 2 2 2 3 2 4 2 2 2 3" xfId="5275"/>
    <cellStyle name="Normal 2 2 2 3 2 4 2 2 2 3 2" xfId="16734"/>
    <cellStyle name="Normal 2 2 2 3 2 4 2 2 2 3 2 2" xfId="18848"/>
    <cellStyle name="Normal 2 2 2 3 2 4 2 2 2 3 2 2 2" xfId="52062"/>
    <cellStyle name="Normal 2 2 2 3 2 4 2 2 2 3 2 2 2 2" xfId="54174"/>
    <cellStyle name="Normal 2 2 2 3 2 4 2 2 2 3 2 3" xfId="32349"/>
    <cellStyle name="Normal 2 2 2 3 2 4 2 2 2 3 3" xfId="30236"/>
    <cellStyle name="Normal 2 2 2 3 2 4 2 2 2 3 3 2" xfId="40712"/>
    <cellStyle name="Normal 2 2 2 3 2 4 2 2 2 4" xfId="10478"/>
    <cellStyle name="Normal 2 2 2 3 2 4 2 2 2 4 2" xfId="38546"/>
    <cellStyle name="Normal 2 2 2 3 2 4 2 2 2 4 2 2" xfId="45841"/>
    <cellStyle name="Normal 2 2 2 3 2 4 2 2 2 5" xfId="23964"/>
    <cellStyle name="Normal 2 2 2 3 2 4 2 2 3" xfId="5114"/>
    <cellStyle name="Normal 2 2 2 3 2 4 2 2 3 2" xfId="6528"/>
    <cellStyle name="Normal 2 2 2 3 2 4 2 2 3 2 2" xfId="18687"/>
    <cellStyle name="Normal 2 2 2 3 2 4 2 2 3 2 2 2" xfId="20081"/>
    <cellStyle name="Normal 2 2 2 3 2 4 2 2 3 2 2 2 2" xfId="54013"/>
    <cellStyle name="Normal 2 2 2 3 2 4 2 2 3 2 2 2 2 2" xfId="55407"/>
    <cellStyle name="Normal 2 2 2 3 2 4 2 2 3 2 2 3" xfId="33583"/>
    <cellStyle name="Normal 2 2 2 3 2 4 2 2 3 2 3" xfId="32188"/>
    <cellStyle name="Normal 2 2 2 3 2 4 2 2 3 2 3 2" xfId="41956"/>
    <cellStyle name="Normal 2 2 2 3 2 4 2 2 3 3" xfId="11751"/>
    <cellStyle name="Normal 2 2 2 3 2 4 2 2 3 3 2" xfId="40551"/>
    <cellStyle name="Normal 2 2 2 3 2 4 2 2 3 3 2 2" xfId="47099"/>
    <cellStyle name="Normal 2 2 2 3 2 4 2 2 3 4" xfId="25236"/>
    <cellStyle name="Normal 2 2 2 3 2 4 2 2 4" xfId="10317"/>
    <cellStyle name="Normal 2 2 2 3 2 4 2 2 4 2" xfId="14909"/>
    <cellStyle name="Normal 2 2 2 3 2 4 2 2 4 2 2" xfId="45680"/>
    <cellStyle name="Normal 2 2 2 3 2 4 2 2 4 2 2 2" xfId="50248"/>
    <cellStyle name="Normal 2 2 2 3 2 4 2 2 4 3" xfId="28422"/>
    <cellStyle name="Normal 2 2 2 3 2 4 2 2 5" xfId="23803"/>
    <cellStyle name="Normal 2 2 2 3 2 4 2 2 5 2" xfId="36717"/>
    <cellStyle name="Normal 2 2 2 3 2 4 2 3" xfId="2026"/>
    <cellStyle name="Normal 2 2 2 3 2 4 2 3 2" xfId="6351"/>
    <cellStyle name="Normal 2 2 2 3 2 4 2 3 2 2" xfId="7260"/>
    <cellStyle name="Normal 2 2 2 3 2 4 2 3 2 2 2" xfId="19908"/>
    <cellStyle name="Normal 2 2 2 3 2 4 2 3 2 2 2 2" xfId="20812"/>
    <cellStyle name="Normal 2 2 2 3 2 4 2 3 2 2 2 2 2" xfId="55234"/>
    <cellStyle name="Normal 2 2 2 3 2 4 2 3 2 2 2 2 2 2" xfId="56138"/>
    <cellStyle name="Normal 2 2 2 3 2 4 2 3 2 2 2 3" xfId="34315"/>
    <cellStyle name="Normal 2 2 2 3 2 4 2 3 2 2 3" xfId="33410"/>
    <cellStyle name="Normal 2 2 2 3 2 4 2 3 2 2 3 2" xfId="42687"/>
    <cellStyle name="Normal 2 2 2 3 2 4 2 3 2 3" xfId="12485"/>
    <cellStyle name="Normal 2 2 2 3 2 4 2 3 2 3 2" xfId="41780"/>
    <cellStyle name="Normal 2 2 2 3 2 4 2 3 2 3 2 2" xfId="47831"/>
    <cellStyle name="Normal 2 2 2 3 2 4 2 3 2 4" xfId="25969"/>
    <cellStyle name="Normal 2 2 2 3 2 4 2 3 3" xfId="11577"/>
    <cellStyle name="Normal 2 2 2 3 2 4 2 3 3 2" xfId="15690"/>
    <cellStyle name="Normal 2 2 2 3 2 4 2 3 3 2 2" xfId="46926"/>
    <cellStyle name="Normal 2 2 2 3 2 4 2 3 3 2 2 2" xfId="51022"/>
    <cellStyle name="Normal 2 2 2 3 2 4 2 3 3 3" xfId="29196"/>
    <cellStyle name="Normal 2 2 2 3 2 4 2 3 4" xfId="25063"/>
    <cellStyle name="Normal 2 2 2 3 2 4 2 3 4 2" xfId="37504"/>
    <cellStyle name="Normal 2 2 2 3 2 4 2 4" xfId="4042"/>
    <cellStyle name="Normal 2 2 2 3 2 4 2 4 2" xfId="14734"/>
    <cellStyle name="Normal 2 2 2 3 2 4 2 4 2 2" xfId="17635"/>
    <cellStyle name="Normal 2 2 2 3 2 4 2 4 2 2 2" xfId="50073"/>
    <cellStyle name="Normal 2 2 2 3 2 4 2 4 2 2 2 2" xfId="52962"/>
    <cellStyle name="Normal 2 2 2 3 2 4 2 4 2 3" xfId="31137"/>
    <cellStyle name="Normal 2 2 2 3 2 4 2 4 3" xfId="28246"/>
    <cellStyle name="Normal 2 2 2 3 2 4 2 4 3 2" xfId="39485"/>
    <cellStyle name="Normal 2 2 2 3 2 4 2 5" xfId="9233"/>
    <cellStyle name="Normal 2 2 2 3 2 4 2 5 2" xfId="36542"/>
    <cellStyle name="Normal 2 2 2 3 2 4 2 5 2 2" xfId="44615"/>
    <cellStyle name="Normal 2 2 2 3 2 4 2 6" xfId="22729"/>
    <cellStyle name="Normal 2 2 2 3 2 4 3" xfId="1846"/>
    <cellStyle name="Normal 2 2 2 3 2 4 3 2" xfId="2482"/>
    <cellStyle name="Normal 2 2 2 3 2 4 3 2 2" xfId="7096"/>
    <cellStyle name="Normal 2 2 2 3 2 4 3 2 2 2" xfId="7712"/>
    <cellStyle name="Normal 2 2 2 3 2 4 3 2 2 2 2" xfId="20649"/>
    <cellStyle name="Normal 2 2 2 3 2 4 3 2 2 2 2 2" xfId="21264"/>
    <cellStyle name="Normal 2 2 2 3 2 4 3 2 2 2 2 2 2" xfId="55975"/>
    <cellStyle name="Normal 2 2 2 3 2 4 3 2 2 2 2 2 2 2" xfId="56590"/>
    <cellStyle name="Normal 2 2 2 3 2 4 3 2 2 2 2 3" xfId="34767"/>
    <cellStyle name="Normal 2 2 2 3 2 4 3 2 2 2 3" xfId="34151"/>
    <cellStyle name="Normal 2 2 2 3 2 4 3 2 2 2 3 2" xfId="43139"/>
    <cellStyle name="Normal 2 2 2 3 2 4 3 2 2 3" xfId="12937"/>
    <cellStyle name="Normal 2 2 2 3 2 4 3 2 2 3 2" xfId="42524"/>
    <cellStyle name="Normal 2 2 2 3 2 4 3 2 2 3 2 2" xfId="48283"/>
    <cellStyle name="Normal 2 2 2 3 2 4 3 2 2 4" xfId="26421"/>
    <cellStyle name="Normal 2 2 2 3 2 4 3 2 3" xfId="12321"/>
    <cellStyle name="Normal 2 2 2 3 2 4 3 2 3 2" xfId="16145"/>
    <cellStyle name="Normal 2 2 2 3 2 4 3 2 3 2 2" xfId="47668"/>
    <cellStyle name="Normal 2 2 2 3 2 4 3 2 3 2 2 2" xfId="51476"/>
    <cellStyle name="Normal 2 2 2 3 2 4 3 2 3 3" xfId="29650"/>
    <cellStyle name="Normal 2 2 2 3 2 4 3 2 4" xfId="25806"/>
    <cellStyle name="Normal 2 2 2 3 2 4 3 2 4 2" xfId="37959"/>
    <cellStyle name="Normal 2 2 2 3 2 4 3 3" xfId="4517"/>
    <cellStyle name="Normal 2 2 2 3 2 4 3 3 2" xfId="15517"/>
    <cellStyle name="Normal 2 2 2 3 2 4 3 3 2 2" xfId="18105"/>
    <cellStyle name="Normal 2 2 2 3 2 4 3 3 2 2 2" xfId="50850"/>
    <cellStyle name="Normal 2 2 2 3 2 4 3 3 2 2 2 2" xfId="53431"/>
    <cellStyle name="Normal 2 2 2 3 2 4 3 3 2 3" xfId="31606"/>
    <cellStyle name="Normal 2 2 2 3 2 4 3 3 3" xfId="29024"/>
    <cellStyle name="Normal 2 2 2 3 2 4 3 3 3 2" xfId="39958"/>
    <cellStyle name="Normal 2 2 2 3 2 4 3 4" xfId="9721"/>
    <cellStyle name="Normal 2 2 2 3 2 4 3 4 2" xfId="37327"/>
    <cellStyle name="Normal 2 2 2 3 2 4 3 4 2 2" xfId="45098"/>
    <cellStyle name="Normal 2 2 2 3 2 4 3 5" xfId="23221"/>
    <cellStyle name="Normal 2 2 2 3 2 4 4" xfId="3859"/>
    <cellStyle name="Normal 2 2 2 3 2 4 4 2" xfId="5727"/>
    <cellStyle name="Normal 2 2 2 3 2 4 4 2 2" xfId="17472"/>
    <cellStyle name="Normal 2 2 2 3 2 4 4 2 2 2" xfId="19296"/>
    <cellStyle name="Normal 2 2 2 3 2 4 4 2 2 2 2" xfId="52799"/>
    <cellStyle name="Normal 2 2 2 3 2 4 4 2 2 2 2 2" xfId="54622"/>
    <cellStyle name="Normal 2 2 2 3 2 4 4 2 2 3" xfId="32797"/>
    <cellStyle name="Normal 2 2 2 3 2 4 4 2 3" xfId="30973"/>
    <cellStyle name="Normal 2 2 2 3 2 4 4 2 3 2" xfId="41162"/>
    <cellStyle name="Normal 2 2 2 3 2 4 4 3" xfId="10947"/>
    <cellStyle name="Normal 2 2 2 3 2 4 4 3 2" xfId="39308"/>
    <cellStyle name="Normal 2 2 2 3 2 4 4 3 2 2" xfId="46306"/>
    <cellStyle name="Normal 2 2 2 3 2 4 4 4" xfId="24438"/>
    <cellStyle name="Normal 2 2 2 3 2 4 5" xfId="9051"/>
    <cellStyle name="Normal 2 2 2 3 2 4 5 2" xfId="14111"/>
    <cellStyle name="Normal 2 2 2 3 2 4 5 2 2" xfId="44448"/>
    <cellStyle name="Normal 2 2 2 3 2 4 5 2 2 2" xfId="49456"/>
    <cellStyle name="Normal 2 2 2 3 2 4 5 3" xfId="27611"/>
    <cellStyle name="Normal 2 2 2 3 2 4 6" xfId="22559"/>
    <cellStyle name="Normal 2 2 2 3 2 4 6 2" xfId="35922"/>
    <cellStyle name="Normal 2 2 2 3 2 5" xfId="693"/>
    <cellStyle name="Normal 2 2 2 3 2 5 2" xfId="2304"/>
    <cellStyle name="Normal 2 2 2 3 2 5 2 2" xfId="2775"/>
    <cellStyle name="Normal 2 2 2 3 2 5 2 2 2" xfId="7538"/>
    <cellStyle name="Normal 2 2 2 3 2 5 2 2 2 2" xfId="7992"/>
    <cellStyle name="Normal 2 2 2 3 2 5 2 2 2 2 2" xfId="21090"/>
    <cellStyle name="Normal 2 2 2 3 2 5 2 2 2 2 2 2" xfId="21544"/>
    <cellStyle name="Normal 2 2 2 3 2 5 2 2 2 2 2 2 2" xfId="56416"/>
    <cellStyle name="Normal 2 2 2 3 2 5 2 2 2 2 2 2 2 2" xfId="56870"/>
    <cellStyle name="Normal 2 2 2 3 2 5 2 2 2 2 2 3" xfId="35047"/>
    <cellStyle name="Normal 2 2 2 3 2 5 2 2 2 2 3" xfId="34593"/>
    <cellStyle name="Normal 2 2 2 3 2 5 2 2 2 2 3 2" xfId="43419"/>
    <cellStyle name="Normal 2 2 2 3 2 5 2 2 2 3" xfId="13217"/>
    <cellStyle name="Normal 2 2 2 3 2 5 2 2 2 3 2" xfId="42965"/>
    <cellStyle name="Normal 2 2 2 3 2 5 2 2 2 3 2 2" xfId="48563"/>
    <cellStyle name="Normal 2 2 2 3 2 5 2 2 2 4" xfId="26701"/>
    <cellStyle name="Normal 2 2 2 3 2 5 2 2 3" xfId="12763"/>
    <cellStyle name="Normal 2 2 2 3 2 5 2 2 3 2" xfId="16434"/>
    <cellStyle name="Normal 2 2 2 3 2 5 2 2 3 2 2" xfId="48109"/>
    <cellStyle name="Normal 2 2 2 3 2 5 2 2 3 2 2 2" xfId="51762"/>
    <cellStyle name="Normal 2 2 2 3 2 5 2 2 3 3" xfId="29936"/>
    <cellStyle name="Normal 2 2 2 3 2 5 2 2 4" xfId="26247"/>
    <cellStyle name="Normal 2 2 2 3 2 5 2 2 4 2" xfId="38246"/>
    <cellStyle name="Normal 2 2 2 3 2 5 2 3" xfId="4811"/>
    <cellStyle name="Normal 2 2 2 3 2 5 2 3 2" xfId="15968"/>
    <cellStyle name="Normal 2 2 2 3 2 5 2 3 2 2" xfId="18386"/>
    <cellStyle name="Normal 2 2 2 3 2 5 2 3 2 2 2" xfId="51300"/>
    <cellStyle name="Normal 2 2 2 3 2 5 2 3 2 2 2 2" xfId="53712"/>
    <cellStyle name="Normal 2 2 2 3 2 5 2 3 2 3" xfId="31887"/>
    <cellStyle name="Normal 2 2 2 3 2 5 2 3 3" xfId="29474"/>
    <cellStyle name="Normal 2 2 2 3 2 5 2 3 3 2" xfId="40248"/>
    <cellStyle name="Normal 2 2 2 3 2 5 2 4" xfId="10014"/>
    <cellStyle name="Normal 2 2 2 3 2 5 2 4 2" xfId="37782"/>
    <cellStyle name="Normal 2 2 2 3 2 5 2 4 2 2" xfId="45379"/>
    <cellStyle name="Normal 2 2 2 3 2 5 2 5" xfId="23502"/>
    <cellStyle name="Normal 2 2 2 3 2 5 3" xfId="4332"/>
    <cellStyle name="Normal 2 2 2 3 2 5 3 2" xfId="6021"/>
    <cellStyle name="Normal 2 2 2 3 2 5 3 2 2" xfId="17925"/>
    <cellStyle name="Normal 2 2 2 3 2 5 3 2 2 2" xfId="19586"/>
    <cellStyle name="Normal 2 2 2 3 2 5 3 2 2 2 2" xfId="53252"/>
    <cellStyle name="Normal 2 2 2 3 2 5 3 2 2 2 2 2" xfId="54912"/>
    <cellStyle name="Normal 2 2 2 3 2 5 3 2 2 3" xfId="33087"/>
    <cellStyle name="Normal 2 2 2 3 2 5 3 2 3" xfId="31427"/>
    <cellStyle name="Normal 2 2 2 3 2 5 3 2 3 2" xfId="41455"/>
    <cellStyle name="Normal 2 2 2 3 2 5 3 3" xfId="11246"/>
    <cellStyle name="Normal 2 2 2 3 2 5 3 3 2" xfId="39775"/>
    <cellStyle name="Normal 2 2 2 3 2 5 3 3 2 2" xfId="46602"/>
    <cellStyle name="Normal 2 2 2 3 2 5 3 4" xfId="24739"/>
    <cellStyle name="Normal 2 2 2 3 2 5 4" xfId="9528"/>
    <cellStyle name="Normal 2 2 2 3 2 5 4 2" xfId="14403"/>
    <cellStyle name="Normal 2 2 2 3 2 5 4 2 2" xfId="44910"/>
    <cellStyle name="Normal 2 2 2 3 2 5 4 2 2 2" xfId="49748"/>
    <cellStyle name="Normal 2 2 2 3 2 5 4 3" xfId="27915"/>
    <cellStyle name="Normal 2 2 2 3 2 5 5" xfId="23026"/>
    <cellStyle name="Normal 2 2 2 3 2 5 5 2" xfId="36215"/>
    <cellStyle name="Normal 2 2 2 3 2 6" xfId="1472"/>
    <cellStyle name="Normal 2 2 2 3 2 6 2" xfId="5543"/>
    <cellStyle name="Normal 2 2 2 3 2 6 2 2" xfId="6773"/>
    <cellStyle name="Normal 2 2 2 3 2 6 2 2 2" xfId="19116"/>
    <cellStyle name="Normal 2 2 2 3 2 6 2 2 2 2" xfId="20326"/>
    <cellStyle name="Normal 2 2 2 3 2 6 2 2 2 2 2" xfId="54442"/>
    <cellStyle name="Normal 2 2 2 3 2 6 2 2 2 2 2 2" xfId="55652"/>
    <cellStyle name="Normal 2 2 2 3 2 6 2 2 2 3" xfId="33828"/>
    <cellStyle name="Normal 2 2 2 3 2 6 2 2 3" xfId="32617"/>
    <cellStyle name="Normal 2 2 2 3 2 6 2 2 3 2" xfId="42201"/>
    <cellStyle name="Normal 2 2 2 3 2 6 2 3" xfId="11996"/>
    <cellStyle name="Normal 2 2 2 3 2 6 2 3 2" xfId="40980"/>
    <cellStyle name="Normal 2 2 2 3 2 6 2 3 2 2" xfId="47344"/>
    <cellStyle name="Normal 2 2 2 3 2 6 2 4" xfId="25481"/>
    <cellStyle name="Normal 2 2 2 3 2 6 3" xfId="10750"/>
    <cellStyle name="Normal 2 2 2 3 2 6 3 2" xfId="15158"/>
    <cellStyle name="Normal 2 2 2 3 2 6 3 2 2" xfId="46112"/>
    <cellStyle name="Normal 2 2 2 3 2 6 3 2 2 2" xfId="50497"/>
    <cellStyle name="Normal 2 2 2 3 2 6 3 3" xfId="28671"/>
    <cellStyle name="Normal 2 2 2 3 2 6 4" xfId="24237"/>
    <cellStyle name="Normal 2 2 2 3 2 6 4 2" xfId="36969"/>
    <cellStyle name="Normal 2 2 2 3 2 7" xfId="1967"/>
    <cellStyle name="Normal 2 2 2 3 2 7 2" xfId="13928"/>
    <cellStyle name="Normal 2 2 2 3 2 7 2 2" xfId="15631"/>
    <cellStyle name="Normal 2 2 2 3 2 7 2 2 2" xfId="49274"/>
    <cellStyle name="Normal 2 2 2 3 2 7 2 2 2 2" xfId="50963"/>
    <cellStyle name="Normal 2 2 2 3 2 7 2 3" xfId="29137"/>
    <cellStyle name="Normal 2 2 2 3 2 7 3" xfId="27414"/>
    <cellStyle name="Normal 2 2 2 3 2 7 3 2" xfId="37445"/>
    <cellStyle name="Normal 2 2 2 3 2 8" xfId="3683"/>
    <cellStyle name="Normal 2 2 2 3 2 8 2" xfId="27527"/>
    <cellStyle name="Normal 2 2 2 3 2 8 2 2" xfId="39134"/>
    <cellStyle name="Normal 2 2 2 3 2 9" xfId="3902"/>
    <cellStyle name="Normal 2 2 2 3 3" xfId="226"/>
    <cellStyle name="Normal 2 2 2 3 3 2" xfId="268"/>
    <cellStyle name="Normal 2 2 2 3 3 2 2" xfId="589"/>
    <cellStyle name="Normal 2 2 2 3 3 2 2 2" xfId="613"/>
    <cellStyle name="Normal 2 2 2 3 3 2 2 2 2" xfId="1385"/>
    <cellStyle name="Normal 2 2 2 3 3 2 2 2 2 2" xfId="1409"/>
    <cellStyle name="Normal 2 2 2 3 3 2 2 2 2 2 2" xfId="3403"/>
    <cellStyle name="Normal 2 2 2 3 3 2 2 2 2 2 2 2" xfId="3427"/>
    <cellStyle name="Normal 2 2 2 3 3 2 2 2 2 2 2 2 2" xfId="8618"/>
    <cellStyle name="Normal 2 2 2 3 3 2 2 2 2 2 2 2 2 2" xfId="8642"/>
    <cellStyle name="Normal 2 2 2 3 3 2 2 2 2 2 2 2 2 2 2" xfId="22170"/>
    <cellStyle name="Normal 2 2 2 3 3 2 2 2 2 2 2 2 2 2 2 2" xfId="22194"/>
    <cellStyle name="Normal 2 2 2 3 3 2 2 2 2 2 2 2 2 2 2 2 2" xfId="57496"/>
    <cellStyle name="Normal 2 2 2 3 3 2 2 2 2 2 2 2 2 2 2 2 2 2" xfId="57520"/>
    <cellStyle name="Normal 2 2 2 3 3 2 2 2 2 2 2 2 2 2 2 3" xfId="35697"/>
    <cellStyle name="Normal 2 2 2 3 3 2 2 2 2 2 2 2 2 2 3" xfId="35673"/>
    <cellStyle name="Normal 2 2 2 3 3 2 2 2 2 2 2 2 2 2 3 2" xfId="44069"/>
    <cellStyle name="Normal 2 2 2 3 3 2 2 2 2 2 2 2 2 3" xfId="13867"/>
    <cellStyle name="Normal 2 2 2 3 3 2 2 2 2 2 2 2 2 3 2" xfId="44045"/>
    <cellStyle name="Normal 2 2 2 3 3 2 2 2 2 2 2 2 2 3 2 2" xfId="49213"/>
    <cellStyle name="Normal 2 2 2 3 3 2 2 2 2 2 2 2 2 4" xfId="27352"/>
    <cellStyle name="Normal 2 2 2 3 3 2 2 2 2 2 2 2 3" xfId="13843"/>
    <cellStyle name="Normal 2 2 2 3 3 2 2 2 2 2 2 2 3 2" xfId="17084"/>
    <cellStyle name="Normal 2 2 2 3 3 2 2 2 2 2 2 2 3 2 2" xfId="49189"/>
    <cellStyle name="Normal 2 2 2 3 3 2 2 2 2 2 2 2 3 2 2 2" xfId="52412"/>
    <cellStyle name="Normal 2 2 2 3 3 2 2 2 2 2 2 2 3 3" xfId="30586"/>
    <cellStyle name="Normal 2 2 2 3 3 2 2 2 2 2 2 2 4" xfId="27328"/>
    <cellStyle name="Normal 2 2 2 3 3 2 2 2 2 2 2 2 4 2" xfId="38896"/>
    <cellStyle name="Normal 2 2 2 3 3 2 2 2 2 2 2 3" xfId="5464"/>
    <cellStyle name="Normal 2 2 2 3 3 2 2 2 2 2 2 3 2" xfId="17060"/>
    <cellStyle name="Normal 2 2 2 3 3 2 2 2 2 2 2 3 2 2" xfId="19037"/>
    <cellStyle name="Normal 2 2 2 3 3 2 2 2 2 2 2 3 2 2 2" xfId="52388"/>
    <cellStyle name="Normal 2 2 2 3 3 2 2 2 2 2 2 3 2 2 2 2" xfId="54363"/>
    <cellStyle name="Normal 2 2 2 3 3 2 2 2 2 2 2 3 2 3" xfId="32538"/>
    <cellStyle name="Normal 2 2 2 3 3 2 2 2 2 2 2 3 3" xfId="30562"/>
    <cellStyle name="Normal 2 2 2 3 3 2 2 2 2 2 2 3 3 2" xfId="40901"/>
    <cellStyle name="Normal 2 2 2 3 3 2 2 2 2 2 2 4" xfId="10667"/>
    <cellStyle name="Normal 2 2 2 3 3 2 2 2 2 2 2 4 2" xfId="38872"/>
    <cellStyle name="Normal 2 2 2 3 3 2 2 2 2 2 2 4 2 2" xfId="46030"/>
    <cellStyle name="Normal 2 2 2 3 3 2 2 2 2 2 2 5" xfId="24153"/>
    <cellStyle name="Normal 2 2 2 3 3 2 2 2 2 2 3" xfId="5440"/>
    <cellStyle name="Normal 2 2 2 3 3 2 2 2 2 2 3 2" xfId="6717"/>
    <cellStyle name="Normal 2 2 2 3 3 2 2 2 2 2 3 2 2" xfId="19013"/>
    <cellStyle name="Normal 2 2 2 3 3 2 2 2 2 2 3 2 2 2" xfId="20270"/>
    <cellStyle name="Normal 2 2 2 3 3 2 2 2 2 2 3 2 2 2 2" xfId="54339"/>
    <cellStyle name="Normal 2 2 2 3 3 2 2 2 2 2 3 2 2 2 2 2" xfId="55596"/>
    <cellStyle name="Normal 2 2 2 3 3 2 2 2 2 2 3 2 2 3" xfId="33772"/>
    <cellStyle name="Normal 2 2 2 3 3 2 2 2 2 2 3 2 3" xfId="32514"/>
    <cellStyle name="Normal 2 2 2 3 3 2 2 2 2 2 3 2 3 2" xfId="42145"/>
    <cellStyle name="Normal 2 2 2 3 3 2 2 2 2 2 3 3" xfId="11940"/>
    <cellStyle name="Normal 2 2 2 3 3 2 2 2 2 2 3 3 2" xfId="40877"/>
    <cellStyle name="Normal 2 2 2 3 3 2 2 2 2 2 3 3 2 2" xfId="47288"/>
    <cellStyle name="Normal 2 2 2 3 3 2 2 2 2 2 3 4" xfId="25425"/>
    <cellStyle name="Normal 2 2 2 3 3 2 2 2 2 2 4" xfId="10643"/>
    <cellStyle name="Normal 2 2 2 3 3 2 2 2 2 2 4 2" xfId="15098"/>
    <cellStyle name="Normal 2 2 2 3 3 2 2 2 2 2 4 2 2" xfId="46006"/>
    <cellStyle name="Normal 2 2 2 3 3 2 2 2 2 2 4 2 2 2" xfId="50437"/>
    <cellStyle name="Normal 2 2 2 3 3 2 2 2 2 2 4 3" xfId="28611"/>
    <cellStyle name="Normal 2 2 2 3 3 2 2 2 2 2 5" xfId="24129"/>
    <cellStyle name="Normal 2 2 2 3 3 2 2 2 2 2 5 2" xfId="36906"/>
    <cellStyle name="Normal 2 2 2 3 3 2 2 2 2 3" xfId="2216"/>
    <cellStyle name="Normal 2 2 2 3 3 2 2 2 2 3 2" xfId="6693"/>
    <cellStyle name="Normal 2 2 2 3 3 2 2 2 2 3 2 2" xfId="7450"/>
    <cellStyle name="Normal 2 2 2 3 3 2 2 2 2 3 2 2 2" xfId="20246"/>
    <cellStyle name="Normal 2 2 2 3 3 2 2 2 2 3 2 2 2 2" xfId="21002"/>
    <cellStyle name="Normal 2 2 2 3 3 2 2 2 2 3 2 2 2 2 2" xfId="55572"/>
    <cellStyle name="Normal 2 2 2 3 3 2 2 2 2 3 2 2 2 2 2 2" xfId="56328"/>
    <cellStyle name="Normal 2 2 2 3 3 2 2 2 2 3 2 2 2 3" xfId="34505"/>
    <cellStyle name="Normal 2 2 2 3 3 2 2 2 2 3 2 2 3" xfId="33748"/>
    <cellStyle name="Normal 2 2 2 3 3 2 2 2 2 3 2 2 3 2" xfId="42877"/>
    <cellStyle name="Normal 2 2 2 3 3 2 2 2 2 3 2 3" xfId="12675"/>
    <cellStyle name="Normal 2 2 2 3 3 2 2 2 2 3 2 3 2" xfId="42121"/>
    <cellStyle name="Normal 2 2 2 3 3 2 2 2 2 3 2 3 2 2" xfId="48021"/>
    <cellStyle name="Normal 2 2 2 3 3 2 2 2 2 3 2 4" xfId="26159"/>
    <cellStyle name="Normal 2 2 2 3 3 2 2 2 2 3 3" xfId="11916"/>
    <cellStyle name="Normal 2 2 2 3 3 2 2 2 2 3 3 2" xfId="15880"/>
    <cellStyle name="Normal 2 2 2 3 3 2 2 2 2 3 3 2 2" xfId="47264"/>
    <cellStyle name="Normal 2 2 2 3 3 2 2 2 2 3 3 2 2 2" xfId="51212"/>
    <cellStyle name="Normal 2 2 2 3 3 2 2 2 2 3 3 3" xfId="29386"/>
    <cellStyle name="Normal 2 2 2 3 3 2 2 2 2 3 4" xfId="25401"/>
    <cellStyle name="Normal 2 2 2 3 3 2 2 2 2 3 4 2" xfId="37694"/>
    <cellStyle name="Normal 2 2 2 3 3 2 2 2 2 4" xfId="4232"/>
    <cellStyle name="Normal 2 2 2 3 3 2 2 2 2 4 2" xfId="15074"/>
    <cellStyle name="Normal 2 2 2 3 3 2 2 2 2 4 2 2" xfId="17825"/>
    <cellStyle name="Normal 2 2 2 3 3 2 2 2 2 4 2 2 2" xfId="50413"/>
    <cellStyle name="Normal 2 2 2 3 3 2 2 2 2 4 2 2 2 2" xfId="53152"/>
    <cellStyle name="Normal 2 2 2 3 3 2 2 2 2 4 2 3" xfId="31327"/>
    <cellStyle name="Normal 2 2 2 3 3 2 2 2 2 4 3" xfId="28587"/>
    <cellStyle name="Normal 2 2 2 3 3 2 2 2 2 4 3 2" xfId="39675"/>
    <cellStyle name="Normal 2 2 2 3 3 2 2 2 2 5" xfId="9423"/>
    <cellStyle name="Normal 2 2 2 3 3 2 2 2 2 5 2" xfId="36882"/>
    <cellStyle name="Normal 2 2 2 3 3 2 2 2 2 5 2 2" xfId="44805"/>
    <cellStyle name="Normal 2 2 2 3 3 2 2 2 2 6" xfId="22919"/>
    <cellStyle name="Normal 2 2 2 3 3 2 2 2 3" xfId="2192"/>
    <cellStyle name="Normal 2 2 2 3 3 2 2 2 3 2" xfId="2703"/>
    <cellStyle name="Normal 2 2 2 3 3 2 2 2 3 2 2" xfId="7426"/>
    <cellStyle name="Normal 2 2 2 3 3 2 2 2 3 2 2 2" xfId="7922"/>
    <cellStyle name="Normal 2 2 2 3 3 2 2 2 3 2 2 2 2" xfId="20978"/>
    <cellStyle name="Normal 2 2 2 3 3 2 2 2 3 2 2 2 2 2" xfId="21474"/>
    <cellStyle name="Normal 2 2 2 3 3 2 2 2 3 2 2 2 2 2 2" xfId="56304"/>
    <cellStyle name="Normal 2 2 2 3 3 2 2 2 3 2 2 2 2 2 2 2" xfId="56800"/>
    <cellStyle name="Normal 2 2 2 3 3 2 2 2 3 2 2 2 2 3" xfId="34977"/>
    <cellStyle name="Normal 2 2 2 3 3 2 2 2 3 2 2 2 3" xfId="34481"/>
    <cellStyle name="Normal 2 2 2 3 3 2 2 2 3 2 2 2 3 2" xfId="43349"/>
    <cellStyle name="Normal 2 2 2 3 3 2 2 2 3 2 2 3" xfId="13147"/>
    <cellStyle name="Normal 2 2 2 3 3 2 2 2 3 2 2 3 2" xfId="42853"/>
    <cellStyle name="Normal 2 2 2 3 3 2 2 2 3 2 2 3 2 2" xfId="48493"/>
    <cellStyle name="Normal 2 2 2 3 3 2 2 2 3 2 2 4" xfId="26631"/>
    <cellStyle name="Normal 2 2 2 3 3 2 2 2 3 2 3" xfId="12651"/>
    <cellStyle name="Normal 2 2 2 3 3 2 2 2 3 2 3 2" xfId="16362"/>
    <cellStyle name="Normal 2 2 2 3 3 2 2 2 3 2 3 2 2" xfId="47997"/>
    <cellStyle name="Normal 2 2 2 3 3 2 2 2 3 2 3 2 2 2" xfId="51692"/>
    <cellStyle name="Normal 2 2 2 3 3 2 2 2 3 2 3 3" xfId="29866"/>
    <cellStyle name="Normal 2 2 2 3 3 2 2 2 3 2 4" xfId="26135"/>
    <cellStyle name="Normal 2 2 2 3 3 2 2 2 3 2 4 2" xfId="38176"/>
    <cellStyle name="Normal 2 2 2 3 3 2 2 2 3 3" xfId="4739"/>
    <cellStyle name="Normal 2 2 2 3 3 2 2 2 3 3 2" xfId="15856"/>
    <cellStyle name="Normal 2 2 2 3 3 2 2 2 3 3 2 2" xfId="18316"/>
    <cellStyle name="Normal 2 2 2 3 3 2 2 2 3 3 2 2 2" xfId="51188"/>
    <cellStyle name="Normal 2 2 2 3 3 2 2 2 3 3 2 2 2 2" xfId="53642"/>
    <cellStyle name="Normal 2 2 2 3 3 2 2 2 3 3 2 3" xfId="31817"/>
    <cellStyle name="Normal 2 2 2 3 3 2 2 2 3 3 3" xfId="29362"/>
    <cellStyle name="Normal 2 2 2 3 3 2 2 2 3 3 3 2" xfId="40177"/>
    <cellStyle name="Normal 2 2 2 3 3 2 2 2 3 4" xfId="9942"/>
    <cellStyle name="Normal 2 2 2 3 3 2 2 2 3 4 2" xfId="37670"/>
    <cellStyle name="Normal 2 2 2 3 3 2 2 2 3 4 2 2" xfId="45309"/>
    <cellStyle name="Normal 2 2 2 3 3 2 2 2 3 5" xfId="23432"/>
    <cellStyle name="Normal 2 2 2 3 3 2 2 2 4" xfId="4208"/>
    <cellStyle name="Normal 2 2 2 3 3 2 2 2 4 2" xfId="5944"/>
    <cellStyle name="Normal 2 2 2 3 3 2 2 2 4 2 2" xfId="17801"/>
    <cellStyle name="Normal 2 2 2 3 3 2 2 2 4 2 2 2" xfId="19511"/>
    <cellStyle name="Normal 2 2 2 3 3 2 2 2 4 2 2 2 2" xfId="53128"/>
    <cellStyle name="Normal 2 2 2 3 3 2 2 2 4 2 2 2 2 2" xfId="54837"/>
    <cellStyle name="Normal 2 2 2 3 3 2 2 2 4 2 2 3" xfId="33012"/>
    <cellStyle name="Normal 2 2 2 3 3 2 2 2 4 2 3" xfId="31303"/>
    <cellStyle name="Normal 2 2 2 3 3 2 2 2 4 2 3 2" xfId="41378"/>
    <cellStyle name="Normal 2 2 2 3 3 2 2 2 4 3" xfId="11169"/>
    <cellStyle name="Normal 2 2 2 3 3 2 2 2 4 3 2" xfId="39651"/>
    <cellStyle name="Normal 2 2 2 3 3 2 2 2 4 3 2 2" xfId="46527"/>
    <cellStyle name="Normal 2 2 2 3 3 2 2 2 4 4" xfId="24662"/>
    <cellStyle name="Normal 2 2 2 3 3 2 2 2 5" xfId="9399"/>
    <cellStyle name="Normal 2 2 2 3 3 2 2 2 5 2" xfId="14328"/>
    <cellStyle name="Normal 2 2 2 3 3 2 2 2 5 2 2" xfId="44781"/>
    <cellStyle name="Normal 2 2 2 3 3 2 2 2 5 2 2 2" xfId="49673"/>
    <cellStyle name="Normal 2 2 2 3 3 2 2 2 5 3" xfId="27838"/>
    <cellStyle name="Normal 2 2 2 3 3 2 2 2 6" xfId="22895"/>
    <cellStyle name="Normal 2 2 2 3 3 2 2 2 6 2" xfId="36140"/>
    <cellStyle name="Normal 2 2 2 3 3 2 2 3" xfId="941"/>
    <cellStyle name="Normal 2 2 2 3 3 2 2 3 2" xfId="2679"/>
    <cellStyle name="Normal 2 2 2 3 3 2 2 3 2 2" xfId="2979"/>
    <cellStyle name="Normal 2 2 2 3 3 2 2 3 2 2 2" xfId="7898"/>
    <cellStyle name="Normal 2 2 2 3 3 2 2 3 2 2 2 2" xfId="8194"/>
    <cellStyle name="Normal 2 2 2 3 3 2 2 3 2 2 2 2 2" xfId="21450"/>
    <cellStyle name="Normal 2 2 2 3 3 2 2 3 2 2 2 2 2 2" xfId="21746"/>
    <cellStyle name="Normal 2 2 2 3 3 2 2 3 2 2 2 2 2 2 2" xfId="56776"/>
    <cellStyle name="Normal 2 2 2 3 3 2 2 3 2 2 2 2 2 2 2 2" xfId="57072"/>
    <cellStyle name="Normal 2 2 2 3 3 2 2 3 2 2 2 2 2 3" xfId="35249"/>
    <cellStyle name="Normal 2 2 2 3 3 2 2 3 2 2 2 2 3" xfId="34953"/>
    <cellStyle name="Normal 2 2 2 3 3 2 2 3 2 2 2 2 3 2" xfId="43621"/>
    <cellStyle name="Normal 2 2 2 3 3 2 2 3 2 2 2 3" xfId="13419"/>
    <cellStyle name="Normal 2 2 2 3 3 2 2 3 2 2 2 3 2" xfId="43325"/>
    <cellStyle name="Normal 2 2 2 3 3 2 2 3 2 2 2 3 2 2" xfId="48765"/>
    <cellStyle name="Normal 2 2 2 3 3 2 2 3 2 2 2 4" xfId="26904"/>
    <cellStyle name="Normal 2 2 2 3 3 2 2 3 2 2 3" xfId="13123"/>
    <cellStyle name="Normal 2 2 2 3 3 2 2 3 2 2 3 2" xfId="16636"/>
    <cellStyle name="Normal 2 2 2 3 3 2 2 3 2 2 3 2 2" xfId="48469"/>
    <cellStyle name="Normal 2 2 2 3 3 2 2 3 2 2 3 2 2 2" xfId="51964"/>
    <cellStyle name="Normal 2 2 2 3 3 2 2 3 2 2 3 3" xfId="30138"/>
    <cellStyle name="Normal 2 2 2 3 3 2 2 3 2 2 4" xfId="26607"/>
    <cellStyle name="Normal 2 2 2 3 3 2 2 3 2 2 4 2" xfId="38448"/>
    <cellStyle name="Normal 2 2 2 3 3 2 2 3 2 3" xfId="5015"/>
    <cellStyle name="Normal 2 2 2 3 3 2 2 3 2 3 2" xfId="16338"/>
    <cellStyle name="Normal 2 2 2 3 3 2 2 3 2 3 2 2" xfId="18588"/>
    <cellStyle name="Normal 2 2 2 3 3 2 2 3 2 3 2 2 2" xfId="51668"/>
    <cellStyle name="Normal 2 2 2 3 3 2 2 3 2 3 2 2 2 2" xfId="53914"/>
    <cellStyle name="Normal 2 2 2 3 3 2 2 3 2 3 2 3" xfId="32089"/>
    <cellStyle name="Normal 2 2 2 3 3 2 2 3 2 3 3" xfId="29842"/>
    <cellStyle name="Normal 2 2 2 3 3 2 2 3 2 3 3 2" xfId="40452"/>
    <cellStyle name="Normal 2 2 2 3 3 2 2 3 2 4" xfId="10218"/>
    <cellStyle name="Normal 2 2 2 3 3 2 2 3 2 4 2" xfId="38152"/>
    <cellStyle name="Normal 2 2 2 3 3 2 2 3 2 4 2 2" xfId="45581"/>
    <cellStyle name="Normal 2 2 2 3 3 2 2 3 2 5" xfId="23704"/>
    <cellStyle name="Normal 2 2 2 3 3 2 2 3 3" xfId="4715"/>
    <cellStyle name="Normal 2 2 2 3 3 2 2 3 3 2" xfId="6252"/>
    <cellStyle name="Normal 2 2 2 3 3 2 2 3 3 2 2" xfId="18292"/>
    <cellStyle name="Normal 2 2 2 3 3 2 2 3 3 2 2 2" xfId="19809"/>
    <cellStyle name="Normal 2 2 2 3 3 2 2 3 3 2 2 2 2" xfId="53618"/>
    <cellStyle name="Normal 2 2 2 3 3 2 2 3 3 2 2 2 2 2" xfId="55135"/>
    <cellStyle name="Normal 2 2 2 3 3 2 2 3 3 2 2 3" xfId="33311"/>
    <cellStyle name="Normal 2 2 2 3 3 2 2 3 3 2 3" xfId="31793"/>
    <cellStyle name="Normal 2 2 2 3 3 2 2 3 3 2 3 2" xfId="41681"/>
    <cellStyle name="Normal 2 2 2 3 3 2 2 3 3 3" xfId="11477"/>
    <cellStyle name="Normal 2 2 2 3 3 2 2 3 3 3 2" xfId="40153"/>
    <cellStyle name="Normal 2 2 2 3 3 2 2 3 3 3 2 2" xfId="46826"/>
    <cellStyle name="Normal 2 2 2 3 3 2 2 3 3 4" xfId="24963"/>
    <cellStyle name="Normal 2 2 2 3 3 2 2 3 4" xfId="9918"/>
    <cellStyle name="Normal 2 2 2 3 3 2 2 3 4 2" xfId="14635"/>
    <cellStyle name="Normal 2 2 2 3 3 2 2 3 4 2 2" xfId="45285"/>
    <cellStyle name="Normal 2 2 2 3 3 2 2 3 4 2 2 2" xfId="49974"/>
    <cellStyle name="Normal 2 2 2 3 3 2 2 3 4 3" xfId="28146"/>
    <cellStyle name="Normal 2 2 2 3 3 2 2 3 5" xfId="23408"/>
    <cellStyle name="Normal 2 2 2 3 3 2 2 3 5 2" xfId="36443"/>
    <cellStyle name="Normal 2 2 2 3 3 2 2 4" xfId="1737"/>
    <cellStyle name="Normal 2 2 2 3 3 2 2 4 2" xfId="5920"/>
    <cellStyle name="Normal 2 2 2 3 3 2 2 4 2 2" xfId="6990"/>
    <cellStyle name="Normal 2 2 2 3 3 2 2 4 2 2 2" xfId="19487"/>
    <cellStyle name="Normal 2 2 2 3 3 2 2 4 2 2 2 2" xfId="20543"/>
    <cellStyle name="Normal 2 2 2 3 3 2 2 4 2 2 2 2 2" xfId="54813"/>
    <cellStyle name="Normal 2 2 2 3 3 2 2 4 2 2 2 2 2 2" xfId="55869"/>
    <cellStyle name="Normal 2 2 2 3 3 2 2 4 2 2 2 3" xfId="34045"/>
    <cellStyle name="Normal 2 2 2 3 3 2 2 4 2 2 3" xfId="32988"/>
    <cellStyle name="Normal 2 2 2 3 3 2 2 4 2 2 3 2" xfId="42418"/>
    <cellStyle name="Normal 2 2 2 3 3 2 2 4 2 3" xfId="12214"/>
    <cellStyle name="Normal 2 2 2 3 3 2 2 4 2 3 2" xfId="41354"/>
    <cellStyle name="Normal 2 2 2 3 3 2 2 4 2 3 2 2" xfId="47561"/>
    <cellStyle name="Normal 2 2 2 3 3 2 2 4 2 4" xfId="25699"/>
    <cellStyle name="Normal 2 2 2 3 3 2 2 4 3" xfId="11145"/>
    <cellStyle name="Normal 2 2 2 3 3 2 2 4 3 2" xfId="15409"/>
    <cellStyle name="Normal 2 2 2 3 3 2 2 4 3 2 2" xfId="46503"/>
    <cellStyle name="Normal 2 2 2 3 3 2 2 4 3 2 2 2" xfId="50742"/>
    <cellStyle name="Normal 2 2 2 3 3 2 2 4 3 3" xfId="28916"/>
    <cellStyle name="Normal 2 2 2 3 3 2 2 4 4" xfId="24638"/>
    <cellStyle name="Normal 2 2 2 3 3 2 2 4 4 2" xfId="37219"/>
    <cellStyle name="Normal 2 2 2 3 3 2 2 5" xfId="3742"/>
    <cellStyle name="Normal 2 2 2 3 3 2 2 5 2" xfId="14304"/>
    <cellStyle name="Normal 2 2 2 3 3 2 2 5 2 2" xfId="17358"/>
    <cellStyle name="Normal 2 2 2 3 3 2 2 5 2 2 2" xfId="49649"/>
    <cellStyle name="Normal 2 2 2 3 3 2 2 5 2 2 2 2" xfId="52685"/>
    <cellStyle name="Normal 2 2 2 3 3 2 2 5 2 3" xfId="30859"/>
    <cellStyle name="Normal 2 2 2 3 3 2 2 5 3" xfId="27814"/>
    <cellStyle name="Normal 2 2 2 3 3 2 2 5 3 2" xfId="39193"/>
    <cellStyle name="Normal 2 2 2 3 3 2 2 6" xfId="8932"/>
    <cellStyle name="Normal 2 2 2 3 3 2 2 6 2" xfId="36116"/>
    <cellStyle name="Normal 2 2 2 3 3 2 2 6 2 2" xfId="44331"/>
    <cellStyle name="Normal 2 2 2 3 3 2 2 7" xfId="22439"/>
    <cellStyle name="Normal 2 2 2 3 3 2 3" xfId="917"/>
    <cellStyle name="Normal 2 2 2 3 3 2 3 2" xfId="1134"/>
    <cellStyle name="Normal 2 2 2 3 3 2 3 2 2" xfId="2955"/>
    <cellStyle name="Normal 2 2 2 3 3 2 3 2 2 2" xfId="3159"/>
    <cellStyle name="Normal 2 2 2 3 3 2 3 2 2 2 2" xfId="8170"/>
    <cellStyle name="Normal 2 2 2 3 3 2 3 2 2 2 2 2" xfId="8374"/>
    <cellStyle name="Normal 2 2 2 3 3 2 3 2 2 2 2 2 2" xfId="21722"/>
    <cellStyle name="Normal 2 2 2 3 3 2 3 2 2 2 2 2 2 2" xfId="21926"/>
    <cellStyle name="Normal 2 2 2 3 3 2 3 2 2 2 2 2 2 2 2" xfId="57048"/>
    <cellStyle name="Normal 2 2 2 3 3 2 3 2 2 2 2 2 2 2 2 2" xfId="57252"/>
    <cellStyle name="Normal 2 2 2 3 3 2 3 2 2 2 2 2 2 3" xfId="35429"/>
    <cellStyle name="Normal 2 2 2 3 3 2 3 2 2 2 2 2 3" xfId="35225"/>
    <cellStyle name="Normal 2 2 2 3 3 2 3 2 2 2 2 2 3 2" xfId="43801"/>
    <cellStyle name="Normal 2 2 2 3 3 2 3 2 2 2 2 3" xfId="13599"/>
    <cellStyle name="Normal 2 2 2 3 3 2 3 2 2 2 2 3 2" xfId="43597"/>
    <cellStyle name="Normal 2 2 2 3 3 2 3 2 2 2 2 3 2 2" xfId="48945"/>
    <cellStyle name="Normal 2 2 2 3 3 2 3 2 2 2 2 4" xfId="27084"/>
    <cellStyle name="Normal 2 2 2 3 3 2 3 2 2 2 3" xfId="13395"/>
    <cellStyle name="Normal 2 2 2 3 3 2 3 2 2 2 3 2" xfId="16816"/>
    <cellStyle name="Normal 2 2 2 3 3 2 3 2 2 2 3 2 2" xfId="48741"/>
    <cellStyle name="Normal 2 2 2 3 3 2 3 2 2 2 3 2 2 2" xfId="52144"/>
    <cellStyle name="Normal 2 2 2 3 3 2 3 2 2 2 3 3" xfId="30318"/>
    <cellStyle name="Normal 2 2 2 3 3 2 3 2 2 2 4" xfId="26880"/>
    <cellStyle name="Normal 2 2 2 3 3 2 3 2 2 2 4 2" xfId="38628"/>
    <cellStyle name="Normal 2 2 2 3 3 2 3 2 2 3" xfId="5196"/>
    <cellStyle name="Normal 2 2 2 3 3 2 3 2 2 3 2" xfId="16612"/>
    <cellStyle name="Normal 2 2 2 3 3 2 3 2 2 3 2 2" xfId="18769"/>
    <cellStyle name="Normal 2 2 2 3 3 2 3 2 2 3 2 2 2" xfId="51940"/>
    <cellStyle name="Normal 2 2 2 3 3 2 3 2 2 3 2 2 2 2" xfId="54095"/>
    <cellStyle name="Normal 2 2 2 3 3 2 3 2 2 3 2 3" xfId="32270"/>
    <cellStyle name="Normal 2 2 2 3 3 2 3 2 2 3 3" xfId="30114"/>
    <cellStyle name="Normal 2 2 2 3 3 2 3 2 2 3 3 2" xfId="40633"/>
    <cellStyle name="Normal 2 2 2 3 3 2 3 2 2 4" xfId="10399"/>
    <cellStyle name="Normal 2 2 2 3 3 2 3 2 2 4 2" xfId="38424"/>
    <cellStyle name="Normal 2 2 2 3 3 2 3 2 2 4 2 2" xfId="45762"/>
    <cellStyle name="Normal 2 2 2 3 3 2 3 2 2 5" xfId="23885"/>
    <cellStyle name="Normal 2 2 2 3 3 2 3 2 3" xfId="4991"/>
    <cellStyle name="Normal 2 2 2 3 3 2 3 2 3 2" xfId="6442"/>
    <cellStyle name="Normal 2 2 2 3 3 2 3 2 3 2 2" xfId="18564"/>
    <cellStyle name="Normal 2 2 2 3 3 2 3 2 3 2 2 2" xfId="19997"/>
    <cellStyle name="Normal 2 2 2 3 3 2 3 2 3 2 2 2 2" xfId="53890"/>
    <cellStyle name="Normal 2 2 2 3 3 2 3 2 3 2 2 2 2 2" xfId="55323"/>
    <cellStyle name="Normal 2 2 2 3 3 2 3 2 3 2 2 3" xfId="33499"/>
    <cellStyle name="Normal 2 2 2 3 3 2 3 2 3 2 3" xfId="32065"/>
    <cellStyle name="Normal 2 2 2 3 3 2 3 2 3 2 3 2" xfId="41870"/>
    <cellStyle name="Normal 2 2 2 3 3 2 3 2 3 3" xfId="11666"/>
    <cellStyle name="Normal 2 2 2 3 3 2 3 2 3 3 2" xfId="40428"/>
    <cellStyle name="Normal 2 2 2 3 3 2 3 2 3 3 2 2" xfId="47015"/>
    <cellStyle name="Normal 2 2 2 3 3 2 3 2 3 4" xfId="25152"/>
    <cellStyle name="Normal 2 2 2 3 3 2 3 2 4" xfId="10194"/>
    <cellStyle name="Normal 2 2 2 3 3 2 3 2 4 2" xfId="14825"/>
    <cellStyle name="Normal 2 2 2 3 3 2 3 2 4 2 2" xfId="45557"/>
    <cellStyle name="Normal 2 2 2 3 3 2 3 2 4 2 2 2" xfId="50164"/>
    <cellStyle name="Normal 2 2 2 3 3 2 3 2 4 3" xfId="28337"/>
    <cellStyle name="Normal 2 2 2 3 3 2 3 2 5" xfId="23680"/>
    <cellStyle name="Normal 2 2 2 3 3 2 3 2 5 2" xfId="36633"/>
    <cellStyle name="Normal 2 2 2 3 3 2 3 3" xfId="1942"/>
    <cellStyle name="Normal 2 2 2 3 3 2 3 3 2" xfId="6228"/>
    <cellStyle name="Normal 2 2 2 3 3 2 3 3 2 2" xfId="7181"/>
    <cellStyle name="Normal 2 2 2 3 3 2 3 3 2 2 2" xfId="19785"/>
    <cellStyle name="Normal 2 2 2 3 3 2 3 3 2 2 2 2" xfId="20733"/>
    <cellStyle name="Normal 2 2 2 3 3 2 3 3 2 2 2 2 2" xfId="55111"/>
    <cellStyle name="Normal 2 2 2 3 3 2 3 3 2 2 2 2 2 2" xfId="56059"/>
    <cellStyle name="Normal 2 2 2 3 3 2 3 3 2 2 2 3" xfId="34236"/>
    <cellStyle name="Normal 2 2 2 3 3 2 3 3 2 2 3" xfId="33287"/>
    <cellStyle name="Normal 2 2 2 3 3 2 3 3 2 2 3 2" xfId="42608"/>
    <cellStyle name="Normal 2 2 2 3 3 2 3 3 2 3" xfId="12406"/>
    <cellStyle name="Normal 2 2 2 3 3 2 3 3 2 3 2" xfId="41657"/>
    <cellStyle name="Normal 2 2 2 3 3 2 3 3 2 3 2 2" xfId="47752"/>
    <cellStyle name="Normal 2 2 2 3 3 2 3 3 2 4" xfId="25890"/>
    <cellStyle name="Normal 2 2 2 3 3 2 3 3 3" xfId="11453"/>
    <cellStyle name="Normal 2 2 2 3 3 2 3 3 3 2" xfId="15607"/>
    <cellStyle name="Normal 2 2 2 3 3 2 3 3 3 2 2" xfId="46802"/>
    <cellStyle name="Normal 2 2 2 3 3 2 3 3 3 2 2 2" xfId="50939"/>
    <cellStyle name="Normal 2 2 2 3 3 2 3 3 3 3" xfId="29113"/>
    <cellStyle name="Normal 2 2 2 3 3 2 3 3 4" xfId="24939"/>
    <cellStyle name="Normal 2 2 2 3 3 2 3 3 4 2" xfId="37420"/>
    <cellStyle name="Normal 2 2 2 3 3 2 3 4" xfId="3956"/>
    <cellStyle name="Normal 2 2 2 3 3 2 3 4 2" xfId="14611"/>
    <cellStyle name="Normal 2 2 2 3 3 2 3 4 2 2" xfId="17556"/>
    <cellStyle name="Normal 2 2 2 3 3 2 3 4 2 2 2" xfId="49950"/>
    <cellStyle name="Normal 2 2 2 3 3 2 3 4 2 2 2 2" xfId="52883"/>
    <cellStyle name="Normal 2 2 2 3 3 2 3 4 2 3" xfId="31058"/>
    <cellStyle name="Normal 2 2 2 3 3 2 3 4 3" xfId="28122"/>
    <cellStyle name="Normal 2 2 2 3 3 2 3 4 3 2" xfId="39400"/>
    <cellStyle name="Normal 2 2 2 3 3 2 3 5" xfId="9148"/>
    <cellStyle name="Normal 2 2 2 3 3 2 3 5 2" xfId="36419"/>
    <cellStyle name="Normal 2 2 2 3 3 2 3 5 2 2" xfId="44536"/>
    <cellStyle name="Normal 2 2 2 3 3 2 3 6" xfId="22650"/>
    <cellStyle name="Normal 2 2 2 3 3 2 4" xfId="1713"/>
    <cellStyle name="Normal 2 2 2 3 3 2 4 2" xfId="2390"/>
    <cellStyle name="Normal 2 2 2 3 3 2 4 2 2" xfId="6966"/>
    <cellStyle name="Normal 2 2 2 3 3 2 4 2 2 2" xfId="7623"/>
    <cellStyle name="Normal 2 2 2 3 3 2 4 2 2 2 2" xfId="20519"/>
    <cellStyle name="Normal 2 2 2 3 3 2 4 2 2 2 2 2" xfId="21175"/>
    <cellStyle name="Normal 2 2 2 3 3 2 4 2 2 2 2 2 2" xfId="55845"/>
    <cellStyle name="Normal 2 2 2 3 3 2 4 2 2 2 2 2 2 2" xfId="56501"/>
    <cellStyle name="Normal 2 2 2 3 3 2 4 2 2 2 2 3" xfId="34678"/>
    <cellStyle name="Normal 2 2 2 3 3 2 4 2 2 2 3" xfId="34021"/>
    <cellStyle name="Normal 2 2 2 3 3 2 4 2 2 2 3 2" xfId="43050"/>
    <cellStyle name="Normal 2 2 2 3 3 2 4 2 2 3" xfId="12848"/>
    <cellStyle name="Normal 2 2 2 3 3 2 4 2 2 3 2" xfId="42394"/>
    <cellStyle name="Normal 2 2 2 3 3 2 4 2 2 3 2 2" xfId="48194"/>
    <cellStyle name="Normal 2 2 2 3 3 2 4 2 2 4" xfId="26332"/>
    <cellStyle name="Normal 2 2 2 3 3 2 4 2 3" xfId="12190"/>
    <cellStyle name="Normal 2 2 2 3 3 2 4 2 3 2" xfId="16053"/>
    <cellStyle name="Normal 2 2 2 3 3 2 4 2 3 2 2" xfId="47537"/>
    <cellStyle name="Normal 2 2 2 3 3 2 4 2 3 2 2 2" xfId="51385"/>
    <cellStyle name="Normal 2 2 2 3 3 2 4 2 3 3" xfId="29559"/>
    <cellStyle name="Normal 2 2 2 3 3 2 4 2 4" xfId="25675"/>
    <cellStyle name="Normal 2 2 2 3 3 2 4 2 4 2" xfId="37868"/>
    <cellStyle name="Normal 2 2 2 3 3 2 4 3" xfId="4424"/>
    <cellStyle name="Normal 2 2 2 3 3 2 4 3 2" xfId="15385"/>
    <cellStyle name="Normal 2 2 2 3 3 2 4 3 2 2" xfId="18015"/>
    <cellStyle name="Normal 2 2 2 3 3 2 4 3 2 2 2" xfId="50718"/>
    <cellStyle name="Normal 2 2 2 3 3 2 4 3 2 2 2 2" xfId="53341"/>
    <cellStyle name="Normal 2 2 2 3 3 2 4 3 2 3" xfId="31516"/>
    <cellStyle name="Normal 2 2 2 3 3 2 4 3 3" xfId="28892"/>
    <cellStyle name="Normal 2 2 2 3 3 2 4 3 3 2" xfId="39866"/>
    <cellStyle name="Normal 2 2 2 3 3 2 4 4" xfId="9627"/>
    <cellStyle name="Normal 2 2 2 3 3 2 4 4 2" xfId="37195"/>
    <cellStyle name="Normal 2 2 2 3 3 2 4 4 2 2" xfId="45007"/>
    <cellStyle name="Normal 2 2 2 3 3 2 4 5" xfId="23128"/>
    <cellStyle name="Normal 2 2 2 3 3 2 5" xfId="3718"/>
    <cellStyle name="Normal 2 2 2 3 3 2 5 2" xfId="5631"/>
    <cellStyle name="Normal 2 2 2 3 3 2 5 2 2" xfId="17334"/>
    <cellStyle name="Normal 2 2 2 3 3 2 5 2 2 2" xfId="19203"/>
    <cellStyle name="Normal 2 2 2 3 3 2 5 2 2 2 2" xfId="52661"/>
    <cellStyle name="Normal 2 2 2 3 3 2 5 2 2 2 2 2" xfId="54529"/>
    <cellStyle name="Normal 2 2 2 3 3 2 5 2 2 3" xfId="32704"/>
    <cellStyle name="Normal 2 2 2 3 3 2 5 2 3" xfId="30835"/>
    <cellStyle name="Normal 2 2 2 3 3 2 5 2 3 2" xfId="41067"/>
    <cellStyle name="Normal 2 2 2 3 3 2 5 3" xfId="10847"/>
    <cellStyle name="Normal 2 2 2 3 3 2 5 3 2" xfId="39169"/>
    <cellStyle name="Normal 2 2 2 3 3 2 5 3 2 2" xfId="46209"/>
    <cellStyle name="Normal 2 2 2 3 3 2 5 4" xfId="24339"/>
    <cellStyle name="Normal 2 2 2 3 3 2 6" xfId="8908"/>
    <cellStyle name="Normal 2 2 2 3 3 2 6 2" xfId="14015"/>
    <cellStyle name="Normal 2 2 2 3 3 2 6 2 2" xfId="44307"/>
    <cellStyle name="Normal 2 2 2 3 3 2 6 2 2 2" xfId="49361"/>
    <cellStyle name="Normal 2 2 2 3 3 2 6 3" xfId="27509"/>
    <cellStyle name="Normal 2 2 2 3 3 2 7" xfId="22415"/>
    <cellStyle name="Normal 2 2 2 3 3 2 7 2" xfId="35827"/>
    <cellStyle name="Normal 2 2 2 3 3 3" xfId="413"/>
    <cellStyle name="Normal 2 2 2 3 3 3 2" xfId="1098"/>
    <cellStyle name="Normal 2 2 2 3 3 3 2 2" xfId="1243"/>
    <cellStyle name="Normal 2 2 2 3 3 3 2 2 2" xfId="3128"/>
    <cellStyle name="Normal 2 2 2 3 3 3 2 2 2 2" xfId="3261"/>
    <cellStyle name="Normal 2 2 2 3 3 3 2 2 2 2 2" xfId="8343"/>
    <cellStyle name="Normal 2 2 2 3 3 3 2 2 2 2 2 2" xfId="8476"/>
    <cellStyle name="Normal 2 2 2 3 3 3 2 2 2 2 2 2 2" xfId="21895"/>
    <cellStyle name="Normal 2 2 2 3 3 3 2 2 2 2 2 2 2 2" xfId="22028"/>
    <cellStyle name="Normal 2 2 2 3 3 3 2 2 2 2 2 2 2 2 2" xfId="57221"/>
    <cellStyle name="Normal 2 2 2 3 3 3 2 2 2 2 2 2 2 2 2 2" xfId="57354"/>
    <cellStyle name="Normal 2 2 2 3 3 3 2 2 2 2 2 2 2 3" xfId="35531"/>
    <cellStyle name="Normal 2 2 2 3 3 3 2 2 2 2 2 2 3" xfId="35398"/>
    <cellStyle name="Normal 2 2 2 3 3 3 2 2 2 2 2 2 3 2" xfId="43903"/>
    <cellStyle name="Normal 2 2 2 3 3 3 2 2 2 2 2 3" xfId="13701"/>
    <cellStyle name="Normal 2 2 2 3 3 3 2 2 2 2 2 3 2" xfId="43770"/>
    <cellStyle name="Normal 2 2 2 3 3 3 2 2 2 2 2 3 2 2" xfId="49047"/>
    <cellStyle name="Normal 2 2 2 3 3 3 2 2 2 2 2 4" xfId="27186"/>
    <cellStyle name="Normal 2 2 2 3 3 3 2 2 2 2 3" xfId="13568"/>
    <cellStyle name="Normal 2 2 2 3 3 3 2 2 2 2 3 2" xfId="16918"/>
    <cellStyle name="Normal 2 2 2 3 3 3 2 2 2 2 3 2 2" xfId="48914"/>
    <cellStyle name="Normal 2 2 2 3 3 3 2 2 2 2 3 2 2 2" xfId="52246"/>
    <cellStyle name="Normal 2 2 2 3 3 3 2 2 2 2 3 3" xfId="30420"/>
    <cellStyle name="Normal 2 2 2 3 3 3 2 2 2 2 4" xfId="27053"/>
    <cellStyle name="Normal 2 2 2 3 3 3 2 2 2 2 4 2" xfId="38730"/>
    <cellStyle name="Normal 2 2 2 3 3 3 2 2 2 3" xfId="5298"/>
    <cellStyle name="Normal 2 2 2 3 3 3 2 2 2 3 2" xfId="16785"/>
    <cellStyle name="Normal 2 2 2 3 3 3 2 2 2 3 2 2" xfId="18871"/>
    <cellStyle name="Normal 2 2 2 3 3 3 2 2 2 3 2 2 2" xfId="52113"/>
    <cellStyle name="Normal 2 2 2 3 3 3 2 2 2 3 2 2 2 2" xfId="54197"/>
    <cellStyle name="Normal 2 2 2 3 3 3 2 2 2 3 2 3" xfId="32372"/>
    <cellStyle name="Normal 2 2 2 3 3 3 2 2 2 3 3" xfId="30287"/>
    <cellStyle name="Normal 2 2 2 3 3 3 2 2 2 3 3 2" xfId="40735"/>
    <cellStyle name="Normal 2 2 2 3 3 3 2 2 2 4" xfId="10501"/>
    <cellStyle name="Normal 2 2 2 3 3 3 2 2 2 4 2" xfId="38597"/>
    <cellStyle name="Normal 2 2 2 3 3 3 2 2 2 4 2 2" xfId="45864"/>
    <cellStyle name="Normal 2 2 2 3 3 3 2 2 2 5" xfId="23987"/>
    <cellStyle name="Normal 2 2 2 3 3 3 2 2 3" xfId="5165"/>
    <cellStyle name="Normal 2 2 2 3 3 3 2 2 3 2" xfId="6551"/>
    <cellStyle name="Normal 2 2 2 3 3 3 2 2 3 2 2" xfId="18738"/>
    <cellStyle name="Normal 2 2 2 3 3 3 2 2 3 2 2 2" xfId="20104"/>
    <cellStyle name="Normal 2 2 2 3 3 3 2 2 3 2 2 2 2" xfId="54064"/>
    <cellStyle name="Normal 2 2 2 3 3 3 2 2 3 2 2 2 2 2" xfId="55430"/>
    <cellStyle name="Normal 2 2 2 3 3 3 2 2 3 2 2 3" xfId="33606"/>
    <cellStyle name="Normal 2 2 2 3 3 3 2 2 3 2 3" xfId="32239"/>
    <cellStyle name="Normal 2 2 2 3 3 3 2 2 3 2 3 2" xfId="41979"/>
    <cellStyle name="Normal 2 2 2 3 3 3 2 2 3 3" xfId="11774"/>
    <cellStyle name="Normal 2 2 2 3 3 3 2 2 3 3 2" xfId="40602"/>
    <cellStyle name="Normal 2 2 2 3 3 3 2 2 3 3 2 2" xfId="47122"/>
    <cellStyle name="Normal 2 2 2 3 3 3 2 2 3 4" xfId="25259"/>
    <cellStyle name="Normal 2 2 2 3 3 3 2 2 4" xfId="10368"/>
    <cellStyle name="Normal 2 2 2 3 3 3 2 2 4 2" xfId="14932"/>
    <cellStyle name="Normal 2 2 2 3 3 3 2 2 4 2 2" xfId="45731"/>
    <cellStyle name="Normal 2 2 2 3 3 3 2 2 4 2 2 2" xfId="50271"/>
    <cellStyle name="Normal 2 2 2 3 3 3 2 2 4 3" xfId="28445"/>
    <cellStyle name="Normal 2 2 2 3 3 3 2 2 5" xfId="23854"/>
    <cellStyle name="Normal 2 2 2 3 3 3 2 2 5 2" xfId="36740"/>
    <cellStyle name="Normal 2 2 2 3 3 3 2 3" xfId="2049"/>
    <cellStyle name="Normal 2 2 2 3 3 3 2 3 2" xfId="6407"/>
    <cellStyle name="Normal 2 2 2 3 3 3 2 3 2 2" xfId="7283"/>
    <cellStyle name="Normal 2 2 2 3 3 3 2 3 2 2 2" xfId="19963"/>
    <cellStyle name="Normal 2 2 2 3 3 3 2 3 2 2 2 2" xfId="20835"/>
    <cellStyle name="Normal 2 2 2 3 3 3 2 3 2 2 2 2 2" xfId="55289"/>
    <cellStyle name="Normal 2 2 2 3 3 3 2 3 2 2 2 2 2 2" xfId="56161"/>
    <cellStyle name="Normal 2 2 2 3 3 3 2 3 2 2 2 3" xfId="34338"/>
    <cellStyle name="Normal 2 2 2 3 3 3 2 3 2 2 3" xfId="33465"/>
    <cellStyle name="Normal 2 2 2 3 3 3 2 3 2 2 3 2" xfId="42710"/>
    <cellStyle name="Normal 2 2 2 3 3 3 2 3 2 3" xfId="12508"/>
    <cellStyle name="Normal 2 2 2 3 3 3 2 3 2 3 2" xfId="41836"/>
    <cellStyle name="Normal 2 2 2 3 3 3 2 3 2 3 2 2" xfId="47854"/>
    <cellStyle name="Normal 2 2 2 3 3 3 2 3 2 4" xfId="25992"/>
    <cellStyle name="Normal 2 2 2 3 3 3 2 3 3" xfId="11632"/>
    <cellStyle name="Normal 2 2 2 3 3 3 2 3 3 2" xfId="15713"/>
    <cellStyle name="Normal 2 2 2 3 3 3 2 3 3 2 2" xfId="46981"/>
    <cellStyle name="Normal 2 2 2 3 3 3 2 3 3 2 2 2" xfId="51045"/>
    <cellStyle name="Normal 2 2 2 3 3 3 2 3 3 3" xfId="29219"/>
    <cellStyle name="Normal 2 2 2 3 3 3 2 3 4" xfId="25118"/>
    <cellStyle name="Normal 2 2 2 3 3 3 2 3 4 2" xfId="37527"/>
    <cellStyle name="Normal 2 2 2 3 3 3 2 4" xfId="4065"/>
    <cellStyle name="Normal 2 2 2 3 3 3 2 4 2" xfId="14790"/>
    <cellStyle name="Normal 2 2 2 3 3 3 2 4 2 2" xfId="17658"/>
    <cellStyle name="Normal 2 2 2 3 3 3 2 4 2 2 2" xfId="50129"/>
    <cellStyle name="Normal 2 2 2 3 3 3 2 4 2 2 2 2" xfId="52985"/>
    <cellStyle name="Normal 2 2 2 3 3 3 2 4 2 3" xfId="31160"/>
    <cellStyle name="Normal 2 2 2 3 3 3 2 4 3" xfId="28302"/>
    <cellStyle name="Normal 2 2 2 3 3 3 2 4 3 2" xfId="39508"/>
    <cellStyle name="Normal 2 2 2 3 3 3 2 5" xfId="9256"/>
    <cellStyle name="Normal 2 2 2 3 3 3 2 5 2" xfId="36598"/>
    <cellStyle name="Normal 2 2 2 3 3 3 2 5 2 2" xfId="44638"/>
    <cellStyle name="Normal 2 2 2 3 3 3 2 6" xfId="22752"/>
    <cellStyle name="Normal 2 2 2 3 3 3 3" xfId="1906"/>
    <cellStyle name="Normal 2 2 2 3 3 3 3 2" xfId="2515"/>
    <cellStyle name="Normal 2 2 2 3 3 3 3 2 2" xfId="7150"/>
    <cellStyle name="Normal 2 2 2 3 3 3 3 2 2 2" xfId="7740"/>
    <cellStyle name="Normal 2 2 2 3 3 3 3 2 2 2 2" xfId="20702"/>
    <cellStyle name="Normal 2 2 2 3 3 3 3 2 2 2 2 2" xfId="21292"/>
    <cellStyle name="Normal 2 2 2 3 3 3 3 2 2 2 2 2 2" xfId="56028"/>
    <cellStyle name="Normal 2 2 2 3 3 3 3 2 2 2 2 2 2 2" xfId="56618"/>
    <cellStyle name="Normal 2 2 2 3 3 3 3 2 2 2 2 3" xfId="34795"/>
    <cellStyle name="Normal 2 2 2 3 3 3 3 2 2 2 3" xfId="34205"/>
    <cellStyle name="Normal 2 2 2 3 3 3 3 2 2 2 3 2" xfId="43167"/>
    <cellStyle name="Normal 2 2 2 3 3 3 3 2 2 3" xfId="12965"/>
    <cellStyle name="Normal 2 2 2 3 3 3 3 2 2 3 2" xfId="42577"/>
    <cellStyle name="Normal 2 2 2 3 3 3 3 2 2 3 2 2" xfId="48311"/>
    <cellStyle name="Normal 2 2 2 3 3 3 3 2 2 4" xfId="26449"/>
    <cellStyle name="Normal 2 2 2 3 3 3 3 2 3" xfId="12375"/>
    <cellStyle name="Normal 2 2 2 3 3 3 3 2 3 2" xfId="16176"/>
    <cellStyle name="Normal 2 2 2 3 3 3 3 2 3 2 2" xfId="47721"/>
    <cellStyle name="Normal 2 2 2 3 3 3 3 2 3 2 2 2" xfId="51507"/>
    <cellStyle name="Normal 2 2 2 3 3 3 3 2 3 3" xfId="29681"/>
    <cellStyle name="Normal 2 2 2 3 3 3 3 2 4" xfId="25859"/>
    <cellStyle name="Normal 2 2 2 3 3 3 3 2 4 2" xfId="37990"/>
    <cellStyle name="Normal 2 2 2 3 3 3 3 3" xfId="4550"/>
    <cellStyle name="Normal 2 2 2 3 3 3 3 3 2" xfId="15573"/>
    <cellStyle name="Normal 2 2 2 3 3 3 3 3 2 2" xfId="18133"/>
    <cellStyle name="Normal 2 2 2 3 3 3 3 3 2 2 2" xfId="50905"/>
    <cellStyle name="Normal 2 2 2 3 3 3 3 3 2 2 2 2" xfId="53459"/>
    <cellStyle name="Normal 2 2 2 3 3 3 3 3 2 3" xfId="31634"/>
    <cellStyle name="Normal 2 2 2 3 3 3 3 3 3" xfId="29079"/>
    <cellStyle name="Normal 2 2 2 3 3 3 3 3 3 2" xfId="39991"/>
    <cellStyle name="Normal 2 2 2 3 3 3 3 4" xfId="9753"/>
    <cellStyle name="Normal 2 2 2 3 3 3 3 4 2" xfId="37385"/>
    <cellStyle name="Normal 2 2 2 3 3 3 3 4 2 2" xfId="45126"/>
    <cellStyle name="Normal 2 2 2 3 3 3 3 5" xfId="23249"/>
    <cellStyle name="Normal 2 2 2 3 3 3 4" xfId="3920"/>
    <cellStyle name="Normal 2 2 2 3 3 3 4 2" xfId="5756"/>
    <cellStyle name="Normal 2 2 2 3 3 3 4 2 2" xfId="17525"/>
    <cellStyle name="Normal 2 2 2 3 3 3 4 2 2 2" xfId="19325"/>
    <cellStyle name="Normal 2 2 2 3 3 3 4 2 2 2 2" xfId="52852"/>
    <cellStyle name="Normal 2 2 2 3 3 3 4 2 2 2 2 2" xfId="54651"/>
    <cellStyle name="Normal 2 2 2 3 3 3 4 2 2 3" xfId="32826"/>
    <cellStyle name="Normal 2 2 2 3 3 3 4 2 3" xfId="31027"/>
    <cellStyle name="Normal 2 2 2 3 3 3 4 2 3 2" xfId="41191"/>
    <cellStyle name="Normal 2 2 2 3 3 3 4 3" xfId="10977"/>
    <cellStyle name="Normal 2 2 2 3 3 3 4 3 2" xfId="39365"/>
    <cellStyle name="Normal 2 2 2 3 3 3 4 3 2 2" xfId="46336"/>
    <cellStyle name="Normal 2 2 2 3 3 3 4 4" xfId="24470"/>
    <cellStyle name="Normal 2 2 2 3 3 3 5" xfId="9112"/>
    <cellStyle name="Normal 2 2 2 3 3 3 5 2" xfId="14140"/>
    <cellStyle name="Normal 2 2 2 3 3 3 5 2 2" xfId="44504"/>
    <cellStyle name="Normal 2 2 2 3 3 3 5 2 2 2" xfId="49485"/>
    <cellStyle name="Normal 2 2 2 3 3 3 5 3" xfId="27642"/>
    <cellStyle name="Normal 2 2 2 3 3 3 6" xfId="22618"/>
    <cellStyle name="Normal 2 2 2 3 3 3 6 2" xfId="35951"/>
    <cellStyle name="Normal 2 2 2 3 3 4" xfId="731"/>
    <cellStyle name="Normal 2 2 2 3 3 4 2" xfId="2355"/>
    <cellStyle name="Normal 2 2 2 3 3 4 2 2" xfId="2802"/>
    <cellStyle name="Normal 2 2 2 3 3 4 2 2 2" xfId="7589"/>
    <cellStyle name="Normal 2 2 2 3 3 4 2 2 2 2" xfId="8018"/>
    <cellStyle name="Normal 2 2 2 3 3 4 2 2 2 2 2" xfId="21141"/>
    <cellStyle name="Normal 2 2 2 3 3 4 2 2 2 2 2 2" xfId="21570"/>
    <cellStyle name="Normal 2 2 2 3 3 4 2 2 2 2 2 2 2" xfId="56467"/>
    <cellStyle name="Normal 2 2 2 3 3 4 2 2 2 2 2 2 2 2" xfId="56896"/>
    <cellStyle name="Normal 2 2 2 3 3 4 2 2 2 2 2 3" xfId="35073"/>
    <cellStyle name="Normal 2 2 2 3 3 4 2 2 2 2 3" xfId="34644"/>
    <cellStyle name="Normal 2 2 2 3 3 4 2 2 2 2 3 2" xfId="43445"/>
    <cellStyle name="Normal 2 2 2 3 3 4 2 2 2 3" xfId="13243"/>
    <cellStyle name="Normal 2 2 2 3 3 4 2 2 2 3 2" xfId="43016"/>
    <cellStyle name="Normal 2 2 2 3 3 4 2 2 2 3 2 2" xfId="48589"/>
    <cellStyle name="Normal 2 2 2 3 3 4 2 2 2 4" xfId="26727"/>
    <cellStyle name="Normal 2 2 2 3 3 4 2 2 3" xfId="12814"/>
    <cellStyle name="Normal 2 2 2 3 3 4 2 2 3 2" xfId="16460"/>
    <cellStyle name="Normal 2 2 2 3 3 4 2 2 3 2 2" xfId="48160"/>
    <cellStyle name="Normal 2 2 2 3 3 4 2 2 3 2 2 2" xfId="51788"/>
    <cellStyle name="Normal 2 2 2 3 3 4 2 2 3 3" xfId="29962"/>
    <cellStyle name="Normal 2 2 2 3 3 4 2 2 4" xfId="26298"/>
    <cellStyle name="Normal 2 2 2 3 3 4 2 2 4 2" xfId="38272"/>
    <cellStyle name="Normal 2 2 2 3 3 4 2 3" xfId="4838"/>
    <cellStyle name="Normal 2 2 2 3 3 4 2 3 2" xfId="16019"/>
    <cellStyle name="Normal 2 2 2 3 3 4 2 3 2 2" xfId="18412"/>
    <cellStyle name="Normal 2 2 2 3 3 4 2 3 2 2 2" xfId="51351"/>
    <cellStyle name="Normal 2 2 2 3 3 4 2 3 2 2 2 2" xfId="53738"/>
    <cellStyle name="Normal 2 2 2 3 3 4 2 3 2 3" xfId="31913"/>
    <cellStyle name="Normal 2 2 2 3 3 4 2 3 3" xfId="29525"/>
    <cellStyle name="Normal 2 2 2 3 3 4 2 3 3 2" xfId="40275"/>
    <cellStyle name="Normal 2 2 2 3 3 4 2 4" xfId="10041"/>
    <cellStyle name="Normal 2 2 2 3 3 4 2 4 2" xfId="37833"/>
    <cellStyle name="Normal 2 2 2 3 3 4 2 4 2 2" xfId="45405"/>
    <cellStyle name="Normal 2 2 2 3 3 4 2 5" xfId="23528"/>
    <cellStyle name="Normal 2 2 2 3 3 4 3" xfId="4386"/>
    <cellStyle name="Normal 2 2 2 3 3 4 3 2" xfId="6054"/>
    <cellStyle name="Normal 2 2 2 3 3 4 3 2 2" xfId="17978"/>
    <cellStyle name="Normal 2 2 2 3 3 4 3 2 2 2" xfId="19618"/>
    <cellStyle name="Normal 2 2 2 3 3 4 3 2 2 2 2" xfId="53304"/>
    <cellStyle name="Normal 2 2 2 3 3 4 3 2 2 2 2 2" xfId="54944"/>
    <cellStyle name="Normal 2 2 2 3 3 4 3 2 2 3" xfId="33119"/>
    <cellStyle name="Normal 2 2 2 3 3 4 3 2 3" xfId="31479"/>
    <cellStyle name="Normal 2 2 2 3 3 4 3 2 3 2" xfId="41488"/>
    <cellStyle name="Normal 2 2 2 3 3 4 3 3" xfId="11280"/>
    <cellStyle name="Normal 2 2 2 3 3 4 3 3 2" xfId="39828"/>
    <cellStyle name="Normal 2 2 2 3 3 4 3 3 2 2" xfId="46635"/>
    <cellStyle name="Normal 2 2 2 3 3 4 3 4" xfId="24772"/>
    <cellStyle name="Normal 2 2 2 3 3 4 4" xfId="9588"/>
    <cellStyle name="Normal 2 2 2 3 3 4 4 2" xfId="14437"/>
    <cellStyle name="Normal 2 2 2 3 3 4 4 2 2" xfId="44969"/>
    <cellStyle name="Normal 2 2 2 3 3 4 4 2 2 2" xfId="49782"/>
    <cellStyle name="Normal 2 2 2 3 3 4 4 3" xfId="27950"/>
    <cellStyle name="Normal 2 2 2 3 3 4 5" xfId="23089"/>
    <cellStyle name="Normal 2 2 2 3 3 4 5 2" xfId="36250"/>
    <cellStyle name="Normal 2 2 2 3 3 5" xfId="1515"/>
    <cellStyle name="Normal 2 2 2 3 3 5 2" xfId="5596"/>
    <cellStyle name="Normal 2 2 2 3 3 5 2 2" xfId="6804"/>
    <cellStyle name="Normal 2 2 2 3 3 5 2 2 2" xfId="19168"/>
    <cellStyle name="Normal 2 2 2 3 3 5 2 2 2 2" xfId="20357"/>
    <cellStyle name="Normal 2 2 2 3 3 5 2 2 2 2 2" xfId="54494"/>
    <cellStyle name="Normal 2 2 2 3 3 5 2 2 2 2 2 2" xfId="55683"/>
    <cellStyle name="Normal 2 2 2 3 3 5 2 2 2 3" xfId="33859"/>
    <cellStyle name="Normal 2 2 2 3 3 5 2 2 3" xfId="32669"/>
    <cellStyle name="Normal 2 2 2 3 3 5 2 2 3 2" xfId="42232"/>
    <cellStyle name="Normal 2 2 2 3 3 5 2 3" xfId="12028"/>
    <cellStyle name="Normal 2 2 2 3 3 5 2 3 2" xfId="41032"/>
    <cellStyle name="Normal 2 2 2 3 3 5 2 3 2 2" xfId="47375"/>
    <cellStyle name="Normal 2 2 2 3 3 5 2 4" xfId="25512"/>
    <cellStyle name="Normal 2 2 2 3 3 5 3" xfId="10808"/>
    <cellStyle name="Normal 2 2 2 3 3 5 3 2" xfId="15197"/>
    <cellStyle name="Normal 2 2 2 3 3 5 3 2 2" xfId="46170"/>
    <cellStyle name="Normal 2 2 2 3 3 5 3 2 2 2" xfId="50535"/>
    <cellStyle name="Normal 2 2 2 3 3 5 3 3" xfId="28709"/>
    <cellStyle name="Normal 2 2 2 3 3 5 4" xfId="24298"/>
    <cellStyle name="Normal 2 2 2 3 3 5 4 2" xfId="37007"/>
    <cellStyle name="Normal 2 2 2 3 3 6" xfId="3515"/>
    <cellStyle name="Normal 2 2 2 3 3 6 2" xfId="13980"/>
    <cellStyle name="Normal 2 2 2 3 3 6 2 2" xfId="17168"/>
    <cellStyle name="Normal 2 2 2 3 3 6 2 2 2" xfId="49326"/>
    <cellStyle name="Normal 2 2 2 3 3 6 2 2 2 2" xfId="52495"/>
    <cellStyle name="Normal 2 2 2 3 3 6 2 3" xfId="30669"/>
    <cellStyle name="Normal 2 2 2 3 3 6 3" xfId="27472"/>
    <cellStyle name="Normal 2 2 2 3 3 6 3 2" xfId="38981"/>
    <cellStyle name="Normal 2 2 2 3 3 7" xfId="8708"/>
    <cellStyle name="Normal 2 2 2 3 3 7 2" xfId="35792"/>
    <cellStyle name="Normal 2 2 2 3 3 7 2 2" xfId="44135"/>
    <cellStyle name="Normal 2 2 2 3 3 8" xfId="3550"/>
    <cellStyle name="Normal 2 2 2 3 4" xfId="365"/>
    <cellStyle name="Normal 2 2 2 3 4 2" xfId="485"/>
    <cellStyle name="Normal 2 2 2 3 4 2 2" xfId="1213"/>
    <cellStyle name="Normal 2 2 2 3 4 2 2 2" xfId="1299"/>
    <cellStyle name="Normal 2 2 2 3 4 2 2 2 2" xfId="3231"/>
    <cellStyle name="Normal 2 2 2 3 4 2 2 2 2 2" xfId="3317"/>
    <cellStyle name="Normal 2 2 2 3 4 2 2 2 2 2 2" xfId="8446"/>
    <cellStyle name="Normal 2 2 2 3 4 2 2 2 2 2 2 2" xfId="8532"/>
    <cellStyle name="Normal 2 2 2 3 4 2 2 2 2 2 2 2 2" xfId="21998"/>
    <cellStyle name="Normal 2 2 2 3 4 2 2 2 2 2 2 2 2 2" xfId="22084"/>
    <cellStyle name="Normal 2 2 2 3 4 2 2 2 2 2 2 2 2 2 2" xfId="57324"/>
    <cellStyle name="Normal 2 2 2 3 4 2 2 2 2 2 2 2 2 2 2 2" xfId="57410"/>
    <cellStyle name="Normal 2 2 2 3 4 2 2 2 2 2 2 2 2 3" xfId="35587"/>
    <cellStyle name="Normal 2 2 2 3 4 2 2 2 2 2 2 2 3" xfId="35501"/>
    <cellStyle name="Normal 2 2 2 3 4 2 2 2 2 2 2 2 3 2" xfId="43959"/>
    <cellStyle name="Normal 2 2 2 3 4 2 2 2 2 2 2 3" xfId="13757"/>
    <cellStyle name="Normal 2 2 2 3 4 2 2 2 2 2 2 3 2" xfId="43873"/>
    <cellStyle name="Normal 2 2 2 3 4 2 2 2 2 2 2 3 2 2" xfId="49103"/>
    <cellStyle name="Normal 2 2 2 3 4 2 2 2 2 2 2 4" xfId="27242"/>
    <cellStyle name="Normal 2 2 2 3 4 2 2 2 2 2 3" xfId="13671"/>
    <cellStyle name="Normal 2 2 2 3 4 2 2 2 2 2 3 2" xfId="16974"/>
    <cellStyle name="Normal 2 2 2 3 4 2 2 2 2 2 3 2 2" xfId="49017"/>
    <cellStyle name="Normal 2 2 2 3 4 2 2 2 2 2 3 2 2 2" xfId="52302"/>
    <cellStyle name="Normal 2 2 2 3 4 2 2 2 2 2 3 3" xfId="30476"/>
    <cellStyle name="Normal 2 2 2 3 4 2 2 2 2 2 4" xfId="27156"/>
    <cellStyle name="Normal 2 2 2 3 4 2 2 2 2 2 4 2" xfId="38786"/>
    <cellStyle name="Normal 2 2 2 3 4 2 2 2 2 3" xfId="5354"/>
    <cellStyle name="Normal 2 2 2 3 4 2 2 2 2 3 2" xfId="16888"/>
    <cellStyle name="Normal 2 2 2 3 4 2 2 2 2 3 2 2" xfId="18927"/>
    <cellStyle name="Normal 2 2 2 3 4 2 2 2 2 3 2 2 2" xfId="52216"/>
    <cellStyle name="Normal 2 2 2 3 4 2 2 2 2 3 2 2 2 2" xfId="54253"/>
    <cellStyle name="Normal 2 2 2 3 4 2 2 2 2 3 2 3" xfId="32428"/>
    <cellStyle name="Normal 2 2 2 3 4 2 2 2 2 3 3" xfId="30390"/>
    <cellStyle name="Normal 2 2 2 3 4 2 2 2 2 3 3 2" xfId="40791"/>
    <cellStyle name="Normal 2 2 2 3 4 2 2 2 2 4" xfId="10557"/>
    <cellStyle name="Normal 2 2 2 3 4 2 2 2 2 4 2" xfId="38700"/>
    <cellStyle name="Normal 2 2 2 3 4 2 2 2 2 4 2 2" xfId="45920"/>
    <cellStyle name="Normal 2 2 2 3 4 2 2 2 2 5" xfId="24043"/>
    <cellStyle name="Normal 2 2 2 3 4 2 2 2 3" xfId="5268"/>
    <cellStyle name="Normal 2 2 2 3 4 2 2 2 3 2" xfId="6607"/>
    <cellStyle name="Normal 2 2 2 3 4 2 2 2 3 2 2" xfId="18841"/>
    <cellStyle name="Normal 2 2 2 3 4 2 2 2 3 2 2 2" xfId="20160"/>
    <cellStyle name="Normal 2 2 2 3 4 2 2 2 3 2 2 2 2" xfId="54167"/>
    <cellStyle name="Normal 2 2 2 3 4 2 2 2 3 2 2 2 2 2" xfId="55486"/>
    <cellStyle name="Normal 2 2 2 3 4 2 2 2 3 2 2 3" xfId="33662"/>
    <cellStyle name="Normal 2 2 2 3 4 2 2 2 3 2 3" xfId="32342"/>
    <cellStyle name="Normal 2 2 2 3 4 2 2 2 3 2 3 2" xfId="42035"/>
    <cellStyle name="Normal 2 2 2 3 4 2 2 2 3 3" xfId="11830"/>
    <cellStyle name="Normal 2 2 2 3 4 2 2 2 3 3 2" xfId="40705"/>
    <cellStyle name="Normal 2 2 2 3 4 2 2 2 3 3 2 2" xfId="47178"/>
    <cellStyle name="Normal 2 2 2 3 4 2 2 2 3 4" xfId="25315"/>
    <cellStyle name="Normal 2 2 2 3 4 2 2 2 4" xfId="10471"/>
    <cellStyle name="Normal 2 2 2 3 4 2 2 2 4 2" xfId="14988"/>
    <cellStyle name="Normal 2 2 2 3 4 2 2 2 4 2 2" xfId="45834"/>
    <cellStyle name="Normal 2 2 2 3 4 2 2 2 4 2 2 2" xfId="50327"/>
    <cellStyle name="Normal 2 2 2 3 4 2 2 2 4 3" xfId="28501"/>
    <cellStyle name="Normal 2 2 2 3 4 2 2 2 5" xfId="23957"/>
    <cellStyle name="Normal 2 2 2 3 4 2 2 2 5 2" xfId="36796"/>
    <cellStyle name="Normal 2 2 2 3 4 2 2 3" xfId="2105"/>
    <cellStyle name="Normal 2 2 2 3 4 2 2 3 2" xfId="6521"/>
    <cellStyle name="Normal 2 2 2 3 4 2 2 3 2 2" xfId="7339"/>
    <cellStyle name="Normal 2 2 2 3 4 2 2 3 2 2 2" xfId="20074"/>
    <cellStyle name="Normal 2 2 2 3 4 2 2 3 2 2 2 2" xfId="20891"/>
    <cellStyle name="Normal 2 2 2 3 4 2 2 3 2 2 2 2 2" xfId="55400"/>
    <cellStyle name="Normal 2 2 2 3 4 2 2 3 2 2 2 2 2 2" xfId="56217"/>
    <cellStyle name="Normal 2 2 2 3 4 2 2 3 2 2 2 3" xfId="34394"/>
    <cellStyle name="Normal 2 2 2 3 4 2 2 3 2 2 3" xfId="33576"/>
    <cellStyle name="Normal 2 2 2 3 4 2 2 3 2 2 3 2" xfId="42766"/>
    <cellStyle name="Normal 2 2 2 3 4 2 2 3 2 3" xfId="12564"/>
    <cellStyle name="Normal 2 2 2 3 4 2 2 3 2 3 2" xfId="41949"/>
    <cellStyle name="Normal 2 2 2 3 4 2 2 3 2 3 2 2" xfId="47910"/>
    <cellStyle name="Normal 2 2 2 3 4 2 2 3 2 4" xfId="26048"/>
    <cellStyle name="Normal 2 2 2 3 4 2 2 3 3" xfId="11744"/>
    <cellStyle name="Normal 2 2 2 3 4 2 2 3 3 2" xfId="15769"/>
    <cellStyle name="Normal 2 2 2 3 4 2 2 3 3 2 2" xfId="47092"/>
    <cellStyle name="Normal 2 2 2 3 4 2 2 3 3 2 2 2" xfId="51101"/>
    <cellStyle name="Normal 2 2 2 3 4 2 2 3 3 3" xfId="29275"/>
    <cellStyle name="Normal 2 2 2 3 4 2 2 3 4" xfId="25229"/>
    <cellStyle name="Normal 2 2 2 3 4 2 2 3 4 2" xfId="37583"/>
    <cellStyle name="Normal 2 2 2 3 4 2 2 4" xfId="4121"/>
    <cellStyle name="Normal 2 2 2 3 4 2 2 4 2" xfId="14902"/>
    <cellStyle name="Normal 2 2 2 3 4 2 2 4 2 2" xfId="17714"/>
    <cellStyle name="Normal 2 2 2 3 4 2 2 4 2 2 2" xfId="50241"/>
    <cellStyle name="Normal 2 2 2 3 4 2 2 4 2 2 2 2" xfId="53041"/>
    <cellStyle name="Normal 2 2 2 3 4 2 2 4 2 3" xfId="31216"/>
    <cellStyle name="Normal 2 2 2 3 4 2 2 4 3" xfId="28415"/>
    <cellStyle name="Normal 2 2 2 3 4 2 2 4 3 2" xfId="39564"/>
    <cellStyle name="Normal 2 2 2 3 4 2 2 5" xfId="9312"/>
    <cellStyle name="Normal 2 2 2 3 4 2 2 5 2" xfId="36710"/>
    <cellStyle name="Normal 2 2 2 3 4 2 2 5 2 2" xfId="44694"/>
    <cellStyle name="Normal 2 2 2 3 4 2 2 6" xfId="22808"/>
    <cellStyle name="Normal 2 2 2 3 4 2 3" xfId="2019"/>
    <cellStyle name="Normal 2 2 2 3 4 2 3 2" xfId="2583"/>
    <cellStyle name="Normal 2 2 2 3 4 2 3 2 2" xfId="7253"/>
    <cellStyle name="Normal 2 2 2 3 4 2 3 2 2 2" xfId="7804"/>
    <cellStyle name="Normal 2 2 2 3 4 2 3 2 2 2 2" xfId="20805"/>
    <cellStyle name="Normal 2 2 2 3 4 2 3 2 2 2 2 2" xfId="21356"/>
    <cellStyle name="Normal 2 2 2 3 4 2 3 2 2 2 2 2 2" xfId="56131"/>
    <cellStyle name="Normal 2 2 2 3 4 2 3 2 2 2 2 2 2 2" xfId="56682"/>
    <cellStyle name="Normal 2 2 2 3 4 2 3 2 2 2 2 3" xfId="34859"/>
    <cellStyle name="Normal 2 2 2 3 4 2 3 2 2 2 3" xfId="34308"/>
    <cellStyle name="Normal 2 2 2 3 4 2 3 2 2 2 3 2" xfId="43231"/>
    <cellStyle name="Normal 2 2 2 3 4 2 3 2 2 3" xfId="13029"/>
    <cellStyle name="Normal 2 2 2 3 4 2 3 2 2 3 2" xfId="42680"/>
    <cellStyle name="Normal 2 2 2 3 4 2 3 2 2 3 2 2" xfId="48375"/>
    <cellStyle name="Normal 2 2 2 3 4 2 3 2 2 4" xfId="26513"/>
    <cellStyle name="Normal 2 2 2 3 4 2 3 2 3" xfId="12478"/>
    <cellStyle name="Normal 2 2 2 3 4 2 3 2 3 2" xfId="16242"/>
    <cellStyle name="Normal 2 2 2 3 4 2 3 2 3 2 2" xfId="47824"/>
    <cellStyle name="Normal 2 2 2 3 4 2 3 2 3 2 2 2" xfId="51572"/>
    <cellStyle name="Normal 2 2 2 3 4 2 3 2 3 3" xfId="29746"/>
    <cellStyle name="Normal 2 2 2 3 4 2 3 2 4" xfId="25962"/>
    <cellStyle name="Normal 2 2 2 3 4 2 3 2 4 2" xfId="38056"/>
    <cellStyle name="Normal 2 2 2 3 4 2 3 3" xfId="4616"/>
    <cellStyle name="Normal 2 2 2 3 4 2 3 3 2" xfId="15683"/>
    <cellStyle name="Normal 2 2 2 3 4 2 3 3 2 2" xfId="18197"/>
    <cellStyle name="Normal 2 2 2 3 4 2 3 3 2 2 2" xfId="51015"/>
    <cellStyle name="Normal 2 2 2 3 4 2 3 3 2 2 2 2" xfId="53523"/>
    <cellStyle name="Normal 2 2 2 3 4 2 3 3 2 3" xfId="31698"/>
    <cellStyle name="Normal 2 2 2 3 4 2 3 3 3" xfId="29189"/>
    <cellStyle name="Normal 2 2 2 3 4 2 3 3 3 2" xfId="40055"/>
    <cellStyle name="Normal 2 2 2 3 4 2 3 4" xfId="9820"/>
    <cellStyle name="Normal 2 2 2 3 4 2 3 4 2" xfId="37497"/>
    <cellStyle name="Normal 2 2 2 3 4 2 3 4 2 2" xfId="45190"/>
    <cellStyle name="Normal 2 2 2 3 4 2 3 5" xfId="23313"/>
    <cellStyle name="Normal 2 2 2 3 4 2 4" xfId="4035"/>
    <cellStyle name="Normal 2 2 2 3 4 2 4 2" xfId="5822"/>
    <cellStyle name="Normal 2 2 2 3 4 2 4 2 2" xfId="17628"/>
    <cellStyle name="Normal 2 2 2 3 4 2 4 2 2 2" xfId="19390"/>
    <cellStyle name="Normal 2 2 2 3 4 2 4 2 2 2 2" xfId="52955"/>
    <cellStyle name="Normal 2 2 2 3 4 2 4 2 2 2 2 2" xfId="54716"/>
    <cellStyle name="Normal 2 2 2 3 4 2 4 2 2 3" xfId="32891"/>
    <cellStyle name="Normal 2 2 2 3 4 2 4 2 3" xfId="31130"/>
    <cellStyle name="Normal 2 2 2 3 4 2 4 2 3 2" xfId="41257"/>
    <cellStyle name="Normal 2 2 2 3 4 2 4 3" xfId="11044"/>
    <cellStyle name="Normal 2 2 2 3 4 2 4 3 2" xfId="39478"/>
    <cellStyle name="Normal 2 2 2 3 4 2 4 3 2 2" xfId="46403"/>
    <cellStyle name="Normal 2 2 2 3 4 2 4 4" xfId="24538"/>
    <cellStyle name="Normal 2 2 2 3 4 2 5" xfId="9226"/>
    <cellStyle name="Normal 2 2 2 3 4 2 5 2" xfId="14206"/>
    <cellStyle name="Normal 2 2 2 3 4 2 5 2 2" xfId="44608"/>
    <cellStyle name="Normal 2 2 2 3 4 2 5 2 2 2" xfId="49551"/>
    <cellStyle name="Normal 2 2 2 3 4 2 5 3" xfId="27712"/>
    <cellStyle name="Normal 2 2 2 3 4 2 6" xfId="22722"/>
    <cellStyle name="Normal 2 2 2 3 4 2 6 2" xfId="36018"/>
    <cellStyle name="Normal 2 2 2 3 4 3" xfId="809"/>
    <cellStyle name="Normal 2 2 2 3 4 3 2" xfId="2472"/>
    <cellStyle name="Normal 2 2 2 3 4 3 2 2" xfId="2864"/>
    <cellStyle name="Normal 2 2 2 3 4 3 2 2 2" xfId="7702"/>
    <cellStyle name="Normal 2 2 2 3 4 3 2 2 2 2" xfId="8080"/>
    <cellStyle name="Normal 2 2 2 3 4 3 2 2 2 2 2" xfId="21254"/>
    <cellStyle name="Normal 2 2 2 3 4 3 2 2 2 2 2 2" xfId="21632"/>
    <cellStyle name="Normal 2 2 2 3 4 3 2 2 2 2 2 2 2" xfId="56580"/>
    <cellStyle name="Normal 2 2 2 3 4 3 2 2 2 2 2 2 2 2" xfId="56958"/>
    <cellStyle name="Normal 2 2 2 3 4 3 2 2 2 2 2 3" xfId="35135"/>
    <cellStyle name="Normal 2 2 2 3 4 3 2 2 2 2 3" xfId="34757"/>
    <cellStyle name="Normal 2 2 2 3 4 3 2 2 2 2 3 2" xfId="43507"/>
    <cellStyle name="Normal 2 2 2 3 4 3 2 2 2 3" xfId="13305"/>
    <cellStyle name="Normal 2 2 2 3 4 3 2 2 2 3 2" xfId="43129"/>
    <cellStyle name="Normal 2 2 2 3 4 3 2 2 2 3 2 2" xfId="48651"/>
    <cellStyle name="Normal 2 2 2 3 4 3 2 2 2 4" xfId="26789"/>
    <cellStyle name="Normal 2 2 2 3 4 3 2 2 3" xfId="12927"/>
    <cellStyle name="Normal 2 2 2 3 4 3 2 2 3 2" xfId="16522"/>
    <cellStyle name="Normal 2 2 2 3 4 3 2 2 3 2 2" xfId="48273"/>
    <cellStyle name="Normal 2 2 2 3 4 3 2 2 3 2 2 2" xfId="51850"/>
    <cellStyle name="Normal 2 2 2 3 4 3 2 2 3 3" xfId="30024"/>
    <cellStyle name="Normal 2 2 2 3 4 3 2 2 4" xfId="26411"/>
    <cellStyle name="Normal 2 2 2 3 4 3 2 2 4 2" xfId="38334"/>
    <cellStyle name="Normal 2 2 2 3 4 3 2 3" xfId="4900"/>
    <cellStyle name="Normal 2 2 2 3 4 3 2 3 2" xfId="16135"/>
    <cellStyle name="Normal 2 2 2 3 4 3 2 3 2 2" xfId="18474"/>
    <cellStyle name="Normal 2 2 2 3 4 3 2 3 2 2 2" xfId="51466"/>
    <cellStyle name="Normal 2 2 2 3 4 3 2 3 2 2 2 2" xfId="53800"/>
    <cellStyle name="Normal 2 2 2 3 4 3 2 3 2 3" xfId="31975"/>
    <cellStyle name="Normal 2 2 2 3 4 3 2 3 3" xfId="29640"/>
    <cellStyle name="Normal 2 2 2 3 4 3 2 3 3 2" xfId="40337"/>
    <cellStyle name="Normal 2 2 2 3 4 3 2 4" xfId="10103"/>
    <cellStyle name="Normal 2 2 2 3 4 3 2 4 2" xfId="37949"/>
    <cellStyle name="Normal 2 2 2 3 4 3 2 4 2 2" xfId="45467"/>
    <cellStyle name="Normal 2 2 2 3 4 3 2 5" xfId="23590"/>
    <cellStyle name="Normal 2 2 2 3 4 3 3" xfId="4507"/>
    <cellStyle name="Normal 2 2 2 3 4 3 3 2" xfId="6125"/>
    <cellStyle name="Normal 2 2 2 3 4 3 3 2 2" xfId="18095"/>
    <cellStyle name="Normal 2 2 2 3 4 3 3 2 2 2" xfId="19686"/>
    <cellStyle name="Normal 2 2 2 3 4 3 3 2 2 2 2" xfId="53421"/>
    <cellStyle name="Normal 2 2 2 3 4 3 3 2 2 2 2 2" xfId="55012"/>
    <cellStyle name="Normal 2 2 2 3 4 3 3 2 2 3" xfId="33187"/>
    <cellStyle name="Normal 2 2 2 3 4 3 3 2 3" xfId="31596"/>
    <cellStyle name="Normal 2 2 2 3 4 3 3 2 3 2" xfId="41557"/>
    <cellStyle name="Normal 2 2 2 3 4 3 3 3" xfId="11351"/>
    <cellStyle name="Normal 2 2 2 3 4 3 3 3 2" xfId="39948"/>
    <cellStyle name="Normal 2 2 2 3 4 3 3 3 2 2" xfId="46703"/>
    <cellStyle name="Normal 2 2 2 3 4 3 3 4" xfId="24840"/>
    <cellStyle name="Normal 2 2 2 3 4 3 4" xfId="9711"/>
    <cellStyle name="Normal 2 2 2 3 4 3 4 2" xfId="14508"/>
    <cellStyle name="Normal 2 2 2 3 4 3 4 2 2" xfId="45088"/>
    <cellStyle name="Normal 2 2 2 3 4 3 4 2 2 2" xfId="49850"/>
    <cellStyle name="Normal 2 2 2 3 4 3 4 3" xfId="28020"/>
    <cellStyle name="Normal 2 2 2 3 4 3 5" xfId="23211"/>
    <cellStyle name="Normal 2 2 2 3 4 3 5 2" xfId="36318"/>
    <cellStyle name="Normal 2 2 2 3 4 4" xfId="1598"/>
    <cellStyle name="Normal 2 2 2 3 4 4 2" xfId="5715"/>
    <cellStyle name="Normal 2 2 2 3 4 4 2 2" xfId="6869"/>
    <cellStyle name="Normal 2 2 2 3 4 4 2 2 2" xfId="19284"/>
    <cellStyle name="Normal 2 2 2 3 4 4 2 2 2 2" xfId="20422"/>
    <cellStyle name="Normal 2 2 2 3 4 4 2 2 2 2 2" xfId="54610"/>
    <cellStyle name="Normal 2 2 2 3 4 4 2 2 2 2 2 2" xfId="55748"/>
    <cellStyle name="Normal 2 2 2 3 4 4 2 2 2 3" xfId="33924"/>
    <cellStyle name="Normal 2 2 2 3 4 4 2 2 3" xfId="32785"/>
    <cellStyle name="Normal 2 2 2 3 4 4 2 2 3 2" xfId="42297"/>
    <cellStyle name="Normal 2 2 2 3 4 4 2 3" xfId="12093"/>
    <cellStyle name="Normal 2 2 2 3 4 4 2 3 2" xfId="41150"/>
    <cellStyle name="Normal 2 2 2 3 4 4 2 3 2 2" xfId="47440"/>
    <cellStyle name="Normal 2 2 2 3 4 4 2 4" xfId="25578"/>
    <cellStyle name="Normal 2 2 2 3 4 4 3" xfId="10935"/>
    <cellStyle name="Normal 2 2 2 3 4 4 3 2" xfId="15274"/>
    <cellStyle name="Normal 2 2 2 3 4 4 3 2 2" xfId="46294"/>
    <cellStyle name="Normal 2 2 2 3 4 4 3 2 2 2" xfId="50610"/>
    <cellStyle name="Normal 2 2 2 3 4 4 3 3" xfId="28784"/>
    <cellStyle name="Normal 2 2 2 3 4 4 4" xfId="24426"/>
    <cellStyle name="Normal 2 2 2 3 4 4 4 2" xfId="37085"/>
    <cellStyle name="Normal 2 2 2 3 4 5" xfId="3598"/>
    <cellStyle name="Normal 2 2 2 3 4 5 2" xfId="14098"/>
    <cellStyle name="Normal 2 2 2 3 4 5 2 2" xfId="17234"/>
    <cellStyle name="Normal 2 2 2 3 4 5 2 2 2" xfId="49443"/>
    <cellStyle name="Normal 2 2 2 3 4 5 2 2 2 2" xfId="52561"/>
    <cellStyle name="Normal 2 2 2 3 4 5 2 3" xfId="30735"/>
    <cellStyle name="Normal 2 2 2 3 4 5 3" xfId="27598"/>
    <cellStyle name="Normal 2 2 2 3 4 5 3 2" xfId="39055"/>
    <cellStyle name="Normal 2 2 2 3 4 6" xfId="8790"/>
    <cellStyle name="Normal 2 2 2 3 4 6 2" xfId="35909"/>
    <cellStyle name="Normal 2 2 2 3 4 6 2 2" xfId="44202"/>
    <cellStyle name="Normal 2 2 2 3 4 7" xfId="22307"/>
    <cellStyle name="Normal 2 2 2 3 5" xfId="679"/>
    <cellStyle name="Normal 2 2 2 3 5 2" xfId="715"/>
    <cellStyle name="Normal 2 2 2 3 5 2 2" xfId="2767"/>
    <cellStyle name="Normal 2 2 2 3 5 2 2 2" xfId="2787"/>
    <cellStyle name="Normal 2 2 2 3 5 2 2 2 2" xfId="7984"/>
    <cellStyle name="Normal 2 2 2 3 5 2 2 2 2 2" xfId="8004"/>
    <cellStyle name="Normal 2 2 2 3 5 2 2 2 2 2 2" xfId="21536"/>
    <cellStyle name="Normal 2 2 2 3 5 2 2 2 2 2 2 2" xfId="21556"/>
    <cellStyle name="Normal 2 2 2 3 5 2 2 2 2 2 2 2 2" xfId="56862"/>
    <cellStyle name="Normal 2 2 2 3 5 2 2 2 2 2 2 2 2 2" xfId="56882"/>
    <cellStyle name="Normal 2 2 2 3 5 2 2 2 2 2 2 3" xfId="35059"/>
    <cellStyle name="Normal 2 2 2 3 5 2 2 2 2 2 3" xfId="35039"/>
    <cellStyle name="Normal 2 2 2 3 5 2 2 2 2 2 3 2" xfId="43431"/>
    <cellStyle name="Normal 2 2 2 3 5 2 2 2 2 3" xfId="13229"/>
    <cellStyle name="Normal 2 2 2 3 5 2 2 2 2 3 2" xfId="43411"/>
    <cellStyle name="Normal 2 2 2 3 5 2 2 2 2 3 2 2" xfId="48575"/>
    <cellStyle name="Normal 2 2 2 3 5 2 2 2 2 4" xfId="26713"/>
    <cellStyle name="Normal 2 2 2 3 5 2 2 2 3" xfId="13209"/>
    <cellStyle name="Normal 2 2 2 3 5 2 2 2 3 2" xfId="16446"/>
    <cellStyle name="Normal 2 2 2 3 5 2 2 2 3 2 2" xfId="48555"/>
    <cellStyle name="Normal 2 2 2 3 5 2 2 2 3 2 2 2" xfId="51774"/>
    <cellStyle name="Normal 2 2 2 3 5 2 2 2 3 3" xfId="29948"/>
    <cellStyle name="Normal 2 2 2 3 5 2 2 2 4" xfId="26693"/>
    <cellStyle name="Normal 2 2 2 3 5 2 2 2 4 2" xfId="38258"/>
    <cellStyle name="Normal 2 2 2 3 5 2 2 3" xfId="4823"/>
    <cellStyle name="Normal 2 2 2 3 5 2 2 3 2" xfId="16426"/>
    <cellStyle name="Normal 2 2 2 3 5 2 2 3 2 2" xfId="18398"/>
    <cellStyle name="Normal 2 2 2 3 5 2 2 3 2 2 2" xfId="51754"/>
    <cellStyle name="Normal 2 2 2 3 5 2 2 3 2 2 2 2" xfId="53724"/>
    <cellStyle name="Normal 2 2 2 3 5 2 2 3 2 3" xfId="31899"/>
    <cellStyle name="Normal 2 2 2 3 5 2 2 3 3" xfId="29928"/>
    <cellStyle name="Normal 2 2 2 3 5 2 2 3 3 2" xfId="40260"/>
    <cellStyle name="Normal 2 2 2 3 5 2 2 4" xfId="10026"/>
    <cellStyle name="Normal 2 2 2 3 5 2 2 4 2" xfId="38238"/>
    <cellStyle name="Normal 2 2 2 3 5 2 2 4 2 2" xfId="45391"/>
    <cellStyle name="Normal 2 2 2 3 5 2 2 5" xfId="23514"/>
    <cellStyle name="Normal 2 2 2 3 5 2 3" xfId="4803"/>
    <cellStyle name="Normal 2 2 2 3 5 2 3 2" xfId="6040"/>
    <cellStyle name="Normal 2 2 2 3 5 2 3 2 2" xfId="18378"/>
    <cellStyle name="Normal 2 2 2 3 5 2 3 2 2 2" xfId="19604"/>
    <cellStyle name="Normal 2 2 2 3 5 2 3 2 2 2 2" xfId="53704"/>
    <cellStyle name="Normal 2 2 2 3 5 2 3 2 2 2 2 2" xfId="54930"/>
    <cellStyle name="Normal 2 2 2 3 5 2 3 2 2 3" xfId="33105"/>
    <cellStyle name="Normal 2 2 2 3 5 2 3 2 3" xfId="31879"/>
    <cellStyle name="Normal 2 2 2 3 5 2 3 2 3 2" xfId="41474"/>
    <cellStyle name="Normal 2 2 2 3 5 2 3 3" xfId="11265"/>
    <cellStyle name="Normal 2 2 2 3 5 2 3 3 2" xfId="40240"/>
    <cellStyle name="Normal 2 2 2 3 5 2 3 3 2 2" xfId="46620"/>
    <cellStyle name="Normal 2 2 2 3 5 2 3 4" xfId="24757"/>
    <cellStyle name="Normal 2 2 2 3 5 2 4" xfId="10006"/>
    <cellStyle name="Normal 2 2 2 3 5 2 4 2" xfId="14423"/>
    <cellStyle name="Normal 2 2 2 3 5 2 4 2 2" xfId="45371"/>
    <cellStyle name="Normal 2 2 2 3 5 2 4 2 2 2" xfId="49768"/>
    <cellStyle name="Normal 2 2 2 3 5 2 4 3" xfId="27936"/>
    <cellStyle name="Normal 2 2 2 3 5 2 5" xfId="23494"/>
    <cellStyle name="Normal 2 2 2 3 5 2 5 2" xfId="36236"/>
    <cellStyle name="Normal 2 2 2 3 5 3" xfId="1494"/>
    <cellStyle name="Normal 2 2 2 3 5 3 2" xfId="6008"/>
    <cellStyle name="Normal 2 2 2 3 5 3 2 2" xfId="6785"/>
    <cellStyle name="Normal 2 2 2 3 5 3 2 2 2" xfId="19573"/>
    <cellStyle name="Normal 2 2 2 3 5 3 2 2 2 2" xfId="20338"/>
    <cellStyle name="Normal 2 2 2 3 5 3 2 2 2 2 2" xfId="54899"/>
    <cellStyle name="Normal 2 2 2 3 5 3 2 2 2 2 2 2" xfId="55664"/>
    <cellStyle name="Normal 2 2 2 3 5 3 2 2 2 3" xfId="33840"/>
    <cellStyle name="Normal 2 2 2 3 5 3 2 2 3" xfId="33074"/>
    <cellStyle name="Normal 2 2 2 3 5 3 2 2 3 2" xfId="42213"/>
    <cellStyle name="Normal 2 2 2 3 5 3 2 3" xfId="12008"/>
    <cellStyle name="Normal 2 2 2 3 5 3 2 3 2" xfId="41442"/>
    <cellStyle name="Normal 2 2 2 3 5 3 2 3 2 2" xfId="47356"/>
    <cellStyle name="Normal 2 2 2 3 5 3 2 4" xfId="25493"/>
    <cellStyle name="Normal 2 2 2 3 5 3 3" xfId="11233"/>
    <cellStyle name="Normal 2 2 2 3 5 3 3 2" xfId="15178"/>
    <cellStyle name="Normal 2 2 2 3 5 3 3 2 2" xfId="46589"/>
    <cellStyle name="Normal 2 2 2 3 5 3 3 2 2 2" xfId="50516"/>
    <cellStyle name="Normal 2 2 2 3 5 3 3 3" xfId="28690"/>
    <cellStyle name="Normal 2 2 2 3 5 3 4" xfId="24726"/>
    <cellStyle name="Normal 2 2 2 3 5 3 4 2" xfId="36988"/>
    <cellStyle name="Normal 2 2 2 3 5 4" xfId="3493"/>
    <cellStyle name="Normal 2 2 2 3 5 4 2" xfId="14390"/>
    <cellStyle name="Normal 2 2 2 3 5 4 2 2" xfId="17147"/>
    <cellStyle name="Normal 2 2 2 3 5 4 2 2 2" xfId="49735"/>
    <cellStyle name="Normal 2 2 2 3 5 4 2 2 2 2" xfId="52475"/>
    <cellStyle name="Normal 2 2 2 3 5 4 2 3" xfId="30649"/>
    <cellStyle name="Normal 2 2 2 3 5 4 3" xfId="27902"/>
    <cellStyle name="Normal 2 2 2 3 5 4 3 2" xfId="38960"/>
    <cellStyle name="Normal 2 2 2 3 5 5" xfId="2367"/>
    <cellStyle name="Normal 2 2 2 3 5 5 2" xfId="36202"/>
    <cellStyle name="Normal 2 2 2 3 5 5 2 2" xfId="37845"/>
    <cellStyle name="Normal 2 2 2 3 5 6" xfId="5574"/>
    <cellStyle name="Normal 2 2 2 3 6" xfId="1159"/>
    <cellStyle name="Normal 2 2 2 3 6 2" xfId="1505"/>
    <cellStyle name="Normal 2 2 2 3 6 2 2" xfId="6467"/>
    <cellStyle name="Normal 2 2 2 3 6 2 2 2" xfId="6795"/>
    <cellStyle name="Normal 2 2 2 3 6 2 2 2 2" xfId="20021"/>
    <cellStyle name="Normal 2 2 2 3 6 2 2 2 2 2" xfId="20348"/>
    <cellStyle name="Normal 2 2 2 3 6 2 2 2 2 2 2" xfId="55347"/>
    <cellStyle name="Normal 2 2 2 3 6 2 2 2 2 2 2 2" xfId="55674"/>
    <cellStyle name="Normal 2 2 2 3 6 2 2 2 2 3" xfId="33850"/>
    <cellStyle name="Normal 2 2 2 3 6 2 2 2 3" xfId="33523"/>
    <cellStyle name="Normal 2 2 2 3 6 2 2 2 3 2" xfId="42223"/>
    <cellStyle name="Normal 2 2 2 3 6 2 2 3" xfId="12019"/>
    <cellStyle name="Normal 2 2 2 3 6 2 2 3 2" xfId="41895"/>
    <cellStyle name="Normal 2 2 2 3 6 2 2 3 2 2" xfId="47366"/>
    <cellStyle name="Normal 2 2 2 3 6 2 2 4" xfId="25503"/>
    <cellStyle name="Normal 2 2 2 3 6 2 3" xfId="11691"/>
    <cellStyle name="Normal 2 2 2 3 6 2 3 2" xfId="15188"/>
    <cellStyle name="Normal 2 2 2 3 6 2 3 2 2" xfId="47039"/>
    <cellStyle name="Normal 2 2 2 3 6 2 3 2 2 2" xfId="50526"/>
    <cellStyle name="Normal 2 2 2 3 6 2 3 3" xfId="28700"/>
    <cellStyle name="Normal 2 2 2 3 6 2 4" xfId="25176"/>
    <cellStyle name="Normal 2 2 2 3 6 2 4 2" xfId="36998"/>
    <cellStyle name="Normal 2 2 2 3 6 3" xfId="3505"/>
    <cellStyle name="Normal 2 2 2 3 6 3 2" xfId="14849"/>
    <cellStyle name="Normal 2 2 2 3 6 3 2 2" xfId="17159"/>
    <cellStyle name="Normal 2 2 2 3 6 3 2 2 2" xfId="50188"/>
    <cellStyle name="Normal 2 2 2 3 6 3 2 2 2 2" xfId="52486"/>
    <cellStyle name="Normal 2 2 2 3 6 3 2 3" xfId="30660"/>
    <cellStyle name="Normal 2 2 2 3 6 3 3" xfId="28362"/>
    <cellStyle name="Normal 2 2 2 3 6 3 3 2" xfId="38971"/>
    <cellStyle name="Normal 2 2 2 3 6 4" xfId="8699"/>
    <cellStyle name="Normal 2 2 2 3 6 4 2" xfId="36657"/>
    <cellStyle name="Normal 2 2 2 3 6 4 2 2" xfId="44126"/>
    <cellStyle name="Normal 2 2 2 3 6 5" xfId="8733"/>
    <cellStyle name="Normal 2 2 2 3 7" xfId="1966"/>
    <cellStyle name="Normal 2 2 2 3 7 2" xfId="3602"/>
    <cellStyle name="Normal 2 2 2 3 7 2 2" xfId="15630"/>
    <cellStyle name="Normal 2 2 2 3 7 2 2 2" xfId="17238"/>
    <cellStyle name="Normal 2 2 2 3 7 2 2 2 2" xfId="50962"/>
    <cellStyle name="Normal 2 2 2 3 7 2 2 2 2 2" xfId="52565"/>
    <cellStyle name="Normal 2 2 2 3 7 2 2 3" xfId="30739"/>
    <cellStyle name="Normal 2 2 2 3 7 2 3" xfId="29136"/>
    <cellStyle name="Normal 2 2 2 3 7 2 3 2" xfId="39059"/>
    <cellStyle name="Normal 2 2 2 3 7 3" xfId="8795"/>
    <cellStyle name="Normal 2 2 2 3 7 3 2" xfId="37444"/>
    <cellStyle name="Normal 2 2 2 3 7 3 2 2" xfId="44207"/>
    <cellStyle name="Normal 2 2 2 3 7 4" xfId="22312"/>
    <cellStyle name="Normal 2 2 2 3 8" xfId="3513"/>
    <cellStyle name="Normal 2 2 2 3 8 2" xfId="11011"/>
    <cellStyle name="Normal 2 2 2 3 8 2 2" xfId="38979"/>
    <cellStyle name="Normal 2 2 2 3 8 2 2 2" xfId="46370"/>
    <cellStyle name="Normal 2 2 2 3 8 3" xfId="24505"/>
    <cellStyle name="Normal 2 2 2 3 9" xfId="12011"/>
    <cellStyle name="Normal 2 2 2 3 9 2" xfId="8811"/>
    <cellStyle name="Normal 2 2 2 4" xfId="63"/>
    <cellStyle name="Normal 2 2 2 4 2" xfId="262"/>
    <cellStyle name="Normal 2 2 2 4 2 2" xfId="265"/>
    <cellStyle name="Normal 2 2 2 4 2 2 2" xfId="608"/>
    <cellStyle name="Normal 2 2 2 4 2 2 2 2" xfId="611"/>
    <cellStyle name="Normal 2 2 2 4 2 2 2 2 2" xfId="1404"/>
    <cellStyle name="Normal 2 2 2 4 2 2 2 2 2 2" xfId="1407"/>
    <cellStyle name="Normal 2 2 2 4 2 2 2 2 2 2 2" xfId="3422"/>
    <cellStyle name="Normal 2 2 2 4 2 2 2 2 2 2 2 2" xfId="3425"/>
    <cellStyle name="Normal 2 2 2 4 2 2 2 2 2 2 2 2 2" xfId="8637"/>
    <cellStyle name="Normal 2 2 2 4 2 2 2 2 2 2 2 2 2 2" xfId="8640"/>
    <cellStyle name="Normal 2 2 2 4 2 2 2 2 2 2 2 2 2 2 2" xfId="22189"/>
    <cellStyle name="Normal 2 2 2 4 2 2 2 2 2 2 2 2 2 2 2 2" xfId="22192"/>
    <cellStyle name="Normal 2 2 2 4 2 2 2 2 2 2 2 2 2 2 2 2 2" xfId="57515"/>
    <cellStyle name="Normal 2 2 2 4 2 2 2 2 2 2 2 2 2 2 2 2 2 2" xfId="57518"/>
    <cellStyle name="Normal 2 2 2 4 2 2 2 2 2 2 2 2 2 2 2 3" xfId="35695"/>
    <cellStyle name="Normal 2 2 2 4 2 2 2 2 2 2 2 2 2 2 3" xfId="35692"/>
    <cellStyle name="Normal 2 2 2 4 2 2 2 2 2 2 2 2 2 2 3 2" xfId="44067"/>
    <cellStyle name="Normal 2 2 2 4 2 2 2 2 2 2 2 2 2 3" xfId="13865"/>
    <cellStyle name="Normal 2 2 2 4 2 2 2 2 2 2 2 2 2 3 2" xfId="44064"/>
    <cellStyle name="Normal 2 2 2 4 2 2 2 2 2 2 2 2 2 3 2 2" xfId="49211"/>
    <cellStyle name="Normal 2 2 2 4 2 2 2 2 2 2 2 2 2 4" xfId="27350"/>
    <cellStyle name="Normal 2 2 2 4 2 2 2 2 2 2 2 2 3" xfId="13862"/>
    <cellStyle name="Normal 2 2 2 4 2 2 2 2 2 2 2 2 3 2" xfId="17082"/>
    <cellStyle name="Normal 2 2 2 4 2 2 2 2 2 2 2 2 3 2 2" xfId="49208"/>
    <cellStyle name="Normal 2 2 2 4 2 2 2 2 2 2 2 2 3 2 2 2" xfId="52410"/>
    <cellStyle name="Normal 2 2 2 4 2 2 2 2 2 2 2 2 3 3" xfId="30584"/>
    <cellStyle name="Normal 2 2 2 4 2 2 2 2 2 2 2 2 4" xfId="27347"/>
    <cellStyle name="Normal 2 2 2 4 2 2 2 2 2 2 2 2 4 2" xfId="38894"/>
    <cellStyle name="Normal 2 2 2 4 2 2 2 2 2 2 2 3" xfId="5462"/>
    <cellStyle name="Normal 2 2 2 4 2 2 2 2 2 2 2 3 2" xfId="17079"/>
    <cellStyle name="Normal 2 2 2 4 2 2 2 2 2 2 2 3 2 2" xfId="19035"/>
    <cellStyle name="Normal 2 2 2 4 2 2 2 2 2 2 2 3 2 2 2" xfId="52407"/>
    <cellStyle name="Normal 2 2 2 4 2 2 2 2 2 2 2 3 2 2 2 2" xfId="54361"/>
    <cellStyle name="Normal 2 2 2 4 2 2 2 2 2 2 2 3 2 3" xfId="32536"/>
    <cellStyle name="Normal 2 2 2 4 2 2 2 2 2 2 2 3 3" xfId="30581"/>
    <cellStyle name="Normal 2 2 2 4 2 2 2 2 2 2 2 3 3 2" xfId="40899"/>
    <cellStyle name="Normal 2 2 2 4 2 2 2 2 2 2 2 4" xfId="10665"/>
    <cellStyle name="Normal 2 2 2 4 2 2 2 2 2 2 2 4 2" xfId="38891"/>
    <cellStyle name="Normal 2 2 2 4 2 2 2 2 2 2 2 4 2 2" xfId="46028"/>
    <cellStyle name="Normal 2 2 2 4 2 2 2 2 2 2 2 5" xfId="24151"/>
    <cellStyle name="Normal 2 2 2 4 2 2 2 2 2 2 3" xfId="5459"/>
    <cellStyle name="Normal 2 2 2 4 2 2 2 2 2 2 3 2" xfId="6715"/>
    <cellStyle name="Normal 2 2 2 4 2 2 2 2 2 2 3 2 2" xfId="19032"/>
    <cellStyle name="Normal 2 2 2 4 2 2 2 2 2 2 3 2 2 2" xfId="20268"/>
    <cellStyle name="Normal 2 2 2 4 2 2 2 2 2 2 3 2 2 2 2" xfId="54358"/>
    <cellStyle name="Normal 2 2 2 4 2 2 2 2 2 2 3 2 2 2 2 2" xfId="55594"/>
    <cellStyle name="Normal 2 2 2 4 2 2 2 2 2 2 3 2 2 3" xfId="33770"/>
    <cellStyle name="Normal 2 2 2 4 2 2 2 2 2 2 3 2 3" xfId="32533"/>
    <cellStyle name="Normal 2 2 2 4 2 2 2 2 2 2 3 2 3 2" xfId="42143"/>
    <cellStyle name="Normal 2 2 2 4 2 2 2 2 2 2 3 3" xfId="11938"/>
    <cellStyle name="Normal 2 2 2 4 2 2 2 2 2 2 3 3 2" xfId="40896"/>
    <cellStyle name="Normal 2 2 2 4 2 2 2 2 2 2 3 3 2 2" xfId="47286"/>
    <cellStyle name="Normal 2 2 2 4 2 2 2 2 2 2 3 4" xfId="25423"/>
    <cellStyle name="Normal 2 2 2 4 2 2 2 2 2 2 4" xfId="10662"/>
    <cellStyle name="Normal 2 2 2 4 2 2 2 2 2 2 4 2" xfId="15096"/>
    <cellStyle name="Normal 2 2 2 4 2 2 2 2 2 2 4 2 2" xfId="46025"/>
    <cellStyle name="Normal 2 2 2 4 2 2 2 2 2 2 4 2 2 2" xfId="50435"/>
    <cellStyle name="Normal 2 2 2 4 2 2 2 2 2 2 4 3" xfId="28609"/>
    <cellStyle name="Normal 2 2 2 4 2 2 2 2 2 2 5" xfId="24148"/>
    <cellStyle name="Normal 2 2 2 4 2 2 2 2 2 2 5 2" xfId="36904"/>
    <cellStyle name="Normal 2 2 2 4 2 2 2 2 2 3" xfId="2214"/>
    <cellStyle name="Normal 2 2 2 4 2 2 2 2 2 3 2" xfId="6712"/>
    <cellStyle name="Normal 2 2 2 4 2 2 2 2 2 3 2 2" xfId="7448"/>
    <cellStyle name="Normal 2 2 2 4 2 2 2 2 2 3 2 2 2" xfId="20265"/>
    <cellStyle name="Normal 2 2 2 4 2 2 2 2 2 3 2 2 2 2" xfId="21000"/>
    <cellStyle name="Normal 2 2 2 4 2 2 2 2 2 3 2 2 2 2 2" xfId="55591"/>
    <cellStyle name="Normal 2 2 2 4 2 2 2 2 2 3 2 2 2 2 2 2" xfId="56326"/>
    <cellStyle name="Normal 2 2 2 4 2 2 2 2 2 3 2 2 2 3" xfId="34503"/>
    <cellStyle name="Normal 2 2 2 4 2 2 2 2 2 3 2 2 3" xfId="33767"/>
    <cellStyle name="Normal 2 2 2 4 2 2 2 2 2 3 2 2 3 2" xfId="42875"/>
    <cellStyle name="Normal 2 2 2 4 2 2 2 2 2 3 2 3" xfId="12673"/>
    <cellStyle name="Normal 2 2 2 4 2 2 2 2 2 3 2 3 2" xfId="42140"/>
    <cellStyle name="Normal 2 2 2 4 2 2 2 2 2 3 2 3 2 2" xfId="48019"/>
    <cellStyle name="Normal 2 2 2 4 2 2 2 2 2 3 2 4" xfId="26157"/>
    <cellStyle name="Normal 2 2 2 4 2 2 2 2 2 3 3" xfId="11935"/>
    <cellStyle name="Normal 2 2 2 4 2 2 2 2 2 3 3 2" xfId="15878"/>
    <cellStyle name="Normal 2 2 2 4 2 2 2 2 2 3 3 2 2" xfId="47283"/>
    <cellStyle name="Normal 2 2 2 4 2 2 2 2 2 3 3 2 2 2" xfId="51210"/>
    <cellStyle name="Normal 2 2 2 4 2 2 2 2 2 3 3 3" xfId="29384"/>
    <cellStyle name="Normal 2 2 2 4 2 2 2 2 2 3 4" xfId="25420"/>
    <cellStyle name="Normal 2 2 2 4 2 2 2 2 2 3 4 2" xfId="37692"/>
    <cellStyle name="Normal 2 2 2 4 2 2 2 2 2 4" xfId="4230"/>
    <cellStyle name="Normal 2 2 2 4 2 2 2 2 2 4 2" xfId="15093"/>
    <cellStyle name="Normal 2 2 2 4 2 2 2 2 2 4 2 2" xfId="17823"/>
    <cellStyle name="Normal 2 2 2 4 2 2 2 2 2 4 2 2 2" xfId="50432"/>
    <cellStyle name="Normal 2 2 2 4 2 2 2 2 2 4 2 2 2 2" xfId="53150"/>
    <cellStyle name="Normal 2 2 2 4 2 2 2 2 2 4 2 3" xfId="31325"/>
    <cellStyle name="Normal 2 2 2 4 2 2 2 2 2 4 3" xfId="28606"/>
    <cellStyle name="Normal 2 2 2 4 2 2 2 2 2 4 3 2" xfId="39673"/>
    <cellStyle name="Normal 2 2 2 4 2 2 2 2 2 5" xfId="9421"/>
    <cellStyle name="Normal 2 2 2 4 2 2 2 2 2 5 2" xfId="36901"/>
    <cellStyle name="Normal 2 2 2 4 2 2 2 2 2 5 2 2" xfId="44803"/>
    <cellStyle name="Normal 2 2 2 4 2 2 2 2 2 6" xfId="22917"/>
    <cellStyle name="Normal 2 2 2 4 2 2 2 2 3" xfId="2211"/>
    <cellStyle name="Normal 2 2 2 4 2 2 2 2 3 2" xfId="2701"/>
    <cellStyle name="Normal 2 2 2 4 2 2 2 2 3 2 2" xfId="7445"/>
    <cellStyle name="Normal 2 2 2 4 2 2 2 2 3 2 2 2" xfId="7920"/>
    <cellStyle name="Normal 2 2 2 4 2 2 2 2 3 2 2 2 2" xfId="20997"/>
    <cellStyle name="Normal 2 2 2 4 2 2 2 2 3 2 2 2 2 2" xfId="21472"/>
    <cellStyle name="Normal 2 2 2 4 2 2 2 2 3 2 2 2 2 2 2" xfId="56323"/>
    <cellStyle name="Normal 2 2 2 4 2 2 2 2 3 2 2 2 2 2 2 2" xfId="56798"/>
    <cellStyle name="Normal 2 2 2 4 2 2 2 2 3 2 2 2 2 3" xfId="34975"/>
    <cellStyle name="Normal 2 2 2 4 2 2 2 2 3 2 2 2 3" xfId="34500"/>
    <cellStyle name="Normal 2 2 2 4 2 2 2 2 3 2 2 2 3 2" xfId="43347"/>
    <cellStyle name="Normal 2 2 2 4 2 2 2 2 3 2 2 3" xfId="13145"/>
    <cellStyle name="Normal 2 2 2 4 2 2 2 2 3 2 2 3 2" xfId="42872"/>
    <cellStyle name="Normal 2 2 2 4 2 2 2 2 3 2 2 3 2 2" xfId="48491"/>
    <cellStyle name="Normal 2 2 2 4 2 2 2 2 3 2 2 4" xfId="26629"/>
    <cellStyle name="Normal 2 2 2 4 2 2 2 2 3 2 3" xfId="12670"/>
    <cellStyle name="Normal 2 2 2 4 2 2 2 2 3 2 3 2" xfId="16360"/>
    <cellStyle name="Normal 2 2 2 4 2 2 2 2 3 2 3 2 2" xfId="48016"/>
    <cellStyle name="Normal 2 2 2 4 2 2 2 2 3 2 3 2 2 2" xfId="51690"/>
    <cellStyle name="Normal 2 2 2 4 2 2 2 2 3 2 3 3" xfId="29864"/>
    <cellStyle name="Normal 2 2 2 4 2 2 2 2 3 2 4" xfId="26154"/>
    <cellStyle name="Normal 2 2 2 4 2 2 2 2 3 2 4 2" xfId="38174"/>
    <cellStyle name="Normal 2 2 2 4 2 2 2 2 3 3" xfId="4737"/>
    <cellStyle name="Normal 2 2 2 4 2 2 2 2 3 3 2" xfId="15875"/>
    <cellStyle name="Normal 2 2 2 4 2 2 2 2 3 3 2 2" xfId="18314"/>
    <cellStyle name="Normal 2 2 2 4 2 2 2 2 3 3 2 2 2" xfId="51207"/>
    <cellStyle name="Normal 2 2 2 4 2 2 2 2 3 3 2 2 2 2" xfId="53640"/>
    <cellStyle name="Normal 2 2 2 4 2 2 2 2 3 3 2 3" xfId="31815"/>
    <cellStyle name="Normal 2 2 2 4 2 2 2 2 3 3 3" xfId="29381"/>
    <cellStyle name="Normal 2 2 2 4 2 2 2 2 3 3 3 2" xfId="40175"/>
    <cellStyle name="Normal 2 2 2 4 2 2 2 2 3 4" xfId="9940"/>
    <cellStyle name="Normal 2 2 2 4 2 2 2 2 3 4 2" xfId="37689"/>
    <cellStyle name="Normal 2 2 2 4 2 2 2 2 3 4 2 2" xfId="45307"/>
    <cellStyle name="Normal 2 2 2 4 2 2 2 2 3 5" xfId="23430"/>
    <cellStyle name="Normal 2 2 2 4 2 2 2 2 4" xfId="4227"/>
    <cellStyle name="Normal 2 2 2 4 2 2 2 2 4 2" xfId="5942"/>
    <cellStyle name="Normal 2 2 2 4 2 2 2 2 4 2 2" xfId="17820"/>
    <cellStyle name="Normal 2 2 2 4 2 2 2 2 4 2 2 2" xfId="19509"/>
    <cellStyle name="Normal 2 2 2 4 2 2 2 2 4 2 2 2 2" xfId="53147"/>
    <cellStyle name="Normal 2 2 2 4 2 2 2 2 4 2 2 2 2 2" xfId="54835"/>
    <cellStyle name="Normal 2 2 2 4 2 2 2 2 4 2 2 3" xfId="33010"/>
    <cellStyle name="Normal 2 2 2 4 2 2 2 2 4 2 3" xfId="31322"/>
    <cellStyle name="Normal 2 2 2 4 2 2 2 2 4 2 3 2" xfId="41376"/>
    <cellStyle name="Normal 2 2 2 4 2 2 2 2 4 3" xfId="11167"/>
    <cellStyle name="Normal 2 2 2 4 2 2 2 2 4 3 2" xfId="39670"/>
    <cellStyle name="Normal 2 2 2 4 2 2 2 2 4 3 2 2" xfId="46525"/>
    <cellStyle name="Normal 2 2 2 4 2 2 2 2 4 4" xfId="24660"/>
    <cellStyle name="Normal 2 2 2 4 2 2 2 2 5" xfId="9418"/>
    <cellStyle name="Normal 2 2 2 4 2 2 2 2 5 2" xfId="14326"/>
    <cellStyle name="Normal 2 2 2 4 2 2 2 2 5 2 2" xfId="44800"/>
    <cellStyle name="Normal 2 2 2 4 2 2 2 2 5 2 2 2" xfId="49671"/>
    <cellStyle name="Normal 2 2 2 4 2 2 2 2 5 3" xfId="27836"/>
    <cellStyle name="Normal 2 2 2 4 2 2 2 2 6" xfId="22914"/>
    <cellStyle name="Normal 2 2 2 4 2 2 2 2 6 2" xfId="36138"/>
    <cellStyle name="Normal 2 2 2 4 2 2 2 3" xfId="939"/>
    <cellStyle name="Normal 2 2 2 4 2 2 2 3 2" xfId="2698"/>
    <cellStyle name="Normal 2 2 2 4 2 2 2 3 2 2" xfId="2977"/>
    <cellStyle name="Normal 2 2 2 4 2 2 2 3 2 2 2" xfId="7917"/>
    <cellStyle name="Normal 2 2 2 4 2 2 2 3 2 2 2 2" xfId="8192"/>
    <cellStyle name="Normal 2 2 2 4 2 2 2 3 2 2 2 2 2" xfId="21469"/>
    <cellStyle name="Normal 2 2 2 4 2 2 2 3 2 2 2 2 2 2" xfId="21744"/>
    <cellStyle name="Normal 2 2 2 4 2 2 2 3 2 2 2 2 2 2 2" xfId="56795"/>
    <cellStyle name="Normal 2 2 2 4 2 2 2 3 2 2 2 2 2 2 2 2" xfId="57070"/>
    <cellStyle name="Normal 2 2 2 4 2 2 2 3 2 2 2 2 2 3" xfId="35247"/>
    <cellStyle name="Normal 2 2 2 4 2 2 2 3 2 2 2 2 3" xfId="34972"/>
    <cellStyle name="Normal 2 2 2 4 2 2 2 3 2 2 2 2 3 2" xfId="43619"/>
    <cellStyle name="Normal 2 2 2 4 2 2 2 3 2 2 2 3" xfId="13417"/>
    <cellStyle name="Normal 2 2 2 4 2 2 2 3 2 2 2 3 2" xfId="43344"/>
    <cellStyle name="Normal 2 2 2 4 2 2 2 3 2 2 2 3 2 2" xfId="48763"/>
    <cellStyle name="Normal 2 2 2 4 2 2 2 3 2 2 2 4" xfId="26902"/>
    <cellStyle name="Normal 2 2 2 4 2 2 2 3 2 2 3" xfId="13142"/>
    <cellStyle name="Normal 2 2 2 4 2 2 2 3 2 2 3 2" xfId="16634"/>
    <cellStyle name="Normal 2 2 2 4 2 2 2 3 2 2 3 2 2" xfId="48488"/>
    <cellStyle name="Normal 2 2 2 4 2 2 2 3 2 2 3 2 2 2" xfId="51962"/>
    <cellStyle name="Normal 2 2 2 4 2 2 2 3 2 2 3 3" xfId="30136"/>
    <cellStyle name="Normal 2 2 2 4 2 2 2 3 2 2 4" xfId="26626"/>
    <cellStyle name="Normal 2 2 2 4 2 2 2 3 2 2 4 2" xfId="38446"/>
    <cellStyle name="Normal 2 2 2 4 2 2 2 3 2 3" xfId="5013"/>
    <cellStyle name="Normal 2 2 2 4 2 2 2 3 2 3 2" xfId="16357"/>
    <cellStyle name="Normal 2 2 2 4 2 2 2 3 2 3 2 2" xfId="18586"/>
    <cellStyle name="Normal 2 2 2 4 2 2 2 3 2 3 2 2 2" xfId="51687"/>
    <cellStyle name="Normal 2 2 2 4 2 2 2 3 2 3 2 2 2 2" xfId="53912"/>
    <cellStyle name="Normal 2 2 2 4 2 2 2 3 2 3 2 3" xfId="32087"/>
    <cellStyle name="Normal 2 2 2 4 2 2 2 3 2 3 3" xfId="29861"/>
    <cellStyle name="Normal 2 2 2 4 2 2 2 3 2 3 3 2" xfId="40450"/>
    <cellStyle name="Normal 2 2 2 4 2 2 2 3 2 4" xfId="10216"/>
    <cellStyle name="Normal 2 2 2 4 2 2 2 3 2 4 2" xfId="38171"/>
    <cellStyle name="Normal 2 2 2 4 2 2 2 3 2 4 2 2" xfId="45579"/>
    <cellStyle name="Normal 2 2 2 4 2 2 2 3 2 5" xfId="23702"/>
    <cellStyle name="Normal 2 2 2 4 2 2 2 3 3" xfId="4734"/>
    <cellStyle name="Normal 2 2 2 4 2 2 2 3 3 2" xfId="6250"/>
    <cellStyle name="Normal 2 2 2 4 2 2 2 3 3 2 2" xfId="18311"/>
    <cellStyle name="Normal 2 2 2 4 2 2 2 3 3 2 2 2" xfId="19807"/>
    <cellStyle name="Normal 2 2 2 4 2 2 2 3 3 2 2 2 2" xfId="53637"/>
    <cellStyle name="Normal 2 2 2 4 2 2 2 3 3 2 2 2 2 2" xfId="55133"/>
    <cellStyle name="Normal 2 2 2 4 2 2 2 3 3 2 2 3" xfId="33309"/>
    <cellStyle name="Normal 2 2 2 4 2 2 2 3 3 2 3" xfId="31812"/>
    <cellStyle name="Normal 2 2 2 4 2 2 2 3 3 2 3 2" xfId="41679"/>
    <cellStyle name="Normal 2 2 2 4 2 2 2 3 3 3" xfId="11475"/>
    <cellStyle name="Normal 2 2 2 4 2 2 2 3 3 3 2" xfId="40172"/>
    <cellStyle name="Normal 2 2 2 4 2 2 2 3 3 3 2 2" xfId="46824"/>
    <cellStyle name="Normal 2 2 2 4 2 2 2 3 3 4" xfId="24961"/>
    <cellStyle name="Normal 2 2 2 4 2 2 2 3 4" xfId="9937"/>
    <cellStyle name="Normal 2 2 2 4 2 2 2 3 4 2" xfId="14633"/>
    <cellStyle name="Normal 2 2 2 4 2 2 2 3 4 2 2" xfId="45304"/>
    <cellStyle name="Normal 2 2 2 4 2 2 2 3 4 2 2 2" xfId="49972"/>
    <cellStyle name="Normal 2 2 2 4 2 2 2 3 4 3" xfId="28144"/>
    <cellStyle name="Normal 2 2 2 4 2 2 2 3 5" xfId="23427"/>
    <cellStyle name="Normal 2 2 2 4 2 2 2 3 5 2" xfId="36441"/>
    <cellStyle name="Normal 2 2 2 4 2 2 2 4" xfId="1735"/>
    <cellStyle name="Normal 2 2 2 4 2 2 2 4 2" xfId="5939"/>
    <cellStyle name="Normal 2 2 2 4 2 2 2 4 2 2" xfId="6988"/>
    <cellStyle name="Normal 2 2 2 4 2 2 2 4 2 2 2" xfId="19506"/>
    <cellStyle name="Normal 2 2 2 4 2 2 2 4 2 2 2 2" xfId="20541"/>
    <cellStyle name="Normal 2 2 2 4 2 2 2 4 2 2 2 2 2" xfId="54832"/>
    <cellStyle name="Normal 2 2 2 4 2 2 2 4 2 2 2 2 2 2" xfId="55867"/>
    <cellStyle name="Normal 2 2 2 4 2 2 2 4 2 2 2 3" xfId="34043"/>
    <cellStyle name="Normal 2 2 2 4 2 2 2 4 2 2 3" xfId="33007"/>
    <cellStyle name="Normal 2 2 2 4 2 2 2 4 2 2 3 2" xfId="42416"/>
    <cellStyle name="Normal 2 2 2 4 2 2 2 4 2 3" xfId="12212"/>
    <cellStyle name="Normal 2 2 2 4 2 2 2 4 2 3 2" xfId="41373"/>
    <cellStyle name="Normal 2 2 2 4 2 2 2 4 2 3 2 2" xfId="47559"/>
    <cellStyle name="Normal 2 2 2 4 2 2 2 4 2 4" xfId="25697"/>
    <cellStyle name="Normal 2 2 2 4 2 2 2 4 3" xfId="11164"/>
    <cellStyle name="Normal 2 2 2 4 2 2 2 4 3 2" xfId="15407"/>
    <cellStyle name="Normal 2 2 2 4 2 2 2 4 3 2 2" xfId="46522"/>
    <cellStyle name="Normal 2 2 2 4 2 2 2 4 3 2 2 2" xfId="50740"/>
    <cellStyle name="Normal 2 2 2 4 2 2 2 4 3 3" xfId="28914"/>
    <cellStyle name="Normal 2 2 2 4 2 2 2 4 4" xfId="24657"/>
    <cellStyle name="Normal 2 2 2 4 2 2 2 4 4 2" xfId="37217"/>
    <cellStyle name="Normal 2 2 2 4 2 2 2 5" xfId="3740"/>
    <cellStyle name="Normal 2 2 2 4 2 2 2 5 2" xfId="14323"/>
    <cellStyle name="Normal 2 2 2 4 2 2 2 5 2 2" xfId="17356"/>
    <cellStyle name="Normal 2 2 2 4 2 2 2 5 2 2 2" xfId="49668"/>
    <cellStyle name="Normal 2 2 2 4 2 2 2 5 2 2 2 2" xfId="52683"/>
    <cellStyle name="Normal 2 2 2 4 2 2 2 5 2 3" xfId="30857"/>
    <cellStyle name="Normal 2 2 2 4 2 2 2 5 3" xfId="27833"/>
    <cellStyle name="Normal 2 2 2 4 2 2 2 5 3 2" xfId="39191"/>
    <cellStyle name="Normal 2 2 2 4 2 2 2 6" xfId="8930"/>
    <cellStyle name="Normal 2 2 2 4 2 2 2 6 2" xfId="36135"/>
    <cellStyle name="Normal 2 2 2 4 2 2 2 6 2 2" xfId="44329"/>
    <cellStyle name="Normal 2 2 2 4 2 2 2 7" xfId="22437"/>
    <cellStyle name="Normal 2 2 2 4 2 2 3" xfId="936"/>
    <cellStyle name="Normal 2 2 2 4 2 2 3 2" xfId="1131"/>
    <cellStyle name="Normal 2 2 2 4 2 2 3 2 2" xfId="2974"/>
    <cellStyle name="Normal 2 2 2 4 2 2 3 2 2 2" xfId="3156"/>
    <cellStyle name="Normal 2 2 2 4 2 2 3 2 2 2 2" xfId="8189"/>
    <cellStyle name="Normal 2 2 2 4 2 2 3 2 2 2 2 2" xfId="8371"/>
    <cellStyle name="Normal 2 2 2 4 2 2 3 2 2 2 2 2 2" xfId="21741"/>
    <cellStyle name="Normal 2 2 2 4 2 2 3 2 2 2 2 2 2 2" xfId="21923"/>
    <cellStyle name="Normal 2 2 2 4 2 2 3 2 2 2 2 2 2 2 2" xfId="57067"/>
    <cellStyle name="Normal 2 2 2 4 2 2 3 2 2 2 2 2 2 2 2 2" xfId="57249"/>
    <cellStyle name="Normal 2 2 2 4 2 2 3 2 2 2 2 2 2 3" xfId="35426"/>
    <cellStyle name="Normal 2 2 2 4 2 2 3 2 2 2 2 2 3" xfId="35244"/>
    <cellStyle name="Normal 2 2 2 4 2 2 3 2 2 2 2 2 3 2" xfId="43798"/>
    <cellStyle name="Normal 2 2 2 4 2 2 3 2 2 2 2 3" xfId="13596"/>
    <cellStyle name="Normal 2 2 2 4 2 2 3 2 2 2 2 3 2" xfId="43616"/>
    <cellStyle name="Normal 2 2 2 4 2 2 3 2 2 2 2 3 2 2" xfId="48942"/>
    <cellStyle name="Normal 2 2 2 4 2 2 3 2 2 2 2 4" xfId="27081"/>
    <cellStyle name="Normal 2 2 2 4 2 2 3 2 2 2 3" xfId="13414"/>
    <cellStyle name="Normal 2 2 2 4 2 2 3 2 2 2 3 2" xfId="16813"/>
    <cellStyle name="Normal 2 2 2 4 2 2 3 2 2 2 3 2 2" xfId="48760"/>
    <cellStyle name="Normal 2 2 2 4 2 2 3 2 2 2 3 2 2 2" xfId="52141"/>
    <cellStyle name="Normal 2 2 2 4 2 2 3 2 2 2 3 3" xfId="30315"/>
    <cellStyle name="Normal 2 2 2 4 2 2 3 2 2 2 4" xfId="26899"/>
    <cellStyle name="Normal 2 2 2 4 2 2 3 2 2 2 4 2" xfId="38625"/>
    <cellStyle name="Normal 2 2 2 4 2 2 3 2 2 3" xfId="5193"/>
    <cellStyle name="Normal 2 2 2 4 2 2 3 2 2 3 2" xfId="16631"/>
    <cellStyle name="Normal 2 2 2 4 2 2 3 2 2 3 2 2" xfId="18766"/>
    <cellStyle name="Normal 2 2 2 4 2 2 3 2 2 3 2 2 2" xfId="51959"/>
    <cellStyle name="Normal 2 2 2 4 2 2 3 2 2 3 2 2 2 2" xfId="54092"/>
    <cellStyle name="Normal 2 2 2 4 2 2 3 2 2 3 2 3" xfId="32267"/>
    <cellStyle name="Normal 2 2 2 4 2 2 3 2 2 3 3" xfId="30133"/>
    <cellStyle name="Normal 2 2 2 4 2 2 3 2 2 3 3 2" xfId="40630"/>
    <cellStyle name="Normal 2 2 2 4 2 2 3 2 2 4" xfId="10396"/>
    <cellStyle name="Normal 2 2 2 4 2 2 3 2 2 4 2" xfId="38443"/>
    <cellStyle name="Normal 2 2 2 4 2 2 3 2 2 4 2 2" xfId="45759"/>
    <cellStyle name="Normal 2 2 2 4 2 2 3 2 2 5" xfId="23882"/>
    <cellStyle name="Normal 2 2 2 4 2 2 3 2 3" xfId="5010"/>
    <cellStyle name="Normal 2 2 2 4 2 2 3 2 3 2" xfId="6439"/>
    <cellStyle name="Normal 2 2 2 4 2 2 3 2 3 2 2" xfId="18583"/>
    <cellStyle name="Normal 2 2 2 4 2 2 3 2 3 2 2 2" xfId="19994"/>
    <cellStyle name="Normal 2 2 2 4 2 2 3 2 3 2 2 2 2" xfId="53909"/>
    <cellStyle name="Normal 2 2 2 4 2 2 3 2 3 2 2 2 2 2" xfId="55320"/>
    <cellStyle name="Normal 2 2 2 4 2 2 3 2 3 2 2 3" xfId="33496"/>
    <cellStyle name="Normal 2 2 2 4 2 2 3 2 3 2 3" xfId="32084"/>
    <cellStyle name="Normal 2 2 2 4 2 2 3 2 3 2 3 2" xfId="41867"/>
    <cellStyle name="Normal 2 2 2 4 2 2 3 2 3 3" xfId="11663"/>
    <cellStyle name="Normal 2 2 2 4 2 2 3 2 3 3 2" xfId="40447"/>
    <cellStyle name="Normal 2 2 2 4 2 2 3 2 3 3 2 2" xfId="47012"/>
    <cellStyle name="Normal 2 2 2 4 2 2 3 2 3 4" xfId="25149"/>
    <cellStyle name="Normal 2 2 2 4 2 2 3 2 4" xfId="10213"/>
    <cellStyle name="Normal 2 2 2 4 2 2 3 2 4 2" xfId="14822"/>
    <cellStyle name="Normal 2 2 2 4 2 2 3 2 4 2 2" xfId="45576"/>
    <cellStyle name="Normal 2 2 2 4 2 2 3 2 4 2 2 2" xfId="50161"/>
    <cellStyle name="Normal 2 2 2 4 2 2 3 2 4 3" xfId="28334"/>
    <cellStyle name="Normal 2 2 2 4 2 2 3 2 5" xfId="23699"/>
    <cellStyle name="Normal 2 2 2 4 2 2 3 2 5 2" xfId="36630"/>
    <cellStyle name="Normal 2 2 2 4 2 2 3 3" xfId="1939"/>
    <cellStyle name="Normal 2 2 2 4 2 2 3 3 2" xfId="6247"/>
    <cellStyle name="Normal 2 2 2 4 2 2 3 3 2 2" xfId="7178"/>
    <cellStyle name="Normal 2 2 2 4 2 2 3 3 2 2 2" xfId="19804"/>
    <cellStyle name="Normal 2 2 2 4 2 2 3 3 2 2 2 2" xfId="20730"/>
    <cellStyle name="Normal 2 2 2 4 2 2 3 3 2 2 2 2 2" xfId="55130"/>
    <cellStyle name="Normal 2 2 2 4 2 2 3 3 2 2 2 2 2 2" xfId="56056"/>
    <cellStyle name="Normal 2 2 2 4 2 2 3 3 2 2 2 3" xfId="34233"/>
    <cellStyle name="Normal 2 2 2 4 2 2 3 3 2 2 3" xfId="33306"/>
    <cellStyle name="Normal 2 2 2 4 2 2 3 3 2 2 3 2" xfId="42605"/>
    <cellStyle name="Normal 2 2 2 4 2 2 3 3 2 3" xfId="12403"/>
    <cellStyle name="Normal 2 2 2 4 2 2 3 3 2 3 2" xfId="41676"/>
    <cellStyle name="Normal 2 2 2 4 2 2 3 3 2 3 2 2" xfId="47749"/>
    <cellStyle name="Normal 2 2 2 4 2 2 3 3 2 4" xfId="25887"/>
    <cellStyle name="Normal 2 2 2 4 2 2 3 3 3" xfId="11472"/>
    <cellStyle name="Normal 2 2 2 4 2 2 3 3 3 2" xfId="15604"/>
    <cellStyle name="Normal 2 2 2 4 2 2 3 3 3 2 2" xfId="46821"/>
    <cellStyle name="Normal 2 2 2 4 2 2 3 3 3 2 2 2" xfId="50936"/>
    <cellStyle name="Normal 2 2 2 4 2 2 3 3 3 3" xfId="29110"/>
    <cellStyle name="Normal 2 2 2 4 2 2 3 3 4" xfId="24958"/>
    <cellStyle name="Normal 2 2 2 4 2 2 3 3 4 2" xfId="37417"/>
    <cellStyle name="Normal 2 2 2 4 2 2 3 4" xfId="3953"/>
    <cellStyle name="Normal 2 2 2 4 2 2 3 4 2" xfId="14630"/>
    <cellStyle name="Normal 2 2 2 4 2 2 3 4 2 2" xfId="17553"/>
    <cellStyle name="Normal 2 2 2 4 2 2 3 4 2 2 2" xfId="49969"/>
    <cellStyle name="Normal 2 2 2 4 2 2 3 4 2 2 2 2" xfId="52880"/>
    <cellStyle name="Normal 2 2 2 4 2 2 3 4 2 3" xfId="31055"/>
    <cellStyle name="Normal 2 2 2 4 2 2 3 4 3" xfId="28141"/>
    <cellStyle name="Normal 2 2 2 4 2 2 3 4 3 2" xfId="39397"/>
    <cellStyle name="Normal 2 2 2 4 2 2 3 5" xfId="9145"/>
    <cellStyle name="Normal 2 2 2 4 2 2 3 5 2" xfId="36438"/>
    <cellStyle name="Normal 2 2 2 4 2 2 3 5 2 2" xfId="44533"/>
    <cellStyle name="Normal 2 2 2 4 2 2 3 6" xfId="22647"/>
    <cellStyle name="Normal 2 2 2 4 2 2 4" xfId="1732"/>
    <cellStyle name="Normal 2 2 2 4 2 2 4 2" xfId="2387"/>
    <cellStyle name="Normal 2 2 2 4 2 2 4 2 2" xfId="6985"/>
    <cellStyle name="Normal 2 2 2 4 2 2 4 2 2 2" xfId="7620"/>
    <cellStyle name="Normal 2 2 2 4 2 2 4 2 2 2 2" xfId="20538"/>
    <cellStyle name="Normal 2 2 2 4 2 2 4 2 2 2 2 2" xfId="21172"/>
    <cellStyle name="Normal 2 2 2 4 2 2 4 2 2 2 2 2 2" xfId="55864"/>
    <cellStyle name="Normal 2 2 2 4 2 2 4 2 2 2 2 2 2 2" xfId="56498"/>
    <cellStyle name="Normal 2 2 2 4 2 2 4 2 2 2 2 3" xfId="34675"/>
    <cellStyle name="Normal 2 2 2 4 2 2 4 2 2 2 3" xfId="34040"/>
    <cellStyle name="Normal 2 2 2 4 2 2 4 2 2 2 3 2" xfId="43047"/>
    <cellStyle name="Normal 2 2 2 4 2 2 4 2 2 3" xfId="12845"/>
    <cellStyle name="Normal 2 2 2 4 2 2 4 2 2 3 2" xfId="42413"/>
    <cellStyle name="Normal 2 2 2 4 2 2 4 2 2 3 2 2" xfId="48191"/>
    <cellStyle name="Normal 2 2 2 4 2 2 4 2 2 4" xfId="26329"/>
    <cellStyle name="Normal 2 2 2 4 2 2 4 2 3" xfId="12209"/>
    <cellStyle name="Normal 2 2 2 4 2 2 4 2 3 2" xfId="16050"/>
    <cellStyle name="Normal 2 2 2 4 2 2 4 2 3 2 2" xfId="47556"/>
    <cellStyle name="Normal 2 2 2 4 2 2 4 2 3 2 2 2" xfId="51382"/>
    <cellStyle name="Normal 2 2 2 4 2 2 4 2 3 3" xfId="29556"/>
    <cellStyle name="Normal 2 2 2 4 2 2 4 2 4" xfId="25694"/>
    <cellStyle name="Normal 2 2 2 4 2 2 4 2 4 2" xfId="37865"/>
    <cellStyle name="Normal 2 2 2 4 2 2 4 3" xfId="4421"/>
    <cellStyle name="Normal 2 2 2 4 2 2 4 3 2" xfId="15404"/>
    <cellStyle name="Normal 2 2 2 4 2 2 4 3 2 2" xfId="18012"/>
    <cellStyle name="Normal 2 2 2 4 2 2 4 3 2 2 2" xfId="50737"/>
    <cellStyle name="Normal 2 2 2 4 2 2 4 3 2 2 2 2" xfId="53338"/>
    <cellStyle name="Normal 2 2 2 4 2 2 4 3 2 3" xfId="31513"/>
    <cellStyle name="Normal 2 2 2 4 2 2 4 3 3" xfId="28911"/>
    <cellStyle name="Normal 2 2 2 4 2 2 4 3 3 2" xfId="39863"/>
    <cellStyle name="Normal 2 2 2 4 2 2 4 4" xfId="9624"/>
    <cellStyle name="Normal 2 2 2 4 2 2 4 4 2" xfId="37214"/>
    <cellStyle name="Normal 2 2 2 4 2 2 4 4 2 2" xfId="45004"/>
    <cellStyle name="Normal 2 2 2 4 2 2 4 5" xfId="23125"/>
    <cellStyle name="Normal 2 2 2 4 2 2 5" xfId="3737"/>
    <cellStyle name="Normal 2 2 2 4 2 2 5 2" xfId="5628"/>
    <cellStyle name="Normal 2 2 2 4 2 2 5 2 2" xfId="17353"/>
    <cellStyle name="Normal 2 2 2 4 2 2 5 2 2 2" xfId="19200"/>
    <cellStyle name="Normal 2 2 2 4 2 2 5 2 2 2 2" xfId="52680"/>
    <cellStyle name="Normal 2 2 2 4 2 2 5 2 2 2 2 2" xfId="54526"/>
    <cellStyle name="Normal 2 2 2 4 2 2 5 2 2 3" xfId="32701"/>
    <cellStyle name="Normal 2 2 2 4 2 2 5 2 3" xfId="30854"/>
    <cellStyle name="Normal 2 2 2 4 2 2 5 2 3 2" xfId="41064"/>
    <cellStyle name="Normal 2 2 2 4 2 2 5 3" xfId="10844"/>
    <cellStyle name="Normal 2 2 2 4 2 2 5 3 2" xfId="39188"/>
    <cellStyle name="Normal 2 2 2 4 2 2 5 3 2 2" xfId="46206"/>
    <cellStyle name="Normal 2 2 2 4 2 2 5 4" xfId="24336"/>
    <cellStyle name="Normal 2 2 2 4 2 2 6" xfId="8927"/>
    <cellStyle name="Normal 2 2 2 4 2 2 6 2" xfId="14012"/>
    <cellStyle name="Normal 2 2 2 4 2 2 6 2 2" xfId="44326"/>
    <cellStyle name="Normal 2 2 2 4 2 2 6 2 2 2" xfId="49358"/>
    <cellStyle name="Normal 2 2 2 4 2 2 6 3" xfId="27506"/>
    <cellStyle name="Normal 2 2 2 4 2 2 7" xfId="22434"/>
    <cellStyle name="Normal 2 2 2 4 2 2 7 2" xfId="35824"/>
    <cellStyle name="Normal 2 2 2 4 2 3" xfId="409"/>
    <cellStyle name="Normal 2 2 2 4 2 3 2" xfId="1128"/>
    <cellStyle name="Normal 2 2 2 4 2 3 2 2" xfId="1240"/>
    <cellStyle name="Normal 2 2 2 4 2 3 2 2 2" xfId="3153"/>
    <cellStyle name="Normal 2 2 2 4 2 3 2 2 2 2" xfId="3258"/>
    <cellStyle name="Normal 2 2 2 4 2 3 2 2 2 2 2" xfId="8368"/>
    <cellStyle name="Normal 2 2 2 4 2 3 2 2 2 2 2 2" xfId="8473"/>
    <cellStyle name="Normal 2 2 2 4 2 3 2 2 2 2 2 2 2" xfId="21920"/>
    <cellStyle name="Normal 2 2 2 4 2 3 2 2 2 2 2 2 2 2" xfId="22025"/>
    <cellStyle name="Normal 2 2 2 4 2 3 2 2 2 2 2 2 2 2 2" xfId="57246"/>
    <cellStyle name="Normal 2 2 2 4 2 3 2 2 2 2 2 2 2 2 2 2" xfId="57351"/>
    <cellStyle name="Normal 2 2 2 4 2 3 2 2 2 2 2 2 2 3" xfId="35528"/>
    <cellStyle name="Normal 2 2 2 4 2 3 2 2 2 2 2 2 3" xfId="35423"/>
    <cellStyle name="Normal 2 2 2 4 2 3 2 2 2 2 2 2 3 2" xfId="43900"/>
    <cellStyle name="Normal 2 2 2 4 2 3 2 2 2 2 2 3" xfId="13698"/>
    <cellStyle name="Normal 2 2 2 4 2 3 2 2 2 2 2 3 2" xfId="43795"/>
    <cellStyle name="Normal 2 2 2 4 2 3 2 2 2 2 2 3 2 2" xfId="49044"/>
    <cellStyle name="Normal 2 2 2 4 2 3 2 2 2 2 2 4" xfId="27183"/>
    <cellStyle name="Normal 2 2 2 4 2 3 2 2 2 2 3" xfId="13593"/>
    <cellStyle name="Normal 2 2 2 4 2 3 2 2 2 2 3 2" xfId="16915"/>
    <cellStyle name="Normal 2 2 2 4 2 3 2 2 2 2 3 2 2" xfId="48939"/>
    <cellStyle name="Normal 2 2 2 4 2 3 2 2 2 2 3 2 2 2" xfId="52243"/>
    <cellStyle name="Normal 2 2 2 4 2 3 2 2 2 2 3 3" xfId="30417"/>
    <cellStyle name="Normal 2 2 2 4 2 3 2 2 2 2 4" xfId="27078"/>
    <cellStyle name="Normal 2 2 2 4 2 3 2 2 2 2 4 2" xfId="38727"/>
    <cellStyle name="Normal 2 2 2 4 2 3 2 2 2 3" xfId="5295"/>
    <cellStyle name="Normal 2 2 2 4 2 3 2 2 2 3 2" xfId="16810"/>
    <cellStyle name="Normal 2 2 2 4 2 3 2 2 2 3 2 2" xfId="18868"/>
    <cellStyle name="Normal 2 2 2 4 2 3 2 2 2 3 2 2 2" xfId="52138"/>
    <cellStyle name="Normal 2 2 2 4 2 3 2 2 2 3 2 2 2 2" xfId="54194"/>
    <cellStyle name="Normal 2 2 2 4 2 3 2 2 2 3 2 3" xfId="32369"/>
    <cellStyle name="Normal 2 2 2 4 2 3 2 2 2 3 3" xfId="30312"/>
    <cellStyle name="Normal 2 2 2 4 2 3 2 2 2 3 3 2" xfId="40732"/>
    <cellStyle name="Normal 2 2 2 4 2 3 2 2 2 4" xfId="10498"/>
    <cellStyle name="Normal 2 2 2 4 2 3 2 2 2 4 2" xfId="38622"/>
    <cellStyle name="Normal 2 2 2 4 2 3 2 2 2 4 2 2" xfId="45861"/>
    <cellStyle name="Normal 2 2 2 4 2 3 2 2 2 5" xfId="23984"/>
    <cellStyle name="Normal 2 2 2 4 2 3 2 2 3" xfId="5190"/>
    <cellStyle name="Normal 2 2 2 4 2 3 2 2 3 2" xfId="6548"/>
    <cellStyle name="Normal 2 2 2 4 2 3 2 2 3 2 2" xfId="18763"/>
    <cellStyle name="Normal 2 2 2 4 2 3 2 2 3 2 2 2" xfId="20101"/>
    <cellStyle name="Normal 2 2 2 4 2 3 2 2 3 2 2 2 2" xfId="54089"/>
    <cellStyle name="Normal 2 2 2 4 2 3 2 2 3 2 2 2 2 2" xfId="55427"/>
    <cellStyle name="Normal 2 2 2 4 2 3 2 2 3 2 2 3" xfId="33603"/>
    <cellStyle name="Normal 2 2 2 4 2 3 2 2 3 2 3" xfId="32264"/>
    <cellStyle name="Normal 2 2 2 4 2 3 2 2 3 2 3 2" xfId="41976"/>
    <cellStyle name="Normal 2 2 2 4 2 3 2 2 3 3" xfId="11771"/>
    <cellStyle name="Normal 2 2 2 4 2 3 2 2 3 3 2" xfId="40627"/>
    <cellStyle name="Normal 2 2 2 4 2 3 2 2 3 3 2 2" xfId="47119"/>
    <cellStyle name="Normal 2 2 2 4 2 3 2 2 3 4" xfId="25256"/>
    <cellStyle name="Normal 2 2 2 4 2 3 2 2 4" xfId="10393"/>
    <cellStyle name="Normal 2 2 2 4 2 3 2 2 4 2" xfId="14929"/>
    <cellStyle name="Normal 2 2 2 4 2 3 2 2 4 2 2" xfId="45756"/>
    <cellStyle name="Normal 2 2 2 4 2 3 2 2 4 2 2 2" xfId="50268"/>
    <cellStyle name="Normal 2 2 2 4 2 3 2 2 4 3" xfId="28442"/>
    <cellStyle name="Normal 2 2 2 4 2 3 2 2 5" xfId="23879"/>
    <cellStyle name="Normal 2 2 2 4 2 3 2 2 5 2" xfId="36737"/>
    <cellStyle name="Normal 2 2 2 4 2 3 2 3" xfId="2046"/>
    <cellStyle name="Normal 2 2 2 4 2 3 2 3 2" xfId="6436"/>
    <cellStyle name="Normal 2 2 2 4 2 3 2 3 2 2" xfId="7280"/>
    <cellStyle name="Normal 2 2 2 4 2 3 2 3 2 2 2" xfId="19991"/>
    <cellStyle name="Normal 2 2 2 4 2 3 2 3 2 2 2 2" xfId="20832"/>
    <cellStyle name="Normal 2 2 2 4 2 3 2 3 2 2 2 2 2" xfId="55317"/>
    <cellStyle name="Normal 2 2 2 4 2 3 2 3 2 2 2 2 2 2" xfId="56158"/>
    <cellStyle name="Normal 2 2 2 4 2 3 2 3 2 2 2 3" xfId="34335"/>
    <cellStyle name="Normal 2 2 2 4 2 3 2 3 2 2 3" xfId="33493"/>
    <cellStyle name="Normal 2 2 2 4 2 3 2 3 2 2 3 2" xfId="42707"/>
    <cellStyle name="Normal 2 2 2 4 2 3 2 3 2 3" xfId="12505"/>
    <cellStyle name="Normal 2 2 2 4 2 3 2 3 2 3 2" xfId="41864"/>
    <cellStyle name="Normal 2 2 2 4 2 3 2 3 2 3 2 2" xfId="47851"/>
    <cellStyle name="Normal 2 2 2 4 2 3 2 3 2 4" xfId="25989"/>
    <cellStyle name="Normal 2 2 2 4 2 3 2 3 3" xfId="11660"/>
    <cellStyle name="Normal 2 2 2 4 2 3 2 3 3 2" xfId="15710"/>
    <cellStyle name="Normal 2 2 2 4 2 3 2 3 3 2 2" xfId="47009"/>
    <cellStyle name="Normal 2 2 2 4 2 3 2 3 3 2 2 2" xfId="51042"/>
    <cellStyle name="Normal 2 2 2 4 2 3 2 3 3 3" xfId="29216"/>
    <cellStyle name="Normal 2 2 2 4 2 3 2 3 4" xfId="25146"/>
    <cellStyle name="Normal 2 2 2 4 2 3 2 3 4 2" xfId="37524"/>
    <cellStyle name="Normal 2 2 2 4 2 3 2 4" xfId="4062"/>
    <cellStyle name="Normal 2 2 2 4 2 3 2 4 2" xfId="14819"/>
    <cellStyle name="Normal 2 2 2 4 2 3 2 4 2 2" xfId="17655"/>
    <cellStyle name="Normal 2 2 2 4 2 3 2 4 2 2 2" xfId="50158"/>
    <cellStyle name="Normal 2 2 2 4 2 3 2 4 2 2 2 2" xfId="52982"/>
    <cellStyle name="Normal 2 2 2 4 2 3 2 4 2 3" xfId="31157"/>
    <cellStyle name="Normal 2 2 2 4 2 3 2 4 3" xfId="28331"/>
    <cellStyle name="Normal 2 2 2 4 2 3 2 4 3 2" xfId="39505"/>
    <cellStyle name="Normal 2 2 2 4 2 3 2 5" xfId="9253"/>
    <cellStyle name="Normal 2 2 2 4 2 3 2 5 2" xfId="36627"/>
    <cellStyle name="Normal 2 2 2 4 2 3 2 5 2 2" xfId="44635"/>
    <cellStyle name="Normal 2 2 2 4 2 3 2 6" xfId="22749"/>
    <cellStyle name="Normal 2 2 2 4 2 3 3" xfId="1936"/>
    <cellStyle name="Normal 2 2 2 4 2 3 3 2" xfId="2511"/>
    <cellStyle name="Normal 2 2 2 4 2 3 3 2 2" xfId="7175"/>
    <cellStyle name="Normal 2 2 2 4 2 3 3 2 2 2" xfId="7736"/>
    <cellStyle name="Normal 2 2 2 4 2 3 3 2 2 2 2" xfId="20727"/>
    <cellStyle name="Normal 2 2 2 4 2 3 3 2 2 2 2 2" xfId="21288"/>
    <cellStyle name="Normal 2 2 2 4 2 3 3 2 2 2 2 2 2" xfId="56053"/>
    <cellStyle name="Normal 2 2 2 4 2 3 3 2 2 2 2 2 2 2" xfId="56614"/>
    <cellStyle name="Normal 2 2 2 4 2 3 3 2 2 2 2 3" xfId="34791"/>
    <cellStyle name="Normal 2 2 2 4 2 3 3 2 2 2 3" xfId="34230"/>
    <cellStyle name="Normal 2 2 2 4 2 3 3 2 2 2 3 2" xfId="43163"/>
    <cellStyle name="Normal 2 2 2 4 2 3 3 2 2 3" xfId="12961"/>
    <cellStyle name="Normal 2 2 2 4 2 3 3 2 2 3 2" xfId="42602"/>
    <cellStyle name="Normal 2 2 2 4 2 3 3 2 2 3 2 2" xfId="48307"/>
    <cellStyle name="Normal 2 2 2 4 2 3 3 2 2 4" xfId="26445"/>
    <cellStyle name="Normal 2 2 2 4 2 3 3 2 3" xfId="12400"/>
    <cellStyle name="Normal 2 2 2 4 2 3 3 2 3 2" xfId="16172"/>
    <cellStyle name="Normal 2 2 2 4 2 3 3 2 3 2 2" xfId="47746"/>
    <cellStyle name="Normal 2 2 2 4 2 3 3 2 3 2 2 2" xfId="51503"/>
    <cellStyle name="Normal 2 2 2 4 2 3 3 2 3 3" xfId="29677"/>
    <cellStyle name="Normal 2 2 2 4 2 3 3 2 4" xfId="25884"/>
    <cellStyle name="Normal 2 2 2 4 2 3 3 2 4 2" xfId="37986"/>
    <cellStyle name="Normal 2 2 2 4 2 3 3 3" xfId="4546"/>
    <cellStyle name="Normal 2 2 2 4 2 3 3 3 2" xfId="15601"/>
    <cellStyle name="Normal 2 2 2 4 2 3 3 3 2 2" xfId="18129"/>
    <cellStyle name="Normal 2 2 2 4 2 3 3 3 2 2 2" xfId="50933"/>
    <cellStyle name="Normal 2 2 2 4 2 3 3 3 2 2 2 2" xfId="53455"/>
    <cellStyle name="Normal 2 2 2 4 2 3 3 3 2 3" xfId="31630"/>
    <cellStyle name="Normal 2 2 2 4 2 3 3 3 3" xfId="29107"/>
    <cellStyle name="Normal 2 2 2 4 2 3 3 3 3 2" xfId="39987"/>
    <cellStyle name="Normal 2 2 2 4 2 3 3 4" xfId="9749"/>
    <cellStyle name="Normal 2 2 2 4 2 3 3 4 2" xfId="37414"/>
    <cellStyle name="Normal 2 2 2 4 2 3 3 4 2 2" xfId="45122"/>
    <cellStyle name="Normal 2 2 2 4 2 3 3 5" xfId="23245"/>
    <cellStyle name="Normal 2 2 2 4 2 3 4" xfId="3950"/>
    <cellStyle name="Normal 2 2 2 4 2 3 4 2" xfId="5752"/>
    <cellStyle name="Normal 2 2 2 4 2 3 4 2 2" xfId="17550"/>
    <cellStyle name="Normal 2 2 2 4 2 3 4 2 2 2" xfId="19321"/>
    <cellStyle name="Normal 2 2 2 4 2 3 4 2 2 2 2" xfId="52877"/>
    <cellStyle name="Normal 2 2 2 4 2 3 4 2 2 2 2 2" xfId="54647"/>
    <cellStyle name="Normal 2 2 2 4 2 3 4 2 2 3" xfId="32822"/>
    <cellStyle name="Normal 2 2 2 4 2 3 4 2 3" xfId="31052"/>
    <cellStyle name="Normal 2 2 2 4 2 3 4 2 3 2" xfId="41187"/>
    <cellStyle name="Normal 2 2 2 4 2 3 4 3" xfId="10973"/>
    <cellStyle name="Normal 2 2 2 4 2 3 4 3 2" xfId="39394"/>
    <cellStyle name="Normal 2 2 2 4 2 3 4 3 2 2" xfId="46332"/>
    <cellStyle name="Normal 2 2 2 4 2 3 4 4" xfId="24466"/>
    <cellStyle name="Normal 2 2 2 4 2 3 5" xfId="9142"/>
    <cellStyle name="Normal 2 2 2 4 2 3 5 2" xfId="14136"/>
    <cellStyle name="Normal 2 2 2 4 2 3 5 2 2" xfId="44530"/>
    <cellStyle name="Normal 2 2 2 4 2 3 5 2 2 2" xfId="49481"/>
    <cellStyle name="Normal 2 2 2 4 2 3 5 3" xfId="27638"/>
    <cellStyle name="Normal 2 2 2 4 2 3 6" xfId="22644"/>
    <cellStyle name="Normal 2 2 2 4 2 3 6 2" xfId="35947"/>
    <cellStyle name="Normal 2 2 2 4 2 4" xfId="726"/>
    <cellStyle name="Normal 2 2 2 4 2 4 2" xfId="2384"/>
    <cellStyle name="Normal 2 2 2 4 2 4 2 2" xfId="2798"/>
    <cellStyle name="Normal 2 2 2 4 2 4 2 2 2" xfId="7617"/>
    <cellStyle name="Normal 2 2 2 4 2 4 2 2 2 2" xfId="8014"/>
    <cellStyle name="Normal 2 2 2 4 2 4 2 2 2 2 2" xfId="21169"/>
    <cellStyle name="Normal 2 2 2 4 2 4 2 2 2 2 2 2" xfId="21566"/>
    <cellStyle name="Normal 2 2 2 4 2 4 2 2 2 2 2 2 2" xfId="56495"/>
    <cellStyle name="Normal 2 2 2 4 2 4 2 2 2 2 2 2 2 2" xfId="56892"/>
    <cellStyle name="Normal 2 2 2 4 2 4 2 2 2 2 2 3" xfId="35069"/>
    <cellStyle name="Normal 2 2 2 4 2 4 2 2 2 2 3" xfId="34672"/>
    <cellStyle name="Normal 2 2 2 4 2 4 2 2 2 2 3 2" xfId="43441"/>
    <cellStyle name="Normal 2 2 2 4 2 4 2 2 2 3" xfId="13239"/>
    <cellStyle name="Normal 2 2 2 4 2 4 2 2 2 3 2" xfId="43044"/>
    <cellStyle name="Normal 2 2 2 4 2 4 2 2 2 3 2 2" xfId="48585"/>
    <cellStyle name="Normal 2 2 2 4 2 4 2 2 2 4" xfId="26723"/>
    <cellStyle name="Normal 2 2 2 4 2 4 2 2 3" xfId="12842"/>
    <cellStyle name="Normal 2 2 2 4 2 4 2 2 3 2" xfId="16456"/>
    <cellStyle name="Normal 2 2 2 4 2 4 2 2 3 2 2" xfId="48188"/>
    <cellStyle name="Normal 2 2 2 4 2 4 2 2 3 2 2 2" xfId="51784"/>
    <cellStyle name="Normal 2 2 2 4 2 4 2 2 3 3" xfId="29958"/>
    <cellStyle name="Normal 2 2 2 4 2 4 2 2 4" xfId="26326"/>
    <cellStyle name="Normal 2 2 2 4 2 4 2 2 4 2" xfId="38268"/>
    <cellStyle name="Normal 2 2 2 4 2 4 2 3" xfId="4834"/>
    <cellStyle name="Normal 2 2 2 4 2 4 2 3 2" xfId="16047"/>
    <cellStyle name="Normal 2 2 2 4 2 4 2 3 2 2" xfId="18408"/>
    <cellStyle name="Normal 2 2 2 4 2 4 2 3 2 2 2" xfId="51379"/>
    <cellStyle name="Normal 2 2 2 4 2 4 2 3 2 2 2 2" xfId="53734"/>
    <cellStyle name="Normal 2 2 2 4 2 4 2 3 2 3" xfId="31909"/>
    <cellStyle name="Normal 2 2 2 4 2 4 2 3 3" xfId="29553"/>
    <cellStyle name="Normal 2 2 2 4 2 4 2 3 3 2" xfId="40271"/>
    <cellStyle name="Normal 2 2 2 4 2 4 2 4" xfId="10037"/>
    <cellStyle name="Normal 2 2 2 4 2 4 2 4 2" xfId="37862"/>
    <cellStyle name="Normal 2 2 2 4 2 4 2 4 2 2" xfId="45401"/>
    <cellStyle name="Normal 2 2 2 4 2 4 2 5" xfId="23524"/>
    <cellStyle name="Normal 2 2 2 4 2 4 3" xfId="4418"/>
    <cellStyle name="Normal 2 2 2 4 2 4 3 2" xfId="6050"/>
    <cellStyle name="Normal 2 2 2 4 2 4 3 2 2" xfId="18009"/>
    <cellStyle name="Normal 2 2 2 4 2 4 3 2 2 2" xfId="19614"/>
    <cellStyle name="Normal 2 2 2 4 2 4 3 2 2 2 2" xfId="53335"/>
    <cellStyle name="Normal 2 2 2 4 2 4 3 2 2 2 2 2" xfId="54940"/>
    <cellStyle name="Normal 2 2 2 4 2 4 3 2 2 3" xfId="33115"/>
    <cellStyle name="Normal 2 2 2 4 2 4 3 2 3" xfId="31510"/>
    <cellStyle name="Normal 2 2 2 4 2 4 3 2 3 2" xfId="41484"/>
    <cellStyle name="Normal 2 2 2 4 2 4 3 3" xfId="11276"/>
    <cellStyle name="Normal 2 2 2 4 2 4 3 3 2" xfId="39860"/>
    <cellStyle name="Normal 2 2 2 4 2 4 3 3 2 2" xfId="46631"/>
    <cellStyle name="Normal 2 2 2 4 2 4 3 4" xfId="24768"/>
    <cellStyle name="Normal 2 2 2 4 2 4 4" xfId="9621"/>
    <cellStyle name="Normal 2 2 2 4 2 4 4 2" xfId="14433"/>
    <cellStyle name="Normal 2 2 2 4 2 4 4 2 2" xfId="45001"/>
    <cellStyle name="Normal 2 2 2 4 2 4 4 2 2 2" xfId="49778"/>
    <cellStyle name="Normal 2 2 2 4 2 4 4 3" xfId="27946"/>
    <cellStyle name="Normal 2 2 2 4 2 4 5" xfId="23122"/>
    <cellStyle name="Normal 2 2 2 4 2 4 5 2" xfId="36246"/>
    <cellStyle name="Normal 2 2 2 4 2 5" xfId="1510"/>
    <cellStyle name="Normal 2 2 2 4 2 5 2" xfId="5625"/>
    <cellStyle name="Normal 2 2 2 4 2 5 2 2" xfId="6800"/>
    <cellStyle name="Normal 2 2 2 4 2 5 2 2 2" xfId="19197"/>
    <cellStyle name="Normal 2 2 2 4 2 5 2 2 2 2" xfId="20353"/>
    <cellStyle name="Normal 2 2 2 4 2 5 2 2 2 2 2" xfId="54523"/>
    <cellStyle name="Normal 2 2 2 4 2 5 2 2 2 2 2 2" xfId="55679"/>
    <cellStyle name="Normal 2 2 2 4 2 5 2 2 2 3" xfId="33855"/>
    <cellStyle name="Normal 2 2 2 4 2 5 2 2 3" xfId="32698"/>
    <cellStyle name="Normal 2 2 2 4 2 5 2 2 3 2" xfId="42228"/>
    <cellStyle name="Normal 2 2 2 4 2 5 2 3" xfId="12024"/>
    <cellStyle name="Normal 2 2 2 4 2 5 2 3 2" xfId="41061"/>
    <cellStyle name="Normal 2 2 2 4 2 5 2 3 2 2" xfId="47371"/>
    <cellStyle name="Normal 2 2 2 4 2 5 2 4" xfId="25508"/>
    <cellStyle name="Normal 2 2 2 4 2 5 3" xfId="10841"/>
    <cellStyle name="Normal 2 2 2 4 2 5 3 2" xfId="15193"/>
    <cellStyle name="Normal 2 2 2 4 2 5 3 2 2" xfId="46203"/>
    <cellStyle name="Normal 2 2 2 4 2 5 3 2 2 2" xfId="50531"/>
    <cellStyle name="Normal 2 2 2 4 2 5 3 3" xfId="28705"/>
    <cellStyle name="Normal 2 2 2 4 2 5 4" xfId="24333"/>
    <cellStyle name="Normal 2 2 2 4 2 5 4 2" xfId="37003"/>
    <cellStyle name="Normal 2 2 2 4 2 6" xfId="3510"/>
    <cellStyle name="Normal 2 2 2 4 2 6 2" xfId="14009"/>
    <cellStyle name="Normal 2 2 2 4 2 6 2 2" xfId="17164"/>
    <cellStyle name="Normal 2 2 2 4 2 6 2 2 2" xfId="49355"/>
    <cellStyle name="Normal 2 2 2 4 2 6 2 2 2 2" xfId="52491"/>
    <cellStyle name="Normal 2 2 2 4 2 6 2 3" xfId="30665"/>
    <cellStyle name="Normal 2 2 2 4 2 6 3" xfId="27503"/>
    <cellStyle name="Normal 2 2 2 4 2 6 3 2" xfId="38976"/>
    <cellStyle name="Normal 2 2 2 4 2 7" xfId="8704"/>
    <cellStyle name="Normal 2 2 2 4 2 7 2" xfId="35821"/>
    <cellStyle name="Normal 2 2 2 4 2 7 2 2" xfId="44131"/>
    <cellStyle name="Normal 2 2 2 4 2 8" xfId="9173"/>
    <cellStyle name="Normal 2 2 2 4 3" xfId="403"/>
    <cellStyle name="Normal 2 2 2 4 3 2" xfId="482"/>
    <cellStyle name="Normal 2 2 2 4 3 2 2" xfId="1234"/>
    <cellStyle name="Normal 2 2 2 4 3 2 2 2" xfId="1297"/>
    <cellStyle name="Normal 2 2 2 4 3 2 2 2 2" xfId="3252"/>
    <cellStyle name="Normal 2 2 2 4 3 2 2 2 2 2" xfId="3315"/>
    <cellStyle name="Normal 2 2 2 4 3 2 2 2 2 2 2" xfId="8467"/>
    <cellStyle name="Normal 2 2 2 4 3 2 2 2 2 2 2 2" xfId="8530"/>
    <cellStyle name="Normal 2 2 2 4 3 2 2 2 2 2 2 2 2" xfId="22019"/>
    <cellStyle name="Normal 2 2 2 4 3 2 2 2 2 2 2 2 2 2" xfId="22082"/>
    <cellStyle name="Normal 2 2 2 4 3 2 2 2 2 2 2 2 2 2 2" xfId="57345"/>
    <cellStyle name="Normal 2 2 2 4 3 2 2 2 2 2 2 2 2 2 2 2" xfId="57408"/>
    <cellStyle name="Normal 2 2 2 4 3 2 2 2 2 2 2 2 2 3" xfId="35585"/>
    <cellStyle name="Normal 2 2 2 4 3 2 2 2 2 2 2 2 3" xfId="35522"/>
    <cellStyle name="Normal 2 2 2 4 3 2 2 2 2 2 2 2 3 2" xfId="43957"/>
    <cellStyle name="Normal 2 2 2 4 3 2 2 2 2 2 2 3" xfId="13755"/>
    <cellStyle name="Normal 2 2 2 4 3 2 2 2 2 2 2 3 2" xfId="43894"/>
    <cellStyle name="Normal 2 2 2 4 3 2 2 2 2 2 2 3 2 2" xfId="49101"/>
    <cellStyle name="Normal 2 2 2 4 3 2 2 2 2 2 2 4" xfId="27240"/>
    <cellStyle name="Normal 2 2 2 4 3 2 2 2 2 2 3" xfId="13692"/>
    <cellStyle name="Normal 2 2 2 4 3 2 2 2 2 2 3 2" xfId="16972"/>
    <cellStyle name="Normal 2 2 2 4 3 2 2 2 2 2 3 2 2" xfId="49038"/>
    <cellStyle name="Normal 2 2 2 4 3 2 2 2 2 2 3 2 2 2" xfId="52300"/>
    <cellStyle name="Normal 2 2 2 4 3 2 2 2 2 2 3 3" xfId="30474"/>
    <cellStyle name="Normal 2 2 2 4 3 2 2 2 2 2 4" xfId="27177"/>
    <cellStyle name="Normal 2 2 2 4 3 2 2 2 2 2 4 2" xfId="38784"/>
    <cellStyle name="Normal 2 2 2 4 3 2 2 2 2 3" xfId="5352"/>
    <cellStyle name="Normal 2 2 2 4 3 2 2 2 2 3 2" xfId="16909"/>
    <cellStyle name="Normal 2 2 2 4 3 2 2 2 2 3 2 2" xfId="18925"/>
    <cellStyle name="Normal 2 2 2 4 3 2 2 2 2 3 2 2 2" xfId="52237"/>
    <cellStyle name="Normal 2 2 2 4 3 2 2 2 2 3 2 2 2 2" xfId="54251"/>
    <cellStyle name="Normal 2 2 2 4 3 2 2 2 2 3 2 3" xfId="32426"/>
    <cellStyle name="Normal 2 2 2 4 3 2 2 2 2 3 3" xfId="30411"/>
    <cellStyle name="Normal 2 2 2 4 3 2 2 2 2 3 3 2" xfId="40789"/>
    <cellStyle name="Normal 2 2 2 4 3 2 2 2 2 4" xfId="10555"/>
    <cellStyle name="Normal 2 2 2 4 3 2 2 2 2 4 2" xfId="38721"/>
    <cellStyle name="Normal 2 2 2 4 3 2 2 2 2 4 2 2" xfId="45918"/>
    <cellStyle name="Normal 2 2 2 4 3 2 2 2 2 5" xfId="24041"/>
    <cellStyle name="Normal 2 2 2 4 3 2 2 2 3" xfId="5289"/>
    <cellStyle name="Normal 2 2 2 4 3 2 2 2 3 2" xfId="6605"/>
    <cellStyle name="Normal 2 2 2 4 3 2 2 2 3 2 2" xfId="18862"/>
    <cellStyle name="Normal 2 2 2 4 3 2 2 2 3 2 2 2" xfId="20158"/>
    <cellStyle name="Normal 2 2 2 4 3 2 2 2 3 2 2 2 2" xfId="54188"/>
    <cellStyle name="Normal 2 2 2 4 3 2 2 2 3 2 2 2 2 2" xfId="55484"/>
    <cellStyle name="Normal 2 2 2 4 3 2 2 2 3 2 2 3" xfId="33660"/>
    <cellStyle name="Normal 2 2 2 4 3 2 2 2 3 2 3" xfId="32363"/>
    <cellStyle name="Normal 2 2 2 4 3 2 2 2 3 2 3 2" xfId="42033"/>
    <cellStyle name="Normal 2 2 2 4 3 2 2 2 3 3" xfId="11828"/>
    <cellStyle name="Normal 2 2 2 4 3 2 2 2 3 3 2" xfId="40726"/>
    <cellStyle name="Normal 2 2 2 4 3 2 2 2 3 3 2 2" xfId="47176"/>
    <cellStyle name="Normal 2 2 2 4 3 2 2 2 3 4" xfId="25313"/>
    <cellStyle name="Normal 2 2 2 4 3 2 2 2 4" xfId="10492"/>
    <cellStyle name="Normal 2 2 2 4 3 2 2 2 4 2" xfId="14986"/>
    <cellStyle name="Normal 2 2 2 4 3 2 2 2 4 2 2" xfId="45855"/>
    <cellStyle name="Normal 2 2 2 4 3 2 2 2 4 2 2 2" xfId="50325"/>
    <cellStyle name="Normal 2 2 2 4 3 2 2 2 4 3" xfId="28499"/>
    <cellStyle name="Normal 2 2 2 4 3 2 2 2 5" xfId="23978"/>
    <cellStyle name="Normal 2 2 2 4 3 2 2 2 5 2" xfId="36794"/>
    <cellStyle name="Normal 2 2 2 4 3 2 2 3" xfId="2103"/>
    <cellStyle name="Normal 2 2 2 4 3 2 2 3 2" xfId="6542"/>
    <cellStyle name="Normal 2 2 2 4 3 2 2 3 2 2" xfId="7337"/>
    <cellStyle name="Normal 2 2 2 4 3 2 2 3 2 2 2" xfId="20095"/>
    <cellStyle name="Normal 2 2 2 4 3 2 2 3 2 2 2 2" xfId="20889"/>
    <cellStyle name="Normal 2 2 2 4 3 2 2 3 2 2 2 2 2" xfId="55421"/>
    <cellStyle name="Normal 2 2 2 4 3 2 2 3 2 2 2 2 2 2" xfId="56215"/>
    <cellStyle name="Normal 2 2 2 4 3 2 2 3 2 2 2 3" xfId="34392"/>
    <cellStyle name="Normal 2 2 2 4 3 2 2 3 2 2 3" xfId="33597"/>
    <cellStyle name="Normal 2 2 2 4 3 2 2 3 2 2 3 2" xfId="42764"/>
    <cellStyle name="Normal 2 2 2 4 3 2 2 3 2 3" xfId="12562"/>
    <cellStyle name="Normal 2 2 2 4 3 2 2 3 2 3 2" xfId="41970"/>
    <cellStyle name="Normal 2 2 2 4 3 2 2 3 2 3 2 2" xfId="47908"/>
    <cellStyle name="Normal 2 2 2 4 3 2 2 3 2 4" xfId="26046"/>
    <cellStyle name="Normal 2 2 2 4 3 2 2 3 3" xfId="11765"/>
    <cellStyle name="Normal 2 2 2 4 3 2 2 3 3 2" xfId="15767"/>
    <cellStyle name="Normal 2 2 2 4 3 2 2 3 3 2 2" xfId="47113"/>
    <cellStyle name="Normal 2 2 2 4 3 2 2 3 3 2 2 2" xfId="51099"/>
    <cellStyle name="Normal 2 2 2 4 3 2 2 3 3 3" xfId="29273"/>
    <cellStyle name="Normal 2 2 2 4 3 2 2 3 4" xfId="25250"/>
    <cellStyle name="Normal 2 2 2 4 3 2 2 3 4 2" xfId="37581"/>
    <cellStyle name="Normal 2 2 2 4 3 2 2 4" xfId="4119"/>
    <cellStyle name="Normal 2 2 2 4 3 2 2 4 2" xfId="14923"/>
    <cellStyle name="Normal 2 2 2 4 3 2 2 4 2 2" xfId="17712"/>
    <cellStyle name="Normal 2 2 2 4 3 2 2 4 2 2 2" xfId="50262"/>
    <cellStyle name="Normal 2 2 2 4 3 2 2 4 2 2 2 2" xfId="53039"/>
    <cellStyle name="Normal 2 2 2 4 3 2 2 4 2 3" xfId="31214"/>
    <cellStyle name="Normal 2 2 2 4 3 2 2 4 3" xfId="28436"/>
    <cellStyle name="Normal 2 2 2 4 3 2 2 4 3 2" xfId="39562"/>
    <cellStyle name="Normal 2 2 2 4 3 2 2 5" xfId="9310"/>
    <cellStyle name="Normal 2 2 2 4 3 2 2 5 2" xfId="36731"/>
    <cellStyle name="Normal 2 2 2 4 3 2 2 5 2 2" xfId="44692"/>
    <cellStyle name="Normal 2 2 2 4 3 2 2 6" xfId="22806"/>
    <cellStyle name="Normal 2 2 2 4 3 2 3" xfId="2040"/>
    <cellStyle name="Normal 2 2 2 4 3 2 3 2" xfId="2581"/>
    <cellStyle name="Normal 2 2 2 4 3 2 3 2 2" xfId="7274"/>
    <cellStyle name="Normal 2 2 2 4 3 2 3 2 2 2" xfId="7802"/>
    <cellStyle name="Normal 2 2 2 4 3 2 3 2 2 2 2" xfId="20826"/>
    <cellStyle name="Normal 2 2 2 4 3 2 3 2 2 2 2 2" xfId="21354"/>
    <cellStyle name="Normal 2 2 2 4 3 2 3 2 2 2 2 2 2" xfId="56152"/>
    <cellStyle name="Normal 2 2 2 4 3 2 3 2 2 2 2 2 2 2" xfId="56680"/>
    <cellStyle name="Normal 2 2 2 4 3 2 3 2 2 2 2 3" xfId="34857"/>
    <cellStyle name="Normal 2 2 2 4 3 2 3 2 2 2 3" xfId="34329"/>
    <cellStyle name="Normal 2 2 2 4 3 2 3 2 2 2 3 2" xfId="43229"/>
    <cellStyle name="Normal 2 2 2 4 3 2 3 2 2 3" xfId="13027"/>
    <cellStyle name="Normal 2 2 2 4 3 2 3 2 2 3 2" xfId="42701"/>
    <cellStyle name="Normal 2 2 2 4 3 2 3 2 2 3 2 2" xfId="48373"/>
    <cellStyle name="Normal 2 2 2 4 3 2 3 2 2 4" xfId="26511"/>
    <cellStyle name="Normal 2 2 2 4 3 2 3 2 3" xfId="12499"/>
    <cellStyle name="Normal 2 2 2 4 3 2 3 2 3 2" xfId="16240"/>
    <cellStyle name="Normal 2 2 2 4 3 2 3 2 3 2 2" xfId="47845"/>
    <cellStyle name="Normal 2 2 2 4 3 2 3 2 3 2 2 2" xfId="51570"/>
    <cellStyle name="Normal 2 2 2 4 3 2 3 2 3 3" xfId="29744"/>
    <cellStyle name="Normal 2 2 2 4 3 2 3 2 4" xfId="25983"/>
    <cellStyle name="Normal 2 2 2 4 3 2 3 2 4 2" xfId="38054"/>
    <cellStyle name="Normal 2 2 2 4 3 2 3 3" xfId="4614"/>
    <cellStyle name="Normal 2 2 2 4 3 2 3 3 2" xfId="15704"/>
    <cellStyle name="Normal 2 2 2 4 3 2 3 3 2 2" xfId="18195"/>
    <cellStyle name="Normal 2 2 2 4 3 2 3 3 2 2 2" xfId="51036"/>
    <cellStyle name="Normal 2 2 2 4 3 2 3 3 2 2 2 2" xfId="53521"/>
    <cellStyle name="Normal 2 2 2 4 3 2 3 3 2 3" xfId="31696"/>
    <cellStyle name="Normal 2 2 2 4 3 2 3 3 3" xfId="29210"/>
    <cellStyle name="Normal 2 2 2 4 3 2 3 3 3 2" xfId="40053"/>
    <cellStyle name="Normal 2 2 2 4 3 2 3 4" xfId="9818"/>
    <cellStyle name="Normal 2 2 2 4 3 2 3 4 2" xfId="37518"/>
    <cellStyle name="Normal 2 2 2 4 3 2 3 4 2 2" xfId="45188"/>
    <cellStyle name="Normal 2 2 2 4 3 2 3 5" xfId="23311"/>
    <cellStyle name="Normal 2 2 2 4 3 2 4" xfId="4056"/>
    <cellStyle name="Normal 2 2 2 4 3 2 4 2" xfId="5820"/>
    <cellStyle name="Normal 2 2 2 4 3 2 4 2 2" xfId="17649"/>
    <cellStyle name="Normal 2 2 2 4 3 2 4 2 2 2" xfId="19388"/>
    <cellStyle name="Normal 2 2 2 4 3 2 4 2 2 2 2" xfId="52976"/>
    <cellStyle name="Normal 2 2 2 4 3 2 4 2 2 2 2 2" xfId="54714"/>
    <cellStyle name="Normal 2 2 2 4 3 2 4 2 2 3" xfId="32889"/>
    <cellStyle name="Normal 2 2 2 4 3 2 4 2 3" xfId="31151"/>
    <cellStyle name="Normal 2 2 2 4 3 2 4 2 3 2" xfId="41255"/>
    <cellStyle name="Normal 2 2 2 4 3 2 4 3" xfId="11042"/>
    <cellStyle name="Normal 2 2 2 4 3 2 4 3 2" xfId="39499"/>
    <cellStyle name="Normal 2 2 2 4 3 2 4 3 2 2" xfId="46401"/>
    <cellStyle name="Normal 2 2 2 4 3 2 4 4" xfId="24536"/>
    <cellStyle name="Normal 2 2 2 4 3 2 5" xfId="9247"/>
    <cellStyle name="Normal 2 2 2 4 3 2 5 2" xfId="14203"/>
    <cellStyle name="Normal 2 2 2 4 3 2 5 2 2" xfId="44629"/>
    <cellStyle name="Normal 2 2 2 4 3 2 5 2 2 2" xfId="49548"/>
    <cellStyle name="Normal 2 2 2 4 3 2 5 3" xfId="27709"/>
    <cellStyle name="Normal 2 2 2 4 3 2 6" xfId="22743"/>
    <cellStyle name="Normal 2 2 2 4 3 2 6 2" xfId="36015"/>
    <cellStyle name="Normal 2 2 2 4 3 3" xfId="805"/>
    <cellStyle name="Normal 2 2 2 4 3 3 2" xfId="2505"/>
    <cellStyle name="Normal 2 2 2 4 3 3 2 2" xfId="2861"/>
    <cellStyle name="Normal 2 2 2 4 3 3 2 2 2" xfId="7730"/>
    <cellStyle name="Normal 2 2 2 4 3 3 2 2 2 2" xfId="8077"/>
    <cellStyle name="Normal 2 2 2 4 3 3 2 2 2 2 2" xfId="21282"/>
    <cellStyle name="Normal 2 2 2 4 3 3 2 2 2 2 2 2" xfId="21629"/>
    <cellStyle name="Normal 2 2 2 4 3 3 2 2 2 2 2 2 2" xfId="56608"/>
    <cellStyle name="Normal 2 2 2 4 3 3 2 2 2 2 2 2 2 2" xfId="56955"/>
    <cellStyle name="Normal 2 2 2 4 3 3 2 2 2 2 2 3" xfId="35132"/>
    <cellStyle name="Normal 2 2 2 4 3 3 2 2 2 2 3" xfId="34785"/>
    <cellStyle name="Normal 2 2 2 4 3 3 2 2 2 2 3 2" xfId="43504"/>
    <cellStyle name="Normal 2 2 2 4 3 3 2 2 2 3" xfId="13302"/>
    <cellStyle name="Normal 2 2 2 4 3 3 2 2 2 3 2" xfId="43157"/>
    <cellStyle name="Normal 2 2 2 4 3 3 2 2 2 3 2 2" xfId="48648"/>
    <cellStyle name="Normal 2 2 2 4 3 3 2 2 2 4" xfId="26786"/>
    <cellStyle name="Normal 2 2 2 4 3 3 2 2 3" xfId="12955"/>
    <cellStyle name="Normal 2 2 2 4 3 3 2 2 3 2" xfId="16519"/>
    <cellStyle name="Normal 2 2 2 4 3 3 2 2 3 2 2" xfId="48301"/>
    <cellStyle name="Normal 2 2 2 4 3 3 2 2 3 2 2 2" xfId="51847"/>
    <cellStyle name="Normal 2 2 2 4 3 3 2 2 3 3" xfId="30021"/>
    <cellStyle name="Normal 2 2 2 4 3 3 2 2 4" xfId="26439"/>
    <cellStyle name="Normal 2 2 2 4 3 3 2 2 4 2" xfId="38331"/>
    <cellStyle name="Normal 2 2 2 4 3 3 2 3" xfId="4897"/>
    <cellStyle name="Normal 2 2 2 4 3 3 2 3 2" xfId="16166"/>
    <cellStyle name="Normal 2 2 2 4 3 3 2 3 2 2" xfId="18471"/>
    <cellStyle name="Normal 2 2 2 4 3 3 2 3 2 2 2" xfId="51497"/>
    <cellStyle name="Normal 2 2 2 4 3 3 2 3 2 2 2 2" xfId="53797"/>
    <cellStyle name="Normal 2 2 2 4 3 3 2 3 2 3" xfId="31972"/>
    <cellStyle name="Normal 2 2 2 4 3 3 2 3 3" xfId="29671"/>
    <cellStyle name="Normal 2 2 2 4 3 3 2 3 3 2" xfId="40334"/>
    <cellStyle name="Normal 2 2 2 4 3 3 2 4" xfId="10100"/>
    <cellStyle name="Normal 2 2 2 4 3 3 2 4 2" xfId="37980"/>
    <cellStyle name="Normal 2 2 2 4 3 3 2 4 2 2" xfId="45464"/>
    <cellStyle name="Normal 2 2 2 4 3 3 2 5" xfId="23587"/>
    <cellStyle name="Normal 2 2 2 4 3 3 3" xfId="4540"/>
    <cellStyle name="Normal 2 2 2 4 3 3 3 2" xfId="6121"/>
    <cellStyle name="Normal 2 2 2 4 3 3 3 2 2" xfId="18123"/>
    <cellStyle name="Normal 2 2 2 4 3 3 3 2 2 2" xfId="19683"/>
    <cellStyle name="Normal 2 2 2 4 3 3 3 2 2 2 2" xfId="53449"/>
    <cellStyle name="Normal 2 2 2 4 3 3 3 2 2 2 2 2" xfId="55009"/>
    <cellStyle name="Normal 2 2 2 4 3 3 3 2 2 3" xfId="33184"/>
    <cellStyle name="Normal 2 2 2 4 3 3 3 2 3" xfId="31624"/>
    <cellStyle name="Normal 2 2 2 4 3 3 3 2 3 2" xfId="41554"/>
    <cellStyle name="Normal 2 2 2 4 3 3 3 3" xfId="11347"/>
    <cellStyle name="Normal 2 2 2 4 3 3 3 3 2" xfId="39981"/>
    <cellStyle name="Normal 2 2 2 4 3 3 3 3 2 2" xfId="46700"/>
    <cellStyle name="Normal 2 2 2 4 3 3 3 4" xfId="24837"/>
    <cellStyle name="Normal 2 2 2 4 3 3 4" xfId="9743"/>
    <cellStyle name="Normal 2 2 2 4 3 3 4 2" xfId="14505"/>
    <cellStyle name="Normal 2 2 2 4 3 3 4 2 2" xfId="45116"/>
    <cellStyle name="Normal 2 2 2 4 3 3 4 2 2 2" xfId="49847"/>
    <cellStyle name="Normal 2 2 2 4 3 3 4 3" xfId="28016"/>
    <cellStyle name="Normal 2 2 2 4 3 3 5" xfId="23239"/>
    <cellStyle name="Normal 2 2 2 4 3 3 5 2" xfId="36315"/>
    <cellStyle name="Normal 2 2 2 4 3 4" xfId="1592"/>
    <cellStyle name="Normal 2 2 2 4 3 4 2" xfId="5746"/>
    <cellStyle name="Normal 2 2 2 4 3 4 2 2" xfId="6864"/>
    <cellStyle name="Normal 2 2 2 4 3 4 2 2 2" xfId="19315"/>
    <cellStyle name="Normal 2 2 2 4 3 4 2 2 2 2" xfId="20417"/>
    <cellStyle name="Normal 2 2 2 4 3 4 2 2 2 2 2" xfId="54641"/>
    <cellStyle name="Normal 2 2 2 4 3 4 2 2 2 2 2 2" xfId="55743"/>
    <cellStyle name="Normal 2 2 2 4 3 4 2 2 2 3" xfId="33919"/>
    <cellStyle name="Normal 2 2 2 4 3 4 2 2 3" xfId="32816"/>
    <cellStyle name="Normal 2 2 2 4 3 4 2 2 3 2" xfId="42292"/>
    <cellStyle name="Normal 2 2 2 4 3 4 2 3" xfId="12088"/>
    <cellStyle name="Normal 2 2 2 4 3 4 2 3 2" xfId="41181"/>
    <cellStyle name="Normal 2 2 2 4 3 4 2 3 2 2" xfId="47435"/>
    <cellStyle name="Normal 2 2 2 4 3 4 2 4" xfId="25573"/>
    <cellStyle name="Normal 2 2 2 4 3 4 3" xfId="10967"/>
    <cellStyle name="Normal 2 2 2 4 3 4 3 2" xfId="15268"/>
    <cellStyle name="Normal 2 2 2 4 3 4 3 2 2" xfId="46326"/>
    <cellStyle name="Normal 2 2 2 4 3 4 3 2 2 2" xfId="50605"/>
    <cellStyle name="Normal 2 2 2 4 3 4 3 3" xfId="28779"/>
    <cellStyle name="Normal 2 2 2 4 3 4 4" xfId="24460"/>
    <cellStyle name="Normal 2 2 2 4 3 4 4 2" xfId="37080"/>
    <cellStyle name="Normal 2 2 2 4 3 5" xfId="3593"/>
    <cellStyle name="Normal 2 2 2 4 3 5 2" xfId="14130"/>
    <cellStyle name="Normal 2 2 2 4 3 5 2 2" xfId="17229"/>
    <cellStyle name="Normal 2 2 2 4 3 5 2 2 2" xfId="49475"/>
    <cellStyle name="Normal 2 2 2 4 3 5 2 2 2 2" xfId="52556"/>
    <cellStyle name="Normal 2 2 2 4 3 5 2 3" xfId="30730"/>
    <cellStyle name="Normal 2 2 2 4 3 5 3" xfId="27632"/>
    <cellStyle name="Normal 2 2 2 4 3 5 3 2" xfId="39050"/>
    <cellStyle name="Normal 2 2 2 4 3 6" xfId="8784"/>
    <cellStyle name="Normal 2 2 2 4 3 6 2" xfId="35941"/>
    <cellStyle name="Normal 2 2 2 4 3 6 2 2" xfId="44197"/>
    <cellStyle name="Normal 2 2 2 4 3 7" xfId="22301"/>
    <cellStyle name="Normal 2 2 2 4 4" xfId="719"/>
    <cellStyle name="Normal 2 2 2 4 4 2" xfId="728"/>
    <cellStyle name="Normal 2 2 2 4 4 2 2" xfId="2791"/>
    <cellStyle name="Normal 2 2 2 4 4 2 2 2" xfId="2800"/>
    <cellStyle name="Normal 2 2 2 4 4 2 2 2 2" xfId="8007"/>
    <cellStyle name="Normal 2 2 2 4 4 2 2 2 2 2" xfId="8016"/>
    <cellStyle name="Normal 2 2 2 4 4 2 2 2 2 2 2" xfId="21559"/>
    <cellStyle name="Normal 2 2 2 4 4 2 2 2 2 2 2 2" xfId="21568"/>
    <cellStyle name="Normal 2 2 2 4 4 2 2 2 2 2 2 2 2" xfId="56885"/>
    <cellStyle name="Normal 2 2 2 4 4 2 2 2 2 2 2 2 2 2" xfId="56894"/>
    <cellStyle name="Normal 2 2 2 4 4 2 2 2 2 2 2 3" xfId="35071"/>
    <cellStyle name="Normal 2 2 2 4 4 2 2 2 2 2 3" xfId="35062"/>
    <cellStyle name="Normal 2 2 2 4 4 2 2 2 2 2 3 2" xfId="43443"/>
    <cellStyle name="Normal 2 2 2 4 4 2 2 2 2 3" xfId="13241"/>
    <cellStyle name="Normal 2 2 2 4 4 2 2 2 2 3 2" xfId="43434"/>
    <cellStyle name="Normal 2 2 2 4 4 2 2 2 2 3 2 2" xfId="48587"/>
    <cellStyle name="Normal 2 2 2 4 4 2 2 2 2 4" xfId="26725"/>
    <cellStyle name="Normal 2 2 2 4 4 2 2 2 3" xfId="13232"/>
    <cellStyle name="Normal 2 2 2 4 4 2 2 2 3 2" xfId="16458"/>
    <cellStyle name="Normal 2 2 2 4 4 2 2 2 3 2 2" xfId="48578"/>
    <cellStyle name="Normal 2 2 2 4 4 2 2 2 3 2 2 2" xfId="51786"/>
    <cellStyle name="Normal 2 2 2 4 4 2 2 2 3 3" xfId="29960"/>
    <cellStyle name="Normal 2 2 2 4 4 2 2 2 4" xfId="26716"/>
    <cellStyle name="Normal 2 2 2 4 4 2 2 2 4 2" xfId="38270"/>
    <cellStyle name="Normal 2 2 2 4 4 2 2 3" xfId="4836"/>
    <cellStyle name="Normal 2 2 2 4 4 2 2 3 2" xfId="16449"/>
    <cellStyle name="Normal 2 2 2 4 4 2 2 3 2 2" xfId="18410"/>
    <cellStyle name="Normal 2 2 2 4 4 2 2 3 2 2 2" xfId="51777"/>
    <cellStyle name="Normal 2 2 2 4 4 2 2 3 2 2 2 2" xfId="53736"/>
    <cellStyle name="Normal 2 2 2 4 4 2 2 3 2 3" xfId="31911"/>
    <cellStyle name="Normal 2 2 2 4 4 2 2 3 3" xfId="29951"/>
    <cellStyle name="Normal 2 2 2 4 4 2 2 3 3 2" xfId="40273"/>
    <cellStyle name="Normal 2 2 2 4 4 2 2 4" xfId="10039"/>
    <cellStyle name="Normal 2 2 2 4 4 2 2 4 2" xfId="38261"/>
    <cellStyle name="Normal 2 2 2 4 4 2 2 4 2 2" xfId="45403"/>
    <cellStyle name="Normal 2 2 2 4 4 2 2 5" xfId="23526"/>
    <cellStyle name="Normal 2 2 2 4 4 2 3" xfId="4827"/>
    <cellStyle name="Normal 2 2 2 4 4 2 3 2" xfId="6052"/>
    <cellStyle name="Normal 2 2 2 4 4 2 3 2 2" xfId="18401"/>
    <cellStyle name="Normal 2 2 2 4 4 2 3 2 2 2" xfId="19616"/>
    <cellStyle name="Normal 2 2 2 4 4 2 3 2 2 2 2" xfId="53727"/>
    <cellStyle name="Normal 2 2 2 4 4 2 3 2 2 2 2 2" xfId="54942"/>
    <cellStyle name="Normal 2 2 2 4 4 2 3 2 2 3" xfId="33117"/>
    <cellStyle name="Normal 2 2 2 4 4 2 3 2 3" xfId="31902"/>
    <cellStyle name="Normal 2 2 2 4 4 2 3 2 3 2" xfId="41486"/>
    <cellStyle name="Normal 2 2 2 4 4 2 3 3" xfId="11278"/>
    <cellStyle name="Normal 2 2 2 4 4 2 3 3 2" xfId="40264"/>
    <cellStyle name="Normal 2 2 2 4 4 2 3 3 2 2" xfId="46633"/>
    <cellStyle name="Normal 2 2 2 4 4 2 3 4" xfId="24770"/>
    <cellStyle name="Normal 2 2 2 4 4 2 4" xfId="10030"/>
    <cellStyle name="Normal 2 2 2 4 4 2 4 2" xfId="14435"/>
    <cellStyle name="Normal 2 2 2 4 4 2 4 2 2" xfId="45394"/>
    <cellStyle name="Normal 2 2 2 4 4 2 4 2 2 2" xfId="49780"/>
    <cellStyle name="Normal 2 2 2 4 4 2 4 3" xfId="27948"/>
    <cellStyle name="Normal 2 2 2 4 4 2 5" xfId="23517"/>
    <cellStyle name="Normal 2 2 2 4 4 2 5 2" xfId="36248"/>
    <cellStyle name="Normal 2 2 2 4 4 3" xfId="1512"/>
    <cellStyle name="Normal 2 2 2 4 4 3 2" xfId="6043"/>
    <cellStyle name="Normal 2 2 2 4 4 3 2 2" xfId="6802"/>
    <cellStyle name="Normal 2 2 2 4 4 3 2 2 2" xfId="19607"/>
    <cellStyle name="Normal 2 2 2 4 4 3 2 2 2 2" xfId="20355"/>
    <cellStyle name="Normal 2 2 2 4 4 3 2 2 2 2 2" xfId="54933"/>
    <cellStyle name="Normal 2 2 2 4 4 3 2 2 2 2 2 2" xfId="55681"/>
    <cellStyle name="Normal 2 2 2 4 4 3 2 2 2 3" xfId="33857"/>
    <cellStyle name="Normal 2 2 2 4 4 3 2 2 3" xfId="33108"/>
    <cellStyle name="Normal 2 2 2 4 4 3 2 2 3 2" xfId="42230"/>
    <cellStyle name="Normal 2 2 2 4 4 3 2 3" xfId="12026"/>
    <cellStyle name="Normal 2 2 2 4 4 3 2 3 2" xfId="41477"/>
    <cellStyle name="Normal 2 2 2 4 4 3 2 3 2 2" xfId="47373"/>
    <cellStyle name="Normal 2 2 2 4 4 3 2 4" xfId="25510"/>
    <cellStyle name="Normal 2 2 2 4 4 3 3" xfId="11269"/>
    <cellStyle name="Normal 2 2 2 4 4 3 3 2" xfId="15195"/>
    <cellStyle name="Normal 2 2 2 4 4 3 3 2 2" xfId="46624"/>
    <cellStyle name="Normal 2 2 2 4 4 3 3 2 2 2" xfId="50533"/>
    <cellStyle name="Normal 2 2 2 4 4 3 3 3" xfId="28707"/>
    <cellStyle name="Normal 2 2 2 4 4 3 4" xfId="24761"/>
    <cellStyle name="Normal 2 2 2 4 4 3 4 2" xfId="37005"/>
    <cellStyle name="Normal 2 2 2 4 4 4" xfId="3512"/>
    <cellStyle name="Normal 2 2 2 4 4 4 2" xfId="14426"/>
    <cellStyle name="Normal 2 2 2 4 4 4 2 2" xfId="17166"/>
    <cellStyle name="Normal 2 2 2 4 4 4 2 2 2" xfId="49771"/>
    <cellStyle name="Normal 2 2 2 4 4 4 2 2 2 2" xfId="52493"/>
    <cellStyle name="Normal 2 2 2 4 4 4 2 3" xfId="30667"/>
    <cellStyle name="Normal 2 2 2 4 4 4 3" xfId="27939"/>
    <cellStyle name="Normal 2 2 2 4 4 4 3 2" xfId="38978"/>
    <cellStyle name="Normal 2 2 2 4 4 5" xfId="8706"/>
    <cellStyle name="Normal 2 2 2 4 4 5 2" xfId="36239"/>
    <cellStyle name="Normal 2 2 2 4 4 5 2 2" xfId="44133"/>
    <cellStyle name="Normal 2 2 2 4 4 6" xfId="8734"/>
    <cellStyle name="Normal 2 2 2 4 5" xfId="1498"/>
    <cellStyle name="Normal 2 2 2 4 5 2" xfId="1500"/>
    <cellStyle name="Normal 2 2 2 4 5 2 2" xfId="6788"/>
    <cellStyle name="Normal 2 2 2 4 5 2 2 2" xfId="6790"/>
    <cellStyle name="Normal 2 2 2 4 5 2 2 2 2" xfId="20341"/>
    <cellStyle name="Normal 2 2 2 4 5 2 2 2 2 2" xfId="20343"/>
    <cellStyle name="Normal 2 2 2 4 5 2 2 2 2 2 2" xfId="55667"/>
    <cellStyle name="Normal 2 2 2 4 5 2 2 2 2 2 2 2" xfId="55669"/>
    <cellStyle name="Normal 2 2 2 4 5 2 2 2 2 3" xfId="33845"/>
    <cellStyle name="Normal 2 2 2 4 5 2 2 2 3" xfId="33843"/>
    <cellStyle name="Normal 2 2 2 4 5 2 2 2 3 2" xfId="42218"/>
    <cellStyle name="Normal 2 2 2 4 5 2 2 3" xfId="12014"/>
    <cellStyle name="Normal 2 2 2 4 5 2 2 3 2" xfId="42216"/>
    <cellStyle name="Normal 2 2 2 4 5 2 2 3 2 2" xfId="47361"/>
    <cellStyle name="Normal 2 2 2 4 5 2 2 4" xfId="25498"/>
    <cellStyle name="Normal 2 2 2 4 5 2 3" xfId="12012"/>
    <cellStyle name="Normal 2 2 2 4 5 2 3 2" xfId="15183"/>
    <cellStyle name="Normal 2 2 2 4 5 2 3 2 2" xfId="47359"/>
    <cellStyle name="Normal 2 2 2 4 5 2 3 2 2 2" xfId="50521"/>
    <cellStyle name="Normal 2 2 2 4 5 2 3 3" xfId="28695"/>
    <cellStyle name="Normal 2 2 2 4 5 2 4" xfId="25496"/>
    <cellStyle name="Normal 2 2 2 4 5 2 4 2" xfId="36993"/>
    <cellStyle name="Normal 2 2 2 4 5 3" xfId="3499"/>
    <cellStyle name="Normal 2 2 2 4 5 3 2" xfId="15181"/>
    <cellStyle name="Normal 2 2 2 4 5 3 2 2" xfId="17153"/>
    <cellStyle name="Normal 2 2 2 4 5 3 2 2 2" xfId="50519"/>
    <cellStyle name="Normal 2 2 2 4 5 3 2 2 2 2" xfId="52480"/>
    <cellStyle name="Normal 2 2 2 4 5 3 2 3" xfId="30654"/>
    <cellStyle name="Normal 2 2 2 4 5 3 3" xfId="28693"/>
    <cellStyle name="Normal 2 2 2 4 5 3 3 2" xfId="38965"/>
    <cellStyle name="Normal 2 2 2 4 5 4" xfId="3631"/>
    <cellStyle name="Normal 2 2 2 4 5 4 2" xfId="36991"/>
    <cellStyle name="Normal 2 2 2 4 5 4 2 2" xfId="39086"/>
    <cellStyle name="Normal 2 2 2 4 5 5" xfId="3798"/>
    <cellStyle name="Normal 2 2 2 4 6" xfId="3497"/>
    <cellStyle name="Normal 2 2 2 4 6 2" xfId="3814"/>
    <cellStyle name="Normal 2 2 2 4 6 2 2" xfId="17151"/>
    <cellStyle name="Normal 2 2 2 4 6 2 2 2" xfId="17429"/>
    <cellStyle name="Normal 2 2 2 4 6 2 2 2 2" xfId="52478"/>
    <cellStyle name="Normal 2 2 2 4 6 2 2 2 2 2" xfId="52756"/>
    <cellStyle name="Normal 2 2 2 4 6 2 2 3" xfId="30930"/>
    <cellStyle name="Normal 2 2 2 4 6 2 3" xfId="30652"/>
    <cellStyle name="Normal 2 2 2 4 6 2 3 2" xfId="39264"/>
    <cellStyle name="Normal 2 2 2 4 6 3" xfId="9005"/>
    <cellStyle name="Normal 2 2 2 4 6 3 2" xfId="38963"/>
    <cellStyle name="Normal 2 2 2 4 6 3 2 2" xfId="44403"/>
    <cellStyle name="Normal 2 2 2 4 6 4" xfId="22514"/>
    <cellStyle name="Normal 2 2 2 4 7" xfId="3866"/>
    <cellStyle name="Normal 2 2 2 4 7 2" xfId="11003"/>
    <cellStyle name="Normal 2 2 2 4 7 2 2" xfId="39315"/>
    <cellStyle name="Normal 2 2 2 4 7 2 2 2" xfId="46362"/>
    <cellStyle name="Normal 2 2 2 4 7 3" xfId="24497"/>
    <cellStyle name="Normal 2 2 2 4 8" xfId="8851"/>
    <cellStyle name="Normal 2 2 2 4 8 2" xfId="24619"/>
    <cellStyle name="Normal 2 2 2 5" xfId="140"/>
    <cellStyle name="Normal 2 2 2 5 2" xfId="350"/>
    <cellStyle name="Normal 2 2 2 5 2 2" xfId="527"/>
    <cellStyle name="Normal 2 2 2 5 2 2 2" xfId="1200"/>
    <cellStyle name="Normal 2 2 2 5 2 2 2 2" xfId="1336"/>
    <cellStyle name="Normal 2 2 2 5 2 2 2 2 2" xfId="3220"/>
    <cellStyle name="Normal 2 2 2 5 2 2 2 2 2 2" xfId="3354"/>
    <cellStyle name="Normal 2 2 2 5 2 2 2 2 2 2 2" xfId="8435"/>
    <cellStyle name="Normal 2 2 2 5 2 2 2 2 2 2 2 2" xfId="8569"/>
    <cellStyle name="Normal 2 2 2 5 2 2 2 2 2 2 2 2 2" xfId="21987"/>
    <cellStyle name="Normal 2 2 2 5 2 2 2 2 2 2 2 2 2 2" xfId="22121"/>
    <cellStyle name="Normal 2 2 2 5 2 2 2 2 2 2 2 2 2 2 2" xfId="57313"/>
    <cellStyle name="Normal 2 2 2 5 2 2 2 2 2 2 2 2 2 2 2 2" xfId="57447"/>
    <cellStyle name="Normal 2 2 2 5 2 2 2 2 2 2 2 2 2 3" xfId="35624"/>
    <cellStyle name="Normal 2 2 2 5 2 2 2 2 2 2 2 2 3" xfId="35490"/>
    <cellStyle name="Normal 2 2 2 5 2 2 2 2 2 2 2 2 3 2" xfId="43996"/>
    <cellStyle name="Normal 2 2 2 5 2 2 2 2 2 2 2 3" xfId="13794"/>
    <cellStyle name="Normal 2 2 2 5 2 2 2 2 2 2 2 3 2" xfId="43862"/>
    <cellStyle name="Normal 2 2 2 5 2 2 2 2 2 2 2 3 2 2" xfId="49140"/>
    <cellStyle name="Normal 2 2 2 5 2 2 2 2 2 2 2 4" xfId="27279"/>
    <cellStyle name="Normal 2 2 2 5 2 2 2 2 2 2 3" xfId="13660"/>
    <cellStyle name="Normal 2 2 2 5 2 2 2 2 2 2 3 2" xfId="17011"/>
    <cellStyle name="Normal 2 2 2 5 2 2 2 2 2 2 3 2 2" xfId="49006"/>
    <cellStyle name="Normal 2 2 2 5 2 2 2 2 2 2 3 2 2 2" xfId="52339"/>
    <cellStyle name="Normal 2 2 2 5 2 2 2 2 2 2 3 3" xfId="30513"/>
    <cellStyle name="Normal 2 2 2 5 2 2 2 2 2 2 4" xfId="27145"/>
    <cellStyle name="Normal 2 2 2 5 2 2 2 2 2 2 4 2" xfId="38823"/>
    <cellStyle name="Normal 2 2 2 5 2 2 2 2 2 3" xfId="5391"/>
    <cellStyle name="Normal 2 2 2 5 2 2 2 2 2 3 2" xfId="16877"/>
    <cellStyle name="Normal 2 2 2 5 2 2 2 2 2 3 2 2" xfId="18964"/>
    <cellStyle name="Normal 2 2 2 5 2 2 2 2 2 3 2 2 2" xfId="52205"/>
    <cellStyle name="Normal 2 2 2 5 2 2 2 2 2 3 2 2 2 2" xfId="54290"/>
    <cellStyle name="Normal 2 2 2 5 2 2 2 2 2 3 2 3" xfId="32465"/>
    <cellStyle name="Normal 2 2 2 5 2 2 2 2 2 3 3" xfId="30379"/>
    <cellStyle name="Normal 2 2 2 5 2 2 2 2 2 3 3 2" xfId="40828"/>
    <cellStyle name="Normal 2 2 2 5 2 2 2 2 2 4" xfId="10594"/>
    <cellStyle name="Normal 2 2 2 5 2 2 2 2 2 4 2" xfId="38689"/>
    <cellStyle name="Normal 2 2 2 5 2 2 2 2 2 4 2 2" xfId="45957"/>
    <cellStyle name="Normal 2 2 2 5 2 2 2 2 2 5" xfId="24080"/>
    <cellStyle name="Normal 2 2 2 5 2 2 2 2 3" xfId="5257"/>
    <cellStyle name="Normal 2 2 2 5 2 2 2 2 3 2" xfId="6644"/>
    <cellStyle name="Normal 2 2 2 5 2 2 2 2 3 2 2" xfId="18830"/>
    <cellStyle name="Normal 2 2 2 5 2 2 2 2 3 2 2 2" xfId="20197"/>
    <cellStyle name="Normal 2 2 2 5 2 2 2 2 3 2 2 2 2" xfId="54156"/>
    <cellStyle name="Normal 2 2 2 5 2 2 2 2 3 2 2 2 2 2" xfId="55523"/>
    <cellStyle name="Normal 2 2 2 5 2 2 2 2 3 2 2 3" xfId="33699"/>
    <cellStyle name="Normal 2 2 2 5 2 2 2 2 3 2 3" xfId="32331"/>
    <cellStyle name="Normal 2 2 2 5 2 2 2 2 3 2 3 2" xfId="42072"/>
    <cellStyle name="Normal 2 2 2 5 2 2 2 2 3 3" xfId="11867"/>
    <cellStyle name="Normal 2 2 2 5 2 2 2 2 3 3 2" xfId="40694"/>
    <cellStyle name="Normal 2 2 2 5 2 2 2 2 3 3 2 2" xfId="47215"/>
    <cellStyle name="Normal 2 2 2 5 2 2 2 2 3 4" xfId="25352"/>
    <cellStyle name="Normal 2 2 2 5 2 2 2 2 4" xfId="10460"/>
    <cellStyle name="Normal 2 2 2 5 2 2 2 2 4 2" xfId="15025"/>
    <cellStyle name="Normal 2 2 2 5 2 2 2 2 4 2 2" xfId="45823"/>
    <cellStyle name="Normal 2 2 2 5 2 2 2 2 4 2 2 2" xfId="50364"/>
    <cellStyle name="Normal 2 2 2 5 2 2 2 2 4 3" xfId="28538"/>
    <cellStyle name="Normal 2 2 2 5 2 2 2 2 5" xfId="23946"/>
    <cellStyle name="Normal 2 2 2 5 2 2 2 2 5 2" xfId="36833"/>
    <cellStyle name="Normal 2 2 2 5 2 2 2 3" xfId="2143"/>
    <cellStyle name="Normal 2 2 2 5 2 2 2 3 2" xfId="6508"/>
    <cellStyle name="Normal 2 2 2 5 2 2 2 3 2 2" xfId="7377"/>
    <cellStyle name="Normal 2 2 2 5 2 2 2 3 2 2 2" xfId="20062"/>
    <cellStyle name="Normal 2 2 2 5 2 2 2 3 2 2 2 2" xfId="20929"/>
    <cellStyle name="Normal 2 2 2 5 2 2 2 3 2 2 2 2 2" xfId="55388"/>
    <cellStyle name="Normal 2 2 2 5 2 2 2 3 2 2 2 2 2 2" xfId="56255"/>
    <cellStyle name="Normal 2 2 2 5 2 2 2 3 2 2 2 3" xfId="34432"/>
    <cellStyle name="Normal 2 2 2 5 2 2 2 3 2 2 3" xfId="33564"/>
    <cellStyle name="Normal 2 2 2 5 2 2 2 3 2 2 3 2" xfId="42804"/>
    <cellStyle name="Normal 2 2 2 5 2 2 2 3 2 3" xfId="12602"/>
    <cellStyle name="Normal 2 2 2 5 2 2 2 3 2 3 2" xfId="41936"/>
    <cellStyle name="Normal 2 2 2 5 2 2 2 3 2 3 2 2" xfId="47948"/>
    <cellStyle name="Normal 2 2 2 5 2 2 2 3 2 4" xfId="26086"/>
    <cellStyle name="Normal 2 2 2 5 2 2 2 3 3" xfId="11732"/>
    <cellStyle name="Normal 2 2 2 5 2 2 2 3 3 2" xfId="15807"/>
    <cellStyle name="Normal 2 2 2 5 2 2 2 3 3 2 2" xfId="47080"/>
    <cellStyle name="Normal 2 2 2 5 2 2 2 3 3 2 2 2" xfId="51139"/>
    <cellStyle name="Normal 2 2 2 5 2 2 2 3 3 3" xfId="29313"/>
    <cellStyle name="Normal 2 2 2 5 2 2 2 3 4" xfId="25217"/>
    <cellStyle name="Normal 2 2 2 5 2 2 2 3 4 2" xfId="37621"/>
    <cellStyle name="Normal 2 2 2 5 2 2 2 4" xfId="4159"/>
    <cellStyle name="Normal 2 2 2 5 2 2 2 4 2" xfId="14890"/>
    <cellStyle name="Normal 2 2 2 5 2 2 2 4 2 2" xfId="17752"/>
    <cellStyle name="Normal 2 2 2 5 2 2 2 4 2 2 2" xfId="50229"/>
    <cellStyle name="Normal 2 2 2 5 2 2 2 4 2 2 2 2" xfId="53079"/>
    <cellStyle name="Normal 2 2 2 5 2 2 2 4 2 3" xfId="31254"/>
    <cellStyle name="Normal 2 2 2 5 2 2 2 4 3" xfId="28403"/>
    <cellStyle name="Normal 2 2 2 5 2 2 2 4 3 2" xfId="39602"/>
    <cellStyle name="Normal 2 2 2 5 2 2 2 5" xfId="9350"/>
    <cellStyle name="Normal 2 2 2 5 2 2 2 5 2" xfId="36698"/>
    <cellStyle name="Normal 2 2 2 5 2 2 2 5 2 2" xfId="44732"/>
    <cellStyle name="Normal 2 2 2 5 2 2 2 6" xfId="22846"/>
    <cellStyle name="Normal 2 2 2 5 2 2 3" xfId="2008"/>
    <cellStyle name="Normal 2 2 2 5 2 2 3 2" xfId="2623"/>
    <cellStyle name="Normal 2 2 2 5 2 2 3 2 2" xfId="7242"/>
    <cellStyle name="Normal 2 2 2 5 2 2 3 2 2 2" xfId="7843"/>
    <cellStyle name="Normal 2 2 2 5 2 2 3 2 2 2 2" xfId="20794"/>
    <cellStyle name="Normal 2 2 2 5 2 2 3 2 2 2 2 2" xfId="21395"/>
    <cellStyle name="Normal 2 2 2 5 2 2 3 2 2 2 2 2 2" xfId="56120"/>
    <cellStyle name="Normal 2 2 2 5 2 2 3 2 2 2 2 2 2 2" xfId="56721"/>
    <cellStyle name="Normal 2 2 2 5 2 2 3 2 2 2 2 3" xfId="34898"/>
    <cellStyle name="Normal 2 2 2 5 2 2 3 2 2 2 3" xfId="34297"/>
    <cellStyle name="Normal 2 2 2 5 2 2 3 2 2 2 3 2" xfId="43270"/>
    <cellStyle name="Normal 2 2 2 5 2 2 3 2 2 3" xfId="13068"/>
    <cellStyle name="Normal 2 2 2 5 2 2 3 2 2 3 2" xfId="42669"/>
    <cellStyle name="Normal 2 2 2 5 2 2 3 2 2 3 2 2" xfId="48414"/>
    <cellStyle name="Normal 2 2 2 5 2 2 3 2 2 4" xfId="26552"/>
    <cellStyle name="Normal 2 2 2 5 2 2 3 2 3" xfId="12467"/>
    <cellStyle name="Normal 2 2 2 5 2 2 3 2 3 2" xfId="16282"/>
    <cellStyle name="Normal 2 2 2 5 2 2 3 2 3 2 2" xfId="47813"/>
    <cellStyle name="Normal 2 2 2 5 2 2 3 2 3 2 2 2" xfId="51612"/>
    <cellStyle name="Normal 2 2 2 5 2 2 3 2 3 3" xfId="29786"/>
    <cellStyle name="Normal 2 2 2 5 2 2 3 2 4" xfId="25951"/>
    <cellStyle name="Normal 2 2 2 5 2 2 3 2 4 2" xfId="38096"/>
    <cellStyle name="Normal 2 2 2 5 2 2 3 3" xfId="4657"/>
    <cellStyle name="Normal 2 2 2 5 2 2 3 3 2" xfId="15672"/>
    <cellStyle name="Normal 2 2 2 5 2 2 3 3 2 2" xfId="18237"/>
    <cellStyle name="Normal 2 2 2 5 2 2 3 3 2 2 2" xfId="51004"/>
    <cellStyle name="Normal 2 2 2 5 2 2 3 3 2 2 2 2" xfId="53563"/>
    <cellStyle name="Normal 2 2 2 5 2 2 3 3 2 3" xfId="31738"/>
    <cellStyle name="Normal 2 2 2 5 2 2 3 3 3" xfId="29178"/>
    <cellStyle name="Normal 2 2 2 5 2 2 3 3 3 2" xfId="40096"/>
    <cellStyle name="Normal 2 2 2 5 2 2 3 4" xfId="9860"/>
    <cellStyle name="Normal 2 2 2 5 2 2 3 4 2" xfId="37486"/>
    <cellStyle name="Normal 2 2 2 5 2 2 3 4 2 2" xfId="45230"/>
    <cellStyle name="Normal 2 2 2 5 2 2 3 5" xfId="23353"/>
    <cellStyle name="Normal 2 2 2 5 2 2 4" xfId="4022"/>
    <cellStyle name="Normal 2 2 2 5 2 2 4 2" xfId="5862"/>
    <cellStyle name="Normal 2 2 2 5 2 2 4 2 2" xfId="17617"/>
    <cellStyle name="Normal 2 2 2 5 2 2 4 2 2 2" xfId="19430"/>
    <cellStyle name="Normal 2 2 2 5 2 2 4 2 2 2 2" xfId="52944"/>
    <cellStyle name="Normal 2 2 2 5 2 2 4 2 2 2 2 2" xfId="54756"/>
    <cellStyle name="Normal 2 2 2 5 2 2 4 2 2 3" xfId="32931"/>
    <cellStyle name="Normal 2 2 2 5 2 2 4 2 3" xfId="31119"/>
    <cellStyle name="Normal 2 2 2 5 2 2 4 2 3 2" xfId="41297"/>
    <cellStyle name="Normal 2 2 2 5 2 2 4 3" xfId="11085"/>
    <cellStyle name="Normal 2 2 2 5 2 2 4 3 2" xfId="39466"/>
    <cellStyle name="Normal 2 2 2 5 2 2 4 3 2 2" xfId="46444"/>
    <cellStyle name="Normal 2 2 2 5 2 2 4 4" xfId="24579"/>
    <cellStyle name="Normal 2 2 2 5 2 2 5" xfId="9214"/>
    <cellStyle name="Normal 2 2 2 5 2 2 5 2" xfId="14246"/>
    <cellStyle name="Normal 2 2 2 5 2 2 5 2 2" xfId="44597"/>
    <cellStyle name="Normal 2 2 2 5 2 2 5 2 2 2" xfId="49591"/>
    <cellStyle name="Normal 2 2 2 5 2 2 5 3" xfId="27753"/>
    <cellStyle name="Normal 2 2 2 5 2 2 6" xfId="22711"/>
    <cellStyle name="Normal 2 2 2 5 2 2 6 2" xfId="36058"/>
    <cellStyle name="Normal 2 2 2 5 2 3" xfId="855"/>
    <cellStyle name="Normal 2 2 2 5 2 3 2" xfId="2460"/>
    <cellStyle name="Normal 2 2 2 5 2 3 2 2" xfId="2906"/>
    <cellStyle name="Normal 2 2 2 5 2 3 2 2 2" xfId="7691"/>
    <cellStyle name="Normal 2 2 2 5 2 3 2 2 2 2" xfId="8121"/>
    <cellStyle name="Normal 2 2 2 5 2 3 2 2 2 2 2" xfId="21243"/>
    <cellStyle name="Normal 2 2 2 5 2 3 2 2 2 2 2 2" xfId="21673"/>
    <cellStyle name="Normal 2 2 2 5 2 3 2 2 2 2 2 2 2" xfId="56569"/>
    <cellStyle name="Normal 2 2 2 5 2 3 2 2 2 2 2 2 2 2" xfId="56999"/>
    <cellStyle name="Normal 2 2 2 5 2 3 2 2 2 2 2 3" xfId="35176"/>
    <cellStyle name="Normal 2 2 2 5 2 3 2 2 2 2 3" xfId="34746"/>
    <cellStyle name="Normal 2 2 2 5 2 3 2 2 2 2 3 2" xfId="43548"/>
    <cellStyle name="Normal 2 2 2 5 2 3 2 2 2 3" xfId="13346"/>
    <cellStyle name="Normal 2 2 2 5 2 3 2 2 2 3 2" xfId="43118"/>
    <cellStyle name="Normal 2 2 2 5 2 3 2 2 2 3 2 2" xfId="48692"/>
    <cellStyle name="Normal 2 2 2 5 2 3 2 2 2 4" xfId="26831"/>
    <cellStyle name="Normal 2 2 2 5 2 3 2 2 3" xfId="12916"/>
    <cellStyle name="Normal 2 2 2 5 2 3 2 2 3 2" xfId="16563"/>
    <cellStyle name="Normal 2 2 2 5 2 3 2 2 3 2 2" xfId="48262"/>
    <cellStyle name="Normal 2 2 2 5 2 3 2 2 3 2 2 2" xfId="51891"/>
    <cellStyle name="Normal 2 2 2 5 2 3 2 2 3 3" xfId="30065"/>
    <cellStyle name="Normal 2 2 2 5 2 3 2 2 4" xfId="26400"/>
    <cellStyle name="Normal 2 2 2 5 2 3 2 2 4 2" xfId="38375"/>
    <cellStyle name="Normal 2 2 2 5 2 3 2 3" xfId="4942"/>
    <cellStyle name="Normal 2 2 2 5 2 3 2 3 2" xfId="16123"/>
    <cellStyle name="Normal 2 2 2 5 2 3 2 3 2 2" xfId="18515"/>
    <cellStyle name="Normal 2 2 2 5 2 3 2 3 2 2 2" xfId="51455"/>
    <cellStyle name="Normal 2 2 2 5 2 3 2 3 2 2 2 2" xfId="53841"/>
    <cellStyle name="Normal 2 2 2 5 2 3 2 3 2 3" xfId="32016"/>
    <cellStyle name="Normal 2 2 2 5 2 3 2 3 3" xfId="29629"/>
    <cellStyle name="Normal 2 2 2 5 2 3 2 3 3 2" xfId="40379"/>
    <cellStyle name="Normal 2 2 2 5 2 3 2 4" xfId="10145"/>
    <cellStyle name="Normal 2 2 2 5 2 3 2 4 2" xfId="37938"/>
    <cellStyle name="Normal 2 2 2 5 2 3 2 4 2 2" xfId="45508"/>
    <cellStyle name="Normal 2 2 2 5 2 3 2 5" xfId="23631"/>
    <cellStyle name="Normal 2 2 2 5 2 3 3" xfId="4495"/>
    <cellStyle name="Normal 2 2 2 5 2 3 3 2" xfId="6170"/>
    <cellStyle name="Normal 2 2 2 5 2 3 3 2 2" xfId="18084"/>
    <cellStyle name="Normal 2 2 2 5 2 3 3 2 2 2" xfId="19730"/>
    <cellStyle name="Normal 2 2 2 5 2 3 3 2 2 2 2" xfId="53410"/>
    <cellStyle name="Normal 2 2 2 5 2 3 3 2 2 2 2 2" xfId="55056"/>
    <cellStyle name="Normal 2 2 2 5 2 3 3 2 2 3" xfId="33232"/>
    <cellStyle name="Normal 2 2 2 5 2 3 3 2 3" xfId="31585"/>
    <cellStyle name="Normal 2 2 2 5 2 3 3 2 3 2" xfId="41601"/>
    <cellStyle name="Normal 2 2 2 5 2 3 3 3" xfId="11396"/>
    <cellStyle name="Normal 2 2 2 5 2 3 3 3 2" xfId="39937"/>
    <cellStyle name="Normal 2 2 2 5 2 3 3 3 2 2" xfId="46747"/>
    <cellStyle name="Normal 2 2 2 5 2 3 3 4" xfId="24884"/>
    <cellStyle name="Normal 2 2 2 5 2 3 4" xfId="9699"/>
    <cellStyle name="Normal 2 2 2 5 2 3 4 2" xfId="14553"/>
    <cellStyle name="Normal 2 2 2 5 2 3 4 2 2" xfId="45077"/>
    <cellStyle name="Normal 2 2 2 5 2 3 4 2 2 2" xfId="49894"/>
    <cellStyle name="Normal 2 2 2 5 2 3 4 3" xfId="28064"/>
    <cellStyle name="Normal 2 2 2 5 2 3 5" xfId="23200"/>
    <cellStyle name="Normal 2 2 2 5 2 3 5 2" xfId="36363"/>
    <cellStyle name="Normal 2 2 2 5 2 4" xfId="1650"/>
    <cellStyle name="Normal 2 2 2 5 2 4 2" xfId="5703"/>
    <cellStyle name="Normal 2 2 2 5 2 4 2 2" xfId="6915"/>
    <cellStyle name="Normal 2 2 2 5 2 4 2 2 2" xfId="19273"/>
    <cellStyle name="Normal 2 2 2 5 2 4 2 2 2 2" xfId="20468"/>
    <cellStyle name="Normal 2 2 2 5 2 4 2 2 2 2 2" xfId="54599"/>
    <cellStyle name="Normal 2 2 2 5 2 4 2 2 2 2 2 2" xfId="55794"/>
    <cellStyle name="Normal 2 2 2 5 2 4 2 2 2 3" xfId="33970"/>
    <cellStyle name="Normal 2 2 2 5 2 4 2 2 3" xfId="32774"/>
    <cellStyle name="Normal 2 2 2 5 2 4 2 2 3 2" xfId="42343"/>
    <cellStyle name="Normal 2 2 2 5 2 4 2 3" xfId="12139"/>
    <cellStyle name="Normal 2 2 2 5 2 4 2 3 2" xfId="41138"/>
    <cellStyle name="Normal 2 2 2 5 2 4 2 3 2 2" xfId="47486"/>
    <cellStyle name="Normal 2 2 2 5 2 4 2 4" xfId="25624"/>
    <cellStyle name="Normal 2 2 2 5 2 4 3" xfId="10921"/>
    <cellStyle name="Normal 2 2 2 5 2 4 3 2" xfId="15324"/>
    <cellStyle name="Normal 2 2 2 5 2 4 3 2 2" xfId="46281"/>
    <cellStyle name="Normal 2 2 2 5 2 4 3 2 2 2" xfId="50659"/>
    <cellStyle name="Normal 2 2 2 5 2 4 3 3" xfId="28833"/>
    <cellStyle name="Normal 2 2 2 5 2 4 4" xfId="24413"/>
    <cellStyle name="Normal 2 2 2 5 2 4 4 2" xfId="37135"/>
    <cellStyle name="Normal 2 2 2 5 2 5" xfId="3654"/>
    <cellStyle name="Normal 2 2 2 5 2 5 2" xfId="14087"/>
    <cellStyle name="Normal 2 2 2 5 2 5 2 2" xfId="17283"/>
    <cellStyle name="Normal 2 2 2 5 2 5 2 2 2" xfId="49432"/>
    <cellStyle name="Normal 2 2 2 5 2 5 2 2 2 2" xfId="52610"/>
    <cellStyle name="Normal 2 2 2 5 2 5 2 3" xfId="30784"/>
    <cellStyle name="Normal 2 2 2 5 2 5 3" xfId="27586"/>
    <cellStyle name="Normal 2 2 2 5 2 5 3 2" xfId="39109"/>
    <cellStyle name="Normal 2 2 2 5 2 6" xfId="8848"/>
    <cellStyle name="Normal 2 2 2 5 2 6 2" xfId="35898"/>
    <cellStyle name="Normal 2 2 2 5 2 6 2 2" xfId="44255"/>
    <cellStyle name="Normal 2 2 2 5 2 7" xfId="22363"/>
    <cellStyle name="Normal 2 2 2 5 3" xfId="231"/>
    <cellStyle name="Normal 2 2 2 5 3 2" xfId="1031"/>
    <cellStyle name="Normal 2 2 2 5 3 2 2" xfId="2359"/>
    <cellStyle name="Normal 2 2 2 5 3 2 2 2" xfId="3067"/>
    <cellStyle name="Normal 2 2 2 5 3 2 2 2 2" xfId="7593"/>
    <cellStyle name="Normal 2 2 2 5 3 2 2 2 2 2" xfId="8282"/>
    <cellStyle name="Normal 2 2 2 5 3 2 2 2 2 2 2" xfId="21145"/>
    <cellStyle name="Normal 2 2 2 5 3 2 2 2 2 2 2 2" xfId="21834"/>
    <cellStyle name="Normal 2 2 2 5 3 2 2 2 2 2 2 2 2" xfId="56471"/>
    <cellStyle name="Normal 2 2 2 5 3 2 2 2 2 2 2 2 2 2" xfId="57160"/>
    <cellStyle name="Normal 2 2 2 5 3 2 2 2 2 2 2 3" xfId="35337"/>
    <cellStyle name="Normal 2 2 2 5 3 2 2 2 2 2 3" xfId="34648"/>
    <cellStyle name="Normal 2 2 2 5 3 2 2 2 2 2 3 2" xfId="43709"/>
    <cellStyle name="Normal 2 2 2 5 3 2 2 2 2 3" xfId="13507"/>
    <cellStyle name="Normal 2 2 2 5 3 2 2 2 2 3 2" xfId="43020"/>
    <cellStyle name="Normal 2 2 2 5 3 2 2 2 2 3 2 2" xfId="48853"/>
    <cellStyle name="Normal 2 2 2 5 3 2 2 2 2 4" xfId="26992"/>
    <cellStyle name="Normal 2 2 2 5 3 2 2 2 3" xfId="12818"/>
    <cellStyle name="Normal 2 2 2 5 3 2 2 2 3 2" xfId="16724"/>
    <cellStyle name="Normal 2 2 2 5 3 2 2 2 3 2 2" xfId="48164"/>
    <cellStyle name="Normal 2 2 2 5 3 2 2 2 3 2 2 2" xfId="52052"/>
    <cellStyle name="Normal 2 2 2 5 3 2 2 2 3 3" xfId="30226"/>
    <cellStyle name="Normal 2 2 2 5 3 2 2 2 4" xfId="26302"/>
    <cellStyle name="Normal 2 2 2 5 3 2 2 2 4 2" xfId="38536"/>
    <cellStyle name="Normal 2 2 2 5 3 2 2 3" xfId="5104"/>
    <cellStyle name="Normal 2 2 2 5 3 2 2 3 2" xfId="16023"/>
    <cellStyle name="Normal 2 2 2 5 3 2 2 3 2 2" xfId="18677"/>
    <cellStyle name="Normal 2 2 2 5 3 2 2 3 2 2 2" xfId="51355"/>
    <cellStyle name="Normal 2 2 2 5 3 2 2 3 2 2 2 2" xfId="54003"/>
    <cellStyle name="Normal 2 2 2 5 3 2 2 3 2 3" xfId="32178"/>
    <cellStyle name="Normal 2 2 2 5 3 2 2 3 3" xfId="29529"/>
    <cellStyle name="Normal 2 2 2 5 3 2 2 3 3 2" xfId="40541"/>
    <cellStyle name="Normal 2 2 2 5 3 2 2 4" xfId="10307"/>
    <cellStyle name="Normal 2 2 2 5 3 2 2 4 2" xfId="37837"/>
    <cellStyle name="Normal 2 2 2 5 3 2 2 4 2 2" xfId="45670"/>
    <cellStyle name="Normal 2 2 2 5 3 2 2 5" xfId="23793"/>
    <cellStyle name="Normal 2 2 2 5 3 2 3" xfId="4390"/>
    <cellStyle name="Normal 2 2 2 5 3 2 3 2" xfId="6341"/>
    <cellStyle name="Normal 2 2 2 5 3 2 3 2 2" xfId="17982"/>
    <cellStyle name="Normal 2 2 2 5 3 2 3 2 2 2" xfId="19898"/>
    <cellStyle name="Normal 2 2 2 5 3 2 3 2 2 2 2" xfId="53308"/>
    <cellStyle name="Normal 2 2 2 5 3 2 3 2 2 2 2 2" xfId="55224"/>
    <cellStyle name="Normal 2 2 2 5 3 2 3 2 2 3" xfId="33400"/>
    <cellStyle name="Normal 2 2 2 5 3 2 3 2 3" xfId="31483"/>
    <cellStyle name="Normal 2 2 2 5 3 2 3 2 3 2" xfId="41770"/>
    <cellStyle name="Normal 2 2 2 5 3 2 3 3" xfId="11567"/>
    <cellStyle name="Normal 2 2 2 5 3 2 3 3 2" xfId="39832"/>
    <cellStyle name="Normal 2 2 2 5 3 2 3 3 2 2" xfId="46916"/>
    <cellStyle name="Normal 2 2 2 5 3 2 3 4" xfId="25053"/>
    <cellStyle name="Normal 2 2 2 5 3 2 4" xfId="9592"/>
    <cellStyle name="Normal 2 2 2 5 3 2 4 2" xfId="14724"/>
    <cellStyle name="Normal 2 2 2 5 3 2 4 2 2" xfId="44973"/>
    <cellStyle name="Normal 2 2 2 5 3 2 4 2 2 2" xfId="50063"/>
    <cellStyle name="Normal 2 2 2 5 3 2 4 3" xfId="28236"/>
    <cellStyle name="Normal 2 2 2 5 3 2 5" xfId="23094"/>
    <cellStyle name="Normal 2 2 2 5 3 2 5 2" xfId="36532"/>
    <cellStyle name="Normal 2 2 2 5 3 3" xfId="1834"/>
    <cellStyle name="Normal 2 2 2 5 3 3 2" xfId="5600"/>
    <cellStyle name="Normal 2 2 2 5 3 3 2 2" xfId="7085"/>
    <cellStyle name="Normal 2 2 2 5 3 3 2 2 2" xfId="19172"/>
    <cellStyle name="Normal 2 2 2 5 3 3 2 2 2 2" xfId="20638"/>
    <cellStyle name="Normal 2 2 2 5 3 3 2 2 2 2 2" xfId="54498"/>
    <cellStyle name="Normal 2 2 2 5 3 3 2 2 2 2 2 2" xfId="55964"/>
    <cellStyle name="Normal 2 2 2 5 3 3 2 2 2 3" xfId="34140"/>
    <cellStyle name="Normal 2 2 2 5 3 3 2 2 3" xfId="32673"/>
    <cellStyle name="Normal 2 2 2 5 3 3 2 2 3 2" xfId="42513"/>
    <cellStyle name="Normal 2 2 2 5 3 3 2 3" xfId="12309"/>
    <cellStyle name="Normal 2 2 2 5 3 3 2 3 2" xfId="41036"/>
    <cellStyle name="Normal 2 2 2 5 3 3 2 3 2 2" xfId="47656"/>
    <cellStyle name="Normal 2 2 2 5 3 3 2 4" xfId="25794"/>
    <cellStyle name="Normal 2 2 2 5 3 3 3" xfId="10813"/>
    <cellStyle name="Normal 2 2 2 5 3 3 3 2" xfId="15506"/>
    <cellStyle name="Normal 2 2 2 5 3 3 3 2 2" xfId="46175"/>
    <cellStyle name="Normal 2 2 2 5 3 3 3 2 2 2" xfId="50839"/>
    <cellStyle name="Normal 2 2 2 5 3 3 3 3" xfId="29013"/>
    <cellStyle name="Normal 2 2 2 5 3 3 4" xfId="24303"/>
    <cellStyle name="Normal 2 2 2 5 3 3 4 2" xfId="37316"/>
    <cellStyle name="Normal 2 2 2 5 3 4" xfId="3845"/>
    <cellStyle name="Normal 2 2 2 5 3 4 2" xfId="13984"/>
    <cellStyle name="Normal 2 2 2 5 3 4 2 2" xfId="17459"/>
    <cellStyle name="Normal 2 2 2 5 3 4 2 2 2" xfId="49330"/>
    <cellStyle name="Normal 2 2 2 5 3 4 2 2 2 2" xfId="52786"/>
    <cellStyle name="Normal 2 2 2 5 3 4 2 3" xfId="30960"/>
    <cellStyle name="Normal 2 2 2 5 3 4 3" xfId="27476"/>
    <cellStyle name="Normal 2 2 2 5 3 4 3 2" xfId="39294"/>
    <cellStyle name="Normal 2 2 2 5 3 5" xfId="9038"/>
    <cellStyle name="Normal 2 2 2 5 3 5 2" xfId="35796"/>
    <cellStyle name="Normal 2 2 2 5 3 5 2 2" xfId="44435"/>
    <cellStyle name="Normal 2 2 2 5 3 6" xfId="22546"/>
    <cellStyle name="Normal 2 2 2 5 4" xfId="1158"/>
    <cellStyle name="Normal 2 2 2 5 4 2" xfId="2294"/>
    <cellStyle name="Normal 2 2 2 5 4 2 2" xfId="6466"/>
    <cellStyle name="Normal 2 2 2 5 4 2 2 2" xfId="7528"/>
    <cellStyle name="Normal 2 2 2 5 4 2 2 2 2" xfId="20020"/>
    <cellStyle name="Normal 2 2 2 5 4 2 2 2 2 2" xfId="21080"/>
    <cellStyle name="Normal 2 2 2 5 4 2 2 2 2 2 2" xfId="55346"/>
    <cellStyle name="Normal 2 2 2 5 4 2 2 2 2 2 2 2" xfId="56406"/>
    <cellStyle name="Normal 2 2 2 5 4 2 2 2 2 3" xfId="34583"/>
    <cellStyle name="Normal 2 2 2 5 4 2 2 2 3" xfId="33522"/>
    <cellStyle name="Normal 2 2 2 5 4 2 2 2 3 2" xfId="42955"/>
    <cellStyle name="Normal 2 2 2 5 4 2 2 3" xfId="12753"/>
    <cellStyle name="Normal 2 2 2 5 4 2 2 3 2" xfId="41894"/>
    <cellStyle name="Normal 2 2 2 5 4 2 2 3 2 2" xfId="48099"/>
    <cellStyle name="Normal 2 2 2 5 4 2 2 4" xfId="26237"/>
    <cellStyle name="Normal 2 2 2 5 4 2 3" xfId="11690"/>
    <cellStyle name="Normal 2 2 2 5 4 2 3 2" xfId="15958"/>
    <cellStyle name="Normal 2 2 2 5 4 2 3 2 2" xfId="47038"/>
    <cellStyle name="Normal 2 2 2 5 4 2 3 2 2 2" xfId="51290"/>
    <cellStyle name="Normal 2 2 2 5 4 2 3 3" xfId="29464"/>
    <cellStyle name="Normal 2 2 2 5 4 2 4" xfId="25175"/>
    <cellStyle name="Normal 2 2 2 5 4 2 4 2" xfId="37772"/>
    <cellStyle name="Normal 2 2 2 5 4 3" xfId="4320"/>
    <cellStyle name="Normal 2 2 2 5 4 3 2" xfId="14848"/>
    <cellStyle name="Normal 2 2 2 5 4 3 2 2" xfId="17913"/>
    <cellStyle name="Normal 2 2 2 5 4 3 2 2 2" xfId="50187"/>
    <cellStyle name="Normal 2 2 2 5 4 3 2 2 2 2" xfId="53240"/>
    <cellStyle name="Normal 2 2 2 5 4 3 2 3" xfId="31415"/>
    <cellStyle name="Normal 2 2 2 5 4 3 3" xfId="28361"/>
    <cellStyle name="Normal 2 2 2 5 4 3 3 2" xfId="39763"/>
    <cellStyle name="Normal 2 2 2 5 4 4" xfId="9514"/>
    <cellStyle name="Normal 2 2 2 5 4 4 2" xfId="36656"/>
    <cellStyle name="Normal 2 2 2 5 4 4 2 2" xfId="44896"/>
    <cellStyle name="Normal 2 2 2 5 4 5" xfId="23012"/>
    <cellStyle name="Normal 2 2 2 5 5" xfId="2457"/>
    <cellStyle name="Normal 2 2 2 5 5 2" xfId="5533"/>
    <cellStyle name="Normal 2 2 2 5 5 2 2" xfId="16120"/>
    <cellStyle name="Normal 2 2 2 5 5 2 2 2" xfId="19106"/>
    <cellStyle name="Normal 2 2 2 5 5 2 2 2 2" xfId="51452"/>
    <cellStyle name="Normal 2 2 2 5 5 2 2 2 2 2" xfId="54432"/>
    <cellStyle name="Normal 2 2 2 5 5 2 2 3" xfId="32607"/>
    <cellStyle name="Normal 2 2 2 5 5 2 3" xfId="29626"/>
    <cellStyle name="Normal 2 2 2 5 5 2 3 2" xfId="40970"/>
    <cellStyle name="Normal 2 2 2 5 5 3" xfId="10737"/>
    <cellStyle name="Normal 2 2 2 5 5 3 2" xfId="37935"/>
    <cellStyle name="Normal 2 2 2 5 5 3 2 2" xfId="46100"/>
    <cellStyle name="Normal 2 2 2 5 5 4" xfId="24224"/>
    <cellStyle name="Normal 2 2 2 5 6" xfId="1679"/>
    <cellStyle name="Normal 2 2 2 5 6 2" xfId="1534"/>
    <cellStyle name="Normal 2 2 2 5 6 2 2" xfId="37162"/>
    <cellStyle name="Normal 2 2 2 5 6 2 2 2" xfId="37024"/>
    <cellStyle name="Normal 2 2 2 5 6 3" xfId="8742"/>
    <cellStyle name="Normal 2 2 2 5 7" xfId="372"/>
    <cellStyle name="Normal 2 2 2 5 7 2" xfId="27587"/>
    <cellStyle name="Normal 2 2 2 6" xfId="243"/>
    <cellStyle name="Normal 2 2 2 6 2" xfId="736"/>
    <cellStyle name="Normal 2 2 2 6 2 2" xfId="1109"/>
    <cellStyle name="Normal 2 2 2 6 2 2 2" xfId="2807"/>
    <cellStyle name="Normal 2 2 2 6 2 2 2 2" xfId="3137"/>
    <cellStyle name="Normal 2 2 2 6 2 2 2 2 2" xfId="8023"/>
    <cellStyle name="Normal 2 2 2 6 2 2 2 2 2 2" xfId="8352"/>
    <cellStyle name="Normal 2 2 2 6 2 2 2 2 2 2 2" xfId="21575"/>
    <cellStyle name="Normal 2 2 2 6 2 2 2 2 2 2 2 2" xfId="21904"/>
    <cellStyle name="Normal 2 2 2 6 2 2 2 2 2 2 2 2 2" xfId="56901"/>
    <cellStyle name="Normal 2 2 2 6 2 2 2 2 2 2 2 2 2 2" xfId="57230"/>
    <cellStyle name="Normal 2 2 2 6 2 2 2 2 2 2 2 3" xfId="35407"/>
    <cellStyle name="Normal 2 2 2 6 2 2 2 2 2 2 3" xfId="35078"/>
    <cellStyle name="Normal 2 2 2 6 2 2 2 2 2 2 3 2" xfId="43779"/>
    <cellStyle name="Normal 2 2 2 6 2 2 2 2 2 3" xfId="13577"/>
    <cellStyle name="Normal 2 2 2 6 2 2 2 2 2 3 2" xfId="43450"/>
    <cellStyle name="Normal 2 2 2 6 2 2 2 2 2 3 2 2" xfId="48923"/>
    <cellStyle name="Normal 2 2 2 6 2 2 2 2 2 4" xfId="27062"/>
    <cellStyle name="Normal 2 2 2 6 2 2 2 2 3" xfId="13248"/>
    <cellStyle name="Normal 2 2 2 6 2 2 2 2 3 2" xfId="16794"/>
    <cellStyle name="Normal 2 2 2 6 2 2 2 2 3 2 2" xfId="48594"/>
    <cellStyle name="Normal 2 2 2 6 2 2 2 2 3 2 2 2" xfId="52122"/>
    <cellStyle name="Normal 2 2 2 6 2 2 2 2 3 3" xfId="30296"/>
    <cellStyle name="Normal 2 2 2 6 2 2 2 2 4" xfId="26732"/>
    <cellStyle name="Normal 2 2 2 6 2 2 2 2 4 2" xfId="38606"/>
    <cellStyle name="Normal 2 2 2 6 2 2 2 3" xfId="5174"/>
    <cellStyle name="Normal 2 2 2 6 2 2 2 3 2" xfId="16465"/>
    <cellStyle name="Normal 2 2 2 6 2 2 2 3 2 2" xfId="18747"/>
    <cellStyle name="Normal 2 2 2 6 2 2 2 3 2 2 2" xfId="51793"/>
    <cellStyle name="Normal 2 2 2 6 2 2 2 3 2 2 2 2" xfId="54073"/>
    <cellStyle name="Normal 2 2 2 6 2 2 2 3 2 3" xfId="32248"/>
    <cellStyle name="Normal 2 2 2 6 2 2 2 3 3" xfId="29967"/>
    <cellStyle name="Normal 2 2 2 6 2 2 2 3 3 2" xfId="40611"/>
    <cellStyle name="Normal 2 2 2 6 2 2 2 4" xfId="10377"/>
    <cellStyle name="Normal 2 2 2 6 2 2 2 4 2" xfId="38277"/>
    <cellStyle name="Normal 2 2 2 6 2 2 2 4 2 2" xfId="45740"/>
    <cellStyle name="Normal 2 2 2 6 2 2 2 5" xfId="23863"/>
    <cellStyle name="Normal 2 2 2 6 2 2 3" xfId="4843"/>
    <cellStyle name="Normal 2 2 2 6 2 2 3 2" xfId="6418"/>
    <cellStyle name="Normal 2 2 2 6 2 2 3 2 2" xfId="18417"/>
    <cellStyle name="Normal 2 2 2 6 2 2 3 2 2 2" xfId="19973"/>
    <cellStyle name="Normal 2 2 2 6 2 2 3 2 2 2 2" xfId="53743"/>
    <cellStyle name="Normal 2 2 2 6 2 2 3 2 2 2 2 2" xfId="55299"/>
    <cellStyle name="Normal 2 2 2 6 2 2 3 2 2 3" xfId="33475"/>
    <cellStyle name="Normal 2 2 2 6 2 2 3 2 3" xfId="31918"/>
    <cellStyle name="Normal 2 2 2 6 2 2 3 2 3 2" xfId="41846"/>
    <cellStyle name="Normal 2 2 2 6 2 2 3 3" xfId="11642"/>
    <cellStyle name="Normal 2 2 2 6 2 2 3 3 2" xfId="40280"/>
    <cellStyle name="Normal 2 2 2 6 2 2 3 3 2 2" xfId="46991"/>
    <cellStyle name="Normal 2 2 2 6 2 2 3 4" xfId="25128"/>
    <cellStyle name="Normal 2 2 2 6 2 2 4" xfId="10046"/>
    <cellStyle name="Normal 2 2 2 6 2 2 4 2" xfId="14800"/>
    <cellStyle name="Normal 2 2 2 6 2 2 4 2 2" xfId="45410"/>
    <cellStyle name="Normal 2 2 2 6 2 2 4 2 2 2" xfId="50139"/>
    <cellStyle name="Normal 2 2 2 6 2 2 4 3" xfId="28312"/>
    <cellStyle name="Normal 2 2 2 6 2 2 5" xfId="23533"/>
    <cellStyle name="Normal 2 2 2 6 2 2 5 2" xfId="36608"/>
    <cellStyle name="Normal 2 2 2 6 2 3" xfId="1917"/>
    <cellStyle name="Normal 2 2 2 6 2 3 2" xfId="6059"/>
    <cellStyle name="Normal 2 2 2 6 2 3 2 2" xfId="7159"/>
    <cellStyle name="Normal 2 2 2 6 2 3 2 2 2" xfId="19623"/>
    <cellStyle name="Normal 2 2 2 6 2 3 2 2 2 2" xfId="20711"/>
    <cellStyle name="Normal 2 2 2 6 2 3 2 2 2 2 2" xfId="54949"/>
    <cellStyle name="Normal 2 2 2 6 2 3 2 2 2 2 2 2" xfId="56037"/>
    <cellStyle name="Normal 2 2 2 6 2 3 2 2 2 3" xfId="34214"/>
    <cellStyle name="Normal 2 2 2 6 2 3 2 2 3" xfId="33124"/>
    <cellStyle name="Normal 2 2 2 6 2 3 2 2 3 2" xfId="42586"/>
    <cellStyle name="Normal 2 2 2 6 2 3 2 3" xfId="12384"/>
    <cellStyle name="Normal 2 2 2 6 2 3 2 3 2" xfId="41493"/>
    <cellStyle name="Normal 2 2 2 6 2 3 2 3 2 2" xfId="47730"/>
    <cellStyle name="Normal 2 2 2 6 2 3 2 4" xfId="25868"/>
    <cellStyle name="Normal 2 2 2 6 2 3 3" xfId="11285"/>
    <cellStyle name="Normal 2 2 2 6 2 3 3 2" xfId="15584"/>
    <cellStyle name="Normal 2 2 2 6 2 3 3 2 2" xfId="46640"/>
    <cellStyle name="Normal 2 2 2 6 2 3 3 2 2 2" xfId="50916"/>
    <cellStyle name="Normal 2 2 2 6 2 3 3 3" xfId="29090"/>
    <cellStyle name="Normal 2 2 2 6 2 3 4" xfId="24777"/>
    <cellStyle name="Normal 2 2 2 6 2 3 4 2" xfId="37396"/>
    <cellStyle name="Normal 2 2 2 6 2 4" xfId="3931"/>
    <cellStyle name="Normal 2 2 2 6 2 4 2" xfId="14442"/>
    <cellStyle name="Normal 2 2 2 6 2 4 2 2" xfId="17534"/>
    <cellStyle name="Normal 2 2 2 6 2 4 2 2 2" xfId="49787"/>
    <cellStyle name="Normal 2 2 2 6 2 4 2 2 2 2" xfId="52861"/>
    <cellStyle name="Normal 2 2 2 6 2 4 2 3" xfId="31036"/>
    <cellStyle name="Normal 2 2 2 6 2 4 3" xfId="27955"/>
    <cellStyle name="Normal 2 2 2 6 2 4 3 2" xfId="39375"/>
    <cellStyle name="Normal 2 2 2 6 2 5" xfId="9124"/>
    <cellStyle name="Normal 2 2 2 6 2 5 2" xfId="36255"/>
    <cellStyle name="Normal 2 2 2 6 2 5 2 2" xfId="44514"/>
    <cellStyle name="Normal 2 2 2 6 2 6" xfId="22628"/>
    <cellStyle name="Normal 2 2 2 6 3" xfId="1520"/>
    <cellStyle name="Normal 2 2 2 6 3 2" xfId="2368"/>
    <cellStyle name="Normal 2 2 2 6 3 2 2" xfId="6809"/>
    <cellStyle name="Normal 2 2 2 6 3 2 2 2" xfId="7601"/>
    <cellStyle name="Normal 2 2 2 6 3 2 2 2 2" xfId="20362"/>
    <cellStyle name="Normal 2 2 2 6 3 2 2 2 2 2" xfId="21153"/>
    <cellStyle name="Normal 2 2 2 6 3 2 2 2 2 2 2" xfId="55688"/>
    <cellStyle name="Normal 2 2 2 6 3 2 2 2 2 2 2 2" xfId="56479"/>
    <cellStyle name="Normal 2 2 2 6 3 2 2 2 2 3" xfId="34656"/>
    <cellStyle name="Normal 2 2 2 6 3 2 2 2 3" xfId="33864"/>
    <cellStyle name="Normal 2 2 2 6 3 2 2 2 3 2" xfId="43028"/>
    <cellStyle name="Normal 2 2 2 6 3 2 2 3" xfId="12826"/>
    <cellStyle name="Normal 2 2 2 6 3 2 2 3 2" xfId="42237"/>
    <cellStyle name="Normal 2 2 2 6 3 2 2 3 2 2" xfId="48172"/>
    <cellStyle name="Normal 2 2 2 6 3 2 2 4" xfId="26310"/>
    <cellStyle name="Normal 2 2 2 6 3 2 3" xfId="12033"/>
    <cellStyle name="Normal 2 2 2 6 3 2 3 2" xfId="16031"/>
    <cellStyle name="Normal 2 2 2 6 3 2 3 2 2" xfId="47380"/>
    <cellStyle name="Normal 2 2 2 6 3 2 3 2 2 2" xfId="51363"/>
    <cellStyle name="Normal 2 2 2 6 3 2 3 3" xfId="29537"/>
    <cellStyle name="Normal 2 2 2 6 3 2 4" xfId="25517"/>
    <cellStyle name="Normal 2 2 2 6 3 2 4 2" xfId="37846"/>
    <cellStyle name="Normal 2 2 2 6 3 3" xfId="4400"/>
    <cellStyle name="Normal 2 2 2 6 3 3 2" xfId="15202"/>
    <cellStyle name="Normal 2 2 2 6 3 3 2 2" xfId="17991"/>
    <cellStyle name="Normal 2 2 2 6 3 3 2 2 2" xfId="50540"/>
    <cellStyle name="Normal 2 2 2 6 3 3 2 2 2 2" xfId="53317"/>
    <cellStyle name="Normal 2 2 2 6 3 3 2 3" xfId="31492"/>
    <cellStyle name="Normal 2 2 2 6 3 3 3" xfId="28714"/>
    <cellStyle name="Normal 2 2 2 6 3 3 3 2" xfId="39842"/>
    <cellStyle name="Normal 2 2 2 6 3 4" xfId="9603"/>
    <cellStyle name="Normal 2 2 2 6 3 4 2" xfId="37012"/>
    <cellStyle name="Normal 2 2 2 6 3 4 2 2" xfId="44983"/>
    <cellStyle name="Normal 2 2 2 6 3 5" xfId="23104"/>
    <cellStyle name="Normal 2 2 2 6 4" xfId="3521"/>
    <cellStyle name="Normal 2 2 2 6 4 2" xfId="5609"/>
    <cellStyle name="Normal 2 2 2 6 4 2 2" xfId="17174"/>
    <cellStyle name="Normal 2 2 2 6 4 2 2 2" xfId="19181"/>
    <cellStyle name="Normal 2 2 2 6 4 2 2 2 2" xfId="52501"/>
    <cellStyle name="Normal 2 2 2 6 4 2 2 2 2 2" xfId="54507"/>
    <cellStyle name="Normal 2 2 2 6 4 2 2 3" xfId="32682"/>
    <cellStyle name="Normal 2 2 2 6 4 2 3" xfId="30675"/>
    <cellStyle name="Normal 2 2 2 6 4 2 3 2" xfId="41045"/>
    <cellStyle name="Normal 2 2 2 6 4 3" xfId="10823"/>
    <cellStyle name="Normal 2 2 2 6 4 3 2" xfId="38987"/>
    <cellStyle name="Normal 2 2 2 6 4 3 2 2" xfId="46185"/>
    <cellStyle name="Normal 2 2 2 6 4 4" xfId="24315"/>
    <cellStyle name="Normal 2 2 2 6 5" xfId="8715"/>
    <cellStyle name="Normal 2 2 2 6 5 2" xfId="13993"/>
    <cellStyle name="Normal 2 2 2 6 5 2 2" xfId="44142"/>
    <cellStyle name="Normal 2 2 2 6 5 2 2 2" xfId="49339"/>
    <cellStyle name="Normal 2 2 2 6 5 3" xfId="27485"/>
    <cellStyle name="Normal 2 2 2 6 6" xfId="22246"/>
    <cellStyle name="Normal 2 2 2 6 6 2" xfId="35805"/>
    <cellStyle name="Normal 2 2 2 7" xfId="579"/>
    <cellStyle name="Normal 2 2 2 7 2" xfId="1625"/>
    <cellStyle name="Normal 2 2 2 7 2 2" xfId="2669"/>
    <cellStyle name="Normal 2 2 2 7 2 2 2" xfId="6893"/>
    <cellStyle name="Normal 2 2 2 7 2 2 2 2" xfId="7888"/>
    <cellStyle name="Normal 2 2 2 7 2 2 2 2 2" xfId="20446"/>
    <cellStyle name="Normal 2 2 2 7 2 2 2 2 2 2" xfId="21440"/>
    <cellStyle name="Normal 2 2 2 7 2 2 2 2 2 2 2" xfId="55772"/>
    <cellStyle name="Normal 2 2 2 7 2 2 2 2 2 2 2 2" xfId="56766"/>
    <cellStyle name="Normal 2 2 2 7 2 2 2 2 2 3" xfId="34943"/>
    <cellStyle name="Normal 2 2 2 7 2 2 2 2 3" xfId="33948"/>
    <cellStyle name="Normal 2 2 2 7 2 2 2 2 3 2" xfId="43315"/>
    <cellStyle name="Normal 2 2 2 7 2 2 2 3" xfId="13113"/>
    <cellStyle name="Normal 2 2 2 7 2 2 2 3 2" xfId="42321"/>
    <cellStyle name="Normal 2 2 2 7 2 2 2 3 2 2" xfId="48459"/>
    <cellStyle name="Normal 2 2 2 7 2 2 2 4" xfId="26597"/>
    <cellStyle name="Normal 2 2 2 7 2 2 3" xfId="12117"/>
    <cellStyle name="Normal 2 2 2 7 2 2 3 2" xfId="16328"/>
    <cellStyle name="Normal 2 2 2 7 2 2 3 2 2" xfId="47464"/>
    <cellStyle name="Normal 2 2 2 7 2 2 3 2 2 2" xfId="51658"/>
    <cellStyle name="Normal 2 2 2 7 2 2 3 3" xfId="29832"/>
    <cellStyle name="Normal 2 2 2 7 2 2 4" xfId="25602"/>
    <cellStyle name="Normal 2 2 2 7 2 2 4 2" xfId="38142"/>
    <cellStyle name="Normal 2 2 2 7 2 3" xfId="4705"/>
    <cellStyle name="Normal 2 2 2 7 2 3 2" xfId="15300"/>
    <cellStyle name="Normal 2 2 2 7 2 3 2 2" xfId="18282"/>
    <cellStyle name="Normal 2 2 2 7 2 3 2 2 2" xfId="50635"/>
    <cellStyle name="Normal 2 2 2 7 2 3 2 2 2 2" xfId="53608"/>
    <cellStyle name="Normal 2 2 2 7 2 3 2 3" xfId="31783"/>
    <cellStyle name="Normal 2 2 2 7 2 3 3" xfId="28809"/>
    <cellStyle name="Normal 2 2 2 7 2 3 3 2" xfId="40143"/>
    <cellStyle name="Normal 2 2 2 7 2 4" xfId="9908"/>
    <cellStyle name="Normal 2 2 2 7 2 4 2" xfId="37111"/>
    <cellStyle name="Normal 2 2 2 7 2 4 2 2" xfId="45275"/>
    <cellStyle name="Normal 2 2 2 7 2 5" xfId="23398"/>
    <cellStyle name="Normal 2 2 2 7 3" xfId="3629"/>
    <cellStyle name="Normal 2 2 2 7 3 2" xfId="5910"/>
    <cellStyle name="Normal 2 2 2 7 3 2 2" xfId="17261"/>
    <cellStyle name="Normal 2 2 2 7 3 2 2 2" xfId="19477"/>
    <cellStyle name="Normal 2 2 2 7 3 2 2 2 2" xfId="52588"/>
    <cellStyle name="Normal 2 2 2 7 3 2 2 2 2 2" xfId="54803"/>
    <cellStyle name="Normal 2 2 2 7 3 2 2 3" xfId="32978"/>
    <cellStyle name="Normal 2 2 2 7 3 2 3" xfId="30762"/>
    <cellStyle name="Normal 2 2 2 7 3 2 3 2" xfId="41344"/>
    <cellStyle name="Normal 2 2 2 7 3 3" xfId="11135"/>
    <cellStyle name="Normal 2 2 2 7 3 3 2" xfId="39084"/>
    <cellStyle name="Normal 2 2 2 7 3 3 2 2" xfId="46493"/>
    <cellStyle name="Normal 2 2 2 7 3 4" xfId="24628"/>
    <cellStyle name="Normal 2 2 2 7 4" xfId="8825"/>
    <cellStyle name="Normal 2 2 2 7 4 2" xfId="14294"/>
    <cellStyle name="Normal 2 2 2 7 4 2 2" xfId="44233"/>
    <cellStyle name="Normal 2 2 2 7 4 2 2 2" xfId="49639"/>
    <cellStyle name="Normal 2 2 2 7 4 3" xfId="27804"/>
    <cellStyle name="Normal 2 2 2 7 5" xfId="22341"/>
    <cellStyle name="Normal 2 2 2 7 5 2" xfId="36106"/>
    <cellStyle name="Normal 2 2 2 8" xfId="1082"/>
    <cellStyle name="Normal 2 2 2 8 2" xfId="4316"/>
    <cellStyle name="Normal 2 2 2 8 2 2" xfId="6392"/>
    <cellStyle name="Normal 2 2 2 8 2 2 2" xfId="17909"/>
    <cellStyle name="Normal 2 2 2 8 2 2 2 2" xfId="19948"/>
    <cellStyle name="Normal 2 2 2 8 2 2 2 2 2" xfId="53236"/>
    <cellStyle name="Normal 2 2 2 8 2 2 2 2 2 2" xfId="55274"/>
    <cellStyle name="Normal 2 2 2 8 2 2 2 3" xfId="33450"/>
    <cellStyle name="Normal 2 2 2 8 2 2 3" xfId="31411"/>
    <cellStyle name="Normal 2 2 2 8 2 2 3 2" xfId="41821"/>
    <cellStyle name="Normal 2 2 2 8 2 3" xfId="11617"/>
    <cellStyle name="Normal 2 2 2 8 2 3 2" xfId="39759"/>
    <cellStyle name="Normal 2 2 2 8 2 3 2 2" xfId="46966"/>
    <cellStyle name="Normal 2 2 2 8 2 4" xfId="25103"/>
    <cellStyle name="Normal 2 2 2 8 3" xfId="9510"/>
    <cellStyle name="Normal 2 2 2 8 3 2" xfId="14774"/>
    <cellStyle name="Normal 2 2 2 8 3 2 2" xfId="44892"/>
    <cellStyle name="Normal 2 2 2 8 3 2 2 2" xfId="50113"/>
    <cellStyle name="Normal 2 2 2 8 3 3" xfId="28286"/>
    <cellStyle name="Normal 2 2 2 8 4" xfId="23008"/>
    <cellStyle name="Normal 2 2 2 8 4 2" xfId="36582"/>
    <cellStyle name="Normal 2 2 2 9" xfId="1479"/>
    <cellStyle name="Normal 2 2 2 9 2" xfId="9012"/>
    <cellStyle name="Normal 2 2 2 9 2 2" xfId="15165"/>
    <cellStyle name="Normal 2 2 2 9 2 2 2" xfId="44410"/>
    <cellStyle name="Normal 2 2 2 9 2 2 2 2" xfId="50503"/>
    <cellStyle name="Normal 2 2 2 9 2 3" xfId="28677"/>
    <cellStyle name="Normal 2 2 2 9 3" xfId="22521"/>
    <cellStyle name="Normal 2 2 2 9 3 2" xfId="36975"/>
    <cellStyle name="Normal 2 2 3" xfId="70"/>
    <cellStyle name="Normal 2 2 3 10" xfId="15375"/>
    <cellStyle name="Normal 2 2 3 2" xfId="87"/>
    <cellStyle name="Normal 2 2 3 2 2" xfId="165"/>
    <cellStyle name="Normal 2 2 3 2 2 2" xfId="180"/>
    <cellStyle name="Normal 2 2 3 2 2 2 2" xfId="324"/>
    <cellStyle name="Normal 2 2 3 2 2 2 2 2" xfId="329"/>
    <cellStyle name="Normal 2 2 3 2 2 2 2 2 2" xfId="653"/>
    <cellStyle name="Normal 2 2 3 2 2 2 2 2 2 2" xfId="658"/>
    <cellStyle name="Normal 2 2 3 2 2 2 2 2 2 2 2" xfId="1449"/>
    <cellStyle name="Normal 2 2 3 2 2 2 2 2 2 2 2 2" xfId="1454"/>
    <cellStyle name="Normal 2 2 3 2 2 2 2 2 2 2 2 2 2" xfId="3467"/>
    <cellStyle name="Normal 2 2 3 2 2 2 2 2 2 2 2 2 2 2" xfId="3472"/>
    <cellStyle name="Normal 2 2 3 2 2 2 2 2 2 2 2 2 2 2 2" xfId="8682"/>
    <cellStyle name="Normal 2 2 3 2 2 2 2 2 2 2 2 2 2 2 2 2" xfId="8687"/>
    <cellStyle name="Normal 2 2 3 2 2 2 2 2 2 2 2 2 2 2 2 2 2" xfId="22234"/>
    <cellStyle name="Normal 2 2 3 2 2 2 2 2 2 2 2 2 2 2 2 2 2 2" xfId="22239"/>
    <cellStyle name="Normal 2 2 3 2 2 2 2 2 2 2 2 2 2 2 2 2 2 2 2" xfId="57560"/>
    <cellStyle name="Normal 2 2 3 2 2 2 2 2 2 2 2 2 2 2 2 2 2 2 2 2" xfId="57565"/>
    <cellStyle name="Normal 2 2 3 2 2 2 2 2 2 2 2 2 2 2 2 2 2 3" xfId="35742"/>
    <cellStyle name="Normal 2 2 3 2 2 2 2 2 2 2 2 2 2 2 2 2 3" xfId="35737"/>
    <cellStyle name="Normal 2 2 3 2 2 2 2 2 2 2 2 2 2 2 2 2 3 2" xfId="44114"/>
    <cellStyle name="Normal 2 2 3 2 2 2 2 2 2 2 2 2 2 2 2 3" xfId="13912"/>
    <cellStyle name="Normal 2 2 3 2 2 2 2 2 2 2 2 2 2 2 2 3 2" xfId="44109"/>
    <cellStyle name="Normal 2 2 3 2 2 2 2 2 2 2 2 2 2 2 2 3 2 2" xfId="49258"/>
    <cellStyle name="Normal 2 2 3 2 2 2 2 2 2 2 2 2 2 2 2 4" xfId="27397"/>
    <cellStyle name="Normal 2 2 3 2 2 2 2 2 2 2 2 2 2 2 3" xfId="13907"/>
    <cellStyle name="Normal 2 2 3 2 2 2 2 2 2 2 2 2 2 2 3 2" xfId="17129"/>
    <cellStyle name="Normal 2 2 3 2 2 2 2 2 2 2 2 2 2 2 3 2 2" xfId="49253"/>
    <cellStyle name="Normal 2 2 3 2 2 2 2 2 2 2 2 2 2 2 3 2 2 2" xfId="52457"/>
    <cellStyle name="Normal 2 2 3 2 2 2 2 2 2 2 2 2 2 2 3 3" xfId="30631"/>
    <cellStyle name="Normal 2 2 3 2 2 2 2 2 2 2 2 2 2 2 4" xfId="27392"/>
    <cellStyle name="Normal 2 2 3 2 2 2 2 2 2 2 2 2 2 2 4 2" xfId="38941"/>
    <cellStyle name="Normal 2 2 3 2 2 2 2 2 2 2 2 2 2 3" xfId="5509"/>
    <cellStyle name="Normal 2 2 3 2 2 2 2 2 2 2 2 2 2 3 2" xfId="17124"/>
    <cellStyle name="Normal 2 2 3 2 2 2 2 2 2 2 2 2 2 3 2 2" xfId="19082"/>
    <cellStyle name="Normal 2 2 3 2 2 2 2 2 2 2 2 2 2 3 2 2 2" xfId="52452"/>
    <cellStyle name="Normal 2 2 3 2 2 2 2 2 2 2 2 2 2 3 2 2 2 2" xfId="54408"/>
    <cellStyle name="Normal 2 2 3 2 2 2 2 2 2 2 2 2 2 3 2 3" xfId="32583"/>
    <cellStyle name="Normal 2 2 3 2 2 2 2 2 2 2 2 2 2 3 3" xfId="30626"/>
    <cellStyle name="Normal 2 2 3 2 2 2 2 2 2 2 2 2 2 3 3 2" xfId="40946"/>
    <cellStyle name="Normal 2 2 3 2 2 2 2 2 2 2 2 2 2 4" xfId="10712"/>
    <cellStyle name="Normal 2 2 3 2 2 2 2 2 2 2 2 2 2 4 2" xfId="38936"/>
    <cellStyle name="Normal 2 2 3 2 2 2 2 2 2 2 2 2 2 4 2 2" xfId="46075"/>
    <cellStyle name="Normal 2 2 3 2 2 2 2 2 2 2 2 2 2 5" xfId="24198"/>
    <cellStyle name="Normal 2 2 3 2 2 2 2 2 2 2 2 2 3" xfId="5504"/>
    <cellStyle name="Normal 2 2 3 2 2 2 2 2 2 2 2 2 3 2" xfId="6762"/>
    <cellStyle name="Normal 2 2 3 2 2 2 2 2 2 2 2 2 3 2 2" xfId="19077"/>
    <cellStyle name="Normal 2 2 3 2 2 2 2 2 2 2 2 2 3 2 2 2" xfId="20315"/>
    <cellStyle name="Normal 2 2 3 2 2 2 2 2 2 2 2 2 3 2 2 2 2" xfId="54403"/>
    <cellStyle name="Normal 2 2 3 2 2 2 2 2 2 2 2 2 3 2 2 2 2 2" xfId="55641"/>
    <cellStyle name="Normal 2 2 3 2 2 2 2 2 2 2 2 2 3 2 2 3" xfId="33817"/>
    <cellStyle name="Normal 2 2 3 2 2 2 2 2 2 2 2 2 3 2 3" xfId="32578"/>
    <cellStyle name="Normal 2 2 3 2 2 2 2 2 2 2 2 2 3 2 3 2" xfId="42190"/>
    <cellStyle name="Normal 2 2 3 2 2 2 2 2 2 2 2 2 3 3" xfId="11985"/>
    <cellStyle name="Normal 2 2 3 2 2 2 2 2 2 2 2 2 3 3 2" xfId="40941"/>
    <cellStyle name="Normal 2 2 3 2 2 2 2 2 2 2 2 2 3 3 2 2" xfId="47333"/>
    <cellStyle name="Normal 2 2 3 2 2 2 2 2 2 2 2 2 3 4" xfId="25470"/>
    <cellStyle name="Normal 2 2 3 2 2 2 2 2 2 2 2 2 4" xfId="10707"/>
    <cellStyle name="Normal 2 2 3 2 2 2 2 2 2 2 2 2 4 2" xfId="15143"/>
    <cellStyle name="Normal 2 2 3 2 2 2 2 2 2 2 2 2 4 2 2" xfId="46070"/>
    <cellStyle name="Normal 2 2 3 2 2 2 2 2 2 2 2 2 4 2 2 2" xfId="50482"/>
    <cellStyle name="Normal 2 2 3 2 2 2 2 2 2 2 2 2 4 3" xfId="28656"/>
    <cellStyle name="Normal 2 2 3 2 2 2 2 2 2 2 2 2 5" xfId="24193"/>
    <cellStyle name="Normal 2 2 3 2 2 2 2 2 2 2 2 2 5 2" xfId="36951"/>
    <cellStyle name="Normal 2 2 3 2 2 2 2 2 2 2 2 3" xfId="2261"/>
    <cellStyle name="Normal 2 2 3 2 2 2 2 2 2 2 2 3 2" xfId="6757"/>
    <cellStyle name="Normal 2 2 3 2 2 2 2 2 2 2 2 3 2 2" xfId="7495"/>
    <cellStyle name="Normal 2 2 3 2 2 2 2 2 2 2 2 3 2 2 2" xfId="20310"/>
    <cellStyle name="Normal 2 2 3 2 2 2 2 2 2 2 2 3 2 2 2 2" xfId="21047"/>
    <cellStyle name="Normal 2 2 3 2 2 2 2 2 2 2 2 3 2 2 2 2 2" xfId="55636"/>
    <cellStyle name="Normal 2 2 3 2 2 2 2 2 2 2 2 3 2 2 2 2 2 2" xfId="56373"/>
    <cellStyle name="Normal 2 2 3 2 2 2 2 2 2 2 2 3 2 2 2 3" xfId="34550"/>
    <cellStyle name="Normal 2 2 3 2 2 2 2 2 2 2 2 3 2 2 3" xfId="33812"/>
    <cellStyle name="Normal 2 2 3 2 2 2 2 2 2 2 2 3 2 2 3 2" xfId="42922"/>
    <cellStyle name="Normal 2 2 3 2 2 2 2 2 2 2 2 3 2 3" xfId="12720"/>
    <cellStyle name="Normal 2 2 3 2 2 2 2 2 2 2 2 3 2 3 2" xfId="42185"/>
    <cellStyle name="Normal 2 2 3 2 2 2 2 2 2 2 2 3 2 3 2 2" xfId="48066"/>
    <cellStyle name="Normal 2 2 3 2 2 2 2 2 2 2 2 3 2 4" xfId="26204"/>
    <cellStyle name="Normal 2 2 3 2 2 2 2 2 2 2 2 3 3" xfId="11980"/>
    <cellStyle name="Normal 2 2 3 2 2 2 2 2 2 2 2 3 3 2" xfId="15925"/>
    <cellStyle name="Normal 2 2 3 2 2 2 2 2 2 2 2 3 3 2 2" xfId="47328"/>
    <cellStyle name="Normal 2 2 3 2 2 2 2 2 2 2 2 3 3 2 2 2" xfId="51257"/>
    <cellStyle name="Normal 2 2 3 2 2 2 2 2 2 2 2 3 3 3" xfId="29431"/>
    <cellStyle name="Normal 2 2 3 2 2 2 2 2 2 2 2 3 4" xfId="25465"/>
    <cellStyle name="Normal 2 2 3 2 2 2 2 2 2 2 2 3 4 2" xfId="37739"/>
    <cellStyle name="Normal 2 2 3 2 2 2 2 2 2 2 2 4" xfId="4277"/>
    <cellStyle name="Normal 2 2 3 2 2 2 2 2 2 2 2 4 2" xfId="15138"/>
    <cellStyle name="Normal 2 2 3 2 2 2 2 2 2 2 2 4 2 2" xfId="17870"/>
    <cellStyle name="Normal 2 2 3 2 2 2 2 2 2 2 2 4 2 2 2" xfId="50477"/>
    <cellStyle name="Normal 2 2 3 2 2 2 2 2 2 2 2 4 2 2 2 2" xfId="53197"/>
    <cellStyle name="Normal 2 2 3 2 2 2 2 2 2 2 2 4 2 3" xfId="31372"/>
    <cellStyle name="Normal 2 2 3 2 2 2 2 2 2 2 2 4 3" xfId="28651"/>
    <cellStyle name="Normal 2 2 3 2 2 2 2 2 2 2 2 4 3 2" xfId="39720"/>
    <cellStyle name="Normal 2 2 3 2 2 2 2 2 2 2 2 5" xfId="9468"/>
    <cellStyle name="Normal 2 2 3 2 2 2 2 2 2 2 2 5 2" xfId="36946"/>
    <cellStyle name="Normal 2 2 3 2 2 2 2 2 2 2 2 5 2 2" xfId="44850"/>
    <cellStyle name="Normal 2 2 3 2 2 2 2 2 2 2 2 6" xfId="22964"/>
    <cellStyle name="Normal 2 2 3 2 2 2 2 2 2 2 3" xfId="2256"/>
    <cellStyle name="Normal 2 2 3 2 2 2 2 2 2 2 3 2" xfId="2748"/>
    <cellStyle name="Normal 2 2 3 2 2 2 2 2 2 2 3 2 2" xfId="7490"/>
    <cellStyle name="Normal 2 2 3 2 2 2 2 2 2 2 3 2 2 2" xfId="7967"/>
    <cellStyle name="Normal 2 2 3 2 2 2 2 2 2 2 3 2 2 2 2" xfId="21042"/>
    <cellStyle name="Normal 2 2 3 2 2 2 2 2 2 2 3 2 2 2 2 2" xfId="21519"/>
    <cellStyle name="Normal 2 2 3 2 2 2 2 2 2 2 3 2 2 2 2 2 2" xfId="56368"/>
    <cellStyle name="Normal 2 2 3 2 2 2 2 2 2 2 3 2 2 2 2 2 2 2" xfId="56845"/>
    <cellStyle name="Normal 2 2 3 2 2 2 2 2 2 2 3 2 2 2 2 3" xfId="35022"/>
    <cellStyle name="Normal 2 2 3 2 2 2 2 2 2 2 3 2 2 2 3" xfId="34545"/>
    <cellStyle name="Normal 2 2 3 2 2 2 2 2 2 2 3 2 2 2 3 2" xfId="43394"/>
    <cellStyle name="Normal 2 2 3 2 2 2 2 2 2 2 3 2 2 3" xfId="13192"/>
    <cellStyle name="Normal 2 2 3 2 2 2 2 2 2 2 3 2 2 3 2" xfId="42917"/>
    <cellStyle name="Normal 2 2 3 2 2 2 2 2 2 2 3 2 2 3 2 2" xfId="48538"/>
    <cellStyle name="Normal 2 2 3 2 2 2 2 2 2 2 3 2 2 4" xfId="26676"/>
    <cellStyle name="Normal 2 2 3 2 2 2 2 2 2 2 3 2 3" xfId="12715"/>
    <cellStyle name="Normal 2 2 3 2 2 2 2 2 2 2 3 2 3 2" xfId="16407"/>
    <cellStyle name="Normal 2 2 3 2 2 2 2 2 2 2 3 2 3 2 2" xfId="48061"/>
    <cellStyle name="Normal 2 2 3 2 2 2 2 2 2 2 3 2 3 2 2 2" xfId="51737"/>
    <cellStyle name="Normal 2 2 3 2 2 2 2 2 2 2 3 2 3 3" xfId="29911"/>
    <cellStyle name="Normal 2 2 3 2 2 2 2 2 2 2 3 2 4" xfId="26199"/>
    <cellStyle name="Normal 2 2 3 2 2 2 2 2 2 2 3 2 4 2" xfId="38221"/>
    <cellStyle name="Normal 2 2 3 2 2 2 2 2 2 2 3 3" xfId="4784"/>
    <cellStyle name="Normal 2 2 3 2 2 2 2 2 2 2 3 3 2" xfId="15920"/>
    <cellStyle name="Normal 2 2 3 2 2 2 2 2 2 2 3 3 2 2" xfId="18361"/>
    <cellStyle name="Normal 2 2 3 2 2 2 2 2 2 2 3 3 2 2 2" xfId="51252"/>
    <cellStyle name="Normal 2 2 3 2 2 2 2 2 2 2 3 3 2 2 2 2" xfId="53687"/>
    <cellStyle name="Normal 2 2 3 2 2 2 2 2 2 2 3 3 2 3" xfId="31862"/>
    <cellStyle name="Normal 2 2 3 2 2 2 2 2 2 2 3 3 3" xfId="29426"/>
    <cellStyle name="Normal 2 2 3 2 2 2 2 2 2 2 3 3 3 2" xfId="40222"/>
    <cellStyle name="Normal 2 2 3 2 2 2 2 2 2 2 3 4" xfId="9987"/>
    <cellStyle name="Normal 2 2 3 2 2 2 2 2 2 2 3 4 2" xfId="37734"/>
    <cellStyle name="Normal 2 2 3 2 2 2 2 2 2 2 3 4 2 2" xfId="45354"/>
    <cellStyle name="Normal 2 2 3 2 2 2 2 2 2 2 3 5" xfId="23477"/>
    <cellStyle name="Normal 2 2 3 2 2 2 2 2 2 2 4" xfId="4272"/>
    <cellStyle name="Normal 2 2 3 2 2 2 2 2 2 2 4 2" xfId="5989"/>
    <cellStyle name="Normal 2 2 3 2 2 2 2 2 2 2 4 2 2" xfId="17865"/>
    <cellStyle name="Normal 2 2 3 2 2 2 2 2 2 2 4 2 2 2" xfId="19556"/>
    <cellStyle name="Normal 2 2 3 2 2 2 2 2 2 2 4 2 2 2 2" xfId="53192"/>
    <cellStyle name="Normal 2 2 3 2 2 2 2 2 2 2 4 2 2 2 2 2" xfId="54882"/>
    <cellStyle name="Normal 2 2 3 2 2 2 2 2 2 2 4 2 2 3" xfId="33057"/>
    <cellStyle name="Normal 2 2 3 2 2 2 2 2 2 2 4 2 3" xfId="31367"/>
    <cellStyle name="Normal 2 2 3 2 2 2 2 2 2 2 4 2 3 2" xfId="41423"/>
    <cellStyle name="Normal 2 2 3 2 2 2 2 2 2 2 4 3" xfId="11214"/>
    <cellStyle name="Normal 2 2 3 2 2 2 2 2 2 2 4 3 2" xfId="39715"/>
    <cellStyle name="Normal 2 2 3 2 2 2 2 2 2 2 4 3 2 2" xfId="46572"/>
    <cellStyle name="Normal 2 2 3 2 2 2 2 2 2 2 4 4" xfId="24707"/>
    <cellStyle name="Normal 2 2 3 2 2 2 2 2 2 2 5" xfId="9463"/>
    <cellStyle name="Normal 2 2 3 2 2 2 2 2 2 2 5 2" xfId="14373"/>
    <cellStyle name="Normal 2 2 3 2 2 2 2 2 2 2 5 2 2" xfId="44845"/>
    <cellStyle name="Normal 2 2 3 2 2 2 2 2 2 2 5 2 2 2" xfId="49718"/>
    <cellStyle name="Normal 2 2 3 2 2 2 2 2 2 2 5 3" xfId="27883"/>
    <cellStyle name="Normal 2 2 3 2 2 2 2 2 2 2 6" xfId="22959"/>
    <cellStyle name="Normal 2 2 3 2 2 2 2 2 2 2 6 2" xfId="36185"/>
    <cellStyle name="Normal 2 2 3 2 2 2 2 2 2 3" xfId="986"/>
    <cellStyle name="Normal 2 2 3 2 2 2 2 2 2 3 2" xfId="2743"/>
    <cellStyle name="Normal 2 2 3 2 2 2 2 2 2 3 2 2" xfId="3024"/>
    <cellStyle name="Normal 2 2 3 2 2 2 2 2 2 3 2 2 2" xfId="7962"/>
    <cellStyle name="Normal 2 2 3 2 2 2 2 2 2 3 2 2 2 2" xfId="8239"/>
    <cellStyle name="Normal 2 2 3 2 2 2 2 2 2 3 2 2 2 2 2" xfId="21514"/>
    <cellStyle name="Normal 2 2 3 2 2 2 2 2 2 3 2 2 2 2 2 2" xfId="21791"/>
    <cellStyle name="Normal 2 2 3 2 2 2 2 2 2 3 2 2 2 2 2 2 2" xfId="56840"/>
    <cellStyle name="Normal 2 2 3 2 2 2 2 2 2 3 2 2 2 2 2 2 2 2" xfId="57117"/>
    <cellStyle name="Normal 2 2 3 2 2 2 2 2 2 3 2 2 2 2 2 3" xfId="35294"/>
    <cellStyle name="Normal 2 2 3 2 2 2 2 2 2 3 2 2 2 2 3" xfId="35017"/>
    <cellStyle name="Normal 2 2 3 2 2 2 2 2 2 3 2 2 2 2 3 2" xfId="43666"/>
    <cellStyle name="Normal 2 2 3 2 2 2 2 2 2 3 2 2 2 3" xfId="13464"/>
    <cellStyle name="Normal 2 2 3 2 2 2 2 2 2 3 2 2 2 3 2" xfId="43389"/>
    <cellStyle name="Normal 2 2 3 2 2 2 2 2 2 3 2 2 2 3 2 2" xfId="48810"/>
    <cellStyle name="Normal 2 2 3 2 2 2 2 2 2 3 2 2 2 4" xfId="26949"/>
    <cellStyle name="Normal 2 2 3 2 2 2 2 2 2 3 2 2 3" xfId="13187"/>
    <cellStyle name="Normal 2 2 3 2 2 2 2 2 2 3 2 2 3 2" xfId="16681"/>
    <cellStyle name="Normal 2 2 3 2 2 2 2 2 2 3 2 2 3 2 2" xfId="48533"/>
    <cellStyle name="Normal 2 2 3 2 2 2 2 2 2 3 2 2 3 2 2 2" xfId="52009"/>
    <cellStyle name="Normal 2 2 3 2 2 2 2 2 2 3 2 2 3 3" xfId="30183"/>
    <cellStyle name="Normal 2 2 3 2 2 2 2 2 2 3 2 2 4" xfId="26671"/>
    <cellStyle name="Normal 2 2 3 2 2 2 2 2 2 3 2 2 4 2" xfId="38493"/>
    <cellStyle name="Normal 2 2 3 2 2 2 2 2 2 3 2 3" xfId="5060"/>
    <cellStyle name="Normal 2 2 3 2 2 2 2 2 2 3 2 3 2" xfId="16402"/>
    <cellStyle name="Normal 2 2 3 2 2 2 2 2 2 3 2 3 2 2" xfId="18633"/>
    <cellStyle name="Normal 2 2 3 2 2 2 2 2 2 3 2 3 2 2 2" xfId="51732"/>
    <cellStyle name="Normal 2 2 3 2 2 2 2 2 2 3 2 3 2 2 2 2" xfId="53959"/>
    <cellStyle name="Normal 2 2 3 2 2 2 2 2 2 3 2 3 2 3" xfId="32134"/>
    <cellStyle name="Normal 2 2 3 2 2 2 2 2 2 3 2 3 3" xfId="29906"/>
    <cellStyle name="Normal 2 2 3 2 2 2 2 2 2 3 2 3 3 2" xfId="40497"/>
    <cellStyle name="Normal 2 2 3 2 2 2 2 2 2 3 2 4" xfId="10263"/>
    <cellStyle name="Normal 2 2 3 2 2 2 2 2 2 3 2 4 2" xfId="38216"/>
    <cellStyle name="Normal 2 2 3 2 2 2 2 2 2 3 2 4 2 2" xfId="45626"/>
    <cellStyle name="Normal 2 2 3 2 2 2 2 2 2 3 2 5" xfId="23749"/>
    <cellStyle name="Normal 2 2 3 2 2 2 2 2 2 3 3" xfId="4779"/>
    <cellStyle name="Normal 2 2 3 2 2 2 2 2 2 3 3 2" xfId="6297"/>
    <cellStyle name="Normal 2 2 3 2 2 2 2 2 2 3 3 2 2" xfId="18356"/>
    <cellStyle name="Normal 2 2 3 2 2 2 2 2 2 3 3 2 2 2" xfId="19854"/>
    <cellStyle name="Normal 2 2 3 2 2 2 2 2 2 3 3 2 2 2 2" xfId="53682"/>
    <cellStyle name="Normal 2 2 3 2 2 2 2 2 2 3 3 2 2 2 2 2" xfId="55180"/>
    <cellStyle name="Normal 2 2 3 2 2 2 2 2 2 3 3 2 2 3" xfId="33356"/>
    <cellStyle name="Normal 2 2 3 2 2 2 2 2 2 3 3 2 3" xfId="31857"/>
    <cellStyle name="Normal 2 2 3 2 2 2 2 2 2 3 3 2 3 2" xfId="41726"/>
    <cellStyle name="Normal 2 2 3 2 2 2 2 2 2 3 3 3" xfId="11522"/>
    <cellStyle name="Normal 2 2 3 2 2 2 2 2 2 3 3 3 2" xfId="40217"/>
    <cellStyle name="Normal 2 2 3 2 2 2 2 2 2 3 3 3 2 2" xfId="46871"/>
    <cellStyle name="Normal 2 2 3 2 2 2 2 2 2 3 3 4" xfId="25008"/>
    <cellStyle name="Normal 2 2 3 2 2 2 2 2 2 3 4" xfId="9982"/>
    <cellStyle name="Normal 2 2 3 2 2 2 2 2 2 3 4 2" xfId="14680"/>
    <cellStyle name="Normal 2 2 3 2 2 2 2 2 2 3 4 2 2" xfId="45349"/>
    <cellStyle name="Normal 2 2 3 2 2 2 2 2 2 3 4 2 2 2" xfId="50019"/>
    <cellStyle name="Normal 2 2 3 2 2 2 2 2 2 3 4 3" xfId="28191"/>
    <cellStyle name="Normal 2 2 3 2 2 2 2 2 2 3 5" xfId="23472"/>
    <cellStyle name="Normal 2 2 3 2 2 2 2 2 2 3 5 2" xfId="36488"/>
    <cellStyle name="Normal 2 2 3 2 2 2 2 2 2 4" xfId="1782"/>
    <cellStyle name="Normal 2 2 3 2 2 2 2 2 2 4 2" xfId="5984"/>
    <cellStyle name="Normal 2 2 3 2 2 2 2 2 2 4 2 2" xfId="7035"/>
    <cellStyle name="Normal 2 2 3 2 2 2 2 2 2 4 2 2 2" xfId="19551"/>
    <cellStyle name="Normal 2 2 3 2 2 2 2 2 2 4 2 2 2 2" xfId="20588"/>
    <cellStyle name="Normal 2 2 3 2 2 2 2 2 2 4 2 2 2 2 2" xfId="54877"/>
    <cellStyle name="Normal 2 2 3 2 2 2 2 2 2 4 2 2 2 2 2 2" xfId="55914"/>
    <cellStyle name="Normal 2 2 3 2 2 2 2 2 2 4 2 2 2 3" xfId="34090"/>
    <cellStyle name="Normal 2 2 3 2 2 2 2 2 2 4 2 2 3" xfId="33052"/>
    <cellStyle name="Normal 2 2 3 2 2 2 2 2 2 4 2 2 3 2" xfId="42463"/>
    <cellStyle name="Normal 2 2 3 2 2 2 2 2 2 4 2 3" xfId="12259"/>
    <cellStyle name="Normal 2 2 3 2 2 2 2 2 2 4 2 3 2" xfId="41418"/>
    <cellStyle name="Normal 2 2 3 2 2 2 2 2 2 4 2 3 2 2" xfId="47606"/>
    <cellStyle name="Normal 2 2 3 2 2 2 2 2 2 4 2 4" xfId="25744"/>
    <cellStyle name="Normal 2 2 3 2 2 2 2 2 2 4 3" xfId="11209"/>
    <cellStyle name="Normal 2 2 3 2 2 2 2 2 2 4 3 2" xfId="15454"/>
    <cellStyle name="Normal 2 2 3 2 2 2 2 2 2 4 3 2 2" xfId="46567"/>
    <cellStyle name="Normal 2 2 3 2 2 2 2 2 2 4 3 2 2 2" xfId="50787"/>
    <cellStyle name="Normal 2 2 3 2 2 2 2 2 2 4 3 3" xfId="28961"/>
    <cellStyle name="Normal 2 2 3 2 2 2 2 2 2 4 4" xfId="24702"/>
    <cellStyle name="Normal 2 2 3 2 2 2 2 2 2 4 4 2" xfId="37264"/>
    <cellStyle name="Normal 2 2 3 2 2 2 2 2 2 5" xfId="3788"/>
    <cellStyle name="Normal 2 2 3 2 2 2 2 2 2 5 2" xfId="14368"/>
    <cellStyle name="Normal 2 2 3 2 2 2 2 2 2 5 2 2" xfId="17404"/>
    <cellStyle name="Normal 2 2 3 2 2 2 2 2 2 5 2 2 2" xfId="49713"/>
    <cellStyle name="Normal 2 2 3 2 2 2 2 2 2 5 2 2 2 2" xfId="52731"/>
    <cellStyle name="Normal 2 2 3 2 2 2 2 2 2 5 2 3" xfId="30905"/>
    <cellStyle name="Normal 2 2 3 2 2 2 2 2 2 5 3" xfId="27878"/>
    <cellStyle name="Normal 2 2 3 2 2 2 2 2 2 5 3 2" xfId="39239"/>
    <cellStyle name="Normal 2 2 3 2 2 2 2 2 2 6" xfId="8978"/>
    <cellStyle name="Normal 2 2 3 2 2 2 2 2 2 6 2" xfId="36180"/>
    <cellStyle name="Normal 2 2 3 2 2 2 2 2 2 6 2 2" xfId="44377"/>
    <cellStyle name="Normal 2 2 3 2 2 2 2 2 2 7" xfId="22485"/>
    <cellStyle name="Normal 2 2 3 2 2 2 2 2 3" xfId="981"/>
    <cellStyle name="Normal 2 2 3 2 2 2 2 2 3 2" xfId="1190"/>
    <cellStyle name="Normal 2 2 3 2 2 2 2 2 3 2 2" xfId="3019"/>
    <cellStyle name="Normal 2 2 3 2 2 2 2 2 3 2 2 2" xfId="3210"/>
    <cellStyle name="Normal 2 2 3 2 2 2 2 2 3 2 2 2 2" xfId="8234"/>
    <cellStyle name="Normal 2 2 3 2 2 2 2 2 3 2 2 2 2 2" xfId="8425"/>
    <cellStyle name="Normal 2 2 3 2 2 2 2 2 3 2 2 2 2 2 2" xfId="21786"/>
    <cellStyle name="Normal 2 2 3 2 2 2 2 2 3 2 2 2 2 2 2 2" xfId="21977"/>
    <cellStyle name="Normal 2 2 3 2 2 2 2 2 3 2 2 2 2 2 2 2 2" xfId="57112"/>
    <cellStyle name="Normal 2 2 3 2 2 2 2 2 3 2 2 2 2 2 2 2 2 2" xfId="57303"/>
    <cellStyle name="Normal 2 2 3 2 2 2 2 2 3 2 2 2 2 2 2 3" xfId="35480"/>
    <cellStyle name="Normal 2 2 3 2 2 2 2 2 3 2 2 2 2 2 3" xfId="35289"/>
    <cellStyle name="Normal 2 2 3 2 2 2 2 2 3 2 2 2 2 2 3 2" xfId="43852"/>
    <cellStyle name="Normal 2 2 3 2 2 2 2 2 3 2 2 2 2 3" xfId="13650"/>
    <cellStyle name="Normal 2 2 3 2 2 2 2 2 3 2 2 2 2 3 2" xfId="43661"/>
    <cellStyle name="Normal 2 2 3 2 2 2 2 2 3 2 2 2 2 3 2 2" xfId="48996"/>
    <cellStyle name="Normal 2 2 3 2 2 2 2 2 3 2 2 2 2 4" xfId="27135"/>
    <cellStyle name="Normal 2 2 3 2 2 2 2 2 3 2 2 2 3" xfId="13459"/>
    <cellStyle name="Normal 2 2 3 2 2 2 2 2 3 2 2 2 3 2" xfId="16867"/>
    <cellStyle name="Normal 2 2 3 2 2 2 2 2 3 2 2 2 3 2 2" xfId="48805"/>
    <cellStyle name="Normal 2 2 3 2 2 2 2 2 3 2 2 2 3 2 2 2" xfId="52195"/>
    <cellStyle name="Normal 2 2 3 2 2 2 2 2 3 2 2 2 3 3" xfId="30369"/>
    <cellStyle name="Normal 2 2 3 2 2 2 2 2 3 2 2 2 4" xfId="26944"/>
    <cellStyle name="Normal 2 2 3 2 2 2 2 2 3 2 2 2 4 2" xfId="38679"/>
    <cellStyle name="Normal 2 2 3 2 2 2 2 2 3 2 2 3" xfId="5247"/>
    <cellStyle name="Normal 2 2 3 2 2 2 2 2 3 2 2 3 2" xfId="16676"/>
    <cellStyle name="Normal 2 2 3 2 2 2 2 2 3 2 2 3 2 2" xfId="18820"/>
    <cellStyle name="Normal 2 2 3 2 2 2 2 2 3 2 2 3 2 2 2" xfId="52004"/>
    <cellStyle name="Normal 2 2 3 2 2 2 2 2 3 2 2 3 2 2 2 2" xfId="54146"/>
    <cellStyle name="Normal 2 2 3 2 2 2 2 2 3 2 2 3 2 3" xfId="32321"/>
    <cellStyle name="Normal 2 2 3 2 2 2 2 2 3 2 2 3 3" xfId="30178"/>
    <cellStyle name="Normal 2 2 3 2 2 2 2 2 3 2 2 3 3 2" xfId="40684"/>
    <cellStyle name="Normal 2 2 3 2 2 2 2 2 3 2 2 4" xfId="10450"/>
    <cellStyle name="Normal 2 2 3 2 2 2 2 2 3 2 2 4 2" xfId="38488"/>
    <cellStyle name="Normal 2 2 3 2 2 2 2 2 3 2 2 4 2 2" xfId="45813"/>
    <cellStyle name="Normal 2 2 3 2 2 2 2 2 3 2 2 5" xfId="23936"/>
    <cellStyle name="Normal 2 2 3 2 2 2 2 2 3 2 3" xfId="5055"/>
    <cellStyle name="Normal 2 2 3 2 2 2 2 2 3 2 3 2" xfId="6498"/>
    <cellStyle name="Normal 2 2 3 2 2 2 2 2 3 2 3 2 2" xfId="18628"/>
    <cellStyle name="Normal 2 2 3 2 2 2 2 2 3 2 3 2 2 2" xfId="20052"/>
    <cellStyle name="Normal 2 2 3 2 2 2 2 2 3 2 3 2 2 2 2" xfId="53954"/>
    <cellStyle name="Normal 2 2 3 2 2 2 2 2 3 2 3 2 2 2 2 2" xfId="55378"/>
    <cellStyle name="Normal 2 2 3 2 2 2 2 2 3 2 3 2 2 3" xfId="33554"/>
    <cellStyle name="Normal 2 2 3 2 2 2 2 2 3 2 3 2 3" xfId="32129"/>
    <cellStyle name="Normal 2 2 3 2 2 2 2 2 3 2 3 2 3 2" xfId="41926"/>
    <cellStyle name="Normal 2 2 3 2 2 2 2 2 3 2 3 3" xfId="11722"/>
    <cellStyle name="Normal 2 2 3 2 2 2 2 2 3 2 3 3 2" xfId="40492"/>
    <cellStyle name="Normal 2 2 3 2 2 2 2 2 3 2 3 3 2 2" xfId="47070"/>
    <cellStyle name="Normal 2 2 3 2 2 2 2 2 3 2 3 4" xfId="25207"/>
    <cellStyle name="Normal 2 2 3 2 2 2 2 2 3 2 4" xfId="10258"/>
    <cellStyle name="Normal 2 2 3 2 2 2 2 2 3 2 4 2" xfId="14880"/>
    <cellStyle name="Normal 2 2 3 2 2 2 2 2 3 2 4 2 2" xfId="45621"/>
    <cellStyle name="Normal 2 2 3 2 2 2 2 2 3 2 4 2 2 2" xfId="50219"/>
    <cellStyle name="Normal 2 2 3 2 2 2 2 2 3 2 4 3" xfId="28393"/>
    <cellStyle name="Normal 2 2 3 2 2 2 2 2 3 2 5" xfId="23744"/>
    <cellStyle name="Normal 2 2 3 2 2 2 2 2 3 2 5 2" xfId="36688"/>
    <cellStyle name="Normal 2 2 3 2 2 2 2 2 3 3" xfId="1998"/>
    <cellStyle name="Normal 2 2 3 2 2 2 2 2 3 3 2" xfId="6292"/>
    <cellStyle name="Normal 2 2 3 2 2 2 2 2 3 3 2 2" xfId="7232"/>
    <cellStyle name="Normal 2 2 3 2 2 2 2 2 3 3 2 2 2" xfId="19849"/>
    <cellStyle name="Normal 2 2 3 2 2 2 2 2 3 3 2 2 2 2" xfId="20784"/>
    <cellStyle name="Normal 2 2 3 2 2 2 2 2 3 3 2 2 2 2 2" xfId="55175"/>
    <cellStyle name="Normal 2 2 3 2 2 2 2 2 3 3 2 2 2 2 2 2" xfId="56110"/>
    <cellStyle name="Normal 2 2 3 2 2 2 2 2 3 3 2 2 2 3" xfId="34287"/>
    <cellStyle name="Normal 2 2 3 2 2 2 2 2 3 3 2 2 3" xfId="33351"/>
    <cellStyle name="Normal 2 2 3 2 2 2 2 2 3 3 2 2 3 2" xfId="42659"/>
    <cellStyle name="Normal 2 2 3 2 2 2 2 2 3 3 2 3" xfId="12457"/>
    <cellStyle name="Normal 2 2 3 2 2 2 2 2 3 3 2 3 2" xfId="41721"/>
    <cellStyle name="Normal 2 2 3 2 2 2 2 2 3 3 2 3 2 2" xfId="47803"/>
    <cellStyle name="Normal 2 2 3 2 2 2 2 2 3 3 2 4" xfId="25941"/>
    <cellStyle name="Normal 2 2 3 2 2 2 2 2 3 3 3" xfId="11517"/>
    <cellStyle name="Normal 2 2 3 2 2 2 2 2 3 3 3 2" xfId="15662"/>
    <cellStyle name="Normal 2 2 3 2 2 2 2 2 3 3 3 2 2" xfId="46866"/>
    <cellStyle name="Normal 2 2 3 2 2 2 2 2 3 3 3 2 2 2" xfId="50994"/>
    <cellStyle name="Normal 2 2 3 2 2 2 2 2 3 3 3 3" xfId="29168"/>
    <cellStyle name="Normal 2 2 3 2 2 2 2 2 3 3 4" xfId="25003"/>
    <cellStyle name="Normal 2 2 3 2 2 2 2 2 3 3 4 2" xfId="37476"/>
    <cellStyle name="Normal 2 2 3 2 2 2 2 2 3 4" xfId="4012"/>
    <cellStyle name="Normal 2 2 3 2 2 2 2 2 3 4 2" xfId="14675"/>
    <cellStyle name="Normal 2 2 3 2 2 2 2 2 3 4 2 2" xfId="17607"/>
    <cellStyle name="Normal 2 2 3 2 2 2 2 2 3 4 2 2 2" xfId="50014"/>
    <cellStyle name="Normal 2 2 3 2 2 2 2 2 3 4 2 2 2 2" xfId="52934"/>
    <cellStyle name="Normal 2 2 3 2 2 2 2 2 3 4 2 3" xfId="31109"/>
    <cellStyle name="Normal 2 2 3 2 2 2 2 2 3 4 3" xfId="28186"/>
    <cellStyle name="Normal 2 2 3 2 2 2 2 2 3 4 3 2" xfId="39456"/>
    <cellStyle name="Normal 2 2 3 2 2 2 2 2 3 5" xfId="9204"/>
    <cellStyle name="Normal 2 2 3 2 2 2 2 2 3 5 2" xfId="36483"/>
    <cellStyle name="Normal 2 2 3 2 2 2 2 2 3 5 2 2" xfId="44587"/>
    <cellStyle name="Normal 2 2 3 2 2 2 2 2 3 6" xfId="22701"/>
    <cellStyle name="Normal 2 2 3 2 2 2 2 2 4" xfId="1777"/>
    <cellStyle name="Normal 2 2 3 2 2 2 2 2 4 2" xfId="2443"/>
    <cellStyle name="Normal 2 2 3 2 2 2 2 2 4 2 2" xfId="7030"/>
    <cellStyle name="Normal 2 2 3 2 2 2 2 2 4 2 2 2" xfId="7675"/>
    <cellStyle name="Normal 2 2 3 2 2 2 2 2 4 2 2 2 2" xfId="20583"/>
    <cellStyle name="Normal 2 2 3 2 2 2 2 2 4 2 2 2 2 2" xfId="21227"/>
    <cellStyle name="Normal 2 2 3 2 2 2 2 2 4 2 2 2 2 2 2" xfId="55909"/>
    <cellStyle name="Normal 2 2 3 2 2 2 2 2 4 2 2 2 2 2 2 2" xfId="56553"/>
    <cellStyle name="Normal 2 2 3 2 2 2 2 2 4 2 2 2 2 3" xfId="34730"/>
    <cellStyle name="Normal 2 2 3 2 2 2 2 2 4 2 2 2 3" xfId="34085"/>
    <cellStyle name="Normal 2 2 3 2 2 2 2 2 4 2 2 2 3 2" xfId="43102"/>
    <cellStyle name="Normal 2 2 3 2 2 2 2 2 4 2 2 3" xfId="12900"/>
    <cellStyle name="Normal 2 2 3 2 2 2 2 2 4 2 2 3 2" xfId="42458"/>
    <cellStyle name="Normal 2 2 3 2 2 2 2 2 4 2 2 3 2 2" xfId="48246"/>
    <cellStyle name="Normal 2 2 3 2 2 2 2 2 4 2 2 4" xfId="26384"/>
    <cellStyle name="Normal 2 2 3 2 2 2 2 2 4 2 3" xfId="12254"/>
    <cellStyle name="Normal 2 2 3 2 2 2 2 2 4 2 3 2" xfId="16106"/>
    <cellStyle name="Normal 2 2 3 2 2 2 2 2 4 2 3 2 2" xfId="47601"/>
    <cellStyle name="Normal 2 2 3 2 2 2 2 2 4 2 3 2 2 2" xfId="51438"/>
    <cellStyle name="Normal 2 2 3 2 2 2 2 2 4 2 3 3" xfId="29612"/>
    <cellStyle name="Normal 2 2 3 2 2 2 2 2 4 2 4" xfId="25739"/>
    <cellStyle name="Normal 2 2 3 2 2 2 2 2 4 2 4 2" xfId="37921"/>
    <cellStyle name="Normal 2 2 3 2 2 2 2 2 4 3" xfId="4478"/>
    <cellStyle name="Normal 2 2 3 2 2 2 2 2 4 3 2" xfId="15449"/>
    <cellStyle name="Normal 2 2 3 2 2 2 2 2 4 3 2 2" xfId="18068"/>
    <cellStyle name="Normal 2 2 3 2 2 2 2 2 4 3 2 2 2" xfId="50782"/>
    <cellStyle name="Normal 2 2 3 2 2 2 2 2 4 3 2 2 2 2" xfId="53394"/>
    <cellStyle name="Normal 2 2 3 2 2 2 2 2 4 3 2 3" xfId="31569"/>
    <cellStyle name="Normal 2 2 3 2 2 2 2 2 4 3 3" xfId="28956"/>
    <cellStyle name="Normal 2 2 3 2 2 2 2 2 4 3 3 2" xfId="39920"/>
    <cellStyle name="Normal 2 2 3 2 2 2 2 2 4 4" xfId="9683"/>
    <cellStyle name="Normal 2 2 3 2 2 2 2 2 4 4 2" xfId="37259"/>
    <cellStyle name="Normal 2 2 3 2 2 2 2 2 4 4 2 2" xfId="45061"/>
    <cellStyle name="Normal 2 2 3 2 2 2 2 2 4 5" xfId="23184"/>
    <cellStyle name="Normal 2 2 3 2 2 2 2 2 5" xfId="3783"/>
    <cellStyle name="Normal 2 2 3 2 2 2 2 2 5 2" xfId="5685"/>
    <cellStyle name="Normal 2 2 3 2 2 2 2 2 5 2 2" xfId="17399"/>
    <cellStyle name="Normal 2 2 3 2 2 2 2 2 5 2 2 2" xfId="19257"/>
    <cellStyle name="Normal 2 2 3 2 2 2 2 2 5 2 2 2 2" xfId="52726"/>
    <cellStyle name="Normal 2 2 3 2 2 2 2 2 5 2 2 2 2 2" xfId="54583"/>
    <cellStyle name="Normal 2 2 3 2 2 2 2 2 5 2 2 3" xfId="32758"/>
    <cellStyle name="Normal 2 2 3 2 2 2 2 2 5 2 3" xfId="30900"/>
    <cellStyle name="Normal 2 2 3 2 2 2 2 2 5 2 3 2" xfId="41121"/>
    <cellStyle name="Normal 2 2 3 2 2 2 2 2 5 3" xfId="10903"/>
    <cellStyle name="Normal 2 2 3 2 2 2 2 2 5 3 2" xfId="39234"/>
    <cellStyle name="Normal 2 2 3 2 2 2 2 2 5 3 2 2" xfId="46265"/>
    <cellStyle name="Normal 2 2 3 2 2 2 2 2 5 4" xfId="24396"/>
    <cellStyle name="Normal 2 2 3 2 2 2 2 2 6" xfId="8973"/>
    <cellStyle name="Normal 2 2 3 2 2 2 2 2 6 2" xfId="14069"/>
    <cellStyle name="Normal 2 2 3 2 2 2 2 2 6 2 2" xfId="44372"/>
    <cellStyle name="Normal 2 2 3 2 2 2 2 2 6 2 2 2" xfId="49415"/>
    <cellStyle name="Normal 2 2 3 2 2 2 2 2 6 3" xfId="27568"/>
    <cellStyle name="Normal 2 2 3 2 2 2 2 2 7" xfId="22480"/>
    <cellStyle name="Normal 2 2 3 2 2 2 2 2 7 2" xfId="35881"/>
    <cellStyle name="Normal 2 2 3 2 2 2 2 3" xfId="475"/>
    <cellStyle name="Normal 2 2 3 2 2 2 2 3 2" xfId="1185"/>
    <cellStyle name="Normal 2 2 3 2 2 2 2 3 2 2" xfId="1290"/>
    <cellStyle name="Normal 2 2 3 2 2 2 2 3 2 2 2" xfId="3205"/>
    <cellStyle name="Normal 2 2 3 2 2 2 2 3 2 2 2 2" xfId="3308"/>
    <cellStyle name="Normal 2 2 3 2 2 2 2 3 2 2 2 2 2" xfId="8420"/>
    <cellStyle name="Normal 2 2 3 2 2 2 2 3 2 2 2 2 2 2" xfId="8523"/>
    <cellStyle name="Normal 2 2 3 2 2 2 2 3 2 2 2 2 2 2 2" xfId="21972"/>
    <cellStyle name="Normal 2 2 3 2 2 2 2 3 2 2 2 2 2 2 2 2" xfId="22075"/>
    <cellStyle name="Normal 2 2 3 2 2 2 2 3 2 2 2 2 2 2 2 2 2" xfId="57298"/>
    <cellStyle name="Normal 2 2 3 2 2 2 2 3 2 2 2 2 2 2 2 2 2 2" xfId="57401"/>
    <cellStyle name="Normal 2 2 3 2 2 2 2 3 2 2 2 2 2 2 2 3" xfId="35578"/>
    <cellStyle name="Normal 2 2 3 2 2 2 2 3 2 2 2 2 2 2 3" xfId="35475"/>
    <cellStyle name="Normal 2 2 3 2 2 2 2 3 2 2 2 2 2 2 3 2" xfId="43950"/>
    <cellStyle name="Normal 2 2 3 2 2 2 2 3 2 2 2 2 2 3" xfId="13748"/>
    <cellStyle name="Normal 2 2 3 2 2 2 2 3 2 2 2 2 2 3 2" xfId="43847"/>
    <cellStyle name="Normal 2 2 3 2 2 2 2 3 2 2 2 2 2 3 2 2" xfId="49094"/>
    <cellStyle name="Normal 2 2 3 2 2 2 2 3 2 2 2 2 2 4" xfId="27233"/>
    <cellStyle name="Normal 2 2 3 2 2 2 2 3 2 2 2 2 3" xfId="13645"/>
    <cellStyle name="Normal 2 2 3 2 2 2 2 3 2 2 2 2 3 2" xfId="16965"/>
    <cellStyle name="Normal 2 2 3 2 2 2 2 3 2 2 2 2 3 2 2" xfId="48991"/>
    <cellStyle name="Normal 2 2 3 2 2 2 2 3 2 2 2 2 3 2 2 2" xfId="52293"/>
    <cellStyle name="Normal 2 2 3 2 2 2 2 3 2 2 2 2 3 3" xfId="30467"/>
    <cellStyle name="Normal 2 2 3 2 2 2 2 3 2 2 2 2 4" xfId="27130"/>
    <cellStyle name="Normal 2 2 3 2 2 2 2 3 2 2 2 2 4 2" xfId="38777"/>
    <cellStyle name="Normal 2 2 3 2 2 2 2 3 2 2 2 3" xfId="5345"/>
    <cellStyle name="Normal 2 2 3 2 2 2 2 3 2 2 2 3 2" xfId="16862"/>
    <cellStyle name="Normal 2 2 3 2 2 2 2 3 2 2 2 3 2 2" xfId="18918"/>
    <cellStyle name="Normal 2 2 3 2 2 2 2 3 2 2 2 3 2 2 2" xfId="52190"/>
    <cellStyle name="Normal 2 2 3 2 2 2 2 3 2 2 2 3 2 2 2 2" xfId="54244"/>
    <cellStyle name="Normal 2 2 3 2 2 2 2 3 2 2 2 3 2 3" xfId="32419"/>
    <cellStyle name="Normal 2 2 3 2 2 2 2 3 2 2 2 3 3" xfId="30364"/>
    <cellStyle name="Normal 2 2 3 2 2 2 2 3 2 2 2 3 3 2" xfId="40782"/>
    <cellStyle name="Normal 2 2 3 2 2 2 2 3 2 2 2 4" xfId="10548"/>
    <cellStyle name="Normal 2 2 3 2 2 2 2 3 2 2 2 4 2" xfId="38674"/>
    <cellStyle name="Normal 2 2 3 2 2 2 2 3 2 2 2 4 2 2" xfId="45911"/>
    <cellStyle name="Normal 2 2 3 2 2 2 2 3 2 2 2 5" xfId="24034"/>
    <cellStyle name="Normal 2 2 3 2 2 2 2 3 2 2 3" xfId="5242"/>
    <cellStyle name="Normal 2 2 3 2 2 2 2 3 2 2 3 2" xfId="6598"/>
    <cellStyle name="Normal 2 2 3 2 2 2 2 3 2 2 3 2 2" xfId="18815"/>
    <cellStyle name="Normal 2 2 3 2 2 2 2 3 2 2 3 2 2 2" xfId="20151"/>
    <cellStyle name="Normal 2 2 3 2 2 2 2 3 2 2 3 2 2 2 2" xfId="54141"/>
    <cellStyle name="Normal 2 2 3 2 2 2 2 3 2 2 3 2 2 2 2 2" xfId="55477"/>
    <cellStyle name="Normal 2 2 3 2 2 2 2 3 2 2 3 2 2 3" xfId="33653"/>
    <cellStyle name="Normal 2 2 3 2 2 2 2 3 2 2 3 2 3" xfId="32316"/>
    <cellStyle name="Normal 2 2 3 2 2 2 2 3 2 2 3 2 3 2" xfId="42026"/>
    <cellStyle name="Normal 2 2 3 2 2 2 2 3 2 2 3 3" xfId="11821"/>
    <cellStyle name="Normal 2 2 3 2 2 2 2 3 2 2 3 3 2" xfId="40679"/>
    <cellStyle name="Normal 2 2 3 2 2 2 2 3 2 2 3 3 2 2" xfId="47169"/>
    <cellStyle name="Normal 2 2 3 2 2 2 2 3 2 2 3 4" xfId="25306"/>
    <cellStyle name="Normal 2 2 3 2 2 2 2 3 2 2 4" xfId="10445"/>
    <cellStyle name="Normal 2 2 3 2 2 2 2 3 2 2 4 2" xfId="14979"/>
    <cellStyle name="Normal 2 2 3 2 2 2 2 3 2 2 4 2 2" xfId="45808"/>
    <cellStyle name="Normal 2 2 3 2 2 2 2 3 2 2 4 2 2 2" xfId="50318"/>
    <cellStyle name="Normal 2 2 3 2 2 2 2 3 2 2 4 3" xfId="28492"/>
    <cellStyle name="Normal 2 2 3 2 2 2 2 3 2 2 5" xfId="23931"/>
    <cellStyle name="Normal 2 2 3 2 2 2 2 3 2 2 5 2" xfId="36787"/>
    <cellStyle name="Normal 2 2 3 2 2 2 2 3 2 3" xfId="2096"/>
    <cellStyle name="Normal 2 2 3 2 2 2 2 3 2 3 2" xfId="6493"/>
    <cellStyle name="Normal 2 2 3 2 2 2 2 3 2 3 2 2" xfId="7330"/>
    <cellStyle name="Normal 2 2 3 2 2 2 2 3 2 3 2 2 2" xfId="20047"/>
    <cellStyle name="Normal 2 2 3 2 2 2 2 3 2 3 2 2 2 2" xfId="20882"/>
    <cellStyle name="Normal 2 2 3 2 2 2 2 3 2 3 2 2 2 2 2" xfId="55373"/>
    <cellStyle name="Normal 2 2 3 2 2 2 2 3 2 3 2 2 2 2 2 2" xfId="56208"/>
    <cellStyle name="Normal 2 2 3 2 2 2 2 3 2 3 2 2 2 3" xfId="34385"/>
    <cellStyle name="Normal 2 2 3 2 2 2 2 3 2 3 2 2 3" xfId="33549"/>
    <cellStyle name="Normal 2 2 3 2 2 2 2 3 2 3 2 2 3 2" xfId="42757"/>
    <cellStyle name="Normal 2 2 3 2 2 2 2 3 2 3 2 3" xfId="12555"/>
    <cellStyle name="Normal 2 2 3 2 2 2 2 3 2 3 2 3 2" xfId="41921"/>
    <cellStyle name="Normal 2 2 3 2 2 2 2 3 2 3 2 3 2 2" xfId="47901"/>
    <cellStyle name="Normal 2 2 3 2 2 2 2 3 2 3 2 4" xfId="26039"/>
    <cellStyle name="Normal 2 2 3 2 2 2 2 3 2 3 3" xfId="11717"/>
    <cellStyle name="Normal 2 2 3 2 2 2 2 3 2 3 3 2" xfId="15760"/>
    <cellStyle name="Normal 2 2 3 2 2 2 2 3 2 3 3 2 2" xfId="47065"/>
    <cellStyle name="Normal 2 2 3 2 2 2 2 3 2 3 3 2 2 2" xfId="51092"/>
    <cellStyle name="Normal 2 2 3 2 2 2 2 3 2 3 3 3" xfId="29266"/>
    <cellStyle name="Normal 2 2 3 2 2 2 2 3 2 3 4" xfId="25202"/>
    <cellStyle name="Normal 2 2 3 2 2 2 2 3 2 3 4 2" xfId="37574"/>
    <cellStyle name="Normal 2 2 3 2 2 2 2 3 2 4" xfId="4112"/>
    <cellStyle name="Normal 2 2 3 2 2 2 2 3 2 4 2" xfId="14875"/>
    <cellStyle name="Normal 2 2 3 2 2 2 2 3 2 4 2 2" xfId="17705"/>
    <cellStyle name="Normal 2 2 3 2 2 2 2 3 2 4 2 2 2" xfId="50214"/>
    <cellStyle name="Normal 2 2 3 2 2 2 2 3 2 4 2 2 2 2" xfId="53032"/>
    <cellStyle name="Normal 2 2 3 2 2 2 2 3 2 4 2 3" xfId="31207"/>
    <cellStyle name="Normal 2 2 3 2 2 2 2 3 2 4 3" xfId="28388"/>
    <cellStyle name="Normal 2 2 3 2 2 2 2 3 2 4 3 2" xfId="39555"/>
    <cellStyle name="Normal 2 2 3 2 2 2 2 3 2 5" xfId="9303"/>
    <cellStyle name="Normal 2 2 3 2 2 2 2 3 2 5 2" xfId="36683"/>
    <cellStyle name="Normal 2 2 3 2 2 2 2 3 2 5 2 2" xfId="44685"/>
    <cellStyle name="Normal 2 2 3 2 2 2 2 3 2 6" xfId="22799"/>
    <cellStyle name="Normal 2 2 3 2 2 2 2 3 3" xfId="1993"/>
    <cellStyle name="Normal 2 2 3 2 2 2 2 3 3 2" xfId="2574"/>
    <cellStyle name="Normal 2 2 3 2 2 2 2 3 3 2 2" xfId="7227"/>
    <cellStyle name="Normal 2 2 3 2 2 2 2 3 3 2 2 2" xfId="7795"/>
    <cellStyle name="Normal 2 2 3 2 2 2 2 3 3 2 2 2 2" xfId="20779"/>
    <cellStyle name="Normal 2 2 3 2 2 2 2 3 3 2 2 2 2 2" xfId="21347"/>
    <cellStyle name="Normal 2 2 3 2 2 2 2 3 3 2 2 2 2 2 2" xfId="56105"/>
    <cellStyle name="Normal 2 2 3 2 2 2 2 3 3 2 2 2 2 2 2 2" xfId="56673"/>
    <cellStyle name="Normal 2 2 3 2 2 2 2 3 3 2 2 2 2 3" xfId="34850"/>
    <cellStyle name="Normal 2 2 3 2 2 2 2 3 3 2 2 2 3" xfId="34282"/>
    <cellStyle name="Normal 2 2 3 2 2 2 2 3 3 2 2 2 3 2" xfId="43222"/>
    <cellStyle name="Normal 2 2 3 2 2 2 2 3 3 2 2 3" xfId="13020"/>
    <cellStyle name="Normal 2 2 3 2 2 2 2 3 3 2 2 3 2" xfId="42654"/>
    <cellStyle name="Normal 2 2 3 2 2 2 2 3 3 2 2 3 2 2" xfId="48366"/>
    <cellStyle name="Normal 2 2 3 2 2 2 2 3 3 2 2 4" xfId="26504"/>
    <cellStyle name="Normal 2 2 3 2 2 2 2 3 3 2 3" xfId="12452"/>
    <cellStyle name="Normal 2 2 3 2 2 2 2 3 3 2 3 2" xfId="16233"/>
    <cellStyle name="Normal 2 2 3 2 2 2 2 3 3 2 3 2 2" xfId="47798"/>
    <cellStyle name="Normal 2 2 3 2 2 2 2 3 3 2 3 2 2 2" xfId="51563"/>
    <cellStyle name="Normal 2 2 3 2 2 2 2 3 3 2 3 3" xfId="29737"/>
    <cellStyle name="Normal 2 2 3 2 2 2 2 3 3 2 4" xfId="25936"/>
    <cellStyle name="Normal 2 2 3 2 2 2 2 3 3 2 4 2" xfId="38047"/>
    <cellStyle name="Normal 2 2 3 2 2 2 2 3 3 3" xfId="4607"/>
    <cellStyle name="Normal 2 2 3 2 2 2 2 3 3 3 2" xfId="15657"/>
    <cellStyle name="Normal 2 2 3 2 2 2 2 3 3 3 2 2" xfId="18188"/>
    <cellStyle name="Normal 2 2 3 2 2 2 2 3 3 3 2 2 2" xfId="50989"/>
    <cellStyle name="Normal 2 2 3 2 2 2 2 3 3 3 2 2 2 2" xfId="53514"/>
    <cellStyle name="Normal 2 2 3 2 2 2 2 3 3 3 2 3" xfId="31689"/>
    <cellStyle name="Normal 2 2 3 2 2 2 2 3 3 3 3" xfId="29163"/>
    <cellStyle name="Normal 2 2 3 2 2 2 2 3 3 3 3 2" xfId="40046"/>
    <cellStyle name="Normal 2 2 3 2 2 2 2 3 3 4" xfId="9811"/>
    <cellStyle name="Normal 2 2 3 2 2 2 2 3 3 4 2" xfId="37471"/>
    <cellStyle name="Normal 2 2 3 2 2 2 2 3 3 4 2 2" xfId="45181"/>
    <cellStyle name="Normal 2 2 3 2 2 2 2 3 3 5" xfId="23304"/>
    <cellStyle name="Normal 2 2 3 2 2 2 2 3 4" xfId="4007"/>
    <cellStyle name="Normal 2 2 3 2 2 2 2 3 4 2" xfId="5813"/>
    <cellStyle name="Normal 2 2 3 2 2 2 2 3 4 2 2" xfId="17602"/>
    <cellStyle name="Normal 2 2 3 2 2 2 2 3 4 2 2 2" xfId="19381"/>
    <cellStyle name="Normal 2 2 3 2 2 2 2 3 4 2 2 2 2" xfId="52929"/>
    <cellStyle name="Normal 2 2 3 2 2 2 2 3 4 2 2 2 2 2" xfId="54707"/>
    <cellStyle name="Normal 2 2 3 2 2 2 2 3 4 2 2 3" xfId="32882"/>
    <cellStyle name="Normal 2 2 3 2 2 2 2 3 4 2 3" xfId="31104"/>
    <cellStyle name="Normal 2 2 3 2 2 2 2 3 4 2 3 2" xfId="41248"/>
    <cellStyle name="Normal 2 2 3 2 2 2 2 3 4 3" xfId="11035"/>
    <cellStyle name="Normal 2 2 3 2 2 2 2 3 4 3 2" xfId="39451"/>
    <cellStyle name="Normal 2 2 3 2 2 2 2 3 4 3 2 2" xfId="46394"/>
    <cellStyle name="Normal 2 2 3 2 2 2 2 3 4 4" xfId="24529"/>
    <cellStyle name="Normal 2 2 3 2 2 2 2 3 5" xfId="9199"/>
    <cellStyle name="Normal 2 2 3 2 2 2 2 3 5 2" xfId="14196"/>
    <cellStyle name="Normal 2 2 3 2 2 2 2 3 5 2 2" xfId="44582"/>
    <cellStyle name="Normal 2 2 3 2 2 2 2 3 5 2 2 2" xfId="49541"/>
    <cellStyle name="Normal 2 2 3 2 2 2 2 3 5 3" xfId="27702"/>
    <cellStyle name="Normal 2 2 3 2 2 2 2 3 6" xfId="22696"/>
    <cellStyle name="Normal 2 2 3 2 2 2 2 3 6 2" xfId="36008"/>
    <cellStyle name="Normal 2 2 3 2 2 2 2 4" xfId="796"/>
    <cellStyle name="Normal 2 2 3 2 2 2 2 4 2" xfId="2438"/>
    <cellStyle name="Normal 2 2 3 2 2 2 2 4 2 2" xfId="2852"/>
    <cellStyle name="Normal 2 2 3 2 2 2 2 4 2 2 2" xfId="7670"/>
    <cellStyle name="Normal 2 2 3 2 2 2 2 4 2 2 2 2" xfId="8068"/>
    <cellStyle name="Normal 2 2 3 2 2 2 2 4 2 2 2 2 2" xfId="21222"/>
    <cellStyle name="Normal 2 2 3 2 2 2 2 4 2 2 2 2 2 2" xfId="21620"/>
    <cellStyle name="Normal 2 2 3 2 2 2 2 4 2 2 2 2 2 2 2" xfId="56548"/>
    <cellStyle name="Normal 2 2 3 2 2 2 2 4 2 2 2 2 2 2 2 2" xfId="56946"/>
    <cellStyle name="Normal 2 2 3 2 2 2 2 4 2 2 2 2 2 3" xfId="35123"/>
    <cellStyle name="Normal 2 2 3 2 2 2 2 4 2 2 2 2 3" xfId="34725"/>
    <cellStyle name="Normal 2 2 3 2 2 2 2 4 2 2 2 2 3 2" xfId="43495"/>
    <cellStyle name="Normal 2 2 3 2 2 2 2 4 2 2 2 3" xfId="13293"/>
    <cellStyle name="Normal 2 2 3 2 2 2 2 4 2 2 2 3 2" xfId="43097"/>
    <cellStyle name="Normal 2 2 3 2 2 2 2 4 2 2 2 3 2 2" xfId="48639"/>
    <cellStyle name="Normal 2 2 3 2 2 2 2 4 2 2 2 4" xfId="26777"/>
    <cellStyle name="Normal 2 2 3 2 2 2 2 4 2 2 3" xfId="12895"/>
    <cellStyle name="Normal 2 2 3 2 2 2 2 4 2 2 3 2" xfId="16510"/>
    <cellStyle name="Normal 2 2 3 2 2 2 2 4 2 2 3 2 2" xfId="48241"/>
    <cellStyle name="Normal 2 2 3 2 2 2 2 4 2 2 3 2 2 2" xfId="51838"/>
    <cellStyle name="Normal 2 2 3 2 2 2 2 4 2 2 3 3" xfId="30012"/>
    <cellStyle name="Normal 2 2 3 2 2 2 2 4 2 2 4" xfId="26379"/>
    <cellStyle name="Normal 2 2 3 2 2 2 2 4 2 2 4 2" xfId="38322"/>
    <cellStyle name="Normal 2 2 3 2 2 2 2 4 2 3" xfId="4888"/>
    <cellStyle name="Normal 2 2 3 2 2 2 2 4 2 3 2" xfId="16101"/>
    <cellStyle name="Normal 2 2 3 2 2 2 2 4 2 3 2 2" xfId="18462"/>
    <cellStyle name="Normal 2 2 3 2 2 2 2 4 2 3 2 2 2" xfId="51433"/>
    <cellStyle name="Normal 2 2 3 2 2 2 2 4 2 3 2 2 2 2" xfId="53788"/>
    <cellStyle name="Normal 2 2 3 2 2 2 2 4 2 3 2 3" xfId="31963"/>
    <cellStyle name="Normal 2 2 3 2 2 2 2 4 2 3 3" xfId="29607"/>
    <cellStyle name="Normal 2 2 3 2 2 2 2 4 2 3 3 2" xfId="40325"/>
    <cellStyle name="Normal 2 2 3 2 2 2 2 4 2 4" xfId="10091"/>
    <cellStyle name="Normal 2 2 3 2 2 2 2 4 2 4 2" xfId="37916"/>
    <cellStyle name="Normal 2 2 3 2 2 2 2 4 2 4 2 2" xfId="45455"/>
    <cellStyle name="Normal 2 2 3 2 2 2 2 4 2 5" xfId="23578"/>
    <cellStyle name="Normal 2 2 3 2 2 2 2 4 3" xfId="4473"/>
    <cellStyle name="Normal 2 2 3 2 2 2 2 4 3 2" xfId="6112"/>
    <cellStyle name="Normal 2 2 3 2 2 2 2 4 3 2 2" xfId="18063"/>
    <cellStyle name="Normal 2 2 3 2 2 2 2 4 3 2 2 2" xfId="19674"/>
    <cellStyle name="Normal 2 2 3 2 2 2 2 4 3 2 2 2 2" xfId="53389"/>
    <cellStyle name="Normal 2 2 3 2 2 2 2 4 3 2 2 2 2 2" xfId="55000"/>
    <cellStyle name="Normal 2 2 3 2 2 2 2 4 3 2 2 3" xfId="33175"/>
    <cellStyle name="Normal 2 2 3 2 2 2 2 4 3 2 3" xfId="31564"/>
    <cellStyle name="Normal 2 2 3 2 2 2 2 4 3 2 3 2" xfId="41545"/>
    <cellStyle name="Normal 2 2 3 2 2 2 2 4 3 3" xfId="11338"/>
    <cellStyle name="Normal 2 2 3 2 2 2 2 4 3 3 2" xfId="39915"/>
    <cellStyle name="Normal 2 2 3 2 2 2 2 4 3 3 2 2" xfId="46691"/>
    <cellStyle name="Normal 2 2 3 2 2 2 2 4 3 4" xfId="24828"/>
    <cellStyle name="Normal 2 2 3 2 2 2 2 4 4" xfId="9678"/>
    <cellStyle name="Normal 2 2 3 2 2 2 2 4 4 2" xfId="14496"/>
    <cellStyle name="Normal 2 2 3 2 2 2 2 4 4 2 2" xfId="45056"/>
    <cellStyle name="Normal 2 2 3 2 2 2 2 4 4 2 2 2" xfId="49838"/>
    <cellStyle name="Normal 2 2 3 2 2 2 2 4 4 3" xfId="28007"/>
    <cellStyle name="Normal 2 2 3 2 2 2 2 4 5" xfId="23179"/>
    <cellStyle name="Normal 2 2 3 2 2 2 2 4 5 2" xfId="36306"/>
    <cellStyle name="Normal 2 2 3 2 2 2 2 5" xfId="1583"/>
    <cellStyle name="Normal 2 2 3 2 2 2 2 5 2" xfId="5680"/>
    <cellStyle name="Normal 2 2 3 2 2 2 2 5 2 2" xfId="6855"/>
    <cellStyle name="Normal 2 2 3 2 2 2 2 5 2 2 2" xfId="19252"/>
    <cellStyle name="Normal 2 2 3 2 2 2 2 5 2 2 2 2" xfId="20408"/>
    <cellStyle name="Normal 2 2 3 2 2 2 2 5 2 2 2 2 2" xfId="54578"/>
    <cellStyle name="Normal 2 2 3 2 2 2 2 5 2 2 2 2 2 2" xfId="55734"/>
    <cellStyle name="Normal 2 2 3 2 2 2 2 5 2 2 2 3" xfId="33910"/>
    <cellStyle name="Normal 2 2 3 2 2 2 2 5 2 2 3" xfId="32753"/>
    <cellStyle name="Normal 2 2 3 2 2 2 2 5 2 2 3 2" xfId="42283"/>
    <cellStyle name="Normal 2 2 3 2 2 2 2 5 2 3" xfId="12079"/>
    <cellStyle name="Normal 2 2 3 2 2 2 2 5 2 3 2" xfId="41116"/>
    <cellStyle name="Normal 2 2 3 2 2 2 2 5 2 3 2 2" xfId="47426"/>
    <cellStyle name="Normal 2 2 3 2 2 2 2 5 2 4" xfId="25564"/>
    <cellStyle name="Normal 2 2 3 2 2 2 2 5 3" xfId="10898"/>
    <cellStyle name="Normal 2 2 3 2 2 2 2 5 3 2" xfId="15259"/>
    <cellStyle name="Normal 2 2 3 2 2 2 2 5 3 2 2" xfId="46260"/>
    <cellStyle name="Normal 2 2 3 2 2 2 2 5 3 2 2 2" xfId="50596"/>
    <cellStyle name="Normal 2 2 3 2 2 2 2 5 3 3" xfId="28770"/>
    <cellStyle name="Normal 2 2 3 2 2 2 2 5 4" xfId="24391"/>
    <cellStyle name="Normal 2 2 3 2 2 2 2 5 4 2" xfId="37071"/>
    <cellStyle name="Normal 2 2 3 2 2 2 2 6" xfId="3584"/>
    <cellStyle name="Normal 2 2 3 2 2 2 2 6 2" xfId="14064"/>
    <cellStyle name="Normal 2 2 3 2 2 2 2 6 2 2" xfId="17220"/>
    <cellStyle name="Normal 2 2 3 2 2 2 2 6 2 2 2" xfId="49410"/>
    <cellStyle name="Normal 2 2 3 2 2 2 2 6 2 2 2 2" xfId="52547"/>
    <cellStyle name="Normal 2 2 3 2 2 2 2 6 2 3" xfId="30721"/>
    <cellStyle name="Normal 2 2 3 2 2 2 2 6 3" xfId="27563"/>
    <cellStyle name="Normal 2 2 3 2 2 2 2 6 3 2" xfId="39041"/>
    <cellStyle name="Normal 2 2 3 2 2 2 2 7" xfId="8775"/>
    <cellStyle name="Normal 2 2 3 2 2 2 2 7 2" xfId="35876"/>
    <cellStyle name="Normal 2 2 3 2 2 2 2 7 2 2" xfId="44188"/>
    <cellStyle name="Normal 2 2 3 2 2 2 2 8" xfId="22292"/>
    <cellStyle name="Normal 2 2 3 2 2 2 3" xfId="469"/>
    <cellStyle name="Normal 2 2 3 2 2 2 3 2" xfId="561"/>
    <cellStyle name="Normal 2 2 3 2 2 2 3 2 2" xfId="1284"/>
    <cellStyle name="Normal 2 2 3 2 2 2 3 2 2 2" xfId="1359"/>
    <cellStyle name="Normal 2 2 3 2 2 2 3 2 2 2 2" xfId="3302"/>
    <cellStyle name="Normal 2 2 3 2 2 2 3 2 2 2 2 2" xfId="3377"/>
    <cellStyle name="Normal 2 2 3 2 2 2 3 2 2 2 2 2 2" xfId="8517"/>
    <cellStyle name="Normal 2 2 3 2 2 2 3 2 2 2 2 2 2 2" xfId="8592"/>
    <cellStyle name="Normal 2 2 3 2 2 2 3 2 2 2 2 2 2 2 2" xfId="22069"/>
    <cellStyle name="Normal 2 2 3 2 2 2 3 2 2 2 2 2 2 2 2 2" xfId="22144"/>
    <cellStyle name="Normal 2 2 3 2 2 2 3 2 2 2 2 2 2 2 2 2 2" xfId="57395"/>
    <cellStyle name="Normal 2 2 3 2 2 2 3 2 2 2 2 2 2 2 2 2 2 2" xfId="57470"/>
    <cellStyle name="Normal 2 2 3 2 2 2 3 2 2 2 2 2 2 2 2 3" xfId="35647"/>
    <cellStyle name="Normal 2 2 3 2 2 2 3 2 2 2 2 2 2 2 3" xfId="35572"/>
    <cellStyle name="Normal 2 2 3 2 2 2 3 2 2 2 2 2 2 2 3 2" xfId="44019"/>
    <cellStyle name="Normal 2 2 3 2 2 2 3 2 2 2 2 2 2 3" xfId="13817"/>
    <cellStyle name="Normal 2 2 3 2 2 2 3 2 2 2 2 2 2 3 2" xfId="43944"/>
    <cellStyle name="Normal 2 2 3 2 2 2 3 2 2 2 2 2 2 3 2 2" xfId="49163"/>
    <cellStyle name="Normal 2 2 3 2 2 2 3 2 2 2 2 2 2 4" xfId="27302"/>
    <cellStyle name="Normal 2 2 3 2 2 2 3 2 2 2 2 2 3" xfId="13742"/>
    <cellStyle name="Normal 2 2 3 2 2 2 3 2 2 2 2 2 3 2" xfId="17034"/>
    <cellStyle name="Normal 2 2 3 2 2 2 3 2 2 2 2 2 3 2 2" xfId="49088"/>
    <cellStyle name="Normal 2 2 3 2 2 2 3 2 2 2 2 2 3 2 2 2" xfId="52362"/>
    <cellStyle name="Normal 2 2 3 2 2 2 3 2 2 2 2 2 3 3" xfId="30536"/>
    <cellStyle name="Normal 2 2 3 2 2 2 3 2 2 2 2 2 4" xfId="27227"/>
    <cellStyle name="Normal 2 2 3 2 2 2 3 2 2 2 2 2 4 2" xfId="38846"/>
    <cellStyle name="Normal 2 2 3 2 2 2 3 2 2 2 2 3" xfId="5414"/>
    <cellStyle name="Normal 2 2 3 2 2 2 3 2 2 2 2 3 2" xfId="16959"/>
    <cellStyle name="Normal 2 2 3 2 2 2 3 2 2 2 2 3 2 2" xfId="18987"/>
    <cellStyle name="Normal 2 2 3 2 2 2 3 2 2 2 2 3 2 2 2" xfId="52287"/>
    <cellStyle name="Normal 2 2 3 2 2 2 3 2 2 2 2 3 2 2 2 2" xfId="54313"/>
    <cellStyle name="Normal 2 2 3 2 2 2 3 2 2 2 2 3 2 3" xfId="32488"/>
    <cellStyle name="Normal 2 2 3 2 2 2 3 2 2 2 2 3 3" xfId="30461"/>
    <cellStyle name="Normal 2 2 3 2 2 2 3 2 2 2 2 3 3 2" xfId="40851"/>
    <cellStyle name="Normal 2 2 3 2 2 2 3 2 2 2 2 4" xfId="10617"/>
    <cellStyle name="Normal 2 2 3 2 2 2 3 2 2 2 2 4 2" xfId="38771"/>
    <cellStyle name="Normal 2 2 3 2 2 2 3 2 2 2 2 4 2 2" xfId="45980"/>
    <cellStyle name="Normal 2 2 3 2 2 2 3 2 2 2 2 5" xfId="24103"/>
    <cellStyle name="Normal 2 2 3 2 2 2 3 2 2 2 3" xfId="5339"/>
    <cellStyle name="Normal 2 2 3 2 2 2 3 2 2 2 3 2" xfId="6667"/>
    <cellStyle name="Normal 2 2 3 2 2 2 3 2 2 2 3 2 2" xfId="18912"/>
    <cellStyle name="Normal 2 2 3 2 2 2 3 2 2 2 3 2 2 2" xfId="20220"/>
    <cellStyle name="Normal 2 2 3 2 2 2 3 2 2 2 3 2 2 2 2" xfId="54238"/>
    <cellStyle name="Normal 2 2 3 2 2 2 3 2 2 2 3 2 2 2 2 2" xfId="55546"/>
    <cellStyle name="Normal 2 2 3 2 2 2 3 2 2 2 3 2 2 3" xfId="33722"/>
    <cellStyle name="Normal 2 2 3 2 2 2 3 2 2 2 3 2 3" xfId="32413"/>
    <cellStyle name="Normal 2 2 3 2 2 2 3 2 2 2 3 2 3 2" xfId="42095"/>
    <cellStyle name="Normal 2 2 3 2 2 2 3 2 2 2 3 3" xfId="11890"/>
    <cellStyle name="Normal 2 2 3 2 2 2 3 2 2 2 3 3 2" xfId="40776"/>
    <cellStyle name="Normal 2 2 3 2 2 2 3 2 2 2 3 3 2 2" xfId="47238"/>
    <cellStyle name="Normal 2 2 3 2 2 2 3 2 2 2 3 4" xfId="25375"/>
    <cellStyle name="Normal 2 2 3 2 2 2 3 2 2 2 4" xfId="10542"/>
    <cellStyle name="Normal 2 2 3 2 2 2 3 2 2 2 4 2" xfId="15048"/>
    <cellStyle name="Normal 2 2 3 2 2 2 3 2 2 2 4 2 2" xfId="45905"/>
    <cellStyle name="Normal 2 2 3 2 2 2 3 2 2 2 4 2 2 2" xfId="50387"/>
    <cellStyle name="Normal 2 2 3 2 2 2 3 2 2 2 4 3" xfId="28561"/>
    <cellStyle name="Normal 2 2 3 2 2 2 3 2 2 2 5" xfId="24028"/>
    <cellStyle name="Normal 2 2 3 2 2 2 3 2 2 2 5 2" xfId="36856"/>
    <cellStyle name="Normal 2 2 3 2 2 2 3 2 2 3" xfId="2166"/>
    <cellStyle name="Normal 2 2 3 2 2 2 3 2 2 3 2" xfId="6592"/>
    <cellStyle name="Normal 2 2 3 2 2 2 3 2 2 3 2 2" xfId="7400"/>
    <cellStyle name="Normal 2 2 3 2 2 2 3 2 2 3 2 2 2" xfId="20145"/>
    <cellStyle name="Normal 2 2 3 2 2 2 3 2 2 3 2 2 2 2" xfId="20952"/>
    <cellStyle name="Normal 2 2 3 2 2 2 3 2 2 3 2 2 2 2 2" xfId="55471"/>
    <cellStyle name="Normal 2 2 3 2 2 2 3 2 2 3 2 2 2 2 2 2" xfId="56278"/>
    <cellStyle name="Normal 2 2 3 2 2 2 3 2 2 3 2 2 2 3" xfId="34455"/>
    <cellStyle name="Normal 2 2 3 2 2 2 3 2 2 3 2 2 3" xfId="33647"/>
    <cellStyle name="Normal 2 2 3 2 2 2 3 2 2 3 2 2 3 2" xfId="42827"/>
    <cellStyle name="Normal 2 2 3 2 2 2 3 2 2 3 2 3" xfId="12625"/>
    <cellStyle name="Normal 2 2 3 2 2 2 3 2 2 3 2 3 2" xfId="42020"/>
    <cellStyle name="Normal 2 2 3 2 2 2 3 2 2 3 2 3 2 2" xfId="47971"/>
    <cellStyle name="Normal 2 2 3 2 2 2 3 2 2 3 2 4" xfId="26109"/>
    <cellStyle name="Normal 2 2 3 2 2 2 3 2 2 3 3" xfId="11815"/>
    <cellStyle name="Normal 2 2 3 2 2 2 3 2 2 3 3 2" xfId="15830"/>
    <cellStyle name="Normal 2 2 3 2 2 2 3 2 2 3 3 2 2" xfId="47163"/>
    <cellStyle name="Normal 2 2 3 2 2 2 3 2 2 3 3 2 2 2" xfId="51162"/>
    <cellStyle name="Normal 2 2 3 2 2 2 3 2 2 3 3 3" xfId="29336"/>
    <cellStyle name="Normal 2 2 3 2 2 2 3 2 2 3 4" xfId="25300"/>
    <cellStyle name="Normal 2 2 3 2 2 2 3 2 2 3 4 2" xfId="37644"/>
    <cellStyle name="Normal 2 2 3 2 2 2 3 2 2 4" xfId="4182"/>
    <cellStyle name="Normal 2 2 3 2 2 2 3 2 2 4 2" xfId="14973"/>
    <cellStyle name="Normal 2 2 3 2 2 2 3 2 2 4 2 2" xfId="17775"/>
    <cellStyle name="Normal 2 2 3 2 2 2 3 2 2 4 2 2 2" xfId="50312"/>
    <cellStyle name="Normal 2 2 3 2 2 2 3 2 2 4 2 2 2 2" xfId="53102"/>
    <cellStyle name="Normal 2 2 3 2 2 2 3 2 2 4 2 3" xfId="31277"/>
    <cellStyle name="Normal 2 2 3 2 2 2 3 2 2 4 3" xfId="28486"/>
    <cellStyle name="Normal 2 2 3 2 2 2 3 2 2 4 3 2" xfId="39625"/>
    <cellStyle name="Normal 2 2 3 2 2 2 3 2 2 5" xfId="9373"/>
    <cellStyle name="Normal 2 2 3 2 2 2 3 2 2 5 2" xfId="36781"/>
    <cellStyle name="Normal 2 2 3 2 2 2 3 2 2 5 2 2" xfId="44755"/>
    <cellStyle name="Normal 2 2 3 2 2 2 3 2 2 6" xfId="22869"/>
    <cellStyle name="Normal 2 2 3 2 2 2 3 2 3" xfId="2090"/>
    <cellStyle name="Normal 2 2 3 2 2 2 3 2 3 2" xfId="2652"/>
    <cellStyle name="Normal 2 2 3 2 2 2 3 2 3 2 2" xfId="7324"/>
    <cellStyle name="Normal 2 2 3 2 2 2 3 2 3 2 2 2" xfId="7871"/>
    <cellStyle name="Normal 2 2 3 2 2 2 3 2 3 2 2 2 2" xfId="20876"/>
    <cellStyle name="Normal 2 2 3 2 2 2 3 2 3 2 2 2 2 2" xfId="21423"/>
    <cellStyle name="Normal 2 2 3 2 2 2 3 2 3 2 2 2 2 2 2" xfId="56202"/>
    <cellStyle name="Normal 2 2 3 2 2 2 3 2 3 2 2 2 2 2 2 2" xfId="56749"/>
    <cellStyle name="Normal 2 2 3 2 2 2 3 2 3 2 2 2 2 3" xfId="34926"/>
    <cellStyle name="Normal 2 2 3 2 2 2 3 2 3 2 2 2 3" xfId="34379"/>
    <cellStyle name="Normal 2 2 3 2 2 2 3 2 3 2 2 2 3 2" xfId="43298"/>
    <cellStyle name="Normal 2 2 3 2 2 2 3 2 3 2 2 3" xfId="13096"/>
    <cellStyle name="Normal 2 2 3 2 2 2 3 2 3 2 2 3 2" xfId="42751"/>
    <cellStyle name="Normal 2 2 3 2 2 2 3 2 3 2 2 3 2 2" xfId="48442"/>
    <cellStyle name="Normal 2 2 3 2 2 2 3 2 3 2 2 4" xfId="26580"/>
    <cellStyle name="Normal 2 2 3 2 2 2 3 2 3 2 3" xfId="12549"/>
    <cellStyle name="Normal 2 2 3 2 2 2 3 2 3 2 3 2" xfId="16311"/>
    <cellStyle name="Normal 2 2 3 2 2 2 3 2 3 2 3 2 2" xfId="47895"/>
    <cellStyle name="Normal 2 2 3 2 2 2 3 2 3 2 3 2 2 2" xfId="51641"/>
    <cellStyle name="Normal 2 2 3 2 2 2 3 2 3 2 3 3" xfId="29815"/>
    <cellStyle name="Normal 2 2 3 2 2 2 3 2 3 2 4" xfId="26033"/>
    <cellStyle name="Normal 2 2 3 2 2 2 3 2 3 2 4 2" xfId="38125"/>
    <cellStyle name="Normal 2 2 3 2 2 2 3 2 3 3" xfId="4687"/>
    <cellStyle name="Normal 2 2 3 2 2 2 3 2 3 3 2" xfId="15754"/>
    <cellStyle name="Normal 2 2 3 2 2 2 3 2 3 3 2 2" xfId="18265"/>
    <cellStyle name="Normal 2 2 3 2 2 2 3 2 3 3 2 2 2" xfId="51086"/>
    <cellStyle name="Normal 2 2 3 2 2 2 3 2 3 3 2 2 2 2" xfId="53591"/>
    <cellStyle name="Normal 2 2 3 2 2 2 3 2 3 3 2 3" xfId="31766"/>
    <cellStyle name="Normal 2 2 3 2 2 2 3 2 3 3 3" xfId="29260"/>
    <cellStyle name="Normal 2 2 3 2 2 2 3 2 3 3 3 2" xfId="40126"/>
    <cellStyle name="Normal 2 2 3 2 2 2 3 2 3 4" xfId="9890"/>
    <cellStyle name="Normal 2 2 3 2 2 2 3 2 3 4 2" xfId="37568"/>
    <cellStyle name="Normal 2 2 3 2 2 2 3 2 3 4 2 2" xfId="45258"/>
    <cellStyle name="Normal 2 2 3 2 2 2 3 2 3 5" xfId="23381"/>
    <cellStyle name="Normal 2 2 3 2 2 2 3 2 4" xfId="4106"/>
    <cellStyle name="Normal 2 2 3 2 2 2 3 2 4 2" xfId="5893"/>
    <cellStyle name="Normal 2 2 3 2 2 2 3 2 4 2 2" xfId="17699"/>
    <cellStyle name="Normal 2 2 3 2 2 2 3 2 4 2 2 2" xfId="19460"/>
    <cellStyle name="Normal 2 2 3 2 2 2 3 2 4 2 2 2 2" xfId="53026"/>
    <cellStyle name="Normal 2 2 3 2 2 2 3 2 4 2 2 2 2 2" xfId="54786"/>
    <cellStyle name="Normal 2 2 3 2 2 2 3 2 4 2 2 3" xfId="32961"/>
    <cellStyle name="Normal 2 2 3 2 2 2 3 2 4 2 3" xfId="31201"/>
    <cellStyle name="Normal 2 2 3 2 2 2 3 2 4 2 3 2" xfId="41327"/>
    <cellStyle name="Normal 2 2 3 2 2 2 3 2 4 3" xfId="11118"/>
    <cellStyle name="Normal 2 2 3 2 2 2 3 2 4 3 2" xfId="39549"/>
    <cellStyle name="Normal 2 2 3 2 2 2 3 2 4 3 2 2" xfId="46476"/>
    <cellStyle name="Normal 2 2 3 2 2 2 3 2 4 4" xfId="24610"/>
    <cellStyle name="Normal 2 2 3 2 2 2 3 2 5" xfId="9297"/>
    <cellStyle name="Normal 2 2 3 2 2 2 3 2 5 2" xfId="14277"/>
    <cellStyle name="Normal 2 2 3 2 2 2 3 2 5 2 2" xfId="44679"/>
    <cellStyle name="Normal 2 2 3 2 2 2 3 2 5 2 2 2" xfId="49622"/>
    <cellStyle name="Normal 2 2 3 2 2 2 3 2 5 3" xfId="27786"/>
    <cellStyle name="Normal 2 2 3 2 2 2 3 2 6" xfId="22793"/>
    <cellStyle name="Normal 2 2 3 2 2 2 3 2 6 2" xfId="36089"/>
    <cellStyle name="Normal 2 2 3 2 2 2 3 3" xfId="889"/>
    <cellStyle name="Normal 2 2 3 2 2 2 3 3 2" xfId="2568"/>
    <cellStyle name="Normal 2 2 3 2 2 2 3 3 2 2" xfId="2929"/>
    <cellStyle name="Normal 2 2 3 2 2 2 3 3 2 2 2" xfId="7789"/>
    <cellStyle name="Normal 2 2 3 2 2 2 3 3 2 2 2 2" xfId="8144"/>
    <cellStyle name="Normal 2 2 3 2 2 2 3 3 2 2 2 2 2" xfId="21341"/>
    <cellStyle name="Normal 2 2 3 2 2 2 3 3 2 2 2 2 2 2" xfId="21696"/>
    <cellStyle name="Normal 2 2 3 2 2 2 3 3 2 2 2 2 2 2 2" xfId="56667"/>
    <cellStyle name="Normal 2 2 3 2 2 2 3 3 2 2 2 2 2 2 2 2" xfId="57022"/>
    <cellStyle name="Normal 2 2 3 2 2 2 3 3 2 2 2 2 2 3" xfId="35199"/>
    <cellStyle name="Normal 2 2 3 2 2 2 3 3 2 2 2 2 3" xfId="34844"/>
    <cellStyle name="Normal 2 2 3 2 2 2 3 3 2 2 2 2 3 2" xfId="43571"/>
    <cellStyle name="Normal 2 2 3 2 2 2 3 3 2 2 2 3" xfId="13369"/>
    <cellStyle name="Normal 2 2 3 2 2 2 3 3 2 2 2 3 2" xfId="43216"/>
    <cellStyle name="Normal 2 2 3 2 2 2 3 3 2 2 2 3 2 2" xfId="48715"/>
    <cellStyle name="Normal 2 2 3 2 2 2 3 3 2 2 2 4" xfId="26854"/>
    <cellStyle name="Normal 2 2 3 2 2 2 3 3 2 2 3" xfId="13014"/>
    <cellStyle name="Normal 2 2 3 2 2 2 3 3 2 2 3 2" xfId="16586"/>
    <cellStyle name="Normal 2 2 3 2 2 2 3 3 2 2 3 2 2" xfId="48360"/>
    <cellStyle name="Normal 2 2 3 2 2 2 3 3 2 2 3 2 2 2" xfId="51914"/>
    <cellStyle name="Normal 2 2 3 2 2 2 3 3 2 2 3 3" xfId="30088"/>
    <cellStyle name="Normal 2 2 3 2 2 2 3 3 2 2 4" xfId="26498"/>
    <cellStyle name="Normal 2 2 3 2 2 2 3 3 2 2 4 2" xfId="38398"/>
    <cellStyle name="Normal 2 2 3 2 2 2 3 3 2 3" xfId="4965"/>
    <cellStyle name="Normal 2 2 3 2 2 2 3 3 2 3 2" xfId="16227"/>
    <cellStyle name="Normal 2 2 3 2 2 2 3 3 2 3 2 2" xfId="18538"/>
    <cellStyle name="Normal 2 2 3 2 2 2 3 3 2 3 2 2 2" xfId="51557"/>
    <cellStyle name="Normal 2 2 3 2 2 2 3 3 2 3 2 2 2 2" xfId="53864"/>
    <cellStyle name="Normal 2 2 3 2 2 2 3 3 2 3 2 3" xfId="32039"/>
    <cellStyle name="Normal 2 2 3 2 2 2 3 3 2 3 3" xfId="29731"/>
    <cellStyle name="Normal 2 2 3 2 2 2 3 3 2 3 3 2" xfId="40402"/>
    <cellStyle name="Normal 2 2 3 2 2 2 3 3 2 4" xfId="10168"/>
    <cellStyle name="Normal 2 2 3 2 2 2 3 3 2 4 2" xfId="38041"/>
    <cellStyle name="Normal 2 2 3 2 2 2 3 3 2 4 2 2" xfId="45531"/>
    <cellStyle name="Normal 2 2 3 2 2 2 3 3 2 5" xfId="23654"/>
    <cellStyle name="Normal 2 2 3 2 2 2 3 3 3" xfId="4601"/>
    <cellStyle name="Normal 2 2 3 2 2 2 3 3 3 2" xfId="6200"/>
    <cellStyle name="Normal 2 2 3 2 2 2 3 3 3 2 2" xfId="18182"/>
    <cellStyle name="Normal 2 2 3 2 2 2 3 3 3 2 2 2" xfId="19759"/>
    <cellStyle name="Normal 2 2 3 2 2 2 3 3 3 2 2 2 2" xfId="53508"/>
    <cellStyle name="Normal 2 2 3 2 2 2 3 3 3 2 2 2 2 2" xfId="55085"/>
    <cellStyle name="Normal 2 2 3 2 2 2 3 3 3 2 2 3" xfId="33261"/>
    <cellStyle name="Normal 2 2 3 2 2 2 3 3 3 2 3" xfId="31683"/>
    <cellStyle name="Normal 2 2 3 2 2 2 3 3 3 2 3 2" xfId="41630"/>
    <cellStyle name="Normal 2 2 3 2 2 2 3 3 3 3" xfId="11425"/>
    <cellStyle name="Normal 2 2 3 2 2 2 3 3 3 3 2" xfId="40040"/>
    <cellStyle name="Normal 2 2 3 2 2 2 3 3 3 3 2 2" xfId="46776"/>
    <cellStyle name="Normal 2 2 3 2 2 2 3 3 3 4" xfId="24913"/>
    <cellStyle name="Normal 2 2 3 2 2 2 3 3 4" xfId="9805"/>
    <cellStyle name="Normal 2 2 3 2 2 2 3 3 4 2" xfId="14585"/>
    <cellStyle name="Normal 2 2 3 2 2 2 3 3 4 2 2" xfId="45175"/>
    <cellStyle name="Normal 2 2 3 2 2 2 3 3 4 2 2 2" xfId="49924"/>
    <cellStyle name="Normal 2 2 3 2 2 2 3 3 4 3" xfId="28095"/>
    <cellStyle name="Normal 2 2 3 2 2 2 3 3 5" xfId="23298"/>
    <cellStyle name="Normal 2 2 3 2 2 2 3 3 5 2" xfId="36393"/>
    <cellStyle name="Normal 2 2 3 2 2 2 3 4" xfId="1685"/>
    <cellStyle name="Normal 2 2 3 2 2 2 3 4 2" xfId="5807"/>
    <cellStyle name="Normal 2 2 3 2 2 2 3 4 2 2" xfId="6940"/>
    <cellStyle name="Normal 2 2 3 2 2 2 3 4 2 2 2" xfId="19375"/>
    <cellStyle name="Normal 2 2 3 2 2 2 3 4 2 2 2 2" xfId="20493"/>
    <cellStyle name="Normal 2 2 3 2 2 2 3 4 2 2 2 2 2" xfId="54701"/>
    <cellStyle name="Normal 2 2 3 2 2 2 3 4 2 2 2 2 2 2" xfId="55819"/>
    <cellStyle name="Normal 2 2 3 2 2 2 3 4 2 2 2 3" xfId="33995"/>
    <cellStyle name="Normal 2 2 3 2 2 2 3 4 2 2 3" xfId="32876"/>
    <cellStyle name="Normal 2 2 3 2 2 2 3 4 2 2 3 2" xfId="42368"/>
    <cellStyle name="Normal 2 2 3 2 2 2 3 4 2 3" xfId="12164"/>
    <cellStyle name="Normal 2 2 3 2 2 2 3 4 2 3 2" xfId="41242"/>
    <cellStyle name="Normal 2 2 3 2 2 2 3 4 2 3 2 2" xfId="47511"/>
    <cellStyle name="Normal 2 2 3 2 2 2 3 4 2 4" xfId="25649"/>
    <cellStyle name="Normal 2 2 3 2 2 2 3 4 3" xfId="11029"/>
    <cellStyle name="Normal 2 2 3 2 2 2 3 4 3 2" xfId="15357"/>
    <cellStyle name="Normal 2 2 3 2 2 2 3 4 3 2 2" xfId="46388"/>
    <cellStyle name="Normal 2 2 3 2 2 2 3 4 3 2 2 2" xfId="50691"/>
    <cellStyle name="Normal 2 2 3 2 2 2 3 4 3 3" xfId="28865"/>
    <cellStyle name="Normal 2 2 3 2 2 2 3 4 4" xfId="24523"/>
    <cellStyle name="Normal 2 2 3 2 2 2 3 4 4 2" xfId="37168"/>
    <cellStyle name="Normal 2 2 3 2 2 2 3 5" xfId="3690"/>
    <cellStyle name="Normal 2 2 3 2 2 2 3 5 2" xfId="14190"/>
    <cellStyle name="Normal 2 2 3 2 2 2 3 5 2 2" xfId="17308"/>
    <cellStyle name="Normal 2 2 3 2 2 2 3 5 2 2 2" xfId="49535"/>
    <cellStyle name="Normal 2 2 3 2 2 2 3 5 2 2 2 2" xfId="52635"/>
    <cellStyle name="Normal 2 2 3 2 2 2 3 5 2 3" xfId="30809"/>
    <cellStyle name="Normal 2 2 3 2 2 2 3 5 3" xfId="27696"/>
    <cellStyle name="Normal 2 2 3 2 2 2 3 5 3 2" xfId="39141"/>
    <cellStyle name="Normal 2 2 3 2 2 2 3 6" xfId="8879"/>
    <cellStyle name="Normal 2 2 3 2 2 2 3 6 2" xfId="36002"/>
    <cellStyle name="Normal 2 2 3 2 2 2 3 6 2 2" xfId="44280"/>
    <cellStyle name="Normal 2 2 3 2 2 2 3 7" xfId="22388"/>
    <cellStyle name="Normal 2 2 3 2 2 2 4" xfId="790"/>
    <cellStyle name="Normal 2 2 3 2 2 2 4 2" xfId="1057"/>
    <cellStyle name="Normal 2 2 3 2 2 2 4 2 2" xfId="2846"/>
    <cellStyle name="Normal 2 2 3 2 2 2 4 2 2 2" xfId="3093"/>
    <cellStyle name="Normal 2 2 3 2 2 2 4 2 2 2 2" xfId="8062"/>
    <cellStyle name="Normal 2 2 3 2 2 2 4 2 2 2 2 2" xfId="8308"/>
    <cellStyle name="Normal 2 2 3 2 2 2 4 2 2 2 2 2 2" xfId="21614"/>
    <cellStyle name="Normal 2 2 3 2 2 2 4 2 2 2 2 2 2 2" xfId="21860"/>
    <cellStyle name="Normal 2 2 3 2 2 2 4 2 2 2 2 2 2 2 2" xfId="56940"/>
    <cellStyle name="Normal 2 2 3 2 2 2 4 2 2 2 2 2 2 2 2 2" xfId="57186"/>
    <cellStyle name="Normal 2 2 3 2 2 2 4 2 2 2 2 2 2 3" xfId="35363"/>
    <cellStyle name="Normal 2 2 3 2 2 2 4 2 2 2 2 2 3" xfId="35117"/>
    <cellStyle name="Normal 2 2 3 2 2 2 4 2 2 2 2 2 3 2" xfId="43735"/>
    <cellStyle name="Normal 2 2 3 2 2 2 4 2 2 2 2 3" xfId="13533"/>
    <cellStyle name="Normal 2 2 3 2 2 2 4 2 2 2 2 3 2" xfId="43489"/>
    <cellStyle name="Normal 2 2 3 2 2 2 4 2 2 2 2 3 2 2" xfId="48879"/>
    <cellStyle name="Normal 2 2 3 2 2 2 4 2 2 2 2 4" xfId="27018"/>
    <cellStyle name="Normal 2 2 3 2 2 2 4 2 2 2 3" xfId="13287"/>
    <cellStyle name="Normal 2 2 3 2 2 2 4 2 2 2 3 2" xfId="16750"/>
    <cellStyle name="Normal 2 2 3 2 2 2 4 2 2 2 3 2 2" xfId="48633"/>
    <cellStyle name="Normal 2 2 3 2 2 2 4 2 2 2 3 2 2 2" xfId="52078"/>
    <cellStyle name="Normal 2 2 3 2 2 2 4 2 2 2 3 3" xfId="30252"/>
    <cellStyle name="Normal 2 2 3 2 2 2 4 2 2 2 4" xfId="26771"/>
    <cellStyle name="Normal 2 2 3 2 2 2 4 2 2 2 4 2" xfId="38562"/>
    <cellStyle name="Normal 2 2 3 2 2 2 4 2 2 3" xfId="5130"/>
    <cellStyle name="Normal 2 2 3 2 2 2 4 2 2 3 2" xfId="16504"/>
    <cellStyle name="Normal 2 2 3 2 2 2 4 2 2 3 2 2" xfId="18703"/>
    <cellStyle name="Normal 2 2 3 2 2 2 4 2 2 3 2 2 2" xfId="51832"/>
    <cellStyle name="Normal 2 2 3 2 2 2 4 2 2 3 2 2 2 2" xfId="54029"/>
    <cellStyle name="Normal 2 2 3 2 2 2 4 2 2 3 2 3" xfId="32204"/>
    <cellStyle name="Normal 2 2 3 2 2 2 4 2 2 3 3" xfId="30006"/>
    <cellStyle name="Normal 2 2 3 2 2 2 4 2 2 3 3 2" xfId="40567"/>
    <cellStyle name="Normal 2 2 3 2 2 2 4 2 2 4" xfId="10333"/>
    <cellStyle name="Normal 2 2 3 2 2 2 4 2 2 4 2" xfId="38316"/>
    <cellStyle name="Normal 2 2 3 2 2 2 4 2 2 4 2 2" xfId="45696"/>
    <cellStyle name="Normal 2 2 3 2 2 2 4 2 2 5" xfId="23819"/>
    <cellStyle name="Normal 2 2 3 2 2 2 4 2 3" xfId="4882"/>
    <cellStyle name="Normal 2 2 3 2 2 2 4 2 3 2" xfId="6367"/>
    <cellStyle name="Normal 2 2 3 2 2 2 4 2 3 2 2" xfId="18456"/>
    <cellStyle name="Normal 2 2 3 2 2 2 4 2 3 2 2 2" xfId="19924"/>
    <cellStyle name="Normal 2 2 3 2 2 2 4 2 3 2 2 2 2" xfId="53782"/>
    <cellStyle name="Normal 2 2 3 2 2 2 4 2 3 2 2 2 2 2" xfId="55250"/>
    <cellStyle name="Normal 2 2 3 2 2 2 4 2 3 2 2 3" xfId="33426"/>
    <cellStyle name="Normal 2 2 3 2 2 2 4 2 3 2 3" xfId="31957"/>
    <cellStyle name="Normal 2 2 3 2 2 2 4 2 3 2 3 2" xfId="41796"/>
    <cellStyle name="Normal 2 2 3 2 2 2 4 2 3 3" xfId="11593"/>
    <cellStyle name="Normal 2 2 3 2 2 2 4 2 3 3 2" xfId="40319"/>
    <cellStyle name="Normal 2 2 3 2 2 2 4 2 3 3 2 2" xfId="46942"/>
    <cellStyle name="Normal 2 2 3 2 2 2 4 2 3 4" xfId="25079"/>
    <cellStyle name="Normal 2 2 3 2 2 2 4 2 4" xfId="10085"/>
    <cellStyle name="Normal 2 2 3 2 2 2 4 2 4 2" xfId="14750"/>
    <cellStyle name="Normal 2 2 3 2 2 2 4 2 4 2 2" xfId="45449"/>
    <cellStyle name="Normal 2 2 3 2 2 2 4 2 4 2 2 2" xfId="50089"/>
    <cellStyle name="Normal 2 2 3 2 2 2 4 2 4 3" xfId="28262"/>
    <cellStyle name="Normal 2 2 3 2 2 2 4 2 5" xfId="23572"/>
    <cellStyle name="Normal 2 2 3 2 2 2 4 2 5 2" xfId="36558"/>
    <cellStyle name="Normal 2 2 3 2 2 2 4 3" xfId="1865"/>
    <cellStyle name="Normal 2 2 3 2 2 2 4 3 2" xfId="6106"/>
    <cellStyle name="Normal 2 2 3 2 2 2 4 3 2 2" xfId="7115"/>
    <cellStyle name="Normal 2 2 3 2 2 2 4 3 2 2 2" xfId="19668"/>
    <cellStyle name="Normal 2 2 3 2 2 2 4 3 2 2 2 2" xfId="20667"/>
    <cellStyle name="Normal 2 2 3 2 2 2 4 3 2 2 2 2 2" xfId="54994"/>
    <cellStyle name="Normal 2 2 3 2 2 2 4 3 2 2 2 2 2 2" xfId="55993"/>
    <cellStyle name="Normal 2 2 3 2 2 2 4 3 2 2 2 3" xfId="34170"/>
    <cellStyle name="Normal 2 2 3 2 2 2 4 3 2 2 3" xfId="33169"/>
    <cellStyle name="Normal 2 2 3 2 2 2 4 3 2 2 3 2" xfId="42542"/>
    <cellStyle name="Normal 2 2 3 2 2 2 4 3 2 3" xfId="12340"/>
    <cellStyle name="Normal 2 2 3 2 2 2 4 3 2 3 2" xfId="41539"/>
    <cellStyle name="Normal 2 2 3 2 2 2 4 3 2 3 2 2" xfId="47686"/>
    <cellStyle name="Normal 2 2 3 2 2 2 4 3 2 4" xfId="25824"/>
    <cellStyle name="Normal 2 2 3 2 2 2 4 3 3" xfId="11332"/>
    <cellStyle name="Normal 2 2 3 2 2 2 4 3 3 2" xfId="15536"/>
    <cellStyle name="Normal 2 2 3 2 2 2 4 3 3 2 2" xfId="46685"/>
    <cellStyle name="Normal 2 2 3 2 2 2 4 3 3 2 2 2" xfId="50868"/>
    <cellStyle name="Normal 2 2 3 2 2 2 4 3 3 3" xfId="29042"/>
    <cellStyle name="Normal 2 2 3 2 2 2 4 3 4" xfId="24822"/>
    <cellStyle name="Normal 2 2 3 2 2 2 4 3 4 2" xfId="37346"/>
    <cellStyle name="Normal 2 2 3 2 2 2 4 4" xfId="3879"/>
    <cellStyle name="Normal 2 2 3 2 2 2 4 4 2" xfId="14490"/>
    <cellStyle name="Normal 2 2 3 2 2 2 4 4 2 2" xfId="17490"/>
    <cellStyle name="Normal 2 2 3 2 2 2 4 4 2 2 2" xfId="49832"/>
    <cellStyle name="Normal 2 2 3 2 2 2 4 4 2 2 2 2" xfId="52817"/>
    <cellStyle name="Normal 2 2 3 2 2 2 4 4 2 3" xfId="30992"/>
    <cellStyle name="Normal 2 2 3 2 2 2 4 4 3" xfId="28001"/>
    <cellStyle name="Normal 2 2 3 2 2 2 4 4 3 2" xfId="39327"/>
    <cellStyle name="Normal 2 2 3 2 2 2 4 5" xfId="9073"/>
    <cellStyle name="Normal 2 2 3 2 2 2 4 5 2" xfId="36300"/>
    <cellStyle name="Normal 2 2 3 2 2 2 4 5 2 2" xfId="44469"/>
    <cellStyle name="Normal 2 2 3 2 2 2 4 6" xfId="22581"/>
    <cellStyle name="Normal 2 2 3 2 2 2 5" xfId="1577"/>
    <cellStyle name="Normal 2 2 3 2 2 2 5 2" xfId="2320"/>
    <cellStyle name="Normal 2 2 3 2 2 2 5 2 2" xfId="6849"/>
    <cellStyle name="Normal 2 2 3 2 2 2 5 2 2 2" xfId="7554"/>
    <cellStyle name="Normal 2 2 3 2 2 2 5 2 2 2 2" xfId="20402"/>
    <cellStyle name="Normal 2 2 3 2 2 2 5 2 2 2 2 2" xfId="21106"/>
    <cellStyle name="Normal 2 2 3 2 2 2 5 2 2 2 2 2 2" xfId="55728"/>
    <cellStyle name="Normal 2 2 3 2 2 2 5 2 2 2 2 2 2 2" xfId="56432"/>
    <cellStyle name="Normal 2 2 3 2 2 2 5 2 2 2 2 3" xfId="34609"/>
    <cellStyle name="Normal 2 2 3 2 2 2 5 2 2 2 3" xfId="33904"/>
    <cellStyle name="Normal 2 2 3 2 2 2 5 2 2 2 3 2" xfId="42981"/>
    <cellStyle name="Normal 2 2 3 2 2 2 5 2 2 3" xfId="12779"/>
    <cellStyle name="Normal 2 2 3 2 2 2 5 2 2 3 2" xfId="42277"/>
    <cellStyle name="Normal 2 2 3 2 2 2 5 2 2 3 2 2" xfId="48125"/>
    <cellStyle name="Normal 2 2 3 2 2 2 5 2 2 4" xfId="26263"/>
    <cellStyle name="Normal 2 2 3 2 2 2 5 2 3" xfId="12073"/>
    <cellStyle name="Normal 2 2 3 2 2 2 5 2 3 2" xfId="15984"/>
    <cellStyle name="Normal 2 2 3 2 2 2 5 2 3 2 2" xfId="47420"/>
    <cellStyle name="Normal 2 2 3 2 2 2 5 2 3 2 2 2" xfId="51316"/>
    <cellStyle name="Normal 2 2 3 2 2 2 5 2 3 3" xfId="29490"/>
    <cellStyle name="Normal 2 2 3 2 2 2 5 2 4" xfId="25558"/>
    <cellStyle name="Normal 2 2 3 2 2 2 5 2 4 2" xfId="37798"/>
    <cellStyle name="Normal 2 2 3 2 2 2 5 3" xfId="4349"/>
    <cellStyle name="Normal 2 2 3 2 2 2 5 3 2" xfId="15253"/>
    <cellStyle name="Normal 2 2 3 2 2 2 5 3 2 2" xfId="17942"/>
    <cellStyle name="Normal 2 2 3 2 2 2 5 3 2 2 2" xfId="50590"/>
    <cellStyle name="Normal 2 2 3 2 2 2 5 3 2 2 2 2" xfId="53269"/>
    <cellStyle name="Normal 2 2 3 2 2 2 5 3 2 3" xfId="31444"/>
    <cellStyle name="Normal 2 2 3 2 2 2 5 3 3" xfId="28764"/>
    <cellStyle name="Normal 2 2 3 2 2 2 5 3 3 2" xfId="39792"/>
    <cellStyle name="Normal 2 2 3 2 2 2 5 4" xfId="9548"/>
    <cellStyle name="Normal 2 2 3 2 2 2 5 4 2" xfId="37065"/>
    <cellStyle name="Normal 2 2 3 2 2 2 5 4 2 2" xfId="44930"/>
    <cellStyle name="Normal 2 2 3 2 2 2 5 5" xfId="23049"/>
    <cellStyle name="Normal 2 2 3 2 2 2 6" xfId="3578"/>
    <cellStyle name="Normal 2 2 3 2 2 2 6 2" xfId="5560"/>
    <cellStyle name="Normal 2 2 3 2 2 2 6 2 2" xfId="17214"/>
    <cellStyle name="Normal 2 2 3 2 2 2 6 2 2 2" xfId="19133"/>
    <cellStyle name="Normal 2 2 3 2 2 2 6 2 2 2 2" xfId="52541"/>
    <cellStyle name="Normal 2 2 3 2 2 2 6 2 2 2 2 2" xfId="54459"/>
    <cellStyle name="Normal 2 2 3 2 2 2 6 2 2 3" xfId="32634"/>
    <cellStyle name="Normal 2 2 3 2 2 2 6 2 3" xfId="30715"/>
    <cellStyle name="Normal 2 2 3 2 2 2 6 2 3 2" xfId="40997"/>
    <cellStyle name="Normal 2 2 3 2 2 2 6 3" xfId="10770"/>
    <cellStyle name="Normal 2 2 3 2 2 2 6 3 2" xfId="39035"/>
    <cellStyle name="Normal 2 2 3 2 2 2 6 3 2 2" xfId="46132"/>
    <cellStyle name="Normal 2 2 3 2 2 2 6 4" xfId="24258"/>
    <cellStyle name="Normal 2 2 3 2 2 2 7" xfId="8769"/>
    <cellStyle name="Normal 2 2 3 2 2 2 7 2" xfId="13945"/>
    <cellStyle name="Normal 2 2 3 2 2 2 7 2 2" xfId="44182"/>
    <cellStyle name="Normal 2 2 3 2 2 2 7 2 2 2" xfId="49291"/>
    <cellStyle name="Normal 2 2 3 2 2 2 7 3" xfId="27434"/>
    <cellStyle name="Normal 2 2 3 2 2 2 8" xfId="22286"/>
    <cellStyle name="Normal 2 2 3 2 2 2 8 2" xfId="35757"/>
    <cellStyle name="Normal 2 2 3 2 2 3" xfId="252"/>
    <cellStyle name="Normal 2 2 3 2 2 3 2" xfId="550"/>
    <cellStyle name="Normal 2 2 3 2 2 3 2 2" xfId="598"/>
    <cellStyle name="Normal 2 2 3 2 2 3 2 2 2" xfId="1352"/>
    <cellStyle name="Normal 2 2 3 2 2 3 2 2 2 2" xfId="1394"/>
    <cellStyle name="Normal 2 2 3 2 2 3 2 2 2 2 2" xfId="3370"/>
    <cellStyle name="Normal 2 2 3 2 2 3 2 2 2 2 2 2" xfId="3412"/>
    <cellStyle name="Normal 2 2 3 2 2 3 2 2 2 2 2 2 2" xfId="8585"/>
    <cellStyle name="Normal 2 2 3 2 2 3 2 2 2 2 2 2 2 2" xfId="8627"/>
    <cellStyle name="Normal 2 2 3 2 2 3 2 2 2 2 2 2 2 2 2" xfId="22137"/>
    <cellStyle name="Normal 2 2 3 2 2 3 2 2 2 2 2 2 2 2 2 2" xfId="22179"/>
    <cellStyle name="Normal 2 2 3 2 2 3 2 2 2 2 2 2 2 2 2 2 2" xfId="57463"/>
    <cellStyle name="Normal 2 2 3 2 2 3 2 2 2 2 2 2 2 2 2 2 2 2" xfId="57505"/>
    <cellStyle name="Normal 2 2 3 2 2 3 2 2 2 2 2 2 2 2 2 3" xfId="35682"/>
    <cellStyle name="Normal 2 2 3 2 2 3 2 2 2 2 2 2 2 2 3" xfId="35640"/>
    <cellStyle name="Normal 2 2 3 2 2 3 2 2 2 2 2 2 2 2 3 2" xfId="44054"/>
    <cellStyle name="Normal 2 2 3 2 2 3 2 2 2 2 2 2 2 3" xfId="13852"/>
    <cellStyle name="Normal 2 2 3 2 2 3 2 2 2 2 2 2 2 3 2" xfId="44012"/>
    <cellStyle name="Normal 2 2 3 2 2 3 2 2 2 2 2 2 2 3 2 2" xfId="49198"/>
    <cellStyle name="Normal 2 2 3 2 2 3 2 2 2 2 2 2 2 4" xfId="27337"/>
    <cellStyle name="Normal 2 2 3 2 2 3 2 2 2 2 2 2 3" xfId="13810"/>
    <cellStyle name="Normal 2 2 3 2 2 3 2 2 2 2 2 2 3 2" xfId="17069"/>
    <cellStyle name="Normal 2 2 3 2 2 3 2 2 2 2 2 2 3 2 2" xfId="49156"/>
    <cellStyle name="Normal 2 2 3 2 2 3 2 2 2 2 2 2 3 2 2 2" xfId="52397"/>
    <cellStyle name="Normal 2 2 3 2 2 3 2 2 2 2 2 2 3 3" xfId="30571"/>
    <cellStyle name="Normal 2 2 3 2 2 3 2 2 2 2 2 2 4" xfId="27295"/>
    <cellStyle name="Normal 2 2 3 2 2 3 2 2 2 2 2 2 4 2" xfId="38881"/>
    <cellStyle name="Normal 2 2 3 2 2 3 2 2 2 2 2 3" xfId="5449"/>
    <cellStyle name="Normal 2 2 3 2 2 3 2 2 2 2 2 3 2" xfId="17027"/>
    <cellStyle name="Normal 2 2 3 2 2 3 2 2 2 2 2 3 2 2" xfId="19022"/>
    <cellStyle name="Normal 2 2 3 2 2 3 2 2 2 2 2 3 2 2 2" xfId="52355"/>
    <cellStyle name="Normal 2 2 3 2 2 3 2 2 2 2 2 3 2 2 2 2" xfId="54348"/>
    <cellStyle name="Normal 2 2 3 2 2 3 2 2 2 2 2 3 2 3" xfId="32523"/>
    <cellStyle name="Normal 2 2 3 2 2 3 2 2 2 2 2 3 3" xfId="30529"/>
    <cellStyle name="Normal 2 2 3 2 2 3 2 2 2 2 2 3 3 2" xfId="40886"/>
    <cellStyle name="Normal 2 2 3 2 2 3 2 2 2 2 2 4" xfId="10652"/>
    <cellStyle name="Normal 2 2 3 2 2 3 2 2 2 2 2 4 2" xfId="38839"/>
    <cellStyle name="Normal 2 2 3 2 2 3 2 2 2 2 2 4 2 2" xfId="46015"/>
    <cellStyle name="Normal 2 2 3 2 2 3 2 2 2 2 2 5" xfId="24138"/>
    <cellStyle name="Normal 2 2 3 2 2 3 2 2 2 2 3" xfId="5407"/>
    <cellStyle name="Normal 2 2 3 2 2 3 2 2 2 2 3 2" xfId="6702"/>
    <cellStyle name="Normal 2 2 3 2 2 3 2 2 2 2 3 2 2" xfId="18980"/>
    <cellStyle name="Normal 2 2 3 2 2 3 2 2 2 2 3 2 2 2" xfId="20255"/>
    <cellStyle name="Normal 2 2 3 2 2 3 2 2 2 2 3 2 2 2 2" xfId="54306"/>
    <cellStyle name="Normal 2 2 3 2 2 3 2 2 2 2 3 2 2 2 2 2" xfId="55581"/>
    <cellStyle name="Normal 2 2 3 2 2 3 2 2 2 2 3 2 2 3" xfId="33757"/>
    <cellStyle name="Normal 2 2 3 2 2 3 2 2 2 2 3 2 3" xfId="32481"/>
    <cellStyle name="Normal 2 2 3 2 2 3 2 2 2 2 3 2 3 2" xfId="42130"/>
    <cellStyle name="Normal 2 2 3 2 2 3 2 2 2 2 3 3" xfId="11925"/>
    <cellStyle name="Normal 2 2 3 2 2 3 2 2 2 2 3 3 2" xfId="40844"/>
    <cellStyle name="Normal 2 2 3 2 2 3 2 2 2 2 3 3 2 2" xfId="47273"/>
    <cellStyle name="Normal 2 2 3 2 2 3 2 2 2 2 3 4" xfId="25410"/>
    <cellStyle name="Normal 2 2 3 2 2 3 2 2 2 2 4" xfId="10610"/>
    <cellStyle name="Normal 2 2 3 2 2 3 2 2 2 2 4 2" xfId="15083"/>
    <cellStyle name="Normal 2 2 3 2 2 3 2 2 2 2 4 2 2" xfId="45973"/>
    <cellStyle name="Normal 2 2 3 2 2 3 2 2 2 2 4 2 2 2" xfId="50422"/>
    <cellStyle name="Normal 2 2 3 2 2 3 2 2 2 2 4 3" xfId="28596"/>
    <cellStyle name="Normal 2 2 3 2 2 3 2 2 2 2 5" xfId="24096"/>
    <cellStyle name="Normal 2 2 3 2 2 3 2 2 2 2 5 2" xfId="36891"/>
    <cellStyle name="Normal 2 2 3 2 2 3 2 2 2 3" xfId="2201"/>
    <cellStyle name="Normal 2 2 3 2 2 3 2 2 2 3 2" xfId="6660"/>
    <cellStyle name="Normal 2 2 3 2 2 3 2 2 2 3 2 2" xfId="7435"/>
    <cellStyle name="Normal 2 2 3 2 2 3 2 2 2 3 2 2 2" xfId="20213"/>
    <cellStyle name="Normal 2 2 3 2 2 3 2 2 2 3 2 2 2 2" xfId="20987"/>
    <cellStyle name="Normal 2 2 3 2 2 3 2 2 2 3 2 2 2 2 2" xfId="55539"/>
    <cellStyle name="Normal 2 2 3 2 2 3 2 2 2 3 2 2 2 2 2 2" xfId="56313"/>
    <cellStyle name="Normal 2 2 3 2 2 3 2 2 2 3 2 2 2 3" xfId="34490"/>
    <cellStyle name="Normal 2 2 3 2 2 3 2 2 2 3 2 2 3" xfId="33715"/>
    <cellStyle name="Normal 2 2 3 2 2 3 2 2 2 3 2 2 3 2" xfId="42862"/>
    <cellStyle name="Normal 2 2 3 2 2 3 2 2 2 3 2 3" xfId="12660"/>
    <cellStyle name="Normal 2 2 3 2 2 3 2 2 2 3 2 3 2" xfId="42088"/>
    <cellStyle name="Normal 2 2 3 2 2 3 2 2 2 3 2 3 2 2" xfId="48006"/>
    <cellStyle name="Normal 2 2 3 2 2 3 2 2 2 3 2 4" xfId="26144"/>
    <cellStyle name="Normal 2 2 3 2 2 3 2 2 2 3 3" xfId="11883"/>
    <cellStyle name="Normal 2 2 3 2 2 3 2 2 2 3 3 2" xfId="15865"/>
    <cellStyle name="Normal 2 2 3 2 2 3 2 2 2 3 3 2 2" xfId="47231"/>
    <cellStyle name="Normal 2 2 3 2 2 3 2 2 2 3 3 2 2 2" xfId="51197"/>
    <cellStyle name="Normal 2 2 3 2 2 3 2 2 2 3 3 3" xfId="29371"/>
    <cellStyle name="Normal 2 2 3 2 2 3 2 2 2 3 4" xfId="25368"/>
    <cellStyle name="Normal 2 2 3 2 2 3 2 2 2 3 4 2" xfId="37679"/>
    <cellStyle name="Normal 2 2 3 2 2 3 2 2 2 4" xfId="4217"/>
    <cellStyle name="Normal 2 2 3 2 2 3 2 2 2 4 2" xfId="15041"/>
    <cellStyle name="Normal 2 2 3 2 2 3 2 2 2 4 2 2" xfId="17810"/>
    <cellStyle name="Normal 2 2 3 2 2 3 2 2 2 4 2 2 2" xfId="50380"/>
    <cellStyle name="Normal 2 2 3 2 2 3 2 2 2 4 2 2 2 2" xfId="53137"/>
    <cellStyle name="Normal 2 2 3 2 2 3 2 2 2 4 2 3" xfId="31312"/>
    <cellStyle name="Normal 2 2 3 2 2 3 2 2 2 4 3" xfId="28554"/>
    <cellStyle name="Normal 2 2 3 2 2 3 2 2 2 4 3 2" xfId="39660"/>
    <cellStyle name="Normal 2 2 3 2 2 3 2 2 2 5" xfId="9408"/>
    <cellStyle name="Normal 2 2 3 2 2 3 2 2 2 5 2" xfId="36849"/>
    <cellStyle name="Normal 2 2 3 2 2 3 2 2 2 5 2 2" xfId="44790"/>
    <cellStyle name="Normal 2 2 3 2 2 3 2 2 2 6" xfId="22904"/>
    <cellStyle name="Normal 2 2 3 2 2 3 2 2 3" xfId="2159"/>
    <cellStyle name="Normal 2 2 3 2 2 3 2 2 3 2" xfId="2688"/>
    <cellStyle name="Normal 2 2 3 2 2 3 2 2 3 2 2" xfId="7393"/>
    <cellStyle name="Normal 2 2 3 2 2 3 2 2 3 2 2 2" xfId="7907"/>
    <cellStyle name="Normal 2 2 3 2 2 3 2 2 3 2 2 2 2" xfId="20945"/>
    <cellStyle name="Normal 2 2 3 2 2 3 2 2 3 2 2 2 2 2" xfId="21459"/>
    <cellStyle name="Normal 2 2 3 2 2 3 2 2 3 2 2 2 2 2 2" xfId="56271"/>
    <cellStyle name="Normal 2 2 3 2 2 3 2 2 3 2 2 2 2 2 2 2" xfId="56785"/>
    <cellStyle name="Normal 2 2 3 2 2 3 2 2 3 2 2 2 2 3" xfId="34962"/>
    <cellStyle name="Normal 2 2 3 2 2 3 2 2 3 2 2 2 3" xfId="34448"/>
    <cellStyle name="Normal 2 2 3 2 2 3 2 2 3 2 2 2 3 2" xfId="43334"/>
    <cellStyle name="Normal 2 2 3 2 2 3 2 2 3 2 2 3" xfId="13132"/>
    <cellStyle name="Normal 2 2 3 2 2 3 2 2 3 2 2 3 2" xfId="42820"/>
    <cellStyle name="Normal 2 2 3 2 2 3 2 2 3 2 2 3 2 2" xfId="48478"/>
    <cellStyle name="Normal 2 2 3 2 2 3 2 2 3 2 2 4" xfId="26616"/>
    <cellStyle name="Normal 2 2 3 2 2 3 2 2 3 2 3" xfId="12618"/>
    <cellStyle name="Normal 2 2 3 2 2 3 2 2 3 2 3 2" xfId="16347"/>
    <cellStyle name="Normal 2 2 3 2 2 3 2 2 3 2 3 2 2" xfId="47964"/>
    <cellStyle name="Normal 2 2 3 2 2 3 2 2 3 2 3 2 2 2" xfId="51677"/>
    <cellStyle name="Normal 2 2 3 2 2 3 2 2 3 2 3 3" xfId="29851"/>
    <cellStyle name="Normal 2 2 3 2 2 3 2 2 3 2 4" xfId="26102"/>
    <cellStyle name="Normal 2 2 3 2 2 3 2 2 3 2 4 2" xfId="38161"/>
    <cellStyle name="Normal 2 2 3 2 2 3 2 2 3 3" xfId="4724"/>
    <cellStyle name="Normal 2 2 3 2 2 3 2 2 3 3 2" xfId="15823"/>
    <cellStyle name="Normal 2 2 3 2 2 3 2 2 3 3 2 2" xfId="18301"/>
    <cellStyle name="Normal 2 2 3 2 2 3 2 2 3 3 2 2 2" xfId="51155"/>
    <cellStyle name="Normal 2 2 3 2 2 3 2 2 3 3 2 2 2 2" xfId="53627"/>
    <cellStyle name="Normal 2 2 3 2 2 3 2 2 3 3 2 3" xfId="31802"/>
    <cellStyle name="Normal 2 2 3 2 2 3 2 2 3 3 3" xfId="29329"/>
    <cellStyle name="Normal 2 2 3 2 2 3 2 2 3 3 3 2" xfId="40162"/>
    <cellStyle name="Normal 2 2 3 2 2 3 2 2 3 4" xfId="9927"/>
    <cellStyle name="Normal 2 2 3 2 2 3 2 2 3 4 2" xfId="37637"/>
    <cellStyle name="Normal 2 2 3 2 2 3 2 2 3 4 2 2" xfId="45294"/>
    <cellStyle name="Normal 2 2 3 2 2 3 2 2 3 5" xfId="23417"/>
    <cellStyle name="Normal 2 2 3 2 2 3 2 2 4" xfId="4175"/>
    <cellStyle name="Normal 2 2 3 2 2 3 2 2 4 2" xfId="5929"/>
    <cellStyle name="Normal 2 2 3 2 2 3 2 2 4 2 2" xfId="17768"/>
    <cellStyle name="Normal 2 2 3 2 2 3 2 2 4 2 2 2" xfId="19496"/>
    <cellStyle name="Normal 2 2 3 2 2 3 2 2 4 2 2 2 2" xfId="53095"/>
    <cellStyle name="Normal 2 2 3 2 2 3 2 2 4 2 2 2 2 2" xfId="54822"/>
    <cellStyle name="Normal 2 2 3 2 2 3 2 2 4 2 2 3" xfId="32997"/>
    <cellStyle name="Normal 2 2 3 2 2 3 2 2 4 2 3" xfId="31270"/>
    <cellStyle name="Normal 2 2 3 2 2 3 2 2 4 2 3 2" xfId="41363"/>
    <cellStyle name="Normal 2 2 3 2 2 3 2 2 4 3" xfId="11154"/>
    <cellStyle name="Normal 2 2 3 2 2 3 2 2 4 3 2" xfId="39618"/>
    <cellStyle name="Normal 2 2 3 2 2 3 2 2 4 3 2 2" xfId="46512"/>
    <cellStyle name="Normal 2 2 3 2 2 3 2 2 4 4" xfId="24647"/>
    <cellStyle name="Normal 2 2 3 2 2 3 2 2 5" xfId="9366"/>
    <cellStyle name="Normal 2 2 3 2 2 3 2 2 5 2" xfId="14313"/>
    <cellStyle name="Normal 2 2 3 2 2 3 2 2 5 2 2" xfId="44748"/>
    <cellStyle name="Normal 2 2 3 2 2 3 2 2 5 2 2 2" xfId="49658"/>
    <cellStyle name="Normal 2 2 3 2 2 3 2 2 5 3" xfId="27823"/>
    <cellStyle name="Normal 2 2 3 2 2 3 2 2 6" xfId="22862"/>
    <cellStyle name="Normal 2 2 3 2 2 3 2 2 6 2" xfId="36125"/>
    <cellStyle name="Normal 2 2 3 2 2 3 2 3" xfId="926"/>
    <cellStyle name="Normal 2 2 3 2 2 3 2 3 2" xfId="2643"/>
    <cellStyle name="Normal 2 2 3 2 2 3 2 3 2 2" xfId="2964"/>
    <cellStyle name="Normal 2 2 3 2 2 3 2 3 2 2 2" xfId="7863"/>
    <cellStyle name="Normal 2 2 3 2 2 3 2 3 2 2 2 2" xfId="8179"/>
    <cellStyle name="Normal 2 2 3 2 2 3 2 3 2 2 2 2 2" xfId="21415"/>
    <cellStyle name="Normal 2 2 3 2 2 3 2 3 2 2 2 2 2 2" xfId="21731"/>
    <cellStyle name="Normal 2 2 3 2 2 3 2 3 2 2 2 2 2 2 2" xfId="56741"/>
    <cellStyle name="Normal 2 2 3 2 2 3 2 3 2 2 2 2 2 2 2 2" xfId="57057"/>
    <cellStyle name="Normal 2 2 3 2 2 3 2 3 2 2 2 2 2 3" xfId="35234"/>
    <cellStyle name="Normal 2 2 3 2 2 3 2 3 2 2 2 2 3" xfId="34918"/>
    <cellStyle name="Normal 2 2 3 2 2 3 2 3 2 2 2 2 3 2" xfId="43606"/>
    <cellStyle name="Normal 2 2 3 2 2 3 2 3 2 2 2 3" xfId="13404"/>
    <cellStyle name="Normal 2 2 3 2 2 3 2 3 2 2 2 3 2" xfId="43290"/>
    <cellStyle name="Normal 2 2 3 2 2 3 2 3 2 2 2 3 2 2" xfId="48750"/>
    <cellStyle name="Normal 2 2 3 2 2 3 2 3 2 2 2 4" xfId="26889"/>
    <cellStyle name="Normal 2 2 3 2 2 3 2 3 2 2 3" xfId="13088"/>
    <cellStyle name="Normal 2 2 3 2 2 3 2 3 2 2 3 2" xfId="16621"/>
    <cellStyle name="Normal 2 2 3 2 2 3 2 3 2 2 3 2 2" xfId="48434"/>
    <cellStyle name="Normal 2 2 3 2 2 3 2 3 2 2 3 2 2 2" xfId="51949"/>
    <cellStyle name="Normal 2 2 3 2 2 3 2 3 2 2 3 3" xfId="30123"/>
    <cellStyle name="Normal 2 2 3 2 2 3 2 3 2 2 4" xfId="26572"/>
    <cellStyle name="Normal 2 2 3 2 2 3 2 3 2 2 4 2" xfId="38433"/>
    <cellStyle name="Normal 2 2 3 2 2 3 2 3 2 3" xfId="5000"/>
    <cellStyle name="Normal 2 2 3 2 2 3 2 3 2 3 2" xfId="16302"/>
    <cellStyle name="Normal 2 2 3 2 2 3 2 3 2 3 2 2" xfId="18573"/>
    <cellStyle name="Normal 2 2 3 2 2 3 2 3 2 3 2 2 2" xfId="51632"/>
    <cellStyle name="Normal 2 2 3 2 2 3 2 3 2 3 2 2 2 2" xfId="53899"/>
    <cellStyle name="Normal 2 2 3 2 2 3 2 3 2 3 2 3" xfId="32074"/>
    <cellStyle name="Normal 2 2 3 2 2 3 2 3 2 3 3" xfId="29806"/>
    <cellStyle name="Normal 2 2 3 2 2 3 2 3 2 3 3 2" xfId="40437"/>
    <cellStyle name="Normal 2 2 3 2 2 3 2 3 2 4" xfId="10203"/>
    <cellStyle name="Normal 2 2 3 2 2 3 2 3 2 4 2" xfId="38116"/>
    <cellStyle name="Normal 2 2 3 2 2 3 2 3 2 4 2 2" xfId="45566"/>
    <cellStyle name="Normal 2 2 3 2 2 3 2 3 2 5" xfId="23689"/>
    <cellStyle name="Normal 2 2 3 2 2 3 2 3 3" xfId="4678"/>
    <cellStyle name="Normal 2 2 3 2 2 3 2 3 3 2" xfId="6237"/>
    <cellStyle name="Normal 2 2 3 2 2 3 2 3 3 2 2" xfId="18257"/>
    <cellStyle name="Normal 2 2 3 2 2 3 2 3 3 2 2 2" xfId="19794"/>
    <cellStyle name="Normal 2 2 3 2 2 3 2 3 3 2 2 2 2" xfId="53583"/>
    <cellStyle name="Normal 2 2 3 2 2 3 2 3 3 2 2 2 2 2" xfId="55120"/>
    <cellStyle name="Normal 2 2 3 2 2 3 2 3 3 2 2 3" xfId="33296"/>
    <cellStyle name="Normal 2 2 3 2 2 3 2 3 3 2 3" xfId="31758"/>
    <cellStyle name="Normal 2 2 3 2 2 3 2 3 3 2 3 2" xfId="41666"/>
    <cellStyle name="Normal 2 2 3 2 2 3 2 3 3 3" xfId="11462"/>
    <cellStyle name="Normal 2 2 3 2 2 3 2 3 3 3 2" xfId="40117"/>
    <cellStyle name="Normal 2 2 3 2 2 3 2 3 3 3 2 2" xfId="46811"/>
    <cellStyle name="Normal 2 2 3 2 2 3 2 3 3 4" xfId="24948"/>
    <cellStyle name="Normal 2 2 3 2 2 3 2 3 4" xfId="9881"/>
    <cellStyle name="Normal 2 2 3 2 2 3 2 3 4 2" xfId="14620"/>
    <cellStyle name="Normal 2 2 3 2 2 3 2 3 4 2 2" xfId="45250"/>
    <cellStyle name="Normal 2 2 3 2 2 3 2 3 4 2 2 2" xfId="49959"/>
    <cellStyle name="Normal 2 2 3 2 2 3 2 3 4 3" xfId="28131"/>
    <cellStyle name="Normal 2 2 3 2 2 3 2 3 5" xfId="23373"/>
    <cellStyle name="Normal 2 2 3 2 2 3 2 3 5 2" xfId="36428"/>
    <cellStyle name="Normal 2 2 3 2 2 3 2 4" xfId="1722"/>
    <cellStyle name="Normal 2 2 3 2 2 3 2 4 2" xfId="5883"/>
    <cellStyle name="Normal 2 2 3 2 2 3 2 4 2 2" xfId="6975"/>
    <cellStyle name="Normal 2 2 3 2 2 3 2 4 2 2 2" xfId="19451"/>
    <cellStyle name="Normal 2 2 3 2 2 3 2 4 2 2 2 2" xfId="20528"/>
    <cellStyle name="Normal 2 2 3 2 2 3 2 4 2 2 2 2 2" xfId="54777"/>
    <cellStyle name="Normal 2 2 3 2 2 3 2 4 2 2 2 2 2 2" xfId="55854"/>
    <cellStyle name="Normal 2 2 3 2 2 3 2 4 2 2 2 3" xfId="34030"/>
    <cellStyle name="Normal 2 2 3 2 2 3 2 4 2 2 3" xfId="32952"/>
    <cellStyle name="Normal 2 2 3 2 2 3 2 4 2 2 3 2" xfId="42403"/>
    <cellStyle name="Normal 2 2 3 2 2 3 2 4 2 3" xfId="12199"/>
    <cellStyle name="Normal 2 2 3 2 2 3 2 4 2 3 2" xfId="41318"/>
    <cellStyle name="Normal 2 2 3 2 2 3 2 4 2 3 2 2" xfId="47546"/>
    <cellStyle name="Normal 2 2 3 2 2 3 2 4 2 4" xfId="25684"/>
    <cellStyle name="Normal 2 2 3 2 2 3 2 4 3" xfId="11107"/>
    <cellStyle name="Normal 2 2 3 2 2 3 2 4 3 2" xfId="15394"/>
    <cellStyle name="Normal 2 2 3 2 2 3 2 4 3 2 2" xfId="46466"/>
    <cellStyle name="Normal 2 2 3 2 2 3 2 4 3 2 2 2" xfId="50727"/>
    <cellStyle name="Normal 2 2 3 2 2 3 2 4 3 3" xfId="28901"/>
    <cellStyle name="Normal 2 2 3 2 2 3 2 4 4" xfId="24601"/>
    <cellStyle name="Normal 2 2 3 2 2 3 2 4 4 2" xfId="37204"/>
    <cellStyle name="Normal 2 2 3 2 2 3 2 5" xfId="3727"/>
    <cellStyle name="Normal 2 2 3 2 2 3 2 5 2" xfId="14268"/>
    <cellStyle name="Normal 2 2 3 2 2 3 2 5 2 2" xfId="17343"/>
    <cellStyle name="Normal 2 2 3 2 2 3 2 5 2 2 2" xfId="49613"/>
    <cellStyle name="Normal 2 2 3 2 2 3 2 5 2 2 2 2" xfId="52670"/>
    <cellStyle name="Normal 2 2 3 2 2 3 2 5 2 3" xfId="30844"/>
    <cellStyle name="Normal 2 2 3 2 2 3 2 5 3" xfId="27775"/>
    <cellStyle name="Normal 2 2 3 2 2 3 2 5 3 2" xfId="39178"/>
    <cellStyle name="Normal 2 2 3 2 2 3 2 6" xfId="8917"/>
    <cellStyle name="Normal 2 2 3 2 2 3 2 6 2" xfId="36080"/>
    <cellStyle name="Normal 2 2 3 2 2 3 2 6 2 2" xfId="44316"/>
    <cellStyle name="Normal 2 2 3 2 2 3 2 7" xfId="22424"/>
    <cellStyle name="Normal 2 2 3 2 2 3 3" xfId="878"/>
    <cellStyle name="Normal 2 2 3 2 2 3 3 2" xfId="1118"/>
    <cellStyle name="Normal 2 2 3 2 2 3 3 2 2" xfId="2922"/>
    <cellStyle name="Normal 2 2 3 2 2 3 3 2 2 2" xfId="3143"/>
    <cellStyle name="Normal 2 2 3 2 2 3 3 2 2 2 2" xfId="8137"/>
    <cellStyle name="Normal 2 2 3 2 2 3 3 2 2 2 2 2" xfId="8358"/>
    <cellStyle name="Normal 2 2 3 2 2 3 3 2 2 2 2 2 2" xfId="21689"/>
    <cellStyle name="Normal 2 2 3 2 2 3 3 2 2 2 2 2 2 2" xfId="21910"/>
    <cellStyle name="Normal 2 2 3 2 2 3 3 2 2 2 2 2 2 2 2" xfId="57015"/>
    <cellStyle name="Normal 2 2 3 2 2 3 3 2 2 2 2 2 2 2 2 2" xfId="57236"/>
    <cellStyle name="Normal 2 2 3 2 2 3 3 2 2 2 2 2 2 3" xfId="35413"/>
    <cellStyle name="Normal 2 2 3 2 2 3 3 2 2 2 2 2 3" xfId="35192"/>
    <cellStyle name="Normal 2 2 3 2 2 3 3 2 2 2 2 2 3 2" xfId="43785"/>
    <cellStyle name="Normal 2 2 3 2 2 3 3 2 2 2 2 3" xfId="13583"/>
    <cellStyle name="Normal 2 2 3 2 2 3 3 2 2 2 2 3 2" xfId="43564"/>
    <cellStyle name="Normal 2 2 3 2 2 3 3 2 2 2 2 3 2 2" xfId="48929"/>
    <cellStyle name="Normal 2 2 3 2 2 3 3 2 2 2 2 4" xfId="27068"/>
    <cellStyle name="Normal 2 2 3 2 2 3 3 2 2 2 3" xfId="13362"/>
    <cellStyle name="Normal 2 2 3 2 2 3 3 2 2 2 3 2" xfId="16800"/>
    <cellStyle name="Normal 2 2 3 2 2 3 3 2 2 2 3 2 2" xfId="48708"/>
    <cellStyle name="Normal 2 2 3 2 2 3 3 2 2 2 3 2 2 2" xfId="52128"/>
    <cellStyle name="Normal 2 2 3 2 2 3 3 2 2 2 3 3" xfId="30302"/>
    <cellStyle name="Normal 2 2 3 2 2 3 3 2 2 2 4" xfId="26847"/>
    <cellStyle name="Normal 2 2 3 2 2 3 3 2 2 2 4 2" xfId="38612"/>
    <cellStyle name="Normal 2 2 3 2 2 3 3 2 2 3" xfId="5180"/>
    <cellStyle name="Normal 2 2 3 2 2 3 3 2 2 3 2" xfId="16579"/>
    <cellStyle name="Normal 2 2 3 2 2 3 3 2 2 3 2 2" xfId="18753"/>
    <cellStyle name="Normal 2 2 3 2 2 3 3 2 2 3 2 2 2" xfId="51907"/>
    <cellStyle name="Normal 2 2 3 2 2 3 3 2 2 3 2 2 2 2" xfId="54079"/>
    <cellStyle name="Normal 2 2 3 2 2 3 3 2 2 3 2 3" xfId="32254"/>
    <cellStyle name="Normal 2 2 3 2 2 3 3 2 2 3 3" xfId="30081"/>
    <cellStyle name="Normal 2 2 3 2 2 3 3 2 2 3 3 2" xfId="40617"/>
    <cellStyle name="Normal 2 2 3 2 2 3 3 2 2 4" xfId="10383"/>
    <cellStyle name="Normal 2 2 3 2 2 3 3 2 2 4 2" xfId="38391"/>
    <cellStyle name="Normal 2 2 3 2 2 3 3 2 2 4 2 2" xfId="45746"/>
    <cellStyle name="Normal 2 2 3 2 2 3 3 2 2 5" xfId="23869"/>
    <cellStyle name="Normal 2 2 3 2 2 3 3 2 3" xfId="4958"/>
    <cellStyle name="Normal 2 2 3 2 2 3 3 2 3 2" xfId="6426"/>
    <cellStyle name="Normal 2 2 3 2 2 3 3 2 3 2 2" xfId="18531"/>
    <cellStyle name="Normal 2 2 3 2 2 3 3 2 3 2 2 2" xfId="19981"/>
    <cellStyle name="Normal 2 2 3 2 2 3 3 2 3 2 2 2 2" xfId="53857"/>
    <cellStyle name="Normal 2 2 3 2 2 3 3 2 3 2 2 2 2 2" xfId="55307"/>
    <cellStyle name="Normal 2 2 3 2 2 3 3 2 3 2 2 3" xfId="33483"/>
    <cellStyle name="Normal 2 2 3 2 2 3 3 2 3 2 3" xfId="32032"/>
    <cellStyle name="Normal 2 2 3 2 2 3 3 2 3 2 3 2" xfId="41854"/>
    <cellStyle name="Normal 2 2 3 2 2 3 3 2 3 3" xfId="11650"/>
    <cellStyle name="Normal 2 2 3 2 2 3 3 2 3 3 2" xfId="40395"/>
    <cellStyle name="Normal 2 2 3 2 2 3 3 2 3 3 2 2" xfId="46999"/>
    <cellStyle name="Normal 2 2 3 2 2 3 3 2 3 4" xfId="25136"/>
    <cellStyle name="Normal 2 2 3 2 2 3 3 2 4" xfId="10161"/>
    <cellStyle name="Normal 2 2 3 2 2 3 3 2 4 2" xfId="14809"/>
    <cellStyle name="Normal 2 2 3 2 2 3 3 2 4 2 2" xfId="45524"/>
    <cellStyle name="Normal 2 2 3 2 2 3 3 2 4 2 2 2" xfId="50148"/>
    <cellStyle name="Normal 2 2 3 2 2 3 3 2 4 3" xfId="28321"/>
    <cellStyle name="Normal 2 2 3 2 2 3 3 2 5" xfId="23647"/>
    <cellStyle name="Normal 2 2 3 2 2 3 3 2 5 2" xfId="36617"/>
    <cellStyle name="Normal 2 2 3 2 2 3 3 3" xfId="1926"/>
    <cellStyle name="Normal 2 2 3 2 2 3 3 3 2" xfId="6191"/>
    <cellStyle name="Normal 2 2 3 2 2 3 3 3 2 2" xfId="7165"/>
    <cellStyle name="Normal 2 2 3 2 2 3 3 3 2 2 2" xfId="19750"/>
    <cellStyle name="Normal 2 2 3 2 2 3 3 3 2 2 2 2" xfId="20717"/>
    <cellStyle name="Normal 2 2 3 2 2 3 3 3 2 2 2 2 2" xfId="55076"/>
    <cellStyle name="Normal 2 2 3 2 2 3 3 3 2 2 2 2 2 2" xfId="56043"/>
    <cellStyle name="Normal 2 2 3 2 2 3 3 3 2 2 2 3" xfId="34220"/>
    <cellStyle name="Normal 2 2 3 2 2 3 3 3 2 2 3" xfId="33252"/>
    <cellStyle name="Normal 2 2 3 2 2 3 3 3 2 2 3 2" xfId="42592"/>
    <cellStyle name="Normal 2 2 3 2 2 3 3 3 2 3" xfId="12390"/>
    <cellStyle name="Normal 2 2 3 2 2 3 3 3 2 3 2" xfId="41621"/>
    <cellStyle name="Normal 2 2 3 2 2 3 3 3 2 3 2 2" xfId="47736"/>
    <cellStyle name="Normal 2 2 3 2 2 3 3 3 2 4" xfId="25874"/>
    <cellStyle name="Normal 2 2 3 2 2 3 3 3 3" xfId="11416"/>
    <cellStyle name="Normal 2 2 3 2 2 3 3 3 3 2" xfId="15591"/>
    <cellStyle name="Normal 2 2 3 2 2 3 3 3 3 2 2" xfId="46767"/>
    <cellStyle name="Normal 2 2 3 2 2 3 3 3 3 2 2 2" xfId="50923"/>
    <cellStyle name="Normal 2 2 3 2 2 3 3 3 3 3" xfId="29097"/>
    <cellStyle name="Normal 2 2 3 2 2 3 3 3 4" xfId="24904"/>
    <cellStyle name="Normal 2 2 3 2 2 3 3 3 4 2" xfId="37404"/>
    <cellStyle name="Normal 2 2 3 2 2 3 3 4" xfId="3940"/>
    <cellStyle name="Normal 2 2 3 2 2 3 3 4 2" xfId="14574"/>
    <cellStyle name="Normal 2 2 3 2 2 3 3 4 2 2" xfId="17540"/>
    <cellStyle name="Normal 2 2 3 2 2 3 3 4 2 2 2" xfId="49915"/>
    <cellStyle name="Normal 2 2 3 2 2 3 3 4 2 2 2 2" xfId="52867"/>
    <cellStyle name="Normal 2 2 3 2 2 3 3 4 2 3" xfId="31042"/>
    <cellStyle name="Normal 2 2 3 2 2 3 3 4 3" xfId="28086"/>
    <cellStyle name="Normal 2 2 3 2 2 3 3 4 3 2" xfId="39384"/>
    <cellStyle name="Normal 2 2 3 2 2 3 3 5" xfId="9132"/>
    <cellStyle name="Normal 2 2 3 2 2 3 3 5 2" xfId="36384"/>
    <cellStyle name="Normal 2 2 3 2 2 3 3 5 2 2" xfId="44520"/>
    <cellStyle name="Normal 2 2 3 2 2 3 3 6" xfId="22634"/>
    <cellStyle name="Normal 2 2 3 2 2 3 4" xfId="1673"/>
    <cellStyle name="Normal 2 2 3 2 2 3 4 2" xfId="2374"/>
    <cellStyle name="Normal 2 2 3 2 2 3 4 2 2" xfId="6932"/>
    <cellStyle name="Normal 2 2 3 2 2 3 4 2 2 2" xfId="7607"/>
    <cellStyle name="Normal 2 2 3 2 2 3 4 2 2 2 2" xfId="20485"/>
    <cellStyle name="Normal 2 2 3 2 2 3 4 2 2 2 2 2" xfId="21159"/>
    <cellStyle name="Normal 2 2 3 2 2 3 4 2 2 2 2 2 2" xfId="55811"/>
    <cellStyle name="Normal 2 2 3 2 2 3 4 2 2 2 2 2 2 2" xfId="56485"/>
    <cellStyle name="Normal 2 2 3 2 2 3 4 2 2 2 2 3" xfId="34662"/>
    <cellStyle name="Normal 2 2 3 2 2 3 4 2 2 2 3" xfId="33987"/>
    <cellStyle name="Normal 2 2 3 2 2 3 4 2 2 2 3 2" xfId="43034"/>
    <cellStyle name="Normal 2 2 3 2 2 3 4 2 2 3" xfId="12832"/>
    <cellStyle name="Normal 2 2 3 2 2 3 4 2 2 3 2" xfId="42360"/>
    <cellStyle name="Normal 2 2 3 2 2 3 4 2 2 3 2 2" xfId="48178"/>
    <cellStyle name="Normal 2 2 3 2 2 3 4 2 2 4" xfId="26316"/>
    <cellStyle name="Normal 2 2 3 2 2 3 4 2 3" xfId="12156"/>
    <cellStyle name="Normal 2 2 3 2 2 3 4 2 3 2" xfId="16037"/>
    <cellStyle name="Normal 2 2 3 2 2 3 4 2 3 2 2" xfId="47503"/>
    <cellStyle name="Normal 2 2 3 2 2 3 4 2 3 2 2 2" xfId="51369"/>
    <cellStyle name="Normal 2 2 3 2 2 3 4 2 3 3" xfId="29543"/>
    <cellStyle name="Normal 2 2 3 2 2 3 4 2 4" xfId="25641"/>
    <cellStyle name="Normal 2 2 3 2 2 3 4 2 4 2" xfId="37852"/>
    <cellStyle name="Normal 2 2 3 2 2 3 4 3" xfId="4408"/>
    <cellStyle name="Normal 2 2 3 2 2 3 4 3 2" xfId="15346"/>
    <cellStyle name="Normal 2 2 3 2 2 3 4 3 2 2" xfId="17999"/>
    <cellStyle name="Normal 2 2 3 2 2 3 4 3 2 2 2" xfId="50680"/>
    <cellStyle name="Normal 2 2 3 2 2 3 4 3 2 2 2 2" xfId="53325"/>
    <cellStyle name="Normal 2 2 3 2 2 3 4 3 2 3" xfId="31500"/>
    <cellStyle name="Normal 2 2 3 2 2 3 4 3 3" xfId="28854"/>
    <cellStyle name="Normal 2 2 3 2 2 3 4 3 3 2" xfId="39850"/>
    <cellStyle name="Normal 2 2 3 2 2 3 4 4" xfId="9611"/>
    <cellStyle name="Normal 2 2 3 2 2 3 4 4 2" xfId="37156"/>
    <cellStyle name="Normal 2 2 3 2 2 3 4 4 2 2" xfId="44991"/>
    <cellStyle name="Normal 2 2 3 2 2 3 4 5" xfId="23112"/>
    <cellStyle name="Normal 2 2 3 2 2 3 5" xfId="3678"/>
    <cellStyle name="Normal 2 2 3 2 2 3 5 2" xfId="5615"/>
    <cellStyle name="Normal 2 2 3 2 2 3 5 2 2" xfId="17300"/>
    <cellStyle name="Normal 2 2 3 2 2 3 5 2 2 2" xfId="19187"/>
    <cellStyle name="Normal 2 2 3 2 2 3 5 2 2 2 2" xfId="52627"/>
    <cellStyle name="Normal 2 2 3 2 2 3 5 2 2 2 2 2" xfId="54513"/>
    <cellStyle name="Normal 2 2 3 2 2 3 5 2 2 3" xfId="32688"/>
    <cellStyle name="Normal 2 2 3 2 2 3 5 2 3" xfId="30801"/>
    <cellStyle name="Normal 2 2 3 2 2 3 5 2 3 2" xfId="41051"/>
    <cellStyle name="Normal 2 2 3 2 2 3 5 3" xfId="10831"/>
    <cellStyle name="Normal 2 2 3 2 2 3 5 3 2" xfId="39129"/>
    <cellStyle name="Normal 2 2 3 2 2 3 5 3 2 2" xfId="46193"/>
    <cellStyle name="Normal 2 2 3 2 2 3 5 4" xfId="24323"/>
    <cellStyle name="Normal 2 2 3 2 2 3 6" xfId="8869"/>
    <cellStyle name="Normal 2 2 3 2 2 3 6 2" xfId="13999"/>
    <cellStyle name="Normal 2 2 3 2 2 3 6 2 2" xfId="44272"/>
    <cellStyle name="Normal 2 2 3 2 2 3 6 2 2 2" xfId="49345"/>
    <cellStyle name="Normal 2 2 3 2 2 3 6 3" xfId="27493"/>
    <cellStyle name="Normal 2 2 3 2 2 3 7" xfId="22380"/>
    <cellStyle name="Normal 2 2 3 2 2 3 7 2" xfId="35811"/>
    <cellStyle name="Normal 2 2 3 2 2 4" xfId="393"/>
    <cellStyle name="Normal 2 2 3 2 2 4 2" xfId="1048"/>
    <cellStyle name="Normal 2 2 3 2 2 4 2 2" xfId="1224"/>
    <cellStyle name="Normal 2 2 3 2 2 4 2 2 2" xfId="3084"/>
    <cellStyle name="Normal 2 2 3 2 2 4 2 2 2 2" xfId="3242"/>
    <cellStyle name="Normal 2 2 3 2 2 4 2 2 2 2 2" xfId="8299"/>
    <cellStyle name="Normal 2 2 3 2 2 4 2 2 2 2 2 2" xfId="8457"/>
    <cellStyle name="Normal 2 2 3 2 2 4 2 2 2 2 2 2 2" xfId="21851"/>
    <cellStyle name="Normal 2 2 3 2 2 4 2 2 2 2 2 2 2 2" xfId="22009"/>
    <cellStyle name="Normal 2 2 3 2 2 4 2 2 2 2 2 2 2 2 2" xfId="57177"/>
    <cellStyle name="Normal 2 2 3 2 2 4 2 2 2 2 2 2 2 2 2 2" xfId="57335"/>
    <cellStyle name="Normal 2 2 3 2 2 4 2 2 2 2 2 2 2 3" xfId="35512"/>
    <cellStyle name="Normal 2 2 3 2 2 4 2 2 2 2 2 2 3" xfId="35354"/>
    <cellStyle name="Normal 2 2 3 2 2 4 2 2 2 2 2 2 3 2" xfId="43884"/>
    <cellStyle name="Normal 2 2 3 2 2 4 2 2 2 2 2 3" xfId="13682"/>
    <cellStyle name="Normal 2 2 3 2 2 4 2 2 2 2 2 3 2" xfId="43726"/>
    <cellStyle name="Normal 2 2 3 2 2 4 2 2 2 2 2 3 2 2" xfId="49028"/>
    <cellStyle name="Normal 2 2 3 2 2 4 2 2 2 2 2 4" xfId="27167"/>
    <cellStyle name="Normal 2 2 3 2 2 4 2 2 2 2 3" xfId="13524"/>
    <cellStyle name="Normal 2 2 3 2 2 4 2 2 2 2 3 2" xfId="16899"/>
    <cellStyle name="Normal 2 2 3 2 2 4 2 2 2 2 3 2 2" xfId="48870"/>
    <cellStyle name="Normal 2 2 3 2 2 4 2 2 2 2 3 2 2 2" xfId="52227"/>
    <cellStyle name="Normal 2 2 3 2 2 4 2 2 2 2 3 3" xfId="30401"/>
    <cellStyle name="Normal 2 2 3 2 2 4 2 2 2 2 4" xfId="27009"/>
    <cellStyle name="Normal 2 2 3 2 2 4 2 2 2 2 4 2" xfId="38711"/>
    <cellStyle name="Normal 2 2 3 2 2 4 2 2 2 3" xfId="5279"/>
    <cellStyle name="Normal 2 2 3 2 2 4 2 2 2 3 2" xfId="16741"/>
    <cellStyle name="Normal 2 2 3 2 2 4 2 2 2 3 2 2" xfId="18852"/>
    <cellStyle name="Normal 2 2 3 2 2 4 2 2 2 3 2 2 2" xfId="52069"/>
    <cellStyle name="Normal 2 2 3 2 2 4 2 2 2 3 2 2 2 2" xfId="54178"/>
    <cellStyle name="Normal 2 2 3 2 2 4 2 2 2 3 2 3" xfId="32353"/>
    <cellStyle name="Normal 2 2 3 2 2 4 2 2 2 3 3" xfId="30243"/>
    <cellStyle name="Normal 2 2 3 2 2 4 2 2 2 3 3 2" xfId="40716"/>
    <cellStyle name="Normal 2 2 3 2 2 4 2 2 2 4" xfId="10482"/>
    <cellStyle name="Normal 2 2 3 2 2 4 2 2 2 4 2" xfId="38553"/>
    <cellStyle name="Normal 2 2 3 2 2 4 2 2 2 4 2 2" xfId="45845"/>
    <cellStyle name="Normal 2 2 3 2 2 4 2 2 2 5" xfId="23968"/>
    <cellStyle name="Normal 2 2 3 2 2 4 2 2 3" xfId="5121"/>
    <cellStyle name="Normal 2 2 3 2 2 4 2 2 3 2" xfId="6532"/>
    <cellStyle name="Normal 2 2 3 2 2 4 2 2 3 2 2" xfId="18694"/>
    <cellStyle name="Normal 2 2 3 2 2 4 2 2 3 2 2 2" xfId="20085"/>
    <cellStyle name="Normal 2 2 3 2 2 4 2 2 3 2 2 2 2" xfId="54020"/>
    <cellStyle name="Normal 2 2 3 2 2 4 2 2 3 2 2 2 2 2" xfId="55411"/>
    <cellStyle name="Normal 2 2 3 2 2 4 2 2 3 2 2 3" xfId="33587"/>
    <cellStyle name="Normal 2 2 3 2 2 4 2 2 3 2 3" xfId="32195"/>
    <cellStyle name="Normal 2 2 3 2 2 4 2 2 3 2 3 2" xfId="41960"/>
    <cellStyle name="Normal 2 2 3 2 2 4 2 2 3 3" xfId="11755"/>
    <cellStyle name="Normal 2 2 3 2 2 4 2 2 3 3 2" xfId="40558"/>
    <cellStyle name="Normal 2 2 3 2 2 4 2 2 3 3 2 2" xfId="47103"/>
    <cellStyle name="Normal 2 2 3 2 2 4 2 2 3 4" xfId="25240"/>
    <cellStyle name="Normal 2 2 3 2 2 4 2 2 4" xfId="10324"/>
    <cellStyle name="Normal 2 2 3 2 2 4 2 2 4 2" xfId="14913"/>
    <cellStyle name="Normal 2 2 3 2 2 4 2 2 4 2 2" xfId="45687"/>
    <cellStyle name="Normal 2 2 3 2 2 4 2 2 4 2 2 2" xfId="50252"/>
    <cellStyle name="Normal 2 2 3 2 2 4 2 2 4 3" xfId="28426"/>
    <cellStyle name="Normal 2 2 3 2 2 4 2 2 5" xfId="23810"/>
    <cellStyle name="Normal 2 2 3 2 2 4 2 2 5 2" xfId="36721"/>
    <cellStyle name="Normal 2 2 3 2 2 4 2 3" xfId="2030"/>
    <cellStyle name="Normal 2 2 3 2 2 4 2 3 2" xfId="6358"/>
    <cellStyle name="Normal 2 2 3 2 2 4 2 3 2 2" xfId="7264"/>
    <cellStyle name="Normal 2 2 3 2 2 4 2 3 2 2 2" xfId="19915"/>
    <cellStyle name="Normal 2 2 3 2 2 4 2 3 2 2 2 2" xfId="20816"/>
    <cellStyle name="Normal 2 2 3 2 2 4 2 3 2 2 2 2 2" xfId="55241"/>
    <cellStyle name="Normal 2 2 3 2 2 4 2 3 2 2 2 2 2 2" xfId="56142"/>
    <cellStyle name="Normal 2 2 3 2 2 4 2 3 2 2 2 3" xfId="34319"/>
    <cellStyle name="Normal 2 2 3 2 2 4 2 3 2 2 3" xfId="33417"/>
    <cellStyle name="Normal 2 2 3 2 2 4 2 3 2 2 3 2" xfId="42691"/>
    <cellStyle name="Normal 2 2 3 2 2 4 2 3 2 3" xfId="12489"/>
    <cellStyle name="Normal 2 2 3 2 2 4 2 3 2 3 2" xfId="41787"/>
    <cellStyle name="Normal 2 2 3 2 2 4 2 3 2 3 2 2" xfId="47835"/>
    <cellStyle name="Normal 2 2 3 2 2 4 2 3 2 4" xfId="25973"/>
    <cellStyle name="Normal 2 2 3 2 2 4 2 3 3" xfId="11584"/>
    <cellStyle name="Normal 2 2 3 2 2 4 2 3 3 2" xfId="15694"/>
    <cellStyle name="Normal 2 2 3 2 2 4 2 3 3 2 2" xfId="46933"/>
    <cellStyle name="Normal 2 2 3 2 2 4 2 3 3 2 2 2" xfId="51026"/>
    <cellStyle name="Normal 2 2 3 2 2 4 2 3 3 3" xfId="29200"/>
    <cellStyle name="Normal 2 2 3 2 2 4 2 3 4" xfId="25070"/>
    <cellStyle name="Normal 2 2 3 2 2 4 2 3 4 2" xfId="37508"/>
    <cellStyle name="Normal 2 2 3 2 2 4 2 4" xfId="4046"/>
    <cellStyle name="Normal 2 2 3 2 2 4 2 4 2" xfId="14741"/>
    <cellStyle name="Normal 2 2 3 2 2 4 2 4 2 2" xfId="17639"/>
    <cellStyle name="Normal 2 2 3 2 2 4 2 4 2 2 2" xfId="50080"/>
    <cellStyle name="Normal 2 2 3 2 2 4 2 4 2 2 2 2" xfId="52966"/>
    <cellStyle name="Normal 2 2 3 2 2 4 2 4 2 3" xfId="31141"/>
    <cellStyle name="Normal 2 2 3 2 2 4 2 4 3" xfId="28253"/>
    <cellStyle name="Normal 2 2 3 2 2 4 2 4 3 2" xfId="39489"/>
    <cellStyle name="Normal 2 2 3 2 2 4 2 5" xfId="9237"/>
    <cellStyle name="Normal 2 2 3 2 2 4 2 5 2" xfId="36549"/>
    <cellStyle name="Normal 2 2 3 2 2 4 2 5 2 2" xfId="44619"/>
    <cellStyle name="Normal 2 2 3 2 2 4 2 6" xfId="22733"/>
    <cellStyle name="Normal 2 2 3 2 2 4 3" xfId="1854"/>
    <cellStyle name="Normal 2 2 3 2 2 4 3 2" xfId="2495"/>
    <cellStyle name="Normal 2 2 3 2 2 4 3 2 2" xfId="7104"/>
    <cellStyle name="Normal 2 2 3 2 2 4 3 2 2 2" xfId="7720"/>
    <cellStyle name="Normal 2 2 3 2 2 4 3 2 2 2 2" xfId="20656"/>
    <cellStyle name="Normal 2 2 3 2 2 4 3 2 2 2 2 2" xfId="21272"/>
    <cellStyle name="Normal 2 2 3 2 2 4 3 2 2 2 2 2 2" xfId="55982"/>
    <cellStyle name="Normal 2 2 3 2 2 4 3 2 2 2 2 2 2 2" xfId="56598"/>
    <cellStyle name="Normal 2 2 3 2 2 4 3 2 2 2 2 3" xfId="34775"/>
    <cellStyle name="Normal 2 2 3 2 2 4 3 2 2 2 3" xfId="34159"/>
    <cellStyle name="Normal 2 2 3 2 2 4 3 2 2 2 3 2" xfId="43147"/>
    <cellStyle name="Normal 2 2 3 2 2 4 3 2 2 3" xfId="12945"/>
    <cellStyle name="Normal 2 2 3 2 2 4 3 2 2 3 2" xfId="42531"/>
    <cellStyle name="Normal 2 2 3 2 2 4 3 2 2 3 2 2" xfId="48291"/>
    <cellStyle name="Normal 2 2 3 2 2 4 3 2 2 4" xfId="26429"/>
    <cellStyle name="Normal 2 2 3 2 2 4 3 2 3" xfId="12329"/>
    <cellStyle name="Normal 2 2 3 2 2 4 3 2 3 2" xfId="16156"/>
    <cellStyle name="Normal 2 2 3 2 2 4 3 2 3 2 2" xfId="47675"/>
    <cellStyle name="Normal 2 2 3 2 2 4 3 2 3 2 2 2" xfId="51487"/>
    <cellStyle name="Normal 2 2 3 2 2 4 3 2 3 3" xfId="29661"/>
    <cellStyle name="Normal 2 2 3 2 2 4 3 2 4" xfId="25813"/>
    <cellStyle name="Normal 2 2 3 2 2 4 3 2 4 2" xfId="37970"/>
    <cellStyle name="Normal 2 2 3 2 2 4 3 3" xfId="4530"/>
    <cellStyle name="Normal 2 2 3 2 2 4 3 3 2" xfId="15525"/>
    <cellStyle name="Normal 2 2 3 2 2 4 3 3 2 2" xfId="18113"/>
    <cellStyle name="Normal 2 2 3 2 2 4 3 3 2 2 2" xfId="50857"/>
    <cellStyle name="Normal 2 2 3 2 2 4 3 3 2 2 2 2" xfId="53439"/>
    <cellStyle name="Normal 2 2 3 2 2 4 3 3 2 3" xfId="31614"/>
    <cellStyle name="Normal 2 2 3 2 2 4 3 3 3" xfId="29031"/>
    <cellStyle name="Normal 2 2 3 2 2 4 3 3 3 2" xfId="39971"/>
    <cellStyle name="Normal 2 2 3 2 2 4 3 4" xfId="9733"/>
    <cellStyle name="Normal 2 2 3 2 2 4 3 4 2" xfId="37335"/>
    <cellStyle name="Normal 2 2 3 2 2 4 3 4 2 2" xfId="45106"/>
    <cellStyle name="Normal 2 2 3 2 2 4 3 5" xfId="23229"/>
    <cellStyle name="Normal 2 2 3 2 2 4 4" xfId="3868"/>
    <cellStyle name="Normal 2 2 3 2 2 4 4 2" xfId="5736"/>
    <cellStyle name="Normal 2 2 3 2 2 4 4 2 2" xfId="17479"/>
    <cellStyle name="Normal 2 2 3 2 2 4 4 2 2 2" xfId="19305"/>
    <cellStyle name="Normal 2 2 3 2 2 4 4 2 2 2 2" xfId="52806"/>
    <cellStyle name="Normal 2 2 3 2 2 4 4 2 2 2 2 2" xfId="54631"/>
    <cellStyle name="Normal 2 2 3 2 2 4 4 2 2 3" xfId="32806"/>
    <cellStyle name="Normal 2 2 3 2 2 4 4 2 3" xfId="30981"/>
    <cellStyle name="Normal 2 2 3 2 2 4 4 2 3 2" xfId="41171"/>
    <cellStyle name="Normal 2 2 3 2 2 4 4 3" xfId="10957"/>
    <cellStyle name="Normal 2 2 3 2 2 4 4 3 2" xfId="39316"/>
    <cellStyle name="Normal 2 2 3 2 2 4 4 3 2 2" xfId="46316"/>
    <cellStyle name="Normal 2 2 3 2 2 4 4 4" xfId="24450"/>
    <cellStyle name="Normal 2 2 3 2 2 4 5" xfId="9060"/>
    <cellStyle name="Normal 2 2 3 2 2 4 5 2" xfId="14120"/>
    <cellStyle name="Normal 2 2 3 2 2 4 5 2 2" xfId="44456"/>
    <cellStyle name="Normal 2 2 3 2 2 4 5 2 2 2" xfId="49465"/>
    <cellStyle name="Normal 2 2 3 2 2 4 5 3" xfId="27622"/>
    <cellStyle name="Normal 2 2 3 2 2 4 6" xfId="22567"/>
    <cellStyle name="Normal 2 2 3 2 2 4 6 2" xfId="35931"/>
    <cellStyle name="Normal 2 2 3 2 2 5" xfId="707"/>
    <cellStyle name="Normal 2 2 3 2 2 5 2" xfId="2311"/>
    <cellStyle name="Normal 2 2 3 2 2 5 2 2" xfId="2779"/>
    <cellStyle name="Normal 2 2 3 2 2 5 2 2 2" xfId="7545"/>
    <cellStyle name="Normal 2 2 3 2 2 5 2 2 2 2" xfId="7996"/>
    <cellStyle name="Normal 2 2 3 2 2 5 2 2 2 2 2" xfId="21097"/>
    <cellStyle name="Normal 2 2 3 2 2 5 2 2 2 2 2 2" xfId="21548"/>
    <cellStyle name="Normal 2 2 3 2 2 5 2 2 2 2 2 2 2" xfId="56423"/>
    <cellStyle name="Normal 2 2 3 2 2 5 2 2 2 2 2 2 2 2" xfId="56874"/>
    <cellStyle name="Normal 2 2 3 2 2 5 2 2 2 2 2 3" xfId="35051"/>
    <cellStyle name="Normal 2 2 3 2 2 5 2 2 2 2 3" xfId="34600"/>
    <cellStyle name="Normal 2 2 3 2 2 5 2 2 2 2 3 2" xfId="43423"/>
    <cellStyle name="Normal 2 2 3 2 2 5 2 2 2 3" xfId="13221"/>
    <cellStyle name="Normal 2 2 3 2 2 5 2 2 2 3 2" xfId="42972"/>
    <cellStyle name="Normal 2 2 3 2 2 5 2 2 2 3 2 2" xfId="48567"/>
    <cellStyle name="Normal 2 2 3 2 2 5 2 2 2 4" xfId="26705"/>
    <cellStyle name="Normal 2 2 3 2 2 5 2 2 3" xfId="12770"/>
    <cellStyle name="Normal 2 2 3 2 2 5 2 2 3 2" xfId="16438"/>
    <cellStyle name="Normal 2 2 3 2 2 5 2 2 3 2 2" xfId="48116"/>
    <cellStyle name="Normal 2 2 3 2 2 5 2 2 3 2 2 2" xfId="51766"/>
    <cellStyle name="Normal 2 2 3 2 2 5 2 2 3 3" xfId="29940"/>
    <cellStyle name="Normal 2 2 3 2 2 5 2 2 4" xfId="26254"/>
    <cellStyle name="Normal 2 2 3 2 2 5 2 2 4 2" xfId="38250"/>
    <cellStyle name="Normal 2 2 3 2 2 5 2 3" xfId="4815"/>
    <cellStyle name="Normal 2 2 3 2 2 5 2 3 2" xfId="15975"/>
    <cellStyle name="Normal 2 2 3 2 2 5 2 3 2 2" xfId="18390"/>
    <cellStyle name="Normal 2 2 3 2 2 5 2 3 2 2 2" xfId="51307"/>
    <cellStyle name="Normal 2 2 3 2 2 5 2 3 2 2 2 2" xfId="53716"/>
    <cellStyle name="Normal 2 2 3 2 2 5 2 3 2 3" xfId="31891"/>
    <cellStyle name="Normal 2 2 3 2 2 5 2 3 3" xfId="29481"/>
    <cellStyle name="Normal 2 2 3 2 2 5 2 3 3 2" xfId="40252"/>
    <cellStyle name="Normal 2 2 3 2 2 5 2 4" xfId="10018"/>
    <cellStyle name="Normal 2 2 3 2 2 5 2 4 2" xfId="37789"/>
    <cellStyle name="Normal 2 2 3 2 2 5 2 4 2 2" xfId="45383"/>
    <cellStyle name="Normal 2 2 3 2 2 5 2 5" xfId="23506"/>
    <cellStyle name="Normal 2 2 3 2 2 5 3" xfId="4340"/>
    <cellStyle name="Normal 2 2 3 2 2 5 3 2" xfId="6032"/>
    <cellStyle name="Normal 2 2 3 2 2 5 3 2 2" xfId="17933"/>
    <cellStyle name="Normal 2 2 3 2 2 5 3 2 2 2" xfId="19596"/>
    <cellStyle name="Normal 2 2 3 2 2 5 3 2 2 2 2" xfId="53260"/>
    <cellStyle name="Normal 2 2 3 2 2 5 3 2 2 2 2 2" xfId="54922"/>
    <cellStyle name="Normal 2 2 3 2 2 5 3 2 2 3" xfId="33097"/>
    <cellStyle name="Normal 2 2 3 2 2 5 3 2 3" xfId="31435"/>
    <cellStyle name="Normal 2 2 3 2 2 5 3 2 3 2" xfId="41466"/>
    <cellStyle name="Normal 2 2 3 2 2 5 3 3" xfId="11257"/>
    <cellStyle name="Normal 2 2 3 2 2 5 3 3 2" xfId="39783"/>
    <cellStyle name="Normal 2 2 3 2 2 5 3 3 2 2" xfId="46612"/>
    <cellStyle name="Normal 2 2 3 2 2 5 3 4" xfId="24749"/>
    <cellStyle name="Normal 2 2 3 2 2 5 4" xfId="9537"/>
    <cellStyle name="Normal 2 2 3 2 2 5 4 2" xfId="14415"/>
    <cellStyle name="Normal 2 2 3 2 2 5 4 2 2" xfId="44919"/>
    <cellStyle name="Normal 2 2 3 2 2 5 4 2 2 2" xfId="49760"/>
    <cellStyle name="Normal 2 2 3 2 2 5 4 3" xfId="27928"/>
    <cellStyle name="Normal 2 2 3 2 2 5 5" xfId="23036"/>
    <cellStyle name="Normal 2 2 3 2 2 5 5 2" xfId="36228"/>
    <cellStyle name="Normal 2 2 3 2 2 6" xfId="1486"/>
    <cellStyle name="Normal 2 2 3 2 2 6 2" xfId="5550"/>
    <cellStyle name="Normal 2 2 3 2 2 6 2 2" xfId="6777"/>
    <cellStyle name="Normal 2 2 3 2 2 6 2 2 2" xfId="19123"/>
    <cellStyle name="Normal 2 2 3 2 2 6 2 2 2 2" xfId="20330"/>
    <cellStyle name="Normal 2 2 3 2 2 6 2 2 2 2 2" xfId="54449"/>
    <cellStyle name="Normal 2 2 3 2 2 6 2 2 2 2 2 2" xfId="55656"/>
    <cellStyle name="Normal 2 2 3 2 2 6 2 2 2 3" xfId="33832"/>
    <cellStyle name="Normal 2 2 3 2 2 6 2 2 3" xfId="32624"/>
    <cellStyle name="Normal 2 2 3 2 2 6 2 2 3 2" xfId="42205"/>
    <cellStyle name="Normal 2 2 3 2 2 6 2 3" xfId="12000"/>
    <cellStyle name="Normal 2 2 3 2 2 6 2 3 2" xfId="40987"/>
    <cellStyle name="Normal 2 2 3 2 2 6 2 3 2 2" xfId="47348"/>
    <cellStyle name="Normal 2 2 3 2 2 6 2 4" xfId="25485"/>
    <cellStyle name="Normal 2 2 3 2 2 6 3" xfId="10758"/>
    <cellStyle name="Normal 2 2 3 2 2 6 3 2" xfId="15170"/>
    <cellStyle name="Normal 2 2 3 2 2 6 3 2 2" xfId="46120"/>
    <cellStyle name="Normal 2 2 3 2 2 6 3 2 2 2" xfId="50508"/>
    <cellStyle name="Normal 2 2 3 2 2 6 3 3" xfId="28682"/>
    <cellStyle name="Normal 2 2 3 2 2 6 4" xfId="24246"/>
    <cellStyle name="Normal 2 2 3 2 2 6 4 2" xfId="36980"/>
    <cellStyle name="Normal 2 2 3 2 2 7" xfId="3485"/>
    <cellStyle name="Normal 2 2 3 2 2 7 2" xfId="13935"/>
    <cellStyle name="Normal 2 2 3 2 2 7 2 2" xfId="17139"/>
    <cellStyle name="Normal 2 2 3 2 2 7 2 2 2" xfId="49281"/>
    <cellStyle name="Normal 2 2 3 2 2 7 2 2 2 2" xfId="52467"/>
    <cellStyle name="Normal 2 2 3 2 2 7 2 3" xfId="30641"/>
    <cellStyle name="Normal 2 2 3 2 2 7 3" xfId="27421"/>
    <cellStyle name="Normal 2 2 3 2 2 7 3 2" xfId="38952"/>
    <cellStyle name="Normal 2 2 3 2 2 8" xfId="3657"/>
    <cellStyle name="Normal 2 2 3 2 2 8 2" xfId="34158"/>
    <cellStyle name="Normal 2 2 3 2 2 8 2 2" xfId="39111"/>
    <cellStyle name="Normal 2 2 3 2 2 9" xfId="750"/>
    <cellStyle name="Normal 2 2 3 2 3" xfId="237"/>
    <cellStyle name="Normal 2 2 3 2 3 2" xfId="274"/>
    <cellStyle name="Normal 2 2 3 2 3 2 2" xfId="593"/>
    <cellStyle name="Normal 2 2 3 2 3 2 2 2" xfId="618"/>
    <cellStyle name="Normal 2 2 3 2 3 2 2 2 2" xfId="1389"/>
    <cellStyle name="Normal 2 2 3 2 3 2 2 2 2 2" xfId="1414"/>
    <cellStyle name="Normal 2 2 3 2 3 2 2 2 2 2 2" xfId="3407"/>
    <cellStyle name="Normal 2 2 3 2 3 2 2 2 2 2 2 2" xfId="3432"/>
    <cellStyle name="Normal 2 2 3 2 3 2 2 2 2 2 2 2 2" xfId="8622"/>
    <cellStyle name="Normal 2 2 3 2 3 2 2 2 2 2 2 2 2 2" xfId="8647"/>
    <cellStyle name="Normal 2 2 3 2 3 2 2 2 2 2 2 2 2 2 2" xfId="22174"/>
    <cellStyle name="Normal 2 2 3 2 3 2 2 2 2 2 2 2 2 2 2 2" xfId="22199"/>
    <cellStyle name="Normal 2 2 3 2 3 2 2 2 2 2 2 2 2 2 2 2 2" xfId="57500"/>
    <cellStyle name="Normal 2 2 3 2 3 2 2 2 2 2 2 2 2 2 2 2 2 2" xfId="57525"/>
    <cellStyle name="Normal 2 2 3 2 3 2 2 2 2 2 2 2 2 2 2 3" xfId="35702"/>
    <cellStyle name="Normal 2 2 3 2 3 2 2 2 2 2 2 2 2 2 3" xfId="35677"/>
    <cellStyle name="Normal 2 2 3 2 3 2 2 2 2 2 2 2 2 2 3 2" xfId="44074"/>
    <cellStyle name="Normal 2 2 3 2 3 2 2 2 2 2 2 2 2 3" xfId="13872"/>
    <cellStyle name="Normal 2 2 3 2 3 2 2 2 2 2 2 2 2 3 2" xfId="44049"/>
    <cellStyle name="Normal 2 2 3 2 3 2 2 2 2 2 2 2 2 3 2 2" xfId="49218"/>
    <cellStyle name="Normal 2 2 3 2 3 2 2 2 2 2 2 2 2 4" xfId="27357"/>
    <cellStyle name="Normal 2 2 3 2 3 2 2 2 2 2 2 2 3" xfId="13847"/>
    <cellStyle name="Normal 2 2 3 2 3 2 2 2 2 2 2 2 3 2" xfId="17089"/>
    <cellStyle name="Normal 2 2 3 2 3 2 2 2 2 2 2 2 3 2 2" xfId="49193"/>
    <cellStyle name="Normal 2 2 3 2 3 2 2 2 2 2 2 2 3 2 2 2" xfId="52417"/>
    <cellStyle name="Normal 2 2 3 2 3 2 2 2 2 2 2 2 3 3" xfId="30591"/>
    <cellStyle name="Normal 2 2 3 2 3 2 2 2 2 2 2 2 4" xfId="27332"/>
    <cellStyle name="Normal 2 2 3 2 3 2 2 2 2 2 2 2 4 2" xfId="38901"/>
    <cellStyle name="Normal 2 2 3 2 3 2 2 2 2 2 2 3" xfId="5469"/>
    <cellStyle name="Normal 2 2 3 2 3 2 2 2 2 2 2 3 2" xfId="17064"/>
    <cellStyle name="Normal 2 2 3 2 3 2 2 2 2 2 2 3 2 2" xfId="19042"/>
    <cellStyle name="Normal 2 2 3 2 3 2 2 2 2 2 2 3 2 2 2" xfId="52392"/>
    <cellStyle name="Normal 2 2 3 2 3 2 2 2 2 2 2 3 2 2 2 2" xfId="54368"/>
    <cellStyle name="Normal 2 2 3 2 3 2 2 2 2 2 2 3 2 3" xfId="32543"/>
    <cellStyle name="Normal 2 2 3 2 3 2 2 2 2 2 2 3 3" xfId="30566"/>
    <cellStyle name="Normal 2 2 3 2 3 2 2 2 2 2 2 3 3 2" xfId="40906"/>
    <cellStyle name="Normal 2 2 3 2 3 2 2 2 2 2 2 4" xfId="10672"/>
    <cellStyle name="Normal 2 2 3 2 3 2 2 2 2 2 2 4 2" xfId="38876"/>
    <cellStyle name="Normal 2 2 3 2 3 2 2 2 2 2 2 4 2 2" xfId="46035"/>
    <cellStyle name="Normal 2 2 3 2 3 2 2 2 2 2 2 5" xfId="24158"/>
    <cellStyle name="Normal 2 2 3 2 3 2 2 2 2 2 3" xfId="5444"/>
    <cellStyle name="Normal 2 2 3 2 3 2 2 2 2 2 3 2" xfId="6722"/>
    <cellStyle name="Normal 2 2 3 2 3 2 2 2 2 2 3 2 2" xfId="19017"/>
    <cellStyle name="Normal 2 2 3 2 3 2 2 2 2 2 3 2 2 2" xfId="20275"/>
    <cellStyle name="Normal 2 2 3 2 3 2 2 2 2 2 3 2 2 2 2" xfId="54343"/>
    <cellStyle name="Normal 2 2 3 2 3 2 2 2 2 2 3 2 2 2 2 2" xfId="55601"/>
    <cellStyle name="Normal 2 2 3 2 3 2 2 2 2 2 3 2 2 3" xfId="33777"/>
    <cellStyle name="Normal 2 2 3 2 3 2 2 2 2 2 3 2 3" xfId="32518"/>
    <cellStyle name="Normal 2 2 3 2 3 2 2 2 2 2 3 2 3 2" xfId="42150"/>
    <cellStyle name="Normal 2 2 3 2 3 2 2 2 2 2 3 3" xfId="11945"/>
    <cellStyle name="Normal 2 2 3 2 3 2 2 2 2 2 3 3 2" xfId="40881"/>
    <cellStyle name="Normal 2 2 3 2 3 2 2 2 2 2 3 3 2 2" xfId="47293"/>
    <cellStyle name="Normal 2 2 3 2 3 2 2 2 2 2 3 4" xfId="25430"/>
    <cellStyle name="Normal 2 2 3 2 3 2 2 2 2 2 4" xfId="10647"/>
    <cellStyle name="Normal 2 2 3 2 3 2 2 2 2 2 4 2" xfId="15103"/>
    <cellStyle name="Normal 2 2 3 2 3 2 2 2 2 2 4 2 2" xfId="46010"/>
    <cellStyle name="Normal 2 2 3 2 3 2 2 2 2 2 4 2 2 2" xfId="50442"/>
    <cellStyle name="Normal 2 2 3 2 3 2 2 2 2 2 4 3" xfId="28616"/>
    <cellStyle name="Normal 2 2 3 2 3 2 2 2 2 2 5" xfId="24133"/>
    <cellStyle name="Normal 2 2 3 2 3 2 2 2 2 2 5 2" xfId="36911"/>
    <cellStyle name="Normal 2 2 3 2 3 2 2 2 2 3" xfId="2221"/>
    <cellStyle name="Normal 2 2 3 2 3 2 2 2 2 3 2" xfId="6697"/>
    <cellStyle name="Normal 2 2 3 2 3 2 2 2 2 3 2 2" xfId="7455"/>
    <cellStyle name="Normal 2 2 3 2 3 2 2 2 2 3 2 2 2" xfId="20250"/>
    <cellStyle name="Normal 2 2 3 2 3 2 2 2 2 3 2 2 2 2" xfId="21007"/>
    <cellStyle name="Normal 2 2 3 2 3 2 2 2 2 3 2 2 2 2 2" xfId="55576"/>
    <cellStyle name="Normal 2 2 3 2 3 2 2 2 2 3 2 2 2 2 2 2" xfId="56333"/>
    <cellStyle name="Normal 2 2 3 2 3 2 2 2 2 3 2 2 2 3" xfId="34510"/>
    <cellStyle name="Normal 2 2 3 2 3 2 2 2 2 3 2 2 3" xfId="33752"/>
    <cellStyle name="Normal 2 2 3 2 3 2 2 2 2 3 2 2 3 2" xfId="42882"/>
    <cellStyle name="Normal 2 2 3 2 3 2 2 2 2 3 2 3" xfId="12680"/>
    <cellStyle name="Normal 2 2 3 2 3 2 2 2 2 3 2 3 2" xfId="42125"/>
    <cellStyle name="Normal 2 2 3 2 3 2 2 2 2 3 2 3 2 2" xfId="48026"/>
    <cellStyle name="Normal 2 2 3 2 3 2 2 2 2 3 2 4" xfId="26164"/>
    <cellStyle name="Normal 2 2 3 2 3 2 2 2 2 3 3" xfId="11920"/>
    <cellStyle name="Normal 2 2 3 2 3 2 2 2 2 3 3 2" xfId="15885"/>
    <cellStyle name="Normal 2 2 3 2 3 2 2 2 2 3 3 2 2" xfId="47268"/>
    <cellStyle name="Normal 2 2 3 2 3 2 2 2 2 3 3 2 2 2" xfId="51217"/>
    <cellStyle name="Normal 2 2 3 2 3 2 2 2 2 3 3 3" xfId="29391"/>
    <cellStyle name="Normal 2 2 3 2 3 2 2 2 2 3 4" xfId="25405"/>
    <cellStyle name="Normal 2 2 3 2 3 2 2 2 2 3 4 2" xfId="37699"/>
    <cellStyle name="Normal 2 2 3 2 3 2 2 2 2 4" xfId="4237"/>
    <cellStyle name="Normal 2 2 3 2 3 2 2 2 2 4 2" xfId="15078"/>
    <cellStyle name="Normal 2 2 3 2 3 2 2 2 2 4 2 2" xfId="17830"/>
    <cellStyle name="Normal 2 2 3 2 3 2 2 2 2 4 2 2 2" xfId="50417"/>
    <cellStyle name="Normal 2 2 3 2 3 2 2 2 2 4 2 2 2 2" xfId="53157"/>
    <cellStyle name="Normal 2 2 3 2 3 2 2 2 2 4 2 3" xfId="31332"/>
    <cellStyle name="Normal 2 2 3 2 3 2 2 2 2 4 3" xfId="28591"/>
    <cellStyle name="Normal 2 2 3 2 3 2 2 2 2 4 3 2" xfId="39680"/>
    <cellStyle name="Normal 2 2 3 2 3 2 2 2 2 5" xfId="9428"/>
    <cellStyle name="Normal 2 2 3 2 3 2 2 2 2 5 2" xfId="36886"/>
    <cellStyle name="Normal 2 2 3 2 3 2 2 2 2 5 2 2" xfId="44810"/>
    <cellStyle name="Normal 2 2 3 2 3 2 2 2 2 6" xfId="22924"/>
    <cellStyle name="Normal 2 2 3 2 3 2 2 2 3" xfId="2196"/>
    <cellStyle name="Normal 2 2 3 2 3 2 2 2 3 2" xfId="2708"/>
    <cellStyle name="Normal 2 2 3 2 3 2 2 2 3 2 2" xfId="7430"/>
    <cellStyle name="Normal 2 2 3 2 3 2 2 2 3 2 2 2" xfId="7927"/>
    <cellStyle name="Normal 2 2 3 2 3 2 2 2 3 2 2 2 2" xfId="20982"/>
    <cellStyle name="Normal 2 2 3 2 3 2 2 2 3 2 2 2 2 2" xfId="21479"/>
    <cellStyle name="Normal 2 2 3 2 3 2 2 2 3 2 2 2 2 2 2" xfId="56308"/>
    <cellStyle name="Normal 2 2 3 2 3 2 2 2 3 2 2 2 2 2 2 2" xfId="56805"/>
    <cellStyle name="Normal 2 2 3 2 3 2 2 2 3 2 2 2 2 3" xfId="34982"/>
    <cellStyle name="Normal 2 2 3 2 3 2 2 2 3 2 2 2 3" xfId="34485"/>
    <cellStyle name="Normal 2 2 3 2 3 2 2 2 3 2 2 2 3 2" xfId="43354"/>
    <cellStyle name="Normal 2 2 3 2 3 2 2 2 3 2 2 3" xfId="13152"/>
    <cellStyle name="Normal 2 2 3 2 3 2 2 2 3 2 2 3 2" xfId="42857"/>
    <cellStyle name="Normal 2 2 3 2 3 2 2 2 3 2 2 3 2 2" xfId="48498"/>
    <cellStyle name="Normal 2 2 3 2 3 2 2 2 3 2 2 4" xfId="26636"/>
    <cellStyle name="Normal 2 2 3 2 3 2 2 2 3 2 3" xfId="12655"/>
    <cellStyle name="Normal 2 2 3 2 3 2 2 2 3 2 3 2" xfId="16367"/>
    <cellStyle name="Normal 2 2 3 2 3 2 2 2 3 2 3 2 2" xfId="48001"/>
    <cellStyle name="Normal 2 2 3 2 3 2 2 2 3 2 3 2 2 2" xfId="51697"/>
    <cellStyle name="Normal 2 2 3 2 3 2 2 2 3 2 3 3" xfId="29871"/>
    <cellStyle name="Normal 2 2 3 2 3 2 2 2 3 2 4" xfId="26139"/>
    <cellStyle name="Normal 2 2 3 2 3 2 2 2 3 2 4 2" xfId="38181"/>
    <cellStyle name="Normal 2 2 3 2 3 2 2 2 3 3" xfId="4744"/>
    <cellStyle name="Normal 2 2 3 2 3 2 2 2 3 3 2" xfId="15860"/>
    <cellStyle name="Normal 2 2 3 2 3 2 2 2 3 3 2 2" xfId="18321"/>
    <cellStyle name="Normal 2 2 3 2 3 2 2 2 3 3 2 2 2" xfId="51192"/>
    <cellStyle name="Normal 2 2 3 2 3 2 2 2 3 3 2 2 2 2" xfId="53647"/>
    <cellStyle name="Normal 2 2 3 2 3 2 2 2 3 3 2 3" xfId="31822"/>
    <cellStyle name="Normal 2 2 3 2 3 2 2 2 3 3 3" xfId="29366"/>
    <cellStyle name="Normal 2 2 3 2 3 2 2 2 3 3 3 2" xfId="40182"/>
    <cellStyle name="Normal 2 2 3 2 3 2 2 2 3 4" xfId="9947"/>
    <cellStyle name="Normal 2 2 3 2 3 2 2 2 3 4 2" xfId="37674"/>
    <cellStyle name="Normal 2 2 3 2 3 2 2 2 3 4 2 2" xfId="45314"/>
    <cellStyle name="Normal 2 2 3 2 3 2 2 2 3 5" xfId="23437"/>
    <cellStyle name="Normal 2 2 3 2 3 2 2 2 4" xfId="4212"/>
    <cellStyle name="Normal 2 2 3 2 3 2 2 2 4 2" xfId="5949"/>
    <cellStyle name="Normal 2 2 3 2 3 2 2 2 4 2 2" xfId="17805"/>
    <cellStyle name="Normal 2 2 3 2 3 2 2 2 4 2 2 2" xfId="19516"/>
    <cellStyle name="Normal 2 2 3 2 3 2 2 2 4 2 2 2 2" xfId="53132"/>
    <cellStyle name="Normal 2 2 3 2 3 2 2 2 4 2 2 2 2 2" xfId="54842"/>
    <cellStyle name="Normal 2 2 3 2 3 2 2 2 4 2 2 3" xfId="33017"/>
    <cellStyle name="Normal 2 2 3 2 3 2 2 2 4 2 3" xfId="31307"/>
    <cellStyle name="Normal 2 2 3 2 3 2 2 2 4 2 3 2" xfId="41383"/>
    <cellStyle name="Normal 2 2 3 2 3 2 2 2 4 3" xfId="11174"/>
    <cellStyle name="Normal 2 2 3 2 3 2 2 2 4 3 2" xfId="39655"/>
    <cellStyle name="Normal 2 2 3 2 3 2 2 2 4 3 2 2" xfId="46532"/>
    <cellStyle name="Normal 2 2 3 2 3 2 2 2 4 4" xfId="24667"/>
    <cellStyle name="Normal 2 2 3 2 3 2 2 2 5" xfId="9403"/>
    <cellStyle name="Normal 2 2 3 2 3 2 2 2 5 2" xfId="14333"/>
    <cellStyle name="Normal 2 2 3 2 3 2 2 2 5 2 2" xfId="44785"/>
    <cellStyle name="Normal 2 2 3 2 3 2 2 2 5 2 2 2" xfId="49678"/>
    <cellStyle name="Normal 2 2 3 2 3 2 2 2 5 3" xfId="27843"/>
    <cellStyle name="Normal 2 2 3 2 3 2 2 2 6" xfId="22899"/>
    <cellStyle name="Normal 2 2 3 2 3 2 2 2 6 2" xfId="36145"/>
    <cellStyle name="Normal 2 2 3 2 3 2 2 3" xfId="946"/>
    <cellStyle name="Normal 2 2 3 2 3 2 2 3 2" xfId="2683"/>
    <cellStyle name="Normal 2 2 3 2 3 2 2 3 2 2" xfId="2984"/>
    <cellStyle name="Normal 2 2 3 2 3 2 2 3 2 2 2" xfId="7902"/>
    <cellStyle name="Normal 2 2 3 2 3 2 2 3 2 2 2 2" xfId="8199"/>
    <cellStyle name="Normal 2 2 3 2 3 2 2 3 2 2 2 2 2" xfId="21454"/>
    <cellStyle name="Normal 2 2 3 2 3 2 2 3 2 2 2 2 2 2" xfId="21751"/>
    <cellStyle name="Normal 2 2 3 2 3 2 2 3 2 2 2 2 2 2 2" xfId="56780"/>
    <cellStyle name="Normal 2 2 3 2 3 2 2 3 2 2 2 2 2 2 2 2" xfId="57077"/>
    <cellStyle name="Normal 2 2 3 2 3 2 2 3 2 2 2 2 2 3" xfId="35254"/>
    <cellStyle name="Normal 2 2 3 2 3 2 2 3 2 2 2 2 3" xfId="34957"/>
    <cellStyle name="Normal 2 2 3 2 3 2 2 3 2 2 2 2 3 2" xfId="43626"/>
    <cellStyle name="Normal 2 2 3 2 3 2 2 3 2 2 2 3" xfId="13424"/>
    <cellStyle name="Normal 2 2 3 2 3 2 2 3 2 2 2 3 2" xfId="43329"/>
    <cellStyle name="Normal 2 2 3 2 3 2 2 3 2 2 2 3 2 2" xfId="48770"/>
    <cellStyle name="Normal 2 2 3 2 3 2 2 3 2 2 2 4" xfId="26909"/>
    <cellStyle name="Normal 2 2 3 2 3 2 2 3 2 2 3" xfId="13127"/>
    <cellStyle name="Normal 2 2 3 2 3 2 2 3 2 2 3 2" xfId="16641"/>
    <cellStyle name="Normal 2 2 3 2 3 2 2 3 2 2 3 2 2" xfId="48473"/>
    <cellStyle name="Normal 2 2 3 2 3 2 2 3 2 2 3 2 2 2" xfId="51969"/>
    <cellStyle name="Normal 2 2 3 2 3 2 2 3 2 2 3 3" xfId="30143"/>
    <cellStyle name="Normal 2 2 3 2 3 2 2 3 2 2 4" xfId="26611"/>
    <cellStyle name="Normal 2 2 3 2 3 2 2 3 2 2 4 2" xfId="38453"/>
    <cellStyle name="Normal 2 2 3 2 3 2 2 3 2 3" xfId="5020"/>
    <cellStyle name="Normal 2 2 3 2 3 2 2 3 2 3 2" xfId="16342"/>
    <cellStyle name="Normal 2 2 3 2 3 2 2 3 2 3 2 2" xfId="18593"/>
    <cellStyle name="Normal 2 2 3 2 3 2 2 3 2 3 2 2 2" xfId="51672"/>
    <cellStyle name="Normal 2 2 3 2 3 2 2 3 2 3 2 2 2 2" xfId="53919"/>
    <cellStyle name="Normal 2 2 3 2 3 2 2 3 2 3 2 3" xfId="32094"/>
    <cellStyle name="Normal 2 2 3 2 3 2 2 3 2 3 3" xfId="29846"/>
    <cellStyle name="Normal 2 2 3 2 3 2 2 3 2 3 3 2" xfId="40457"/>
    <cellStyle name="Normal 2 2 3 2 3 2 2 3 2 4" xfId="10223"/>
    <cellStyle name="Normal 2 2 3 2 3 2 2 3 2 4 2" xfId="38156"/>
    <cellStyle name="Normal 2 2 3 2 3 2 2 3 2 4 2 2" xfId="45586"/>
    <cellStyle name="Normal 2 2 3 2 3 2 2 3 2 5" xfId="23709"/>
    <cellStyle name="Normal 2 2 3 2 3 2 2 3 3" xfId="4719"/>
    <cellStyle name="Normal 2 2 3 2 3 2 2 3 3 2" xfId="6257"/>
    <cellStyle name="Normal 2 2 3 2 3 2 2 3 3 2 2" xfId="18296"/>
    <cellStyle name="Normal 2 2 3 2 3 2 2 3 3 2 2 2" xfId="19814"/>
    <cellStyle name="Normal 2 2 3 2 3 2 2 3 3 2 2 2 2" xfId="53622"/>
    <cellStyle name="Normal 2 2 3 2 3 2 2 3 3 2 2 2 2 2" xfId="55140"/>
    <cellStyle name="Normal 2 2 3 2 3 2 2 3 3 2 2 3" xfId="33316"/>
    <cellStyle name="Normal 2 2 3 2 3 2 2 3 3 2 3" xfId="31797"/>
    <cellStyle name="Normal 2 2 3 2 3 2 2 3 3 2 3 2" xfId="41686"/>
    <cellStyle name="Normal 2 2 3 2 3 2 2 3 3 3" xfId="11482"/>
    <cellStyle name="Normal 2 2 3 2 3 2 2 3 3 3 2" xfId="40157"/>
    <cellStyle name="Normal 2 2 3 2 3 2 2 3 3 3 2 2" xfId="46831"/>
    <cellStyle name="Normal 2 2 3 2 3 2 2 3 3 4" xfId="24968"/>
    <cellStyle name="Normal 2 2 3 2 3 2 2 3 4" xfId="9922"/>
    <cellStyle name="Normal 2 2 3 2 3 2 2 3 4 2" xfId="14640"/>
    <cellStyle name="Normal 2 2 3 2 3 2 2 3 4 2 2" xfId="45289"/>
    <cellStyle name="Normal 2 2 3 2 3 2 2 3 4 2 2 2" xfId="49979"/>
    <cellStyle name="Normal 2 2 3 2 3 2 2 3 4 3" xfId="28151"/>
    <cellStyle name="Normal 2 2 3 2 3 2 2 3 5" xfId="23412"/>
    <cellStyle name="Normal 2 2 3 2 3 2 2 3 5 2" xfId="36448"/>
    <cellStyle name="Normal 2 2 3 2 3 2 2 4" xfId="1742"/>
    <cellStyle name="Normal 2 2 3 2 3 2 2 4 2" xfId="5924"/>
    <cellStyle name="Normal 2 2 3 2 3 2 2 4 2 2" xfId="6995"/>
    <cellStyle name="Normal 2 2 3 2 3 2 2 4 2 2 2" xfId="19491"/>
    <cellStyle name="Normal 2 2 3 2 3 2 2 4 2 2 2 2" xfId="20548"/>
    <cellStyle name="Normal 2 2 3 2 3 2 2 4 2 2 2 2 2" xfId="54817"/>
    <cellStyle name="Normal 2 2 3 2 3 2 2 4 2 2 2 2 2 2" xfId="55874"/>
    <cellStyle name="Normal 2 2 3 2 3 2 2 4 2 2 2 3" xfId="34050"/>
    <cellStyle name="Normal 2 2 3 2 3 2 2 4 2 2 3" xfId="32992"/>
    <cellStyle name="Normal 2 2 3 2 3 2 2 4 2 2 3 2" xfId="42423"/>
    <cellStyle name="Normal 2 2 3 2 3 2 2 4 2 3" xfId="12219"/>
    <cellStyle name="Normal 2 2 3 2 3 2 2 4 2 3 2" xfId="41358"/>
    <cellStyle name="Normal 2 2 3 2 3 2 2 4 2 3 2 2" xfId="47566"/>
    <cellStyle name="Normal 2 2 3 2 3 2 2 4 2 4" xfId="25704"/>
    <cellStyle name="Normal 2 2 3 2 3 2 2 4 3" xfId="11149"/>
    <cellStyle name="Normal 2 2 3 2 3 2 2 4 3 2" xfId="15414"/>
    <cellStyle name="Normal 2 2 3 2 3 2 2 4 3 2 2" xfId="46507"/>
    <cellStyle name="Normal 2 2 3 2 3 2 2 4 3 2 2 2" xfId="50747"/>
    <cellStyle name="Normal 2 2 3 2 3 2 2 4 3 3" xfId="28921"/>
    <cellStyle name="Normal 2 2 3 2 3 2 2 4 4" xfId="24642"/>
    <cellStyle name="Normal 2 2 3 2 3 2 2 4 4 2" xfId="37224"/>
    <cellStyle name="Normal 2 2 3 2 3 2 2 5" xfId="3748"/>
    <cellStyle name="Normal 2 2 3 2 3 2 2 5 2" xfId="14308"/>
    <cellStyle name="Normal 2 2 3 2 3 2 2 5 2 2" xfId="17364"/>
    <cellStyle name="Normal 2 2 3 2 3 2 2 5 2 2 2" xfId="49653"/>
    <cellStyle name="Normal 2 2 3 2 3 2 2 5 2 2 2 2" xfId="52691"/>
    <cellStyle name="Normal 2 2 3 2 3 2 2 5 2 3" xfId="30865"/>
    <cellStyle name="Normal 2 2 3 2 3 2 2 5 3" xfId="27818"/>
    <cellStyle name="Normal 2 2 3 2 3 2 2 5 3 2" xfId="39199"/>
    <cellStyle name="Normal 2 2 3 2 3 2 2 6" xfId="8938"/>
    <cellStyle name="Normal 2 2 3 2 3 2 2 6 2" xfId="36120"/>
    <cellStyle name="Normal 2 2 3 2 3 2 2 6 2 2" xfId="44337"/>
    <cellStyle name="Normal 2 2 3 2 3 2 2 7" xfId="22445"/>
    <cellStyle name="Normal 2 2 3 2 3 2 3" xfId="921"/>
    <cellStyle name="Normal 2 2 3 2 3 2 3 2" xfId="1139"/>
    <cellStyle name="Normal 2 2 3 2 3 2 3 2 2" xfId="2959"/>
    <cellStyle name="Normal 2 2 3 2 3 2 3 2 2 2" xfId="3164"/>
    <cellStyle name="Normal 2 2 3 2 3 2 3 2 2 2 2" xfId="8174"/>
    <cellStyle name="Normal 2 2 3 2 3 2 3 2 2 2 2 2" xfId="8379"/>
    <cellStyle name="Normal 2 2 3 2 3 2 3 2 2 2 2 2 2" xfId="21726"/>
    <cellStyle name="Normal 2 2 3 2 3 2 3 2 2 2 2 2 2 2" xfId="21931"/>
    <cellStyle name="Normal 2 2 3 2 3 2 3 2 2 2 2 2 2 2 2" xfId="57052"/>
    <cellStyle name="Normal 2 2 3 2 3 2 3 2 2 2 2 2 2 2 2 2" xfId="57257"/>
    <cellStyle name="Normal 2 2 3 2 3 2 3 2 2 2 2 2 2 3" xfId="35434"/>
    <cellStyle name="Normal 2 2 3 2 3 2 3 2 2 2 2 2 3" xfId="35229"/>
    <cellStyle name="Normal 2 2 3 2 3 2 3 2 2 2 2 2 3 2" xfId="43806"/>
    <cellStyle name="Normal 2 2 3 2 3 2 3 2 2 2 2 3" xfId="13604"/>
    <cellStyle name="Normal 2 2 3 2 3 2 3 2 2 2 2 3 2" xfId="43601"/>
    <cellStyle name="Normal 2 2 3 2 3 2 3 2 2 2 2 3 2 2" xfId="48950"/>
    <cellStyle name="Normal 2 2 3 2 3 2 3 2 2 2 2 4" xfId="27089"/>
    <cellStyle name="Normal 2 2 3 2 3 2 3 2 2 2 3" xfId="13399"/>
    <cellStyle name="Normal 2 2 3 2 3 2 3 2 2 2 3 2" xfId="16821"/>
    <cellStyle name="Normal 2 2 3 2 3 2 3 2 2 2 3 2 2" xfId="48745"/>
    <cellStyle name="Normal 2 2 3 2 3 2 3 2 2 2 3 2 2 2" xfId="52149"/>
    <cellStyle name="Normal 2 2 3 2 3 2 3 2 2 2 3 3" xfId="30323"/>
    <cellStyle name="Normal 2 2 3 2 3 2 3 2 2 2 4" xfId="26884"/>
    <cellStyle name="Normal 2 2 3 2 3 2 3 2 2 2 4 2" xfId="38633"/>
    <cellStyle name="Normal 2 2 3 2 3 2 3 2 2 3" xfId="5201"/>
    <cellStyle name="Normal 2 2 3 2 3 2 3 2 2 3 2" xfId="16616"/>
    <cellStyle name="Normal 2 2 3 2 3 2 3 2 2 3 2 2" xfId="18774"/>
    <cellStyle name="Normal 2 2 3 2 3 2 3 2 2 3 2 2 2" xfId="51944"/>
    <cellStyle name="Normal 2 2 3 2 3 2 3 2 2 3 2 2 2 2" xfId="54100"/>
    <cellStyle name="Normal 2 2 3 2 3 2 3 2 2 3 2 3" xfId="32275"/>
    <cellStyle name="Normal 2 2 3 2 3 2 3 2 2 3 3" xfId="30118"/>
    <cellStyle name="Normal 2 2 3 2 3 2 3 2 2 3 3 2" xfId="40638"/>
    <cellStyle name="Normal 2 2 3 2 3 2 3 2 2 4" xfId="10404"/>
    <cellStyle name="Normal 2 2 3 2 3 2 3 2 2 4 2" xfId="38428"/>
    <cellStyle name="Normal 2 2 3 2 3 2 3 2 2 4 2 2" xfId="45767"/>
    <cellStyle name="Normal 2 2 3 2 3 2 3 2 2 5" xfId="23890"/>
    <cellStyle name="Normal 2 2 3 2 3 2 3 2 3" xfId="4995"/>
    <cellStyle name="Normal 2 2 3 2 3 2 3 2 3 2" xfId="6447"/>
    <cellStyle name="Normal 2 2 3 2 3 2 3 2 3 2 2" xfId="18568"/>
    <cellStyle name="Normal 2 2 3 2 3 2 3 2 3 2 2 2" xfId="20002"/>
    <cellStyle name="Normal 2 2 3 2 3 2 3 2 3 2 2 2 2" xfId="53894"/>
    <cellStyle name="Normal 2 2 3 2 3 2 3 2 3 2 2 2 2 2" xfId="55328"/>
    <cellStyle name="Normal 2 2 3 2 3 2 3 2 3 2 2 3" xfId="33504"/>
    <cellStyle name="Normal 2 2 3 2 3 2 3 2 3 2 3" xfId="32069"/>
    <cellStyle name="Normal 2 2 3 2 3 2 3 2 3 2 3 2" xfId="41875"/>
    <cellStyle name="Normal 2 2 3 2 3 2 3 2 3 3" xfId="11671"/>
    <cellStyle name="Normal 2 2 3 2 3 2 3 2 3 3 2" xfId="40432"/>
    <cellStyle name="Normal 2 2 3 2 3 2 3 2 3 3 2 2" xfId="47020"/>
    <cellStyle name="Normal 2 2 3 2 3 2 3 2 3 4" xfId="25157"/>
    <cellStyle name="Normal 2 2 3 2 3 2 3 2 4" xfId="10198"/>
    <cellStyle name="Normal 2 2 3 2 3 2 3 2 4 2" xfId="14830"/>
    <cellStyle name="Normal 2 2 3 2 3 2 3 2 4 2 2" xfId="45561"/>
    <cellStyle name="Normal 2 2 3 2 3 2 3 2 4 2 2 2" xfId="50169"/>
    <cellStyle name="Normal 2 2 3 2 3 2 3 2 4 3" xfId="28342"/>
    <cellStyle name="Normal 2 2 3 2 3 2 3 2 5" xfId="23684"/>
    <cellStyle name="Normal 2 2 3 2 3 2 3 2 5 2" xfId="36638"/>
    <cellStyle name="Normal 2 2 3 2 3 2 3 3" xfId="1947"/>
    <cellStyle name="Normal 2 2 3 2 3 2 3 3 2" xfId="6232"/>
    <cellStyle name="Normal 2 2 3 2 3 2 3 3 2 2" xfId="7186"/>
    <cellStyle name="Normal 2 2 3 2 3 2 3 3 2 2 2" xfId="19789"/>
    <cellStyle name="Normal 2 2 3 2 3 2 3 3 2 2 2 2" xfId="20738"/>
    <cellStyle name="Normal 2 2 3 2 3 2 3 3 2 2 2 2 2" xfId="55115"/>
    <cellStyle name="Normal 2 2 3 2 3 2 3 3 2 2 2 2 2 2" xfId="56064"/>
    <cellStyle name="Normal 2 2 3 2 3 2 3 3 2 2 2 3" xfId="34241"/>
    <cellStyle name="Normal 2 2 3 2 3 2 3 3 2 2 3" xfId="33291"/>
    <cellStyle name="Normal 2 2 3 2 3 2 3 3 2 2 3 2" xfId="42613"/>
    <cellStyle name="Normal 2 2 3 2 3 2 3 3 2 3" xfId="12411"/>
    <cellStyle name="Normal 2 2 3 2 3 2 3 3 2 3 2" xfId="41661"/>
    <cellStyle name="Normal 2 2 3 2 3 2 3 3 2 3 2 2" xfId="47757"/>
    <cellStyle name="Normal 2 2 3 2 3 2 3 3 2 4" xfId="25895"/>
    <cellStyle name="Normal 2 2 3 2 3 2 3 3 3" xfId="11457"/>
    <cellStyle name="Normal 2 2 3 2 3 2 3 3 3 2" xfId="15612"/>
    <cellStyle name="Normal 2 2 3 2 3 2 3 3 3 2 2" xfId="46806"/>
    <cellStyle name="Normal 2 2 3 2 3 2 3 3 3 2 2 2" xfId="50944"/>
    <cellStyle name="Normal 2 2 3 2 3 2 3 3 3 3" xfId="29118"/>
    <cellStyle name="Normal 2 2 3 2 3 2 3 3 4" xfId="24943"/>
    <cellStyle name="Normal 2 2 3 2 3 2 3 3 4 2" xfId="37425"/>
    <cellStyle name="Normal 2 2 3 2 3 2 3 4" xfId="3961"/>
    <cellStyle name="Normal 2 2 3 2 3 2 3 4 2" xfId="14615"/>
    <cellStyle name="Normal 2 2 3 2 3 2 3 4 2 2" xfId="17561"/>
    <cellStyle name="Normal 2 2 3 2 3 2 3 4 2 2 2" xfId="49954"/>
    <cellStyle name="Normal 2 2 3 2 3 2 3 4 2 2 2 2" xfId="52888"/>
    <cellStyle name="Normal 2 2 3 2 3 2 3 4 2 3" xfId="31063"/>
    <cellStyle name="Normal 2 2 3 2 3 2 3 4 3" xfId="28126"/>
    <cellStyle name="Normal 2 2 3 2 3 2 3 4 3 2" xfId="39405"/>
    <cellStyle name="Normal 2 2 3 2 3 2 3 5" xfId="9154"/>
    <cellStyle name="Normal 2 2 3 2 3 2 3 5 2" xfId="36423"/>
    <cellStyle name="Normal 2 2 3 2 3 2 3 5 2 2" xfId="44541"/>
    <cellStyle name="Normal 2 2 3 2 3 2 3 6" xfId="22655"/>
    <cellStyle name="Normal 2 2 3 2 3 2 4" xfId="1717"/>
    <cellStyle name="Normal 2 2 3 2 3 2 4 2" xfId="2395"/>
    <cellStyle name="Normal 2 2 3 2 3 2 4 2 2" xfId="6970"/>
    <cellStyle name="Normal 2 2 3 2 3 2 4 2 2 2" xfId="7628"/>
    <cellStyle name="Normal 2 2 3 2 3 2 4 2 2 2 2" xfId="20523"/>
    <cellStyle name="Normal 2 2 3 2 3 2 4 2 2 2 2 2" xfId="21180"/>
    <cellStyle name="Normal 2 2 3 2 3 2 4 2 2 2 2 2 2" xfId="55849"/>
    <cellStyle name="Normal 2 2 3 2 3 2 4 2 2 2 2 2 2 2" xfId="56506"/>
    <cellStyle name="Normal 2 2 3 2 3 2 4 2 2 2 2 3" xfId="34683"/>
    <cellStyle name="Normal 2 2 3 2 3 2 4 2 2 2 3" xfId="34025"/>
    <cellStyle name="Normal 2 2 3 2 3 2 4 2 2 2 3 2" xfId="43055"/>
    <cellStyle name="Normal 2 2 3 2 3 2 4 2 2 3" xfId="12853"/>
    <cellStyle name="Normal 2 2 3 2 3 2 4 2 2 3 2" xfId="42398"/>
    <cellStyle name="Normal 2 2 3 2 3 2 4 2 2 3 2 2" xfId="48199"/>
    <cellStyle name="Normal 2 2 3 2 3 2 4 2 2 4" xfId="26337"/>
    <cellStyle name="Normal 2 2 3 2 3 2 4 2 3" xfId="12194"/>
    <cellStyle name="Normal 2 2 3 2 3 2 4 2 3 2" xfId="16058"/>
    <cellStyle name="Normal 2 2 3 2 3 2 4 2 3 2 2" xfId="47541"/>
    <cellStyle name="Normal 2 2 3 2 3 2 4 2 3 2 2 2" xfId="51390"/>
    <cellStyle name="Normal 2 2 3 2 3 2 4 2 3 3" xfId="29564"/>
    <cellStyle name="Normal 2 2 3 2 3 2 4 2 4" xfId="25679"/>
    <cellStyle name="Normal 2 2 3 2 3 2 4 2 4 2" xfId="37873"/>
    <cellStyle name="Normal 2 2 3 2 3 2 4 3" xfId="4430"/>
    <cellStyle name="Normal 2 2 3 2 3 2 4 3 2" xfId="15389"/>
    <cellStyle name="Normal 2 2 3 2 3 2 4 3 2 2" xfId="18021"/>
    <cellStyle name="Normal 2 2 3 2 3 2 4 3 2 2 2" xfId="50722"/>
    <cellStyle name="Normal 2 2 3 2 3 2 4 3 2 2 2 2" xfId="53347"/>
    <cellStyle name="Normal 2 2 3 2 3 2 4 3 2 3" xfId="31522"/>
    <cellStyle name="Normal 2 2 3 2 3 2 4 3 3" xfId="28896"/>
    <cellStyle name="Normal 2 2 3 2 3 2 4 3 3 2" xfId="39872"/>
    <cellStyle name="Normal 2 2 3 2 3 2 4 4" xfId="9633"/>
    <cellStyle name="Normal 2 2 3 2 3 2 4 4 2" xfId="37199"/>
    <cellStyle name="Normal 2 2 3 2 3 2 4 4 2 2" xfId="45013"/>
    <cellStyle name="Normal 2 2 3 2 3 2 4 5" xfId="23134"/>
    <cellStyle name="Normal 2 2 3 2 3 2 5" xfId="3722"/>
    <cellStyle name="Normal 2 2 3 2 3 2 5 2" xfId="5636"/>
    <cellStyle name="Normal 2 2 3 2 3 2 5 2 2" xfId="17338"/>
    <cellStyle name="Normal 2 2 3 2 3 2 5 2 2 2" xfId="19208"/>
    <cellStyle name="Normal 2 2 3 2 3 2 5 2 2 2 2" xfId="52665"/>
    <cellStyle name="Normal 2 2 3 2 3 2 5 2 2 2 2 2" xfId="54534"/>
    <cellStyle name="Normal 2 2 3 2 3 2 5 2 2 3" xfId="32709"/>
    <cellStyle name="Normal 2 2 3 2 3 2 5 2 3" xfId="30839"/>
    <cellStyle name="Normal 2 2 3 2 3 2 5 2 3 2" xfId="41072"/>
    <cellStyle name="Normal 2 2 3 2 3 2 5 3" xfId="10852"/>
    <cellStyle name="Normal 2 2 3 2 3 2 5 3 2" xfId="39173"/>
    <cellStyle name="Normal 2 2 3 2 3 2 5 3 2 2" xfId="46214"/>
    <cellStyle name="Normal 2 2 3 2 3 2 5 4" xfId="24344"/>
    <cellStyle name="Normal 2 2 3 2 3 2 6" xfId="8912"/>
    <cellStyle name="Normal 2 2 3 2 3 2 6 2" xfId="14020"/>
    <cellStyle name="Normal 2 2 3 2 3 2 6 2 2" xfId="44311"/>
    <cellStyle name="Normal 2 2 3 2 3 2 6 2 2 2" xfId="49366"/>
    <cellStyle name="Normal 2 2 3 2 3 2 6 3" xfId="27515"/>
    <cellStyle name="Normal 2 2 3 2 3 2 7" xfId="22419"/>
    <cellStyle name="Normal 2 2 3 2 3 2 7 2" xfId="35832"/>
    <cellStyle name="Normal 2 2 3 2 3 3" xfId="420"/>
    <cellStyle name="Normal 2 2 3 2 3 3 2" xfId="1106"/>
    <cellStyle name="Normal 2 2 3 2 3 3 2 2" xfId="1249"/>
    <cellStyle name="Normal 2 2 3 2 3 3 2 2 2" xfId="3135"/>
    <cellStyle name="Normal 2 2 3 2 3 3 2 2 2 2" xfId="3267"/>
    <cellStyle name="Normal 2 2 3 2 3 3 2 2 2 2 2" xfId="8350"/>
    <cellStyle name="Normal 2 2 3 2 3 3 2 2 2 2 2 2" xfId="8482"/>
    <cellStyle name="Normal 2 2 3 2 3 3 2 2 2 2 2 2 2" xfId="21902"/>
    <cellStyle name="Normal 2 2 3 2 3 3 2 2 2 2 2 2 2 2" xfId="22034"/>
    <cellStyle name="Normal 2 2 3 2 3 3 2 2 2 2 2 2 2 2 2" xfId="57228"/>
    <cellStyle name="Normal 2 2 3 2 3 3 2 2 2 2 2 2 2 2 2 2" xfId="57360"/>
    <cellStyle name="Normal 2 2 3 2 3 3 2 2 2 2 2 2 2 3" xfId="35537"/>
    <cellStyle name="Normal 2 2 3 2 3 3 2 2 2 2 2 2 3" xfId="35405"/>
    <cellStyle name="Normal 2 2 3 2 3 3 2 2 2 2 2 2 3 2" xfId="43909"/>
    <cellStyle name="Normal 2 2 3 2 3 3 2 2 2 2 2 3" xfId="13707"/>
    <cellStyle name="Normal 2 2 3 2 3 3 2 2 2 2 2 3 2" xfId="43777"/>
    <cellStyle name="Normal 2 2 3 2 3 3 2 2 2 2 2 3 2 2" xfId="49053"/>
    <cellStyle name="Normal 2 2 3 2 3 3 2 2 2 2 2 4" xfId="27192"/>
    <cellStyle name="Normal 2 2 3 2 3 3 2 2 2 2 3" xfId="13575"/>
    <cellStyle name="Normal 2 2 3 2 3 3 2 2 2 2 3 2" xfId="16924"/>
    <cellStyle name="Normal 2 2 3 2 3 3 2 2 2 2 3 2 2" xfId="48921"/>
    <cellStyle name="Normal 2 2 3 2 3 3 2 2 2 2 3 2 2 2" xfId="52252"/>
    <cellStyle name="Normal 2 2 3 2 3 3 2 2 2 2 3 3" xfId="30426"/>
    <cellStyle name="Normal 2 2 3 2 3 3 2 2 2 2 4" xfId="27060"/>
    <cellStyle name="Normal 2 2 3 2 3 3 2 2 2 2 4 2" xfId="38736"/>
    <cellStyle name="Normal 2 2 3 2 3 3 2 2 2 3" xfId="5304"/>
    <cellStyle name="Normal 2 2 3 2 3 3 2 2 2 3 2" xfId="16792"/>
    <cellStyle name="Normal 2 2 3 2 3 3 2 2 2 3 2 2" xfId="18877"/>
    <cellStyle name="Normal 2 2 3 2 3 3 2 2 2 3 2 2 2" xfId="52120"/>
    <cellStyle name="Normal 2 2 3 2 3 3 2 2 2 3 2 2 2 2" xfId="54203"/>
    <cellStyle name="Normal 2 2 3 2 3 3 2 2 2 3 2 3" xfId="32378"/>
    <cellStyle name="Normal 2 2 3 2 3 3 2 2 2 3 3" xfId="30294"/>
    <cellStyle name="Normal 2 2 3 2 3 3 2 2 2 3 3 2" xfId="40741"/>
    <cellStyle name="Normal 2 2 3 2 3 3 2 2 2 4" xfId="10507"/>
    <cellStyle name="Normal 2 2 3 2 3 3 2 2 2 4 2" xfId="38604"/>
    <cellStyle name="Normal 2 2 3 2 3 3 2 2 2 4 2 2" xfId="45870"/>
    <cellStyle name="Normal 2 2 3 2 3 3 2 2 2 5" xfId="23993"/>
    <cellStyle name="Normal 2 2 3 2 3 3 2 2 3" xfId="5172"/>
    <cellStyle name="Normal 2 2 3 2 3 3 2 2 3 2" xfId="6557"/>
    <cellStyle name="Normal 2 2 3 2 3 3 2 2 3 2 2" xfId="18745"/>
    <cellStyle name="Normal 2 2 3 2 3 3 2 2 3 2 2 2" xfId="20110"/>
    <cellStyle name="Normal 2 2 3 2 3 3 2 2 3 2 2 2 2" xfId="54071"/>
    <cellStyle name="Normal 2 2 3 2 3 3 2 2 3 2 2 2 2 2" xfId="55436"/>
    <cellStyle name="Normal 2 2 3 2 3 3 2 2 3 2 2 3" xfId="33612"/>
    <cellStyle name="Normal 2 2 3 2 3 3 2 2 3 2 3" xfId="32246"/>
    <cellStyle name="Normal 2 2 3 2 3 3 2 2 3 2 3 2" xfId="41985"/>
    <cellStyle name="Normal 2 2 3 2 3 3 2 2 3 3" xfId="11780"/>
    <cellStyle name="Normal 2 2 3 2 3 3 2 2 3 3 2" xfId="40609"/>
    <cellStyle name="Normal 2 2 3 2 3 3 2 2 3 3 2 2" xfId="47128"/>
    <cellStyle name="Normal 2 2 3 2 3 3 2 2 3 4" xfId="25265"/>
    <cellStyle name="Normal 2 2 3 2 3 3 2 2 4" xfId="10375"/>
    <cellStyle name="Normal 2 2 3 2 3 3 2 2 4 2" xfId="14938"/>
    <cellStyle name="Normal 2 2 3 2 3 3 2 2 4 2 2" xfId="45738"/>
    <cellStyle name="Normal 2 2 3 2 3 3 2 2 4 2 2 2" xfId="50277"/>
    <cellStyle name="Normal 2 2 3 2 3 3 2 2 4 3" xfId="28451"/>
    <cellStyle name="Normal 2 2 3 2 3 3 2 2 5" xfId="23861"/>
    <cellStyle name="Normal 2 2 3 2 3 3 2 2 5 2" xfId="36746"/>
    <cellStyle name="Normal 2 2 3 2 3 3 2 3" xfId="2055"/>
    <cellStyle name="Normal 2 2 3 2 3 3 2 3 2" xfId="6415"/>
    <cellStyle name="Normal 2 2 3 2 3 3 2 3 2 2" xfId="7289"/>
    <cellStyle name="Normal 2 2 3 2 3 3 2 3 2 2 2" xfId="19970"/>
    <cellStyle name="Normal 2 2 3 2 3 3 2 3 2 2 2 2" xfId="20841"/>
    <cellStyle name="Normal 2 2 3 2 3 3 2 3 2 2 2 2 2" xfId="55296"/>
    <cellStyle name="Normal 2 2 3 2 3 3 2 3 2 2 2 2 2 2" xfId="56167"/>
    <cellStyle name="Normal 2 2 3 2 3 3 2 3 2 2 2 3" xfId="34344"/>
    <cellStyle name="Normal 2 2 3 2 3 3 2 3 2 2 3" xfId="33472"/>
    <cellStyle name="Normal 2 2 3 2 3 3 2 3 2 2 3 2" xfId="42716"/>
    <cellStyle name="Normal 2 2 3 2 3 3 2 3 2 3" xfId="12514"/>
    <cellStyle name="Normal 2 2 3 2 3 3 2 3 2 3 2" xfId="41843"/>
    <cellStyle name="Normal 2 2 3 2 3 3 2 3 2 3 2 2" xfId="47860"/>
    <cellStyle name="Normal 2 2 3 2 3 3 2 3 2 4" xfId="25998"/>
    <cellStyle name="Normal 2 2 3 2 3 3 2 3 3" xfId="11639"/>
    <cellStyle name="Normal 2 2 3 2 3 3 2 3 3 2" xfId="15719"/>
    <cellStyle name="Normal 2 2 3 2 3 3 2 3 3 2 2" xfId="46988"/>
    <cellStyle name="Normal 2 2 3 2 3 3 2 3 3 2 2 2" xfId="51051"/>
    <cellStyle name="Normal 2 2 3 2 3 3 2 3 3 3" xfId="29225"/>
    <cellStyle name="Normal 2 2 3 2 3 3 2 3 4" xfId="25125"/>
    <cellStyle name="Normal 2 2 3 2 3 3 2 3 4 2" xfId="37533"/>
    <cellStyle name="Normal 2 2 3 2 3 3 2 4" xfId="4071"/>
    <cellStyle name="Normal 2 2 3 2 3 3 2 4 2" xfId="14797"/>
    <cellStyle name="Normal 2 2 3 2 3 3 2 4 2 2" xfId="17664"/>
    <cellStyle name="Normal 2 2 3 2 3 3 2 4 2 2 2" xfId="50136"/>
    <cellStyle name="Normal 2 2 3 2 3 3 2 4 2 2 2 2" xfId="52991"/>
    <cellStyle name="Normal 2 2 3 2 3 3 2 4 2 3" xfId="31166"/>
    <cellStyle name="Normal 2 2 3 2 3 3 2 4 3" xfId="28309"/>
    <cellStyle name="Normal 2 2 3 2 3 3 2 4 3 2" xfId="39514"/>
    <cellStyle name="Normal 2 2 3 2 3 3 2 5" xfId="9262"/>
    <cellStyle name="Normal 2 2 3 2 3 3 2 5 2" xfId="36605"/>
    <cellStyle name="Normal 2 2 3 2 3 3 2 5 2 2" xfId="44644"/>
    <cellStyle name="Normal 2 2 3 2 3 3 2 6" xfId="22758"/>
    <cellStyle name="Normal 2 2 3 2 3 3 3" xfId="1914"/>
    <cellStyle name="Normal 2 2 3 2 3 3 3 2" xfId="2522"/>
    <cellStyle name="Normal 2 2 3 2 3 3 3 2 2" xfId="7157"/>
    <cellStyle name="Normal 2 2 3 2 3 3 3 2 2 2" xfId="7747"/>
    <cellStyle name="Normal 2 2 3 2 3 3 3 2 2 2 2" xfId="20709"/>
    <cellStyle name="Normal 2 2 3 2 3 3 3 2 2 2 2 2" xfId="21299"/>
    <cellStyle name="Normal 2 2 3 2 3 3 3 2 2 2 2 2 2" xfId="56035"/>
    <cellStyle name="Normal 2 2 3 2 3 3 3 2 2 2 2 2 2 2" xfId="56625"/>
    <cellStyle name="Normal 2 2 3 2 3 3 3 2 2 2 2 3" xfId="34802"/>
    <cellStyle name="Normal 2 2 3 2 3 3 3 2 2 2 3" xfId="34212"/>
    <cellStyle name="Normal 2 2 3 2 3 3 3 2 2 2 3 2" xfId="43174"/>
    <cellStyle name="Normal 2 2 3 2 3 3 3 2 2 3" xfId="12972"/>
    <cellStyle name="Normal 2 2 3 2 3 3 3 2 2 3 2" xfId="42584"/>
    <cellStyle name="Normal 2 2 3 2 3 3 3 2 2 3 2 2" xfId="48318"/>
    <cellStyle name="Normal 2 2 3 2 3 3 3 2 2 4" xfId="26456"/>
    <cellStyle name="Normal 2 2 3 2 3 3 3 2 3" xfId="12382"/>
    <cellStyle name="Normal 2 2 3 2 3 3 3 2 3 2" xfId="16183"/>
    <cellStyle name="Normal 2 2 3 2 3 3 3 2 3 2 2" xfId="47728"/>
    <cellStyle name="Normal 2 2 3 2 3 3 3 2 3 2 2 2" xfId="51514"/>
    <cellStyle name="Normal 2 2 3 2 3 3 3 2 3 3" xfId="29688"/>
    <cellStyle name="Normal 2 2 3 2 3 3 3 2 4" xfId="25866"/>
    <cellStyle name="Normal 2 2 3 2 3 3 3 2 4 2" xfId="37997"/>
    <cellStyle name="Normal 2 2 3 2 3 3 3 3" xfId="4557"/>
    <cellStyle name="Normal 2 2 3 2 3 3 3 3 2" xfId="15581"/>
    <cellStyle name="Normal 2 2 3 2 3 3 3 3 2 2" xfId="18140"/>
    <cellStyle name="Normal 2 2 3 2 3 3 3 3 2 2 2" xfId="50913"/>
    <cellStyle name="Normal 2 2 3 2 3 3 3 3 2 2 2 2" xfId="53466"/>
    <cellStyle name="Normal 2 2 3 2 3 3 3 3 2 3" xfId="31641"/>
    <cellStyle name="Normal 2 2 3 2 3 3 3 3 3" xfId="29087"/>
    <cellStyle name="Normal 2 2 3 2 3 3 3 3 3 2" xfId="39998"/>
    <cellStyle name="Normal 2 2 3 2 3 3 3 4" xfId="9760"/>
    <cellStyle name="Normal 2 2 3 2 3 3 3 4 2" xfId="37393"/>
    <cellStyle name="Normal 2 2 3 2 3 3 3 4 2 2" xfId="45133"/>
    <cellStyle name="Normal 2 2 3 2 3 3 3 5" xfId="23256"/>
    <cellStyle name="Normal 2 2 3 2 3 3 4" xfId="3928"/>
    <cellStyle name="Normal 2 2 3 2 3 3 4 2" xfId="5763"/>
    <cellStyle name="Normal 2 2 3 2 3 3 4 2 2" xfId="17532"/>
    <cellStyle name="Normal 2 2 3 2 3 3 4 2 2 2" xfId="19332"/>
    <cellStyle name="Normal 2 2 3 2 3 3 4 2 2 2 2" xfId="52859"/>
    <cellStyle name="Normal 2 2 3 2 3 3 4 2 2 2 2 2" xfId="54658"/>
    <cellStyle name="Normal 2 2 3 2 3 3 4 2 2 3" xfId="32833"/>
    <cellStyle name="Normal 2 2 3 2 3 3 4 2 3" xfId="31034"/>
    <cellStyle name="Normal 2 2 3 2 3 3 4 2 3 2" xfId="41198"/>
    <cellStyle name="Normal 2 2 3 2 3 3 4 3" xfId="10984"/>
    <cellStyle name="Normal 2 2 3 2 3 3 4 3 2" xfId="39372"/>
    <cellStyle name="Normal 2 2 3 2 3 3 4 3 2 2" xfId="46343"/>
    <cellStyle name="Normal 2 2 3 2 3 3 4 4" xfId="24477"/>
    <cellStyle name="Normal 2 2 3 2 3 3 5" xfId="9121"/>
    <cellStyle name="Normal 2 2 3 2 3 3 5 2" xfId="14147"/>
    <cellStyle name="Normal 2 2 3 2 3 3 5 2 2" xfId="44512"/>
    <cellStyle name="Normal 2 2 3 2 3 3 5 2 2 2" xfId="49492"/>
    <cellStyle name="Normal 2 2 3 2 3 3 5 3" xfId="27649"/>
    <cellStyle name="Normal 2 2 3 2 3 3 6" xfId="22626"/>
    <cellStyle name="Normal 2 2 3 2 3 3 6 2" xfId="35958"/>
    <cellStyle name="Normal 2 2 3 2 3 4" xfId="741"/>
    <cellStyle name="Normal 2 2 3 2 3 4 2" xfId="2364"/>
    <cellStyle name="Normal 2 2 3 2 3 4 2 2" xfId="2811"/>
    <cellStyle name="Normal 2 2 3 2 3 4 2 2 2" xfId="7598"/>
    <cellStyle name="Normal 2 2 3 2 3 4 2 2 2 2" xfId="8027"/>
    <cellStyle name="Normal 2 2 3 2 3 4 2 2 2 2 2" xfId="21150"/>
    <cellStyle name="Normal 2 2 3 2 3 4 2 2 2 2 2 2" xfId="21579"/>
    <cellStyle name="Normal 2 2 3 2 3 4 2 2 2 2 2 2 2" xfId="56476"/>
    <cellStyle name="Normal 2 2 3 2 3 4 2 2 2 2 2 2 2 2" xfId="56905"/>
    <cellStyle name="Normal 2 2 3 2 3 4 2 2 2 2 2 3" xfId="35082"/>
    <cellStyle name="Normal 2 2 3 2 3 4 2 2 2 2 3" xfId="34653"/>
    <cellStyle name="Normal 2 2 3 2 3 4 2 2 2 2 3 2" xfId="43454"/>
    <cellStyle name="Normal 2 2 3 2 3 4 2 2 2 3" xfId="13252"/>
    <cellStyle name="Normal 2 2 3 2 3 4 2 2 2 3 2" xfId="43025"/>
    <cellStyle name="Normal 2 2 3 2 3 4 2 2 2 3 2 2" xfId="48598"/>
    <cellStyle name="Normal 2 2 3 2 3 4 2 2 2 4" xfId="26736"/>
    <cellStyle name="Normal 2 2 3 2 3 4 2 2 3" xfId="12823"/>
    <cellStyle name="Normal 2 2 3 2 3 4 2 2 3 2" xfId="16469"/>
    <cellStyle name="Normal 2 2 3 2 3 4 2 2 3 2 2" xfId="48169"/>
    <cellStyle name="Normal 2 2 3 2 3 4 2 2 3 2 2 2" xfId="51797"/>
    <cellStyle name="Normal 2 2 3 2 3 4 2 2 3 3" xfId="29971"/>
    <cellStyle name="Normal 2 2 3 2 3 4 2 2 4" xfId="26307"/>
    <cellStyle name="Normal 2 2 3 2 3 4 2 2 4 2" xfId="38281"/>
    <cellStyle name="Normal 2 2 3 2 3 4 2 3" xfId="4847"/>
    <cellStyle name="Normal 2 2 3 2 3 4 2 3 2" xfId="16028"/>
    <cellStyle name="Normal 2 2 3 2 3 4 2 3 2 2" xfId="18421"/>
    <cellStyle name="Normal 2 2 3 2 3 4 2 3 2 2 2" xfId="51360"/>
    <cellStyle name="Normal 2 2 3 2 3 4 2 3 2 2 2 2" xfId="53747"/>
    <cellStyle name="Normal 2 2 3 2 3 4 2 3 2 3" xfId="31922"/>
    <cellStyle name="Normal 2 2 3 2 3 4 2 3 3" xfId="29534"/>
    <cellStyle name="Normal 2 2 3 2 3 4 2 3 3 2" xfId="40284"/>
    <cellStyle name="Normal 2 2 3 2 3 4 2 4" xfId="10050"/>
    <cellStyle name="Normal 2 2 3 2 3 4 2 4 2" xfId="37842"/>
    <cellStyle name="Normal 2 2 3 2 3 4 2 4 2 2" xfId="45414"/>
    <cellStyle name="Normal 2 2 3 2 3 4 2 5" xfId="23537"/>
    <cellStyle name="Normal 2 2 3 2 3 4 3" xfId="4395"/>
    <cellStyle name="Normal 2 2 3 2 3 4 3 2" xfId="6063"/>
    <cellStyle name="Normal 2 2 3 2 3 4 3 2 2" xfId="17987"/>
    <cellStyle name="Normal 2 2 3 2 3 4 3 2 2 2" xfId="19627"/>
    <cellStyle name="Normal 2 2 3 2 3 4 3 2 2 2 2" xfId="53313"/>
    <cellStyle name="Normal 2 2 3 2 3 4 3 2 2 2 2 2" xfId="54953"/>
    <cellStyle name="Normal 2 2 3 2 3 4 3 2 2 3" xfId="33128"/>
    <cellStyle name="Normal 2 2 3 2 3 4 3 2 3" xfId="31488"/>
    <cellStyle name="Normal 2 2 3 2 3 4 3 2 3 2" xfId="41497"/>
    <cellStyle name="Normal 2 2 3 2 3 4 3 3" xfId="11289"/>
    <cellStyle name="Normal 2 2 3 2 3 4 3 3 2" xfId="39837"/>
    <cellStyle name="Normal 2 2 3 2 3 4 3 3 2 2" xfId="46644"/>
    <cellStyle name="Normal 2 2 3 2 3 4 3 4" xfId="24781"/>
    <cellStyle name="Normal 2 2 3 2 3 4 4" xfId="9598"/>
    <cellStyle name="Normal 2 2 3 2 3 4 4 2" xfId="14447"/>
    <cellStyle name="Normal 2 2 3 2 3 4 4 2 2" xfId="44979"/>
    <cellStyle name="Normal 2 2 3 2 3 4 4 2 2 2" xfId="49791"/>
    <cellStyle name="Normal 2 2 3 2 3 4 4 3" xfId="27959"/>
    <cellStyle name="Normal 2 2 3 2 3 4 5" xfId="23100"/>
    <cellStyle name="Normal 2 2 3 2 3 4 5 2" xfId="36259"/>
    <cellStyle name="Normal 2 2 3 2 3 5" xfId="1525"/>
    <cellStyle name="Normal 2 2 3 2 3 5 2" xfId="5605"/>
    <cellStyle name="Normal 2 2 3 2 3 5 2 2" xfId="6813"/>
    <cellStyle name="Normal 2 2 3 2 3 5 2 2 2" xfId="19177"/>
    <cellStyle name="Normal 2 2 3 2 3 5 2 2 2 2" xfId="20366"/>
    <cellStyle name="Normal 2 2 3 2 3 5 2 2 2 2 2" xfId="54503"/>
    <cellStyle name="Normal 2 2 3 2 3 5 2 2 2 2 2 2" xfId="55692"/>
    <cellStyle name="Normal 2 2 3 2 3 5 2 2 2 3" xfId="33868"/>
    <cellStyle name="Normal 2 2 3 2 3 5 2 2 3" xfId="32678"/>
    <cellStyle name="Normal 2 2 3 2 3 5 2 2 3 2" xfId="42241"/>
    <cellStyle name="Normal 2 2 3 2 3 5 2 3" xfId="12037"/>
    <cellStyle name="Normal 2 2 3 2 3 5 2 3 2" xfId="41041"/>
    <cellStyle name="Normal 2 2 3 2 3 5 2 3 2 2" xfId="47384"/>
    <cellStyle name="Normal 2 2 3 2 3 5 2 4" xfId="25521"/>
    <cellStyle name="Normal 2 2 3 2 3 5 3" xfId="10818"/>
    <cellStyle name="Normal 2 2 3 2 3 5 3 2" xfId="15206"/>
    <cellStyle name="Normal 2 2 3 2 3 5 3 2 2" xfId="46180"/>
    <cellStyle name="Normal 2 2 3 2 3 5 3 2 2 2" xfId="50544"/>
    <cellStyle name="Normal 2 2 3 2 3 5 3 3" xfId="28718"/>
    <cellStyle name="Normal 2 2 3 2 3 5 4" xfId="24309"/>
    <cellStyle name="Normal 2 2 3 2 3 5 4 2" xfId="37016"/>
    <cellStyle name="Normal 2 2 3 2 3 6" xfId="3526"/>
    <cellStyle name="Normal 2 2 3 2 3 6 2" xfId="13989"/>
    <cellStyle name="Normal 2 2 3 2 3 6 2 2" xfId="17178"/>
    <cellStyle name="Normal 2 2 3 2 3 6 2 2 2" xfId="49335"/>
    <cellStyle name="Normal 2 2 3 2 3 6 2 2 2 2" xfId="52505"/>
    <cellStyle name="Normal 2 2 3 2 3 6 2 3" xfId="30679"/>
    <cellStyle name="Normal 2 2 3 2 3 6 3" xfId="27481"/>
    <cellStyle name="Normal 2 2 3 2 3 6 3 2" xfId="38991"/>
    <cellStyle name="Normal 2 2 3 2 3 7" xfId="8720"/>
    <cellStyle name="Normal 2 2 3 2 3 7 2" xfId="35801"/>
    <cellStyle name="Normal 2 2 3 2 3 7 2 2" xfId="44146"/>
    <cellStyle name="Normal 2 2 3 2 3 8" xfId="22250"/>
    <cellStyle name="Normal 2 2 3 2 4" xfId="378"/>
    <cellStyle name="Normal 2 2 3 2 4 2" xfId="492"/>
    <cellStyle name="Normal 2 2 3 2 4 2 2" xfId="1219"/>
    <cellStyle name="Normal 2 2 3 2 4 2 2 2" xfId="1305"/>
    <cellStyle name="Normal 2 2 3 2 4 2 2 2 2" xfId="3237"/>
    <cellStyle name="Normal 2 2 3 2 4 2 2 2 2 2" xfId="3323"/>
    <cellStyle name="Normal 2 2 3 2 4 2 2 2 2 2 2" xfId="8452"/>
    <cellStyle name="Normal 2 2 3 2 4 2 2 2 2 2 2 2" xfId="8538"/>
    <cellStyle name="Normal 2 2 3 2 4 2 2 2 2 2 2 2 2" xfId="22004"/>
    <cellStyle name="Normal 2 2 3 2 4 2 2 2 2 2 2 2 2 2" xfId="22090"/>
    <cellStyle name="Normal 2 2 3 2 4 2 2 2 2 2 2 2 2 2 2" xfId="57330"/>
    <cellStyle name="Normal 2 2 3 2 4 2 2 2 2 2 2 2 2 2 2 2" xfId="57416"/>
    <cellStyle name="Normal 2 2 3 2 4 2 2 2 2 2 2 2 2 3" xfId="35593"/>
    <cellStyle name="Normal 2 2 3 2 4 2 2 2 2 2 2 2 3" xfId="35507"/>
    <cellStyle name="Normal 2 2 3 2 4 2 2 2 2 2 2 2 3 2" xfId="43965"/>
    <cellStyle name="Normal 2 2 3 2 4 2 2 2 2 2 2 3" xfId="13763"/>
    <cellStyle name="Normal 2 2 3 2 4 2 2 2 2 2 2 3 2" xfId="43879"/>
    <cellStyle name="Normal 2 2 3 2 4 2 2 2 2 2 2 3 2 2" xfId="49109"/>
    <cellStyle name="Normal 2 2 3 2 4 2 2 2 2 2 2 4" xfId="27248"/>
    <cellStyle name="Normal 2 2 3 2 4 2 2 2 2 2 3" xfId="13677"/>
    <cellStyle name="Normal 2 2 3 2 4 2 2 2 2 2 3 2" xfId="16980"/>
    <cellStyle name="Normal 2 2 3 2 4 2 2 2 2 2 3 2 2" xfId="49023"/>
    <cellStyle name="Normal 2 2 3 2 4 2 2 2 2 2 3 2 2 2" xfId="52308"/>
    <cellStyle name="Normal 2 2 3 2 4 2 2 2 2 2 3 3" xfId="30482"/>
    <cellStyle name="Normal 2 2 3 2 4 2 2 2 2 2 4" xfId="27162"/>
    <cellStyle name="Normal 2 2 3 2 4 2 2 2 2 2 4 2" xfId="38792"/>
    <cellStyle name="Normal 2 2 3 2 4 2 2 2 2 3" xfId="5360"/>
    <cellStyle name="Normal 2 2 3 2 4 2 2 2 2 3 2" xfId="16894"/>
    <cellStyle name="Normal 2 2 3 2 4 2 2 2 2 3 2 2" xfId="18933"/>
    <cellStyle name="Normal 2 2 3 2 4 2 2 2 2 3 2 2 2" xfId="52222"/>
    <cellStyle name="Normal 2 2 3 2 4 2 2 2 2 3 2 2 2 2" xfId="54259"/>
    <cellStyle name="Normal 2 2 3 2 4 2 2 2 2 3 2 3" xfId="32434"/>
    <cellStyle name="Normal 2 2 3 2 4 2 2 2 2 3 3" xfId="30396"/>
    <cellStyle name="Normal 2 2 3 2 4 2 2 2 2 3 3 2" xfId="40797"/>
    <cellStyle name="Normal 2 2 3 2 4 2 2 2 2 4" xfId="10563"/>
    <cellStyle name="Normal 2 2 3 2 4 2 2 2 2 4 2" xfId="38706"/>
    <cellStyle name="Normal 2 2 3 2 4 2 2 2 2 4 2 2" xfId="45926"/>
    <cellStyle name="Normal 2 2 3 2 4 2 2 2 2 5" xfId="24049"/>
    <cellStyle name="Normal 2 2 3 2 4 2 2 2 3" xfId="5274"/>
    <cellStyle name="Normal 2 2 3 2 4 2 2 2 3 2" xfId="6613"/>
    <cellStyle name="Normal 2 2 3 2 4 2 2 2 3 2 2" xfId="18847"/>
    <cellStyle name="Normal 2 2 3 2 4 2 2 2 3 2 2 2" xfId="20166"/>
    <cellStyle name="Normal 2 2 3 2 4 2 2 2 3 2 2 2 2" xfId="54173"/>
    <cellStyle name="Normal 2 2 3 2 4 2 2 2 3 2 2 2 2 2" xfId="55492"/>
    <cellStyle name="Normal 2 2 3 2 4 2 2 2 3 2 2 3" xfId="33668"/>
    <cellStyle name="Normal 2 2 3 2 4 2 2 2 3 2 3" xfId="32348"/>
    <cellStyle name="Normal 2 2 3 2 4 2 2 2 3 2 3 2" xfId="42041"/>
    <cellStyle name="Normal 2 2 3 2 4 2 2 2 3 3" xfId="11836"/>
    <cellStyle name="Normal 2 2 3 2 4 2 2 2 3 3 2" xfId="40711"/>
    <cellStyle name="Normal 2 2 3 2 4 2 2 2 3 3 2 2" xfId="47184"/>
    <cellStyle name="Normal 2 2 3 2 4 2 2 2 3 4" xfId="25321"/>
    <cellStyle name="Normal 2 2 3 2 4 2 2 2 4" xfId="10477"/>
    <cellStyle name="Normal 2 2 3 2 4 2 2 2 4 2" xfId="14994"/>
    <cellStyle name="Normal 2 2 3 2 4 2 2 2 4 2 2" xfId="45840"/>
    <cellStyle name="Normal 2 2 3 2 4 2 2 2 4 2 2 2" xfId="50333"/>
    <cellStyle name="Normal 2 2 3 2 4 2 2 2 4 3" xfId="28507"/>
    <cellStyle name="Normal 2 2 3 2 4 2 2 2 5" xfId="23963"/>
    <cellStyle name="Normal 2 2 3 2 4 2 2 2 5 2" xfId="36802"/>
    <cellStyle name="Normal 2 2 3 2 4 2 2 3" xfId="2112"/>
    <cellStyle name="Normal 2 2 3 2 4 2 2 3 2" xfId="6527"/>
    <cellStyle name="Normal 2 2 3 2 4 2 2 3 2 2" xfId="7346"/>
    <cellStyle name="Normal 2 2 3 2 4 2 2 3 2 2 2" xfId="20080"/>
    <cellStyle name="Normal 2 2 3 2 4 2 2 3 2 2 2 2" xfId="20898"/>
    <cellStyle name="Normal 2 2 3 2 4 2 2 3 2 2 2 2 2" xfId="55406"/>
    <cellStyle name="Normal 2 2 3 2 4 2 2 3 2 2 2 2 2 2" xfId="56224"/>
    <cellStyle name="Normal 2 2 3 2 4 2 2 3 2 2 2 3" xfId="34401"/>
    <cellStyle name="Normal 2 2 3 2 4 2 2 3 2 2 3" xfId="33582"/>
    <cellStyle name="Normal 2 2 3 2 4 2 2 3 2 2 3 2" xfId="42773"/>
    <cellStyle name="Normal 2 2 3 2 4 2 2 3 2 3" xfId="12571"/>
    <cellStyle name="Normal 2 2 3 2 4 2 2 3 2 3 2" xfId="41955"/>
    <cellStyle name="Normal 2 2 3 2 4 2 2 3 2 3 2 2" xfId="47917"/>
    <cellStyle name="Normal 2 2 3 2 4 2 2 3 2 4" xfId="26055"/>
    <cellStyle name="Normal 2 2 3 2 4 2 2 3 3" xfId="11750"/>
    <cellStyle name="Normal 2 2 3 2 4 2 2 3 3 2" xfId="15776"/>
    <cellStyle name="Normal 2 2 3 2 4 2 2 3 3 2 2" xfId="47098"/>
    <cellStyle name="Normal 2 2 3 2 4 2 2 3 3 2 2 2" xfId="51108"/>
    <cellStyle name="Normal 2 2 3 2 4 2 2 3 3 3" xfId="29282"/>
    <cellStyle name="Normal 2 2 3 2 4 2 2 3 4" xfId="25235"/>
    <cellStyle name="Normal 2 2 3 2 4 2 2 3 4 2" xfId="37590"/>
    <cellStyle name="Normal 2 2 3 2 4 2 2 4" xfId="4128"/>
    <cellStyle name="Normal 2 2 3 2 4 2 2 4 2" xfId="14908"/>
    <cellStyle name="Normal 2 2 3 2 4 2 2 4 2 2" xfId="17721"/>
    <cellStyle name="Normal 2 2 3 2 4 2 2 4 2 2 2" xfId="50247"/>
    <cellStyle name="Normal 2 2 3 2 4 2 2 4 2 2 2 2" xfId="53048"/>
    <cellStyle name="Normal 2 2 3 2 4 2 2 4 2 3" xfId="31223"/>
    <cellStyle name="Normal 2 2 3 2 4 2 2 4 3" xfId="28421"/>
    <cellStyle name="Normal 2 2 3 2 4 2 2 4 3 2" xfId="39571"/>
    <cellStyle name="Normal 2 2 3 2 4 2 2 5" xfId="9319"/>
    <cellStyle name="Normal 2 2 3 2 4 2 2 5 2" xfId="36716"/>
    <cellStyle name="Normal 2 2 3 2 4 2 2 5 2 2" xfId="44701"/>
    <cellStyle name="Normal 2 2 3 2 4 2 2 6" xfId="22815"/>
    <cellStyle name="Normal 2 2 3 2 4 2 3" xfId="2025"/>
    <cellStyle name="Normal 2 2 3 2 4 2 3 2" xfId="2589"/>
    <cellStyle name="Normal 2 2 3 2 4 2 3 2 2" xfId="7259"/>
    <cellStyle name="Normal 2 2 3 2 4 2 3 2 2 2" xfId="7810"/>
    <cellStyle name="Normal 2 2 3 2 4 2 3 2 2 2 2" xfId="20811"/>
    <cellStyle name="Normal 2 2 3 2 4 2 3 2 2 2 2 2" xfId="21362"/>
    <cellStyle name="Normal 2 2 3 2 4 2 3 2 2 2 2 2 2" xfId="56137"/>
    <cellStyle name="Normal 2 2 3 2 4 2 3 2 2 2 2 2 2 2" xfId="56688"/>
    <cellStyle name="Normal 2 2 3 2 4 2 3 2 2 2 2 3" xfId="34865"/>
    <cellStyle name="Normal 2 2 3 2 4 2 3 2 2 2 3" xfId="34314"/>
    <cellStyle name="Normal 2 2 3 2 4 2 3 2 2 2 3 2" xfId="43237"/>
    <cellStyle name="Normal 2 2 3 2 4 2 3 2 2 3" xfId="13035"/>
    <cellStyle name="Normal 2 2 3 2 4 2 3 2 2 3 2" xfId="42686"/>
    <cellStyle name="Normal 2 2 3 2 4 2 3 2 2 3 2 2" xfId="48381"/>
    <cellStyle name="Normal 2 2 3 2 4 2 3 2 2 4" xfId="26519"/>
    <cellStyle name="Normal 2 2 3 2 4 2 3 2 3" xfId="12484"/>
    <cellStyle name="Normal 2 2 3 2 4 2 3 2 3 2" xfId="16248"/>
    <cellStyle name="Normal 2 2 3 2 4 2 3 2 3 2 2" xfId="47830"/>
    <cellStyle name="Normal 2 2 3 2 4 2 3 2 3 2 2 2" xfId="51578"/>
    <cellStyle name="Normal 2 2 3 2 4 2 3 2 3 3" xfId="29752"/>
    <cellStyle name="Normal 2 2 3 2 4 2 3 2 4" xfId="25968"/>
    <cellStyle name="Normal 2 2 3 2 4 2 3 2 4 2" xfId="38062"/>
    <cellStyle name="Normal 2 2 3 2 4 2 3 3" xfId="4623"/>
    <cellStyle name="Normal 2 2 3 2 4 2 3 3 2" xfId="15689"/>
    <cellStyle name="Normal 2 2 3 2 4 2 3 3 2 2" xfId="18204"/>
    <cellStyle name="Normal 2 2 3 2 4 2 3 3 2 2 2" xfId="51021"/>
    <cellStyle name="Normal 2 2 3 2 4 2 3 3 2 2 2 2" xfId="53530"/>
    <cellStyle name="Normal 2 2 3 2 4 2 3 3 2 3" xfId="31705"/>
    <cellStyle name="Normal 2 2 3 2 4 2 3 3 3" xfId="29195"/>
    <cellStyle name="Normal 2 2 3 2 4 2 3 3 3 2" xfId="40062"/>
    <cellStyle name="Normal 2 2 3 2 4 2 3 4" xfId="9827"/>
    <cellStyle name="Normal 2 2 3 2 4 2 3 4 2" xfId="37503"/>
    <cellStyle name="Normal 2 2 3 2 4 2 3 4 2 2" xfId="45197"/>
    <cellStyle name="Normal 2 2 3 2 4 2 3 5" xfId="23320"/>
    <cellStyle name="Normal 2 2 3 2 4 2 4" xfId="4041"/>
    <cellStyle name="Normal 2 2 3 2 4 2 4 2" xfId="5828"/>
    <cellStyle name="Normal 2 2 3 2 4 2 4 2 2" xfId="17634"/>
    <cellStyle name="Normal 2 2 3 2 4 2 4 2 2 2" xfId="19396"/>
    <cellStyle name="Normal 2 2 3 2 4 2 4 2 2 2 2" xfId="52961"/>
    <cellStyle name="Normal 2 2 3 2 4 2 4 2 2 2 2 2" xfId="54722"/>
    <cellStyle name="Normal 2 2 3 2 4 2 4 2 2 3" xfId="32897"/>
    <cellStyle name="Normal 2 2 3 2 4 2 4 2 3" xfId="31136"/>
    <cellStyle name="Normal 2 2 3 2 4 2 4 2 3 2" xfId="41263"/>
    <cellStyle name="Normal 2 2 3 2 4 2 4 3" xfId="11051"/>
    <cellStyle name="Normal 2 2 3 2 4 2 4 3 2" xfId="39484"/>
    <cellStyle name="Normal 2 2 3 2 4 2 4 3 2 2" xfId="46410"/>
    <cellStyle name="Normal 2 2 3 2 4 2 4 4" xfId="24545"/>
    <cellStyle name="Normal 2 2 3 2 4 2 5" xfId="9232"/>
    <cellStyle name="Normal 2 2 3 2 4 2 5 2" xfId="14212"/>
    <cellStyle name="Normal 2 2 3 2 4 2 5 2 2" xfId="44614"/>
    <cellStyle name="Normal 2 2 3 2 4 2 5 2 2 2" xfId="49557"/>
    <cellStyle name="Normal 2 2 3 2 4 2 5 3" xfId="27719"/>
    <cellStyle name="Normal 2 2 3 2 4 2 6" xfId="22728"/>
    <cellStyle name="Normal 2 2 3 2 4 2 6 2" xfId="36024"/>
    <cellStyle name="Normal 2 2 3 2 4 3" xfId="818"/>
    <cellStyle name="Normal 2 2 3 2 4 3 2" xfId="2481"/>
    <cellStyle name="Normal 2 2 3 2 4 3 2 2" xfId="2872"/>
    <cellStyle name="Normal 2 2 3 2 4 3 2 2 2" xfId="7711"/>
    <cellStyle name="Normal 2 2 3 2 4 3 2 2 2 2" xfId="8088"/>
    <cellStyle name="Normal 2 2 3 2 4 3 2 2 2 2 2" xfId="21263"/>
    <cellStyle name="Normal 2 2 3 2 4 3 2 2 2 2 2 2" xfId="21640"/>
    <cellStyle name="Normal 2 2 3 2 4 3 2 2 2 2 2 2 2" xfId="56589"/>
    <cellStyle name="Normal 2 2 3 2 4 3 2 2 2 2 2 2 2 2" xfId="56966"/>
    <cellStyle name="Normal 2 2 3 2 4 3 2 2 2 2 2 3" xfId="35143"/>
    <cellStyle name="Normal 2 2 3 2 4 3 2 2 2 2 3" xfId="34766"/>
    <cellStyle name="Normal 2 2 3 2 4 3 2 2 2 2 3 2" xfId="43515"/>
    <cellStyle name="Normal 2 2 3 2 4 3 2 2 2 3" xfId="13313"/>
    <cellStyle name="Normal 2 2 3 2 4 3 2 2 2 3 2" xfId="43138"/>
    <cellStyle name="Normal 2 2 3 2 4 3 2 2 2 3 2 2" xfId="48659"/>
    <cellStyle name="Normal 2 2 3 2 4 3 2 2 2 4" xfId="26797"/>
    <cellStyle name="Normal 2 2 3 2 4 3 2 2 3" xfId="12936"/>
    <cellStyle name="Normal 2 2 3 2 4 3 2 2 3 2" xfId="16530"/>
    <cellStyle name="Normal 2 2 3 2 4 3 2 2 3 2 2" xfId="48282"/>
    <cellStyle name="Normal 2 2 3 2 4 3 2 2 3 2 2 2" xfId="51858"/>
    <cellStyle name="Normal 2 2 3 2 4 3 2 2 3 3" xfId="30032"/>
    <cellStyle name="Normal 2 2 3 2 4 3 2 2 4" xfId="26420"/>
    <cellStyle name="Normal 2 2 3 2 4 3 2 2 4 2" xfId="38342"/>
    <cellStyle name="Normal 2 2 3 2 4 3 2 3" xfId="4908"/>
    <cellStyle name="Normal 2 2 3 2 4 3 2 3 2" xfId="16144"/>
    <cellStyle name="Normal 2 2 3 2 4 3 2 3 2 2" xfId="18482"/>
    <cellStyle name="Normal 2 2 3 2 4 3 2 3 2 2 2" xfId="51475"/>
    <cellStyle name="Normal 2 2 3 2 4 3 2 3 2 2 2 2" xfId="53808"/>
    <cellStyle name="Normal 2 2 3 2 4 3 2 3 2 3" xfId="31983"/>
    <cellStyle name="Normal 2 2 3 2 4 3 2 3 3" xfId="29649"/>
    <cellStyle name="Normal 2 2 3 2 4 3 2 3 3 2" xfId="40345"/>
    <cellStyle name="Normal 2 2 3 2 4 3 2 4" xfId="10111"/>
    <cellStyle name="Normal 2 2 3 2 4 3 2 4 2" xfId="37958"/>
    <cellStyle name="Normal 2 2 3 2 4 3 2 4 2 2" xfId="45475"/>
    <cellStyle name="Normal 2 2 3 2 4 3 2 5" xfId="23598"/>
    <cellStyle name="Normal 2 2 3 2 4 3 3" xfId="4516"/>
    <cellStyle name="Normal 2 2 3 2 4 3 3 2" xfId="6133"/>
    <cellStyle name="Normal 2 2 3 2 4 3 3 2 2" xfId="18104"/>
    <cellStyle name="Normal 2 2 3 2 4 3 3 2 2 2" xfId="19694"/>
    <cellStyle name="Normal 2 2 3 2 4 3 3 2 2 2 2" xfId="53430"/>
    <cellStyle name="Normal 2 2 3 2 4 3 3 2 2 2 2 2" xfId="55020"/>
    <cellStyle name="Normal 2 2 3 2 4 3 3 2 2 3" xfId="33195"/>
    <cellStyle name="Normal 2 2 3 2 4 3 3 2 3" xfId="31605"/>
    <cellStyle name="Normal 2 2 3 2 4 3 3 2 3 2" xfId="41565"/>
    <cellStyle name="Normal 2 2 3 2 4 3 3 3" xfId="11359"/>
    <cellStyle name="Normal 2 2 3 2 4 3 3 3 2" xfId="39957"/>
    <cellStyle name="Normal 2 2 3 2 4 3 3 3 2 2" xfId="46711"/>
    <cellStyle name="Normal 2 2 3 2 4 3 3 4" xfId="24848"/>
    <cellStyle name="Normal 2 2 3 2 4 3 4" xfId="9720"/>
    <cellStyle name="Normal 2 2 3 2 4 3 4 2" xfId="14516"/>
    <cellStyle name="Normal 2 2 3 2 4 3 4 2 2" xfId="45097"/>
    <cellStyle name="Normal 2 2 3 2 4 3 4 2 2 2" xfId="49858"/>
    <cellStyle name="Normal 2 2 3 2 4 3 4 3" xfId="28028"/>
    <cellStyle name="Normal 2 2 3 2 4 3 5" xfId="23220"/>
    <cellStyle name="Normal 2 2 3 2 4 3 5 2" xfId="36326"/>
    <cellStyle name="Normal 2 2 3 2 4 4" xfId="1607"/>
    <cellStyle name="Normal 2 2 3 2 4 4 2" xfId="5726"/>
    <cellStyle name="Normal 2 2 3 2 4 4 2 2" xfId="6877"/>
    <cellStyle name="Normal 2 2 3 2 4 4 2 2 2" xfId="19295"/>
    <cellStyle name="Normal 2 2 3 2 4 4 2 2 2 2" xfId="20430"/>
    <cellStyle name="Normal 2 2 3 2 4 4 2 2 2 2 2" xfId="54621"/>
    <cellStyle name="Normal 2 2 3 2 4 4 2 2 2 2 2 2" xfId="55756"/>
    <cellStyle name="Normal 2 2 3 2 4 4 2 2 2 3" xfId="33932"/>
    <cellStyle name="Normal 2 2 3 2 4 4 2 2 3" xfId="32796"/>
    <cellStyle name="Normal 2 2 3 2 4 4 2 2 3 2" xfId="42305"/>
    <cellStyle name="Normal 2 2 3 2 4 4 2 3" xfId="12101"/>
    <cellStyle name="Normal 2 2 3 2 4 4 2 3 2" xfId="41161"/>
    <cellStyle name="Normal 2 2 3 2 4 4 2 3 2 2" xfId="47448"/>
    <cellStyle name="Normal 2 2 3 2 4 4 2 4" xfId="25586"/>
    <cellStyle name="Normal 2 2 3 2 4 4 3" xfId="10946"/>
    <cellStyle name="Normal 2 2 3 2 4 4 3 2" xfId="15283"/>
    <cellStyle name="Normal 2 2 3 2 4 4 3 2 2" xfId="46305"/>
    <cellStyle name="Normal 2 2 3 2 4 4 3 2 2 2" xfId="50618"/>
    <cellStyle name="Normal 2 2 3 2 4 4 3 3" xfId="28792"/>
    <cellStyle name="Normal 2 2 3 2 4 4 4" xfId="24437"/>
    <cellStyle name="Normal 2 2 3 2 4 4 4 2" xfId="37093"/>
    <cellStyle name="Normal 2 2 3 2 4 5" xfId="3610"/>
    <cellStyle name="Normal 2 2 3 2 4 5 2" xfId="14110"/>
    <cellStyle name="Normal 2 2 3 2 4 5 2 2" xfId="17245"/>
    <cellStyle name="Normal 2 2 3 2 4 5 2 2 2" xfId="49455"/>
    <cellStyle name="Normal 2 2 3 2 4 5 2 2 2 2" xfId="52572"/>
    <cellStyle name="Normal 2 2 3 2 4 5 2 3" xfId="30746"/>
    <cellStyle name="Normal 2 2 3 2 4 5 3" xfId="27610"/>
    <cellStyle name="Normal 2 2 3 2 4 5 3 2" xfId="39066"/>
    <cellStyle name="Normal 2 2 3 2 4 6" xfId="8804"/>
    <cellStyle name="Normal 2 2 3 2 4 6 2" xfId="35921"/>
    <cellStyle name="Normal 2 2 3 2 4 6 2 2" xfId="44215"/>
    <cellStyle name="Normal 2 2 3 2 4 7" xfId="22321"/>
    <cellStyle name="Normal 2 2 3 2 5" xfId="692"/>
    <cellStyle name="Normal 2 2 3 2 5 2" xfId="998"/>
    <cellStyle name="Normal 2 2 3 2 5 2 2" xfId="2774"/>
    <cellStyle name="Normal 2 2 3 2 5 2 2 2" xfId="3035"/>
    <cellStyle name="Normal 2 2 3 2 5 2 2 2 2" xfId="7991"/>
    <cellStyle name="Normal 2 2 3 2 5 2 2 2 2 2" xfId="8250"/>
    <cellStyle name="Normal 2 2 3 2 5 2 2 2 2 2 2" xfId="21543"/>
    <cellStyle name="Normal 2 2 3 2 5 2 2 2 2 2 2 2" xfId="21802"/>
    <cellStyle name="Normal 2 2 3 2 5 2 2 2 2 2 2 2 2" xfId="56869"/>
    <cellStyle name="Normal 2 2 3 2 5 2 2 2 2 2 2 2 2 2" xfId="57128"/>
    <cellStyle name="Normal 2 2 3 2 5 2 2 2 2 2 2 3" xfId="35305"/>
    <cellStyle name="Normal 2 2 3 2 5 2 2 2 2 2 3" xfId="35046"/>
    <cellStyle name="Normal 2 2 3 2 5 2 2 2 2 2 3 2" xfId="43677"/>
    <cellStyle name="Normal 2 2 3 2 5 2 2 2 2 3" xfId="13475"/>
    <cellStyle name="Normal 2 2 3 2 5 2 2 2 2 3 2" xfId="43418"/>
    <cellStyle name="Normal 2 2 3 2 5 2 2 2 2 3 2 2" xfId="48821"/>
    <cellStyle name="Normal 2 2 3 2 5 2 2 2 2 4" xfId="26960"/>
    <cellStyle name="Normal 2 2 3 2 5 2 2 2 3" xfId="13216"/>
    <cellStyle name="Normal 2 2 3 2 5 2 2 2 3 2" xfId="16692"/>
    <cellStyle name="Normal 2 2 3 2 5 2 2 2 3 2 2" xfId="48562"/>
    <cellStyle name="Normal 2 2 3 2 5 2 2 2 3 2 2 2" xfId="52020"/>
    <cellStyle name="Normal 2 2 3 2 5 2 2 2 3 3" xfId="30194"/>
    <cellStyle name="Normal 2 2 3 2 5 2 2 2 4" xfId="26700"/>
    <cellStyle name="Normal 2 2 3 2 5 2 2 2 4 2" xfId="38504"/>
    <cellStyle name="Normal 2 2 3 2 5 2 2 3" xfId="5072"/>
    <cellStyle name="Normal 2 2 3 2 5 2 2 3 2" xfId="16433"/>
    <cellStyle name="Normal 2 2 3 2 5 2 2 3 2 2" xfId="18645"/>
    <cellStyle name="Normal 2 2 3 2 5 2 2 3 2 2 2" xfId="51761"/>
    <cellStyle name="Normal 2 2 3 2 5 2 2 3 2 2 2 2" xfId="53971"/>
    <cellStyle name="Normal 2 2 3 2 5 2 2 3 2 3" xfId="32146"/>
    <cellStyle name="Normal 2 2 3 2 5 2 2 3 3" xfId="29935"/>
    <cellStyle name="Normal 2 2 3 2 5 2 2 3 3 2" xfId="40509"/>
    <cellStyle name="Normal 2 2 3 2 5 2 2 4" xfId="10275"/>
    <cellStyle name="Normal 2 2 3 2 5 2 2 4 2" xfId="38245"/>
    <cellStyle name="Normal 2 2 3 2 5 2 2 4 2 2" xfId="45638"/>
    <cellStyle name="Normal 2 2 3 2 5 2 2 5" xfId="23761"/>
    <cellStyle name="Normal 2 2 3 2 5 2 3" xfId="4810"/>
    <cellStyle name="Normal 2 2 3 2 5 2 3 2" xfId="6308"/>
    <cellStyle name="Normal 2 2 3 2 5 2 3 2 2" xfId="18385"/>
    <cellStyle name="Normal 2 2 3 2 5 2 3 2 2 2" xfId="19865"/>
    <cellStyle name="Normal 2 2 3 2 5 2 3 2 2 2 2" xfId="53711"/>
    <cellStyle name="Normal 2 2 3 2 5 2 3 2 2 2 2 2" xfId="55191"/>
    <cellStyle name="Normal 2 2 3 2 5 2 3 2 2 3" xfId="33367"/>
    <cellStyle name="Normal 2 2 3 2 5 2 3 2 3" xfId="31886"/>
    <cellStyle name="Normal 2 2 3 2 5 2 3 2 3 2" xfId="41737"/>
    <cellStyle name="Normal 2 2 3 2 5 2 3 3" xfId="11534"/>
    <cellStyle name="Normal 2 2 3 2 5 2 3 3 2" xfId="40247"/>
    <cellStyle name="Normal 2 2 3 2 5 2 3 3 2 2" xfId="46883"/>
    <cellStyle name="Normal 2 2 3 2 5 2 3 4" xfId="25020"/>
    <cellStyle name="Normal 2 2 3 2 5 2 4" xfId="10013"/>
    <cellStyle name="Normal 2 2 3 2 5 2 4 2" xfId="14691"/>
    <cellStyle name="Normal 2 2 3 2 5 2 4 2 2" xfId="45378"/>
    <cellStyle name="Normal 2 2 3 2 5 2 4 2 2 2" xfId="50030"/>
    <cellStyle name="Normal 2 2 3 2 5 2 4 3" xfId="28203"/>
    <cellStyle name="Normal 2 2 3 2 5 2 5" xfId="23501"/>
    <cellStyle name="Normal 2 2 3 2 5 2 5 2" xfId="36499"/>
    <cellStyle name="Normal 2 2 3 2 5 3" xfId="1795"/>
    <cellStyle name="Normal 2 2 3 2 5 3 2" xfId="6020"/>
    <cellStyle name="Normal 2 2 3 2 5 3 2 2" xfId="7047"/>
    <cellStyle name="Normal 2 2 3 2 5 3 2 2 2" xfId="19585"/>
    <cellStyle name="Normal 2 2 3 2 5 3 2 2 2 2" xfId="20600"/>
    <cellStyle name="Normal 2 2 3 2 5 3 2 2 2 2 2" xfId="54911"/>
    <cellStyle name="Normal 2 2 3 2 5 3 2 2 2 2 2 2" xfId="55926"/>
    <cellStyle name="Normal 2 2 3 2 5 3 2 2 2 3" xfId="34102"/>
    <cellStyle name="Normal 2 2 3 2 5 3 2 2 3" xfId="33086"/>
    <cellStyle name="Normal 2 2 3 2 5 3 2 2 3 2" xfId="42475"/>
    <cellStyle name="Normal 2 2 3 2 5 3 2 3" xfId="12271"/>
    <cellStyle name="Normal 2 2 3 2 5 3 2 3 2" xfId="41454"/>
    <cellStyle name="Normal 2 2 3 2 5 3 2 3 2 2" xfId="47618"/>
    <cellStyle name="Normal 2 2 3 2 5 3 2 4" xfId="25756"/>
    <cellStyle name="Normal 2 2 3 2 5 3 3" xfId="11245"/>
    <cellStyle name="Normal 2 2 3 2 5 3 3 2" xfId="15467"/>
    <cellStyle name="Normal 2 2 3 2 5 3 3 2 2" xfId="46601"/>
    <cellStyle name="Normal 2 2 3 2 5 3 3 2 2 2" xfId="50800"/>
    <cellStyle name="Normal 2 2 3 2 5 3 3 3" xfId="28974"/>
    <cellStyle name="Normal 2 2 3 2 5 3 4" xfId="24738"/>
    <cellStyle name="Normal 2 2 3 2 5 3 4 2" xfId="37277"/>
    <cellStyle name="Normal 2 2 3 2 5 4" xfId="3802"/>
    <cellStyle name="Normal 2 2 3 2 5 4 2" xfId="14402"/>
    <cellStyle name="Normal 2 2 3 2 5 4 2 2" xfId="17417"/>
    <cellStyle name="Normal 2 2 3 2 5 4 2 2 2" xfId="49747"/>
    <cellStyle name="Normal 2 2 3 2 5 4 2 2 2 2" xfId="52744"/>
    <cellStyle name="Normal 2 2 3 2 5 4 2 3" xfId="30918"/>
    <cellStyle name="Normal 2 2 3 2 5 4 3" xfId="27914"/>
    <cellStyle name="Normal 2 2 3 2 5 4 3 2" xfId="39252"/>
    <cellStyle name="Normal 2 2 3 2 5 5" xfId="8992"/>
    <cellStyle name="Normal 2 2 3 2 5 5 2" xfId="36214"/>
    <cellStyle name="Normal 2 2 3 2 5 5 2 2" xfId="44390"/>
    <cellStyle name="Normal 2 2 3 2 5 6" xfId="22498"/>
    <cellStyle name="Normal 2 2 3 2 6" xfId="1471"/>
    <cellStyle name="Normal 2 2 3 2 6 2" xfId="1835"/>
    <cellStyle name="Normal 2 2 3 2 6 2 2" xfId="6772"/>
    <cellStyle name="Normal 2 2 3 2 6 2 2 2" xfId="7086"/>
    <cellStyle name="Normal 2 2 3 2 6 2 2 2 2" xfId="20325"/>
    <cellStyle name="Normal 2 2 3 2 6 2 2 2 2 2" xfId="20639"/>
    <cellStyle name="Normal 2 2 3 2 6 2 2 2 2 2 2" xfId="55651"/>
    <cellStyle name="Normal 2 2 3 2 6 2 2 2 2 2 2 2" xfId="55965"/>
    <cellStyle name="Normal 2 2 3 2 6 2 2 2 2 3" xfId="34141"/>
    <cellStyle name="Normal 2 2 3 2 6 2 2 2 3" xfId="33827"/>
    <cellStyle name="Normal 2 2 3 2 6 2 2 2 3 2" xfId="42514"/>
    <cellStyle name="Normal 2 2 3 2 6 2 2 3" xfId="12310"/>
    <cellStyle name="Normal 2 2 3 2 6 2 2 3 2" xfId="42200"/>
    <cellStyle name="Normal 2 2 3 2 6 2 2 3 2 2" xfId="47657"/>
    <cellStyle name="Normal 2 2 3 2 6 2 2 4" xfId="25795"/>
    <cellStyle name="Normal 2 2 3 2 6 2 3" xfId="11995"/>
    <cellStyle name="Normal 2 2 3 2 6 2 3 2" xfId="15507"/>
    <cellStyle name="Normal 2 2 3 2 6 2 3 2 2" xfId="47343"/>
    <cellStyle name="Normal 2 2 3 2 6 2 3 2 2 2" xfId="50840"/>
    <cellStyle name="Normal 2 2 3 2 6 2 3 3" xfId="29014"/>
    <cellStyle name="Normal 2 2 3 2 6 2 4" xfId="25480"/>
    <cellStyle name="Normal 2 2 3 2 6 2 4 2" xfId="37317"/>
    <cellStyle name="Normal 2 2 3 2 6 3" xfId="3847"/>
    <cellStyle name="Normal 2 2 3 2 6 3 2" xfId="15157"/>
    <cellStyle name="Normal 2 2 3 2 6 3 2 2" xfId="17461"/>
    <cellStyle name="Normal 2 2 3 2 6 3 2 2 2" xfId="50496"/>
    <cellStyle name="Normal 2 2 3 2 6 3 2 2 2 2" xfId="52788"/>
    <cellStyle name="Normal 2 2 3 2 6 3 2 3" xfId="30962"/>
    <cellStyle name="Normal 2 2 3 2 6 3 3" xfId="28670"/>
    <cellStyle name="Normal 2 2 3 2 6 3 3 2" xfId="39296"/>
    <cellStyle name="Normal 2 2 3 2 6 4" xfId="9040"/>
    <cellStyle name="Normal 2 2 3 2 6 4 2" xfId="36968"/>
    <cellStyle name="Normal 2 2 3 2 6 4 2 2" xfId="44437"/>
    <cellStyle name="Normal 2 2 3 2 6 5" xfId="22548"/>
    <cellStyle name="Normal 2 2 3 2 7" xfId="2406"/>
    <cellStyle name="Normal 2 2 3 2 7 2" xfId="1467"/>
    <cellStyle name="Normal 2 2 3 2 7 2 2" xfId="16069"/>
    <cellStyle name="Normal 2 2 3 2 7 2 2 2" xfId="15154"/>
    <cellStyle name="Normal 2 2 3 2 7 2 2 2 2" xfId="51401"/>
    <cellStyle name="Normal 2 2 3 2 7 2 2 2 2 2" xfId="50493"/>
    <cellStyle name="Normal 2 2 3 2 7 2 2 3" xfId="28667"/>
    <cellStyle name="Normal 2 2 3 2 7 2 3" xfId="29575"/>
    <cellStyle name="Normal 2 2 3 2 7 2 3 2" xfId="36964"/>
    <cellStyle name="Normal 2 2 3 2 7 3" xfId="6374"/>
    <cellStyle name="Normal 2 2 3 2 7 3 2" xfId="37884"/>
    <cellStyle name="Normal 2 2 3 2 7 3 2 2" xfId="41803"/>
    <cellStyle name="Normal 2 2 3 2 7 4" xfId="11113"/>
    <cellStyle name="Normal 2 2 3 2 8" xfId="3980"/>
    <cellStyle name="Normal 2 2 3 2 8 2" xfId="8712"/>
    <cellStyle name="Normal 2 2 3 2 8 2 2" xfId="39424"/>
    <cellStyle name="Normal 2 2 3 2 8 2 2 2" xfId="44139"/>
    <cellStyle name="Normal 2 2 3 2 8 3" xfId="11374"/>
    <cellStyle name="Normal 2 2 3 2 9" xfId="5699"/>
    <cellStyle name="Normal 2 2 3 2 9 2" xfId="27458"/>
    <cellStyle name="Normal 2 2 3 3" xfId="123"/>
    <cellStyle name="Normal 2 2 3 3 2" xfId="267"/>
    <cellStyle name="Normal 2 2 3 3 2 2" xfId="304"/>
    <cellStyle name="Normal 2 2 3 3 2 2 2" xfId="612"/>
    <cellStyle name="Normal 2 2 3 3 2 2 2 2" xfId="634"/>
    <cellStyle name="Normal 2 2 3 3 2 2 2 2 2" xfId="1408"/>
    <cellStyle name="Normal 2 2 3 3 2 2 2 2 2 2" xfId="1430"/>
    <cellStyle name="Normal 2 2 3 3 2 2 2 2 2 2 2" xfId="3426"/>
    <cellStyle name="Normal 2 2 3 3 2 2 2 2 2 2 2 2" xfId="3448"/>
    <cellStyle name="Normal 2 2 3 3 2 2 2 2 2 2 2 2 2" xfId="8641"/>
    <cellStyle name="Normal 2 2 3 3 2 2 2 2 2 2 2 2 2 2" xfId="8663"/>
    <cellStyle name="Normal 2 2 3 3 2 2 2 2 2 2 2 2 2 2 2" xfId="22193"/>
    <cellStyle name="Normal 2 2 3 3 2 2 2 2 2 2 2 2 2 2 2 2" xfId="22215"/>
    <cellStyle name="Normal 2 2 3 3 2 2 2 2 2 2 2 2 2 2 2 2 2" xfId="57519"/>
    <cellStyle name="Normal 2 2 3 3 2 2 2 2 2 2 2 2 2 2 2 2 2 2" xfId="57541"/>
    <cellStyle name="Normal 2 2 3 3 2 2 2 2 2 2 2 2 2 2 2 3" xfId="35718"/>
    <cellStyle name="Normal 2 2 3 3 2 2 2 2 2 2 2 2 2 2 3" xfId="35696"/>
    <cellStyle name="Normal 2 2 3 3 2 2 2 2 2 2 2 2 2 2 3 2" xfId="44090"/>
    <cellStyle name="Normal 2 2 3 3 2 2 2 2 2 2 2 2 2 3" xfId="13888"/>
    <cellStyle name="Normal 2 2 3 3 2 2 2 2 2 2 2 2 2 3 2" xfId="44068"/>
    <cellStyle name="Normal 2 2 3 3 2 2 2 2 2 2 2 2 2 3 2 2" xfId="49234"/>
    <cellStyle name="Normal 2 2 3 3 2 2 2 2 2 2 2 2 2 4" xfId="27373"/>
    <cellStyle name="Normal 2 2 3 3 2 2 2 2 2 2 2 2 3" xfId="13866"/>
    <cellStyle name="Normal 2 2 3 3 2 2 2 2 2 2 2 2 3 2" xfId="17105"/>
    <cellStyle name="Normal 2 2 3 3 2 2 2 2 2 2 2 2 3 2 2" xfId="49212"/>
    <cellStyle name="Normal 2 2 3 3 2 2 2 2 2 2 2 2 3 2 2 2" xfId="52433"/>
    <cellStyle name="Normal 2 2 3 3 2 2 2 2 2 2 2 2 3 3" xfId="30607"/>
    <cellStyle name="Normal 2 2 3 3 2 2 2 2 2 2 2 2 4" xfId="27351"/>
    <cellStyle name="Normal 2 2 3 3 2 2 2 2 2 2 2 2 4 2" xfId="38917"/>
    <cellStyle name="Normal 2 2 3 3 2 2 2 2 2 2 2 3" xfId="5485"/>
    <cellStyle name="Normal 2 2 3 3 2 2 2 2 2 2 2 3 2" xfId="17083"/>
    <cellStyle name="Normal 2 2 3 3 2 2 2 2 2 2 2 3 2 2" xfId="19058"/>
    <cellStyle name="Normal 2 2 3 3 2 2 2 2 2 2 2 3 2 2 2" xfId="52411"/>
    <cellStyle name="Normal 2 2 3 3 2 2 2 2 2 2 2 3 2 2 2 2" xfId="54384"/>
    <cellStyle name="Normal 2 2 3 3 2 2 2 2 2 2 2 3 2 3" xfId="32559"/>
    <cellStyle name="Normal 2 2 3 3 2 2 2 2 2 2 2 3 3" xfId="30585"/>
    <cellStyle name="Normal 2 2 3 3 2 2 2 2 2 2 2 3 3 2" xfId="40922"/>
    <cellStyle name="Normal 2 2 3 3 2 2 2 2 2 2 2 4" xfId="10688"/>
    <cellStyle name="Normal 2 2 3 3 2 2 2 2 2 2 2 4 2" xfId="38895"/>
    <cellStyle name="Normal 2 2 3 3 2 2 2 2 2 2 2 4 2 2" xfId="46051"/>
    <cellStyle name="Normal 2 2 3 3 2 2 2 2 2 2 2 5" xfId="24174"/>
    <cellStyle name="Normal 2 2 3 3 2 2 2 2 2 2 3" xfId="5463"/>
    <cellStyle name="Normal 2 2 3 3 2 2 2 2 2 2 3 2" xfId="6738"/>
    <cellStyle name="Normal 2 2 3 3 2 2 2 2 2 2 3 2 2" xfId="19036"/>
    <cellStyle name="Normal 2 2 3 3 2 2 2 2 2 2 3 2 2 2" xfId="20291"/>
    <cellStyle name="Normal 2 2 3 3 2 2 2 2 2 2 3 2 2 2 2" xfId="54362"/>
    <cellStyle name="Normal 2 2 3 3 2 2 2 2 2 2 3 2 2 2 2 2" xfId="55617"/>
    <cellStyle name="Normal 2 2 3 3 2 2 2 2 2 2 3 2 2 3" xfId="33793"/>
    <cellStyle name="Normal 2 2 3 3 2 2 2 2 2 2 3 2 3" xfId="32537"/>
    <cellStyle name="Normal 2 2 3 3 2 2 2 2 2 2 3 2 3 2" xfId="42166"/>
    <cellStyle name="Normal 2 2 3 3 2 2 2 2 2 2 3 3" xfId="11961"/>
    <cellStyle name="Normal 2 2 3 3 2 2 2 2 2 2 3 3 2" xfId="40900"/>
    <cellStyle name="Normal 2 2 3 3 2 2 2 2 2 2 3 3 2 2" xfId="47309"/>
    <cellStyle name="Normal 2 2 3 3 2 2 2 2 2 2 3 4" xfId="25446"/>
    <cellStyle name="Normal 2 2 3 3 2 2 2 2 2 2 4" xfId="10666"/>
    <cellStyle name="Normal 2 2 3 3 2 2 2 2 2 2 4 2" xfId="15119"/>
    <cellStyle name="Normal 2 2 3 3 2 2 2 2 2 2 4 2 2" xfId="46029"/>
    <cellStyle name="Normal 2 2 3 3 2 2 2 2 2 2 4 2 2 2" xfId="50458"/>
    <cellStyle name="Normal 2 2 3 3 2 2 2 2 2 2 4 3" xfId="28632"/>
    <cellStyle name="Normal 2 2 3 3 2 2 2 2 2 2 5" xfId="24152"/>
    <cellStyle name="Normal 2 2 3 3 2 2 2 2 2 2 5 2" xfId="36927"/>
    <cellStyle name="Normal 2 2 3 3 2 2 2 2 2 3" xfId="2237"/>
    <cellStyle name="Normal 2 2 3 3 2 2 2 2 2 3 2" xfId="6716"/>
    <cellStyle name="Normal 2 2 3 3 2 2 2 2 2 3 2 2" xfId="7471"/>
    <cellStyle name="Normal 2 2 3 3 2 2 2 2 2 3 2 2 2" xfId="20269"/>
    <cellStyle name="Normal 2 2 3 3 2 2 2 2 2 3 2 2 2 2" xfId="21023"/>
    <cellStyle name="Normal 2 2 3 3 2 2 2 2 2 3 2 2 2 2 2" xfId="55595"/>
    <cellStyle name="Normal 2 2 3 3 2 2 2 2 2 3 2 2 2 2 2 2" xfId="56349"/>
    <cellStyle name="Normal 2 2 3 3 2 2 2 2 2 3 2 2 2 3" xfId="34526"/>
    <cellStyle name="Normal 2 2 3 3 2 2 2 2 2 3 2 2 3" xfId="33771"/>
    <cellStyle name="Normal 2 2 3 3 2 2 2 2 2 3 2 2 3 2" xfId="42898"/>
    <cellStyle name="Normal 2 2 3 3 2 2 2 2 2 3 2 3" xfId="12696"/>
    <cellStyle name="Normal 2 2 3 3 2 2 2 2 2 3 2 3 2" xfId="42144"/>
    <cellStyle name="Normal 2 2 3 3 2 2 2 2 2 3 2 3 2 2" xfId="48042"/>
    <cellStyle name="Normal 2 2 3 3 2 2 2 2 2 3 2 4" xfId="26180"/>
    <cellStyle name="Normal 2 2 3 3 2 2 2 2 2 3 3" xfId="11939"/>
    <cellStyle name="Normal 2 2 3 3 2 2 2 2 2 3 3 2" xfId="15901"/>
    <cellStyle name="Normal 2 2 3 3 2 2 2 2 2 3 3 2 2" xfId="47287"/>
    <cellStyle name="Normal 2 2 3 3 2 2 2 2 2 3 3 2 2 2" xfId="51233"/>
    <cellStyle name="Normal 2 2 3 3 2 2 2 2 2 3 3 3" xfId="29407"/>
    <cellStyle name="Normal 2 2 3 3 2 2 2 2 2 3 4" xfId="25424"/>
    <cellStyle name="Normal 2 2 3 3 2 2 2 2 2 3 4 2" xfId="37715"/>
    <cellStyle name="Normal 2 2 3 3 2 2 2 2 2 4" xfId="4253"/>
    <cellStyle name="Normal 2 2 3 3 2 2 2 2 2 4 2" xfId="15097"/>
    <cellStyle name="Normal 2 2 3 3 2 2 2 2 2 4 2 2" xfId="17846"/>
    <cellStyle name="Normal 2 2 3 3 2 2 2 2 2 4 2 2 2" xfId="50436"/>
    <cellStyle name="Normal 2 2 3 3 2 2 2 2 2 4 2 2 2 2" xfId="53173"/>
    <cellStyle name="Normal 2 2 3 3 2 2 2 2 2 4 2 3" xfId="31348"/>
    <cellStyle name="Normal 2 2 3 3 2 2 2 2 2 4 3" xfId="28610"/>
    <cellStyle name="Normal 2 2 3 3 2 2 2 2 2 4 3 2" xfId="39696"/>
    <cellStyle name="Normal 2 2 3 3 2 2 2 2 2 5" xfId="9444"/>
    <cellStyle name="Normal 2 2 3 3 2 2 2 2 2 5 2" xfId="36905"/>
    <cellStyle name="Normal 2 2 3 3 2 2 2 2 2 5 2 2" xfId="44826"/>
    <cellStyle name="Normal 2 2 3 3 2 2 2 2 2 6" xfId="22940"/>
    <cellStyle name="Normal 2 2 3 3 2 2 2 2 3" xfId="2215"/>
    <cellStyle name="Normal 2 2 3 3 2 2 2 2 3 2" xfId="2724"/>
    <cellStyle name="Normal 2 2 3 3 2 2 2 2 3 2 2" xfId="7449"/>
    <cellStyle name="Normal 2 2 3 3 2 2 2 2 3 2 2 2" xfId="7943"/>
    <cellStyle name="Normal 2 2 3 3 2 2 2 2 3 2 2 2 2" xfId="21001"/>
    <cellStyle name="Normal 2 2 3 3 2 2 2 2 3 2 2 2 2 2" xfId="21495"/>
    <cellStyle name="Normal 2 2 3 3 2 2 2 2 3 2 2 2 2 2 2" xfId="56327"/>
    <cellStyle name="Normal 2 2 3 3 2 2 2 2 3 2 2 2 2 2 2 2" xfId="56821"/>
    <cellStyle name="Normal 2 2 3 3 2 2 2 2 3 2 2 2 2 3" xfId="34998"/>
    <cellStyle name="Normal 2 2 3 3 2 2 2 2 3 2 2 2 3" xfId="34504"/>
    <cellStyle name="Normal 2 2 3 3 2 2 2 2 3 2 2 2 3 2" xfId="43370"/>
    <cellStyle name="Normal 2 2 3 3 2 2 2 2 3 2 2 3" xfId="13168"/>
    <cellStyle name="Normal 2 2 3 3 2 2 2 2 3 2 2 3 2" xfId="42876"/>
    <cellStyle name="Normal 2 2 3 3 2 2 2 2 3 2 2 3 2 2" xfId="48514"/>
    <cellStyle name="Normal 2 2 3 3 2 2 2 2 3 2 2 4" xfId="26652"/>
    <cellStyle name="Normal 2 2 3 3 2 2 2 2 3 2 3" xfId="12674"/>
    <cellStyle name="Normal 2 2 3 3 2 2 2 2 3 2 3 2" xfId="16383"/>
    <cellStyle name="Normal 2 2 3 3 2 2 2 2 3 2 3 2 2" xfId="48020"/>
    <cellStyle name="Normal 2 2 3 3 2 2 2 2 3 2 3 2 2 2" xfId="51713"/>
    <cellStyle name="Normal 2 2 3 3 2 2 2 2 3 2 3 3" xfId="29887"/>
    <cellStyle name="Normal 2 2 3 3 2 2 2 2 3 2 4" xfId="26158"/>
    <cellStyle name="Normal 2 2 3 3 2 2 2 2 3 2 4 2" xfId="38197"/>
    <cellStyle name="Normal 2 2 3 3 2 2 2 2 3 3" xfId="4760"/>
    <cellStyle name="Normal 2 2 3 3 2 2 2 2 3 3 2" xfId="15879"/>
    <cellStyle name="Normal 2 2 3 3 2 2 2 2 3 3 2 2" xfId="18337"/>
    <cellStyle name="Normal 2 2 3 3 2 2 2 2 3 3 2 2 2" xfId="51211"/>
    <cellStyle name="Normal 2 2 3 3 2 2 2 2 3 3 2 2 2 2" xfId="53663"/>
    <cellStyle name="Normal 2 2 3 3 2 2 2 2 3 3 2 3" xfId="31838"/>
    <cellStyle name="Normal 2 2 3 3 2 2 2 2 3 3 3" xfId="29385"/>
    <cellStyle name="Normal 2 2 3 3 2 2 2 2 3 3 3 2" xfId="40198"/>
    <cellStyle name="Normal 2 2 3 3 2 2 2 2 3 4" xfId="9963"/>
    <cellStyle name="Normal 2 2 3 3 2 2 2 2 3 4 2" xfId="37693"/>
    <cellStyle name="Normal 2 2 3 3 2 2 2 2 3 4 2 2" xfId="45330"/>
    <cellStyle name="Normal 2 2 3 3 2 2 2 2 3 5" xfId="23453"/>
    <cellStyle name="Normal 2 2 3 3 2 2 2 2 4" xfId="4231"/>
    <cellStyle name="Normal 2 2 3 3 2 2 2 2 4 2" xfId="5965"/>
    <cellStyle name="Normal 2 2 3 3 2 2 2 2 4 2 2" xfId="17824"/>
    <cellStyle name="Normal 2 2 3 3 2 2 2 2 4 2 2 2" xfId="19532"/>
    <cellStyle name="Normal 2 2 3 3 2 2 2 2 4 2 2 2 2" xfId="53151"/>
    <cellStyle name="Normal 2 2 3 3 2 2 2 2 4 2 2 2 2 2" xfId="54858"/>
    <cellStyle name="Normal 2 2 3 3 2 2 2 2 4 2 2 3" xfId="33033"/>
    <cellStyle name="Normal 2 2 3 3 2 2 2 2 4 2 3" xfId="31326"/>
    <cellStyle name="Normal 2 2 3 3 2 2 2 2 4 2 3 2" xfId="41399"/>
    <cellStyle name="Normal 2 2 3 3 2 2 2 2 4 3" xfId="11190"/>
    <cellStyle name="Normal 2 2 3 3 2 2 2 2 4 3 2" xfId="39674"/>
    <cellStyle name="Normal 2 2 3 3 2 2 2 2 4 3 2 2" xfId="46548"/>
    <cellStyle name="Normal 2 2 3 3 2 2 2 2 4 4" xfId="24683"/>
    <cellStyle name="Normal 2 2 3 3 2 2 2 2 5" xfId="9422"/>
    <cellStyle name="Normal 2 2 3 3 2 2 2 2 5 2" xfId="14349"/>
    <cellStyle name="Normal 2 2 3 3 2 2 2 2 5 2 2" xfId="44804"/>
    <cellStyle name="Normal 2 2 3 3 2 2 2 2 5 2 2 2" xfId="49694"/>
    <cellStyle name="Normal 2 2 3 3 2 2 2 2 5 3" xfId="27859"/>
    <cellStyle name="Normal 2 2 3 3 2 2 2 2 6" xfId="22918"/>
    <cellStyle name="Normal 2 2 3 3 2 2 2 2 6 2" xfId="36161"/>
    <cellStyle name="Normal 2 2 3 3 2 2 2 3" xfId="962"/>
    <cellStyle name="Normal 2 2 3 3 2 2 2 3 2" xfId="2702"/>
    <cellStyle name="Normal 2 2 3 3 2 2 2 3 2 2" xfId="3000"/>
    <cellStyle name="Normal 2 2 3 3 2 2 2 3 2 2 2" xfId="7921"/>
    <cellStyle name="Normal 2 2 3 3 2 2 2 3 2 2 2 2" xfId="8215"/>
    <cellStyle name="Normal 2 2 3 3 2 2 2 3 2 2 2 2 2" xfId="21473"/>
    <cellStyle name="Normal 2 2 3 3 2 2 2 3 2 2 2 2 2 2" xfId="21767"/>
    <cellStyle name="Normal 2 2 3 3 2 2 2 3 2 2 2 2 2 2 2" xfId="56799"/>
    <cellStyle name="Normal 2 2 3 3 2 2 2 3 2 2 2 2 2 2 2 2" xfId="57093"/>
    <cellStyle name="Normal 2 2 3 3 2 2 2 3 2 2 2 2 2 3" xfId="35270"/>
    <cellStyle name="Normal 2 2 3 3 2 2 2 3 2 2 2 2 3" xfId="34976"/>
    <cellStyle name="Normal 2 2 3 3 2 2 2 3 2 2 2 2 3 2" xfId="43642"/>
    <cellStyle name="Normal 2 2 3 3 2 2 2 3 2 2 2 3" xfId="13440"/>
    <cellStyle name="Normal 2 2 3 3 2 2 2 3 2 2 2 3 2" xfId="43348"/>
    <cellStyle name="Normal 2 2 3 3 2 2 2 3 2 2 2 3 2 2" xfId="48786"/>
    <cellStyle name="Normal 2 2 3 3 2 2 2 3 2 2 2 4" xfId="26925"/>
    <cellStyle name="Normal 2 2 3 3 2 2 2 3 2 2 3" xfId="13146"/>
    <cellStyle name="Normal 2 2 3 3 2 2 2 3 2 2 3 2" xfId="16657"/>
    <cellStyle name="Normal 2 2 3 3 2 2 2 3 2 2 3 2 2" xfId="48492"/>
    <cellStyle name="Normal 2 2 3 3 2 2 2 3 2 2 3 2 2 2" xfId="51985"/>
    <cellStyle name="Normal 2 2 3 3 2 2 2 3 2 2 3 3" xfId="30159"/>
    <cellStyle name="Normal 2 2 3 3 2 2 2 3 2 2 4" xfId="26630"/>
    <cellStyle name="Normal 2 2 3 3 2 2 2 3 2 2 4 2" xfId="38469"/>
    <cellStyle name="Normal 2 2 3 3 2 2 2 3 2 3" xfId="5036"/>
    <cellStyle name="Normal 2 2 3 3 2 2 2 3 2 3 2" xfId="16361"/>
    <cellStyle name="Normal 2 2 3 3 2 2 2 3 2 3 2 2" xfId="18609"/>
    <cellStyle name="Normal 2 2 3 3 2 2 2 3 2 3 2 2 2" xfId="51691"/>
    <cellStyle name="Normal 2 2 3 3 2 2 2 3 2 3 2 2 2 2" xfId="53935"/>
    <cellStyle name="Normal 2 2 3 3 2 2 2 3 2 3 2 3" xfId="32110"/>
    <cellStyle name="Normal 2 2 3 3 2 2 2 3 2 3 3" xfId="29865"/>
    <cellStyle name="Normal 2 2 3 3 2 2 2 3 2 3 3 2" xfId="40473"/>
    <cellStyle name="Normal 2 2 3 3 2 2 2 3 2 4" xfId="10239"/>
    <cellStyle name="Normal 2 2 3 3 2 2 2 3 2 4 2" xfId="38175"/>
    <cellStyle name="Normal 2 2 3 3 2 2 2 3 2 4 2 2" xfId="45602"/>
    <cellStyle name="Normal 2 2 3 3 2 2 2 3 2 5" xfId="23725"/>
    <cellStyle name="Normal 2 2 3 3 2 2 2 3 3" xfId="4738"/>
    <cellStyle name="Normal 2 2 3 3 2 2 2 3 3 2" xfId="6273"/>
    <cellStyle name="Normal 2 2 3 3 2 2 2 3 3 2 2" xfId="18315"/>
    <cellStyle name="Normal 2 2 3 3 2 2 2 3 3 2 2 2" xfId="19830"/>
    <cellStyle name="Normal 2 2 3 3 2 2 2 3 3 2 2 2 2" xfId="53641"/>
    <cellStyle name="Normal 2 2 3 3 2 2 2 3 3 2 2 2 2 2" xfId="55156"/>
    <cellStyle name="Normal 2 2 3 3 2 2 2 3 3 2 2 3" xfId="33332"/>
    <cellStyle name="Normal 2 2 3 3 2 2 2 3 3 2 3" xfId="31816"/>
    <cellStyle name="Normal 2 2 3 3 2 2 2 3 3 2 3 2" xfId="41702"/>
    <cellStyle name="Normal 2 2 3 3 2 2 2 3 3 3" xfId="11498"/>
    <cellStyle name="Normal 2 2 3 3 2 2 2 3 3 3 2" xfId="40176"/>
    <cellStyle name="Normal 2 2 3 3 2 2 2 3 3 3 2 2" xfId="46847"/>
    <cellStyle name="Normal 2 2 3 3 2 2 2 3 3 4" xfId="24984"/>
    <cellStyle name="Normal 2 2 3 3 2 2 2 3 4" xfId="9941"/>
    <cellStyle name="Normal 2 2 3 3 2 2 2 3 4 2" xfId="14656"/>
    <cellStyle name="Normal 2 2 3 3 2 2 2 3 4 2 2" xfId="45308"/>
    <cellStyle name="Normal 2 2 3 3 2 2 2 3 4 2 2 2" xfId="49995"/>
    <cellStyle name="Normal 2 2 3 3 2 2 2 3 4 3" xfId="28167"/>
    <cellStyle name="Normal 2 2 3 3 2 2 2 3 5" xfId="23431"/>
    <cellStyle name="Normal 2 2 3 3 2 2 2 3 5 2" xfId="36464"/>
    <cellStyle name="Normal 2 2 3 3 2 2 2 4" xfId="1758"/>
    <cellStyle name="Normal 2 2 3 3 2 2 2 4 2" xfId="5943"/>
    <cellStyle name="Normal 2 2 3 3 2 2 2 4 2 2" xfId="7011"/>
    <cellStyle name="Normal 2 2 3 3 2 2 2 4 2 2 2" xfId="19510"/>
    <cellStyle name="Normal 2 2 3 3 2 2 2 4 2 2 2 2" xfId="20564"/>
    <cellStyle name="Normal 2 2 3 3 2 2 2 4 2 2 2 2 2" xfId="54836"/>
    <cellStyle name="Normal 2 2 3 3 2 2 2 4 2 2 2 2 2 2" xfId="55890"/>
    <cellStyle name="Normal 2 2 3 3 2 2 2 4 2 2 2 3" xfId="34066"/>
    <cellStyle name="Normal 2 2 3 3 2 2 2 4 2 2 3" xfId="33011"/>
    <cellStyle name="Normal 2 2 3 3 2 2 2 4 2 2 3 2" xfId="42439"/>
    <cellStyle name="Normal 2 2 3 3 2 2 2 4 2 3" xfId="12235"/>
    <cellStyle name="Normal 2 2 3 3 2 2 2 4 2 3 2" xfId="41377"/>
    <cellStyle name="Normal 2 2 3 3 2 2 2 4 2 3 2 2" xfId="47582"/>
    <cellStyle name="Normal 2 2 3 3 2 2 2 4 2 4" xfId="25720"/>
    <cellStyle name="Normal 2 2 3 3 2 2 2 4 3" xfId="11168"/>
    <cellStyle name="Normal 2 2 3 3 2 2 2 4 3 2" xfId="15430"/>
    <cellStyle name="Normal 2 2 3 3 2 2 2 4 3 2 2" xfId="46526"/>
    <cellStyle name="Normal 2 2 3 3 2 2 2 4 3 2 2 2" xfId="50763"/>
    <cellStyle name="Normal 2 2 3 3 2 2 2 4 3 3" xfId="28937"/>
    <cellStyle name="Normal 2 2 3 3 2 2 2 4 4" xfId="24661"/>
    <cellStyle name="Normal 2 2 3 3 2 2 2 4 4 2" xfId="37240"/>
    <cellStyle name="Normal 2 2 3 3 2 2 2 5" xfId="3764"/>
    <cellStyle name="Normal 2 2 3 3 2 2 2 5 2" xfId="14327"/>
    <cellStyle name="Normal 2 2 3 3 2 2 2 5 2 2" xfId="17380"/>
    <cellStyle name="Normal 2 2 3 3 2 2 2 5 2 2 2" xfId="49672"/>
    <cellStyle name="Normal 2 2 3 3 2 2 2 5 2 2 2 2" xfId="52707"/>
    <cellStyle name="Normal 2 2 3 3 2 2 2 5 2 3" xfId="30881"/>
    <cellStyle name="Normal 2 2 3 3 2 2 2 5 3" xfId="27837"/>
    <cellStyle name="Normal 2 2 3 3 2 2 2 5 3 2" xfId="39215"/>
    <cellStyle name="Normal 2 2 3 3 2 2 2 6" xfId="8954"/>
    <cellStyle name="Normal 2 2 3 3 2 2 2 6 2" xfId="36139"/>
    <cellStyle name="Normal 2 2 3 3 2 2 2 6 2 2" xfId="44353"/>
    <cellStyle name="Normal 2 2 3 3 2 2 2 7" xfId="22461"/>
    <cellStyle name="Normal 2 2 3 3 2 2 3" xfId="940"/>
    <cellStyle name="Normal 2 2 3 3 2 2 3 2" xfId="1166"/>
    <cellStyle name="Normal 2 2 3 3 2 2 3 2 2" xfId="2978"/>
    <cellStyle name="Normal 2 2 3 3 2 2 3 2 2 2" xfId="3186"/>
    <cellStyle name="Normal 2 2 3 3 2 2 3 2 2 2 2" xfId="8193"/>
    <cellStyle name="Normal 2 2 3 3 2 2 3 2 2 2 2 2" xfId="8401"/>
    <cellStyle name="Normal 2 2 3 3 2 2 3 2 2 2 2 2 2" xfId="21745"/>
    <cellStyle name="Normal 2 2 3 3 2 2 3 2 2 2 2 2 2 2" xfId="21953"/>
    <cellStyle name="Normal 2 2 3 3 2 2 3 2 2 2 2 2 2 2 2" xfId="57071"/>
    <cellStyle name="Normal 2 2 3 3 2 2 3 2 2 2 2 2 2 2 2 2" xfId="57279"/>
    <cellStyle name="Normal 2 2 3 3 2 2 3 2 2 2 2 2 2 3" xfId="35456"/>
    <cellStyle name="Normal 2 2 3 3 2 2 3 2 2 2 2 2 3" xfId="35248"/>
    <cellStyle name="Normal 2 2 3 3 2 2 3 2 2 2 2 2 3 2" xfId="43828"/>
    <cellStyle name="Normal 2 2 3 3 2 2 3 2 2 2 2 3" xfId="13626"/>
    <cellStyle name="Normal 2 2 3 3 2 2 3 2 2 2 2 3 2" xfId="43620"/>
    <cellStyle name="Normal 2 2 3 3 2 2 3 2 2 2 2 3 2 2" xfId="48972"/>
    <cellStyle name="Normal 2 2 3 3 2 2 3 2 2 2 2 4" xfId="27111"/>
    <cellStyle name="Normal 2 2 3 3 2 2 3 2 2 2 3" xfId="13418"/>
    <cellStyle name="Normal 2 2 3 3 2 2 3 2 2 2 3 2" xfId="16843"/>
    <cellStyle name="Normal 2 2 3 3 2 2 3 2 2 2 3 2 2" xfId="48764"/>
    <cellStyle name="Normal 2 2 3 3 2 2 3 2 2 2 3 2 2 2" xfId="52171"/>
    <cellStyle name="Normal 2 2 3 3 2 2 3 2 2 2 3 3" xfId="30345"/>
    <cellStyle name="Normal 2 2 3 3 2 2 3 2 2 2 4" xfId="26903"/>
    <cellStyle name="Normal 2 2 3 3 2 2 3 2 2 2 4 2" xfId="38655"/>
    <cellStyle name="Normal 2 2 3 3 2 2 3 2 2 3" xfId="5223"/>
    <cellStyle name="Normal 2 2 3 3 2 2 3 2 2 3 2" xfId="16635"/>
    <cellStyle name="Normal 2 2 3 3 2 2 3 2 2 3 2 2" xfId="18796"/>
    <cellStyle name="Normal 2 2 3 3 2 2 3 2 2 3 2 2 2" xfId="51963"/>
    <cellStyle name="Normal 2 2 3 3 2 2 3 2 2 3 2 2 2 2" xfId="54122"/>
    <cellStyle name="Normal 2 2 3 3 2 2 3 2 2 3 2 3" xfId="32297"/>
    <cellStyle name="Normal 2 2 3 3 2 2 3 2 2 3 3" xfId="30137"/>
    <cellStyle name="Normal 2 2 3 3 2 2 3 2 2 3 3 2" xfId="40660"/>
    <cellStyle name="Normal 2 2 3 3 2 2 3 2 2 4" xfId="10426"/>
    <cellStyle name="Normal 2 2 3 3 2 2 3 2 2 4 2" xfId="38447"/>
    <cellStyle name="Normal 2 2 3 3 2 2 3 2 2 4 2 2" xfId="45789"/>
    <cellStyle name="Normal 2 2 3 3 2 2 3 2 2 5" xfId="23912"/>
    <cellStyle name="Normal 2 2 3 3 2 2 3 2 3" xfId="5014"/>
    <cellStyle name="Normal 2 2 3 3 2 2 3 2 3 2" xfId="6474"/>
    <cellStyle name="Normal 2 2 3 3 2 2 3 2 3 2 2" xfId="18587"/>
    <cellStyle name="Normal 2 2 3 3 2 2 3 2 3 2 2 2" xfId="20028"/>
    <cellStyle name="Normal 2 2 3 3 2 2 3 2 3 2 2 2 2" xfId="53913"/>
    <cellStyle name="Normal 2 2 3 3 2 2 3 2 3 2 2 2 2 2" xfId="55354"/>
    <cellStyle name="Normal 2 2 3 3 2 2 3 2 3 2 2 3" xfId="33530"/>
    <cellStyle name="Normal 2 2 3 3 2 2 3 2 3 2 3" xfId="32088"/>
    <cellStyle name="Normal 2 2 3 3 2 2 3 2 3 2 3 2" xfId="41902"/>
    <cellStyle name="Normal 2 2 3 3 2 2 3 2 3 3" xfId="11698"/>
    <cellStyle name="Normal 2 2 3 3 2 2 3 2 3 3 2" xfId="40451"/>
    <cellStyle name="Normal 2 2 3 3 2 2 3 2 3 3 2 2" xfId="47046"/>
    <cellStyle name="Normal 2 2 3 3 2 2 3 2 3 4" xfId="25183"/>
    <cellStyle name="Normal 2 2 3 3 2 2 3 2 4" xfId="10217"/>
    <cellStyle name="Normal 2 2 3 3 2 2 3 2 4 2" xfId="14856"/>
    <cellStyle name="Normal 2 2 3 3 2 2 3 2 4 2 2" xfId="45580"/>
    <cellStyle name="Normal 2 2 3 3 2 2 3 2 4 2 2 2" xfId="50195"/>
    <cellStyle name="Normal 2 2 3 3 2 2 3 2 4 3" xfId="28369"/>
    <cellStyle name="Normal 2 2 3 3 2 2 3 2 5" xfId="23703"/>
    <cellStyle name="Normal 2 2 3 3 2 2 3 2 5 2" xfId="36664"/>
    <cellStyle name="Normal 2 2 3 3 2 2 3 3" xfId="1974"/>
    <cellStyle name="Normal 2 2 3 3 2 2 3 3 2" xfId="6251"/>
    <cellStyle name="Normal 2 2 3 3 2 2 3 3 2 2" xfId="7208"/>
    <cellStyle name="Normal 2 2 3 3 2 2 3 3 2 2 2" xfId="19808"/>
    <cellStyle name="Normal 2 2 3 3 2 2 3 3 2 2 2 2" xfId="20760"/>
    <cellStyle name="Normal 2 2 3 3 2 2 3 3 2 2 2 2 2" xfId="55134"/>
    <cellStyle name="Normal 2 2 3 3 2 2 3 3 2 2 2 2 2 2" xfId="56086"/>
    <cellStyle name="Normal 2 2 3 3 2 2 3 3 2 2 2 3" xfId="34263"/>
    <cellStyle name="Normal 2 2 3 3 2 2 3 3 2 2 3" xfId="33310"/>
    <cellStyle name="Normal 2 2 3 3 2 2 3 3 2 2 3 2" xfId="42635"/>
    <cellStyle name="Normal 2 2 3 3 2 2 3 3 2 3" xfId="12433"/>
    <cellStyle name="Normal 2 2 3 3 2 2 3 3 2 3 2" xfId="41680"/>
    <cellStyle name="Normal 2 2 3 3 2 2 3 3 2 3 2 2" xfId="47779"/>
    <cellStyle name="Normal 2 2 3 3 2 2 3 3 2 4" xfId="25917"/>
    <cellStyle name="Normal 2 2 3 3 2 2 3 3 3" xfId="11476"/>
    <cellStyle name="Normal 2 2 3 3 2 2 3 3 3 2" xfId="15638"/>
    <cellStyle name="Normal 2 2 3 3 2 2 3 3 3 2 2" xfId="46825"/>
    <cellStyle name="Normal 2 2 3 3 2 2 3 3 3 2 2 2" xfId="50970"/>
    <cellStyle name="Normal 2 2 3 3 2 2 3 3 3 3" xfId="29144"/>
    <cellStyle name="Normal 2 2 3 3 2 2 3 3 4" xfId="24962"/>
    <cellStyle name="Normal 2 2 3 3 2 2 3 3 4 2" xfId="37452"/>
    <cellStyle name="Normal 2 2 3 3 2 2 3 4" xfId="3988"/>
    <cellStyle name="Normal 2 2 3 3 2 2 3 4 2" xfId="14634"/>
    <cellStyle name="Normal 2 2 3 3 2 2 3 4 2 2" xfId="17583"/>
    <cellStyle name="Normal 2 2 3 3 2 2 3 4 2 2 2" xfId="49973"/>
    <cellStyle name="Normal 2 2 3 3 2 2 3 4 2 2 2 2" xfId="52910"/>
    <cellStyle name="Normal 2 2 3 3 2 2 3 4 2 3" xfId="31085"/>
    <cellStyle name="Normal 2 2 3 3 2 2 3 4 3" xfId="28145"/>
    <cellStyle name="Normal 2 2 3 3 2 2 3 4 3 2" xfId="39432"/>
    <cellStyle name="Normal 2 2 3 3 2 2 3 5" xfId="9180"/>
    <cellStyle name="Normal 2 2 3 3 2 2 3 5 2" xfId="36442"/>
    <cellStyle name="Normal 2 2 3 3 2 2 3 5 2 2" xfId="44563"/>
    <cellStyle name="Normal 2 2 3 3 2 2 3 6" xfId="22677"/>
    <cellStyle name="Normal 2 2 3 3 2 2 4" xfId="1736"/>
    <cellStyle name="Normal 2 2 3 3 2 2 4 2" xfId="2419"/>
    <cellStyle name="Normal 2 2 3 3 2 2 4 2 2" xfId="6989"/>
    <cellStyle name="Normal 2 2 3 3 2 2 4 2 2 2" xfId="7651"/>
    <cellStyle name="Normal 2 2 3 3 2 2 4 2 2 2 2" xfId="20542"/>
    <cellStyle name="Normal 2 2 3 3 2 2 4 2 2 2 2 2" xfId="21203"/>
    <cellStyle name="Normal 2 2 3 3 2 2 4 2 2 2 2 2 2" xfId="55868"/>
    <cellStyle name="Normal 2 2 3 3 2 2 4 2 2 2 2 2 2 2" xfId="56529"/>
    <cellStyle name="Normal 2 2 3 3 2 2 4 2 2 2 2 3" xfId="34706"/>
    <cellStyle name="Normal 2 2 3 3 2 2 4 2 2 2 3" xfId="34044"/>
    <cellStyle name="Normal 2 2 3 3 2 2 4 2 2 2 3 2" xfId="43078"/>
    <cellStyle name="Normal 2 2 3 3 2 2 4 2 2 3" xfId="12876"/>
    <cellStyle name="Normal 2 2 3 3 2 2 4 2 2 3 2" xfId="42417"/>
    <cellStyle name="Normal 2 2 3 3 2 2 4 2 2 3 2 2" xfId="48222"/>
    <cellStyle name="Normal 2 2 3 3 2 2 4 2 2 4" xfId="26360"/>
    <cellStyle name="Normal 2 2 3 3 2 2 4 2 3" xfId="12213"/>
    <cellStyle name="Normal 2 2 3 3 2 2 4 2 3 2" xfId="16082"/>
    <cellStyle name="Normal 2 2 3 3 2 2 4 2 3 2 2" xfId="47560"/>
    <cellStyle name="Normal 2 2 3 3 2 2 4 2 3 2 2 2" xfId="51414"/>
    <cellStyle name="Normal 2 2 3 3 2 2 4 2 3 3" xfId="29588"/>
    <cellStyle name="Normal 2 2 3 3 2 2 4 2 4" xfId="25698"/>
    <cellStyle name="Normal 2 2 3 3 2 2 4 2 4 2" xfId="37897"/>
    <cellStyle name="Normal 2 2 3 3 2 2 4 3" xfId="4454"/>
    <cellStyle name="Normal 2 2 3 3 2 2 4 3 2" xfId="15408"/>
    <cellStyle name="Normal 2 2 3 3 2 2 4 3 2 2" xfId="18044"/>
    <cellStyle name="Normal 2 2 3 3 2 2 4 3 2 2 2" xfId="50741"/>
    <cellStyle name="Normal 2 2 3 3 2 2 4 3 2 2 2 2" xfId="53370"/>
    <cellStyle name="Normal 2 2 3 3 2 2 4 3 2 3" xfId="31545"/>
    <cellStyle name="Normal 2 2 3 3 2 2 4 3 3" xfId="28915"/>
    <cellStyle name="Normal 2 2 3 3 2 2 4 3 3 2" xfId="39896"/>
    <cellStyle name="Normal 2 2 3 3 2 2 4 4" xfId="9659"/>
    <cellStyle name="Normal 2 2 3 3 2 2 4 4 2" xfId="37218"/>
    <cellStyle name="Normal 2 2 3 3 2 2 4 4 2 2" xfId="45037"/>
    <cellStyle name="Normal 2 2 3 3 2 2 4 5" xfId="23160"/>
    <cellStyle name="Normal 2 2 3 3 2 2 5" xfId="3741"/>
    <cellStyle name="Normal 2 2 3 3 2 2 5 2" xfId="5660"/>
    <cellStyle name="Normal 2 2 3 3 2 2 5 2 2" xfId="17357"/>
    <cellStyle name="Normal 2 2 3 3 2 2 5 2 2 2" xfId="19232"/>
    <cellStyle name="Normal 2 2 3 3 2 2 5 2 2 2 2" xfId="52684"/>
    <cellStyle name="Normal 2 2 3 3 2 2 5 2 2 2 2 2" xfId="54558"/>
    <cellStyle name="Normal 2 2 3 3 2 2 5 2 2 3" xfId="32733"/>
    <cellStyle name="Normal 2 2 3 3 2 2 5 2 3" xfId="30858"/>
    <cellStyle name="Normal 2 2 3 3 2 2 5 2 3 2" xfId="41096"/>
    <cellStyle name="Normal 2 2 3 3 2 2 5 3" xfId="10878"/>
    <cellStyle name="Normal 2 2 3 3 2 2 5 3 2" xfId="39192"/>
    <cellStyle name="Normal 2 2 3 3 2 2 5 3 2 2" xfId="46240"/>
    <cellStyle name="Normal 2 2 3 3 2 2 5 4" xfId="24371"/>
    <cellStyle name="Normal 2 2 3 3 2 2 6" xfId="8931"/>
    <cellStyle name="Normal 2 2 3 3 2 2 6 2" xfId="14044"/>
    <cellStyle name="Normal 2 2 3 3 2 2 6 2 2" xfId="44330"/>
    <cellStyle name="Normal 2 2 3 3 2 2 6 2 2 2" xfId="49390"/>
    <cellStyle name="Normal 2 2 3 3 2 2 6 3" xfId="27543"/>
    <cellStyle name="Normal 2 2 3 3 2 2 7" xfId="22438"/>
    <cellStyle name="Normal 2 2 3 3 2 2 7 2" xfId="35856"/>
    <cellStyle name="Normal 2 2 3 3 2 3" xfId="449"/>
    <cellStyle name="Normal 2 2 3 3 2 3 2" xfId="1133"/>
    <cellStyle name="Normal 2 2 3 3 2 3 2 2" xfId="1265"/>
    <cellStyle name="Normal 2 2 3 3 2 3 2 2 2" xfId="3158"/>
    <cellStyle name="Normal 2 2 3 3 2 3 2 2 2 2" xfId="3283"/>
    <cellStyle name="Normal 2 2 3 3 2 3 2 2 2 2 2" xfId="8373"/>
    <cellStyle name="Normal 2 2 3 3 2 3 2 2 2 2 2 2" xfId="8498"/>
    <cellStyle name="Normal 2 2 3 3 2 3 2 2 2 2 2 2 2" xfId="21925"/>
    <cellStyle name="Normal 2 2 3 3 2 3 2 2 2 2 2 2 2 2" xfId="22050"/>
    <cellStyle name="Normal 2 2 3 3 2 3 2 2 2 2 2 2 2 2 2" xfId="57251"/>
    <cellStyle name="Normal 2 2 3 3 2 3 2 2 2 2 2 2 2 2 2 2" xfId="57376"/>
    <cellStyle name="Normal 2 2 3 3 2 3 2 2 2 2 2 2 2 3" xfId="35553"/>
    <cellStyle name="Normal 2 2 3 3 2 3 2 2 2 2 2 2 3" xfId="35428"/>
    <cellStyle name="Normal 2 2 3 3 2 3 2 2 2 2 2 2 3 2" xfId="43925"/>
    <cellStyle name="Normal 2 2 3 3 2 3 2 2 2 2 2 3" xfId="13723"/>
    <cellStyle name="Normal 2 2 3 3 2 3 2 2 2 2 2 3 2" xfId="43800"/>
    <cellStyle name="Normal 2 2 3 3 2 3 2 2 2 2 2 3 2 2" xfId="49069"/>
    <cellStyle name="Normal 2 2 3 3 2 3 2 2 2 2 2 4" xfId="27208"/>
    <cellStyle name="Normal 2 2 3 3 2 3 2 2 2 2 3" xfId="13598"/>
    <cellStyle name="Normal 2 2 3 3 2 3 2 2 2 2 3 2" xfId="16940"/>
    <cellStyle name="Normal 2 2 3 3 2 3 2 2 2 2 3 2 2" xfId="48944"/>
    <cellStyle name="Normal 2 2 3 3 2 3 2 2 2 2 3 2 2 2" xfId="52268"/>
    <cellStyle name="Normal 2 2 3 3 2 3 2 2 2 2 3 3" xfId="30442"/>
    <cellStyle name="Normal 2 2 3 3 2 3 2 2 2 2 4" xfId="27083"/>
    <cellStyle name="Normal 2 2 3 3 2 3 2 2 2 2 4 2" xfId="38752"/>
    <cellStyle name="Normal 2 2 3 3 2 3 2 2 2 3" xfId="5320"/>
    <cellStyle name="Normal 2 2 3 3 2 3 2 2 2 3 2" xfId="16815"/>
    <cellStyle name="Normal 2 2 3 3 2 3 2 2 2 3 2 2" xfId="18893"/>
    <cellStyle name="Normal 2 2 3 3 2 3 2 2 2 3 2 2 2" xfId="52143"/>
    <cellStyle name="Normal 2 2 3 3 2 3 2 2 2 3 2 2 2 2" xfId="54219"/>
    <cellStyle name="Normal 2 2 3 3 2 3 2 2 2 3 2 3" xfId="32394"/>
    <cellStyle name="Normal 2 2 3 3 2 3 2 2 2 3 3" xfId="30317"/>
    <cellStyle name="Normal 2 2 3 3 2 3 2 2 2 3 3 2" xfId="40757"/>
    <cellStyle name="Normal 2 2 3 3 2 3 2 2 2 4" xfId="10523"/>
    <cellStyle name="Normal 2 2 3 3 2 3 2 2 2 4 2" xfId="38627"/>
    <cellStyle name="Normal 2 2 3 3 2 3 2 2 2 4 2 2" xfId="45886"/>
    <cellStyle name="Normal 2 2 3 3 2 3 2 2 2 5" xfId="24009"/>
    <cellStyle name="Normal 2 2 3 3 2 3 2 2 3" xfId="5195"/>
    <cellStyle name="Normal 2 2 3 3 2 3 2 2 3 2" xfId="6573"/>
    <cellStyle name="Normal 2 2 3 3 2 3 2 2 3 2 2" xfId="18768"/>
    <cellStyle name="Normal 2 2 3 3 2 3 2 2 3 2 2 2" xfId="20126"/>
    <cellStyle name="Normal 2 2 3 3 2 3 2 2 3 2 2 2 2" xfId="54094"/>
    <cellStyle name="Normal 2 2 3 3 2 3 2 2 3 2 2 2 2 2" xfId="55452"/>
    <cellStyle name="Normal 2 2 3 3 2 3 2 2 3 2 2 3" xfId="33628"/>
    <cellStyle name="Normal 2 2 3 3 2 3 2 2 3 2 3" xfId="32269"/>
    <cellStyle name="Normal 2 2 3 3 2 3 2 2 3 2 3 2" xfId="42001"/>
    <cellStyle name="Normal 2 2 3 3 2 3 2 2 3 3" xfId="11796"/>
    <cellStyle name="Normal 2 2 3 3 2 3 2 2 3 3 2" xfId="40632"/>
    <cellStyle name="Normal 2 2 3 3 2 3 2 2 3 3 2 2" xfId="47144"/>
    <cellStyle name="Normal 2 2 3 3 2 3 2 2 3 4" xfId="25281"/>
    <cellStyle name="Normal 2 2 3 3 2 3 2 2 4" xfId="10398"/>
    <cellStyle name="Normal 2 2 3 3 2 3 2 2 4 2" xfId="14954"/>
    <cellStyle name="Normal 2 2 3 3 2 3 2 2 4 2 2" xfId="45761"/>
    <cellStyle name="Normal 2 2 3 3 2 3 2 2 4 2 2 2" xfId="50293"/>
    <cellStyle name="Normal 2 2 3 3 2 3 2 2 4 3" xfId="28467"/>
    <cellStyle name="Normal 2 2 3 3 2 3 2 2 5" xfId="23884"/>
    <cellStyle name="Normal 2 2 3 3 2 3 2 2 5 2" xfId="36762"/>
    <cellStyle name="Normal 2 2 3 3 2 3 2 3" xfId="2071"/>
    <cellStyle name="Normal 2 2 3 3 2 3 2 3 2" xfId="6441"/>
    <cellStyle name="Normal 2 2 3 3 2 3 2 3 2 2" xfId="7305"/>
    <cellStyle name="Normal 2 2 3 3 2 3 2 3 2 2 2" xfId="19996"/>
    <cellStyle name="Normal 2 2 3 3 2 3 2 3 2 2 2 2" xfId="20857"/>
    <cellStyle name="Normal 2 2 3 3 2 3 2 3 2 2 2 2 2" xfId="55322"/>
    <cellStyle name="Normal 2 2 3 3 2 3 2 3 2 2 2 2 2 2" xfId="56183"/>
    <cellStyle name="Normal 2 2 3 3 2 3 2 3 2 2 2 3" xfId="34360"/>
    <cellStyle name="Normal 2 2 3 3 2 3 2 3 2 2 3" xfId="33498"/>
    <cellStyle name="Normal 2 2 3 3 2 3 2 3 2 2 3 2" xfId="42732"/>
    <cellStyle name="Normal 2 2 3 3 2 3 2 3 2 3" xfId="12530"/>
    <cellStyle name="Normal 2 2 3 3 2 3 2 3 2 3 2" xfId="41869"/>
    <cellStyle name="Normal 2 2 3 3 2 3 2 3 2 3 2 2" xfId="47876"/>
    <cellStyle name="Normal 2 2 3 3 2 3 2 3 2 4" xfId="26014"/>
    <cellStyle name="Normal 2 2 3 3 2 3 2 3 3" xfId="11665"/>
    <cellStyle name="Normal 2 2 3 3 2 3 2 3 3 2" xfId="15735"/>
    <cellStyle name="Normal 2 2 3 3 2 3 2 3 3 2 2" xfId="47014"/>
    <cellStyle name="Normal 2 2 3 3 2 3 2 3 3 2 2 2" xfId="51067"/>
    <cellStyle name="Normal 2 2 3 3 2 3 2 3 3 3" xfId="29241"/>
    <cellStyle name="Normal 2 2 3 3 2 3 2 3 4" xfId="25151"/>
    <cellStyle name="Normal 2 2 3 3 2 3 2 3 4 2" xfId="37549"/>
    <cellStyle name="Normal 2 2 3 3 2 3 2 4" xfId="4087"/>
    <cellStyle name="Normal 2 2 3 3 2 3 2 4 2" xfId="14824"/>
    <cellStyle name="Normal 2 2 3 3 2 3 2 4 2 2" xfId="17680"/>
    <cellStyle name="Normal 2 2 3 3 2 3 2 4 2 2 2" xfId="50163"/>
    <cellStyle name="Normal 2 2 3 3 2 3 2 4 2 2 2 2" xfId="53007"/>
    <cellStyle name="Normal 2 2 3 3 2 3 2 4 2 3" xfId="31182"/>
    <cellStyle name="Normal 2 2 3 3 2 3 2 4 3" xfId="28336"/>
    <cellStyle name="Normal 2 2 3 3 2 3 2 4 3 2" xfId="39530"/>
    <cellStyle name="Normal 2 2 3 3 2 3 2 5" xfId="9278"/>
    <cellStyle name="Normal 2 2 3 3 2 3 2 5 2" xfId="36632"/>
    <cellStyle name="Normal 2 2 3 3 2 3 2 5 2 2" xfId="44660"/>
    <cellStyle name="Normal 2 2 3 3 2 3 2 6" xfId="22774"/>
    <cellStyle name="Normal 2 2 3 3 2 3 3" xfId="1941"/>
    <cellStyle name="Normal 2 2 3 3 2 3 3 2" xfId="2548"/>
    <cellStyle name="Normal 2 2 3 3 2 3 3 2 2" xfId="7180"/>
    <cellStyle name="Normal 2 2 3 3 2 3 3 2 2 2" xfId="7770"/>
    <cellStyle name="Normal 2 2 3 3 2 3 3 2 2 2 2" xfId="20732"/>
    <cellStyle name="Normal 2 2 3 3 2 3 3 2 2 2 2 2" xfId="21322"/>
    <cellStyle name="Normal 2 2 3 3 2 3 3 2 2 2 2 2 2" xfId="56058"/>
    <cellStyle name="Normal 2 2 3 3 2 3 3 2 2 2 2 2 2 2" xfId="56648"/>
    <cellStyle name="Normal 2 2 3 3 2 3 3 2 2 2 2 3" xfId="34825"/>
    <cellStyle name="Normal 2 2 3 3 2 3 3 2 2 2 3" xfId="34235"/>
    <cellStyle name="Normal 2 2 3 3 2 3 3 2 2 2 3 2" xfId="43197"/>
    <cellStyle name="Normal 2 2 3 3 2 3 3 2 2 3" xfId="12995"/>
    <cellStyle name="Normal 2 2 3 3 2 3 3 2 2 3 2" xfId="42607"/>
    <cellStyle name="Normal 2 2 3 3 2 3 3 2 2 3 2 2" xfId="48341"/>
    <cellStyle name="Normal 2 2 3 3 2 3 3 2 2 4" xfId="26479"/>
    <cellStyle name="Normal 2 2 3 3 2 3 3 2 3" xfId="12405"/>
    <cellStyle name="Normal 2 2 3 3 2 3 3 2 3 2" xfId="16208"/>
    <cellStyle name="Normal 2 2 3 3 2 3 3 2 3 2 2" xfId="47751"/>
    <cellStyle name="Normal 2 2 3 3 2 3 3 2 3 2 2 2" xfId="51538"/>
    <cellStyle name="Normal 2 2 3 3 2 3 3 2 3 3" xfId="29712"/>
    <cellStyle name="Normal 2 2 3 3 2 3 3 2 4" xfId="25889"/>
    <cellStyle name="Normal 2 2 3 3 2 3 3 2 4 2" xfId="38021"/>
    <cellStyle name="Normal 2 2 3 3 2 3 3 3" xfId="4582"/>
    <cellStyle name="Normal 2 2 3 3 2 3 3 3 2" xfId="15606"/>
    <cellStyle name="Normal 2 2 3 3 2 3 3 3 2 2" xfId="18163"/>
    <cellStyle name="Normal 2 2 3 3 2 3 3 3 2 2 2" xfId="50938"/>
    <cellStyle name="Normal 2 2 3 3 2 3 3 3 2 2 2 2" xfId="53489"/>
    <cellStyle name="Normal 2 2 3 3 2 3 3 3 2 3" xfId="31664"/>
    <cellStyle name="Normal 2 2 3 3 2 3 3 3 3" xfId="29112"/>
    <cellStyle name="Normal 2 2 3 3 2 3 3 3 3 2" xfId="40021"/>
    <cellStyle name="Normal 2 2 3 3 2 3 3 4" xfId="9785"/>
    <cellStyle name="Normal 2 2 3 3 2 3 3 4 2" xfId="37419"/>
    <cellStyle name="Normal 2 2 3 3 2 3 3 4 2 2" xfId="45156"/>
    <cellStyle name="Normal 2 2 3 3 2 3 3 5" xfId="23279"/>
    <cellStyle name="Normal 2 2 3 3 2 3 4" xfId="3955"/>
    <cellStyle name="Normal 2 2 3 3 2 3 4 2" xfId="5788"/>
    <cellStyle name="Normal 2 2 3 3 2 3 4 2 2" xfId="17555"/>
    <cellStyle name="Normal 2 2 3 3 2 3 4 2 2 2" xfId="19356"/>
    <cellStyle name="Normal 2 2 3 3 2 3 4 2 2 2 2" xfId="52882"/>
    <cellStyle name="Normal 2 2 3 3 2 3 4 2 2 2 2 2" xfId="54682"/>
    <cellStyle name="Normal 2 2 3 3 2 3 4 2 2 3" xfId="32857"/>
    <cellStyle name="Normal 2 2 3 3 2 3 4 2 3" xfId="31057"/>
    <cellStyle name="Normal 2 2 3 3 2 3 4 2 3 2" xfId="41223"/>
    <cellStyle name="Normal 2 2 3 3 2 3 4 3" xfId="11009"/>
    <cellStyle name="Normal 2 2 3 3 2 3 4 3 2" xfId="39399"/>
    <cellStyle name="Normal 2 2 3 3 2 3 4 3 2 2" xfId="46368"/>
    <cellStyle name="Normal 2 2 3 3 2 3 4 4" xfId="24503"/>
    <cellStyle name="Normal 2 2 3 3 2 3 5" xfId="9147"/>
    <cellStyle name="Normal 2 2 3 3 2 3 5 2" xfId="14171"/>
    <cellStyle name="Normal 2 2 3 3 2 3 5 2 2" xfId="44535"/>
    <cellStyle name="Normal 2 2 3 3 2 3 5 2 2 2" xfId="49516"/>
    <cellStyle name="Normal 2 2 3 3 2 3 5 3" xfId="27676"/>
    <cellStyle name="Normal 2 2 3 3 2 3 6" xfId="22649"/>
    <cellStyle name="Normal 2 2 3 3 2 3 6 2" xfId="35983"/>
    <cellStyle name="Normal 2 2 3 3 2 4" xfId="770"/>
    <cellStyle name="Normal 2 2 3 3 2 4 2" xfId="2389"/>
    <cellStyle name="Normal 2 2 3 3 2 4 2 2" xfId="2827"/>
    <cellStyle name="Normal 2 2 3 3 2 4 2 2 2" xfId="7622"/>
    <cellStyle name="Normal 2 2 3 3 2 4 2 2 2 2" xfId="8043"/>
    <cellStyle name="Normal 2 2 3 3 2 4 2 2 2 2 2" xfId="21174"/>
    <cellStyle name="Normal 2 2 3 3 2 4 2 2 2 2 2 2" xfId="21595"/>
    <cellStyle name="Normal 2 2 3 3 2 4 2 2 2 2 2 2 2" xfId="56500"/>
    <cellStyle name="Normal 2 2 3 3 2 4 2 2 2 2 2 2 2 2" xfId="56921"/>
    <cellStyle name="Normal 2 2 3 3 2 4 2 2 2 2 2 3" xfId="35098"/>
    <cellStyle name="Normal 2 2 3 3 2 4 2 2 2 2 3" xfId="34677"/>
    <cellStyle name="Normal 2 2 3 3 2 4 2 2 2 2 3 2" xfId="43470"/>
    <cellStyle name="Normal 2 2 3 3 2 4 2 2 2 3" xfId="13268"/>
    <cellStyle name="Normal 2 2 3 3 2 4 2 2 2 3 2" xfId="43049"/>
    <cellStyle name="Normal 2 2 3 3 2 4 2 2 2 3 2 2" xfId="48614"/>
    <cellStyle name="Normal 2 2 3 3 2 4 2 2 2 4" xfId="26752"/>
    <cellStyle name="Normal 2 2 3 3 2 4 2 2 3" xfId="12847"/>
    <cellStyle name="Normal 2 2 3 3 2 4 2 2 3 2" xfId="16485"/>
    <cellStyle name="Normal 2 2 3 3 2 4 2 2 3 2 2" xfId="48193"/>
    <cellStyle name="Normal 2 2 3 3 2 4 2 2 3 2 2 2" xfId="51813"/>
    <cellStyle name="Normal 2 2 3 3 2 4 2 2 3 3" xfId="29987"/>
    <cellStyle name="Normal 2 2 3 3 2 4 2 2 4" xfId="26331"/>
    <cellStyle name="Normal 2 2 3 3 2 4 2 2 4 2" xfId="38297"/>
    <cellStyle name="Normal 2 2 3 3 2 4 2 3" xfId="4863"/>
    <cellStyle name="Normal 2 2 3 3 2 4 2 3 2" xfId="16052"/>
    <cellStyle name="Normal 2 2 3 3 2 4 2 3 2 2" xfId="18437"/>
    <cellStyle name="Normal 2 2 3 3 2 4 2 3 2 2 2" xfId="51384"/>
    <cellStyle name="Normal 2 2 3 3 2 4 2 3 2 2 2 2" xfId="53763"/>
    <cellStyle name="Normal 2 2 3 3 2 4 2 3 2 3" xfId="31938"/>
    <cellStyle name="Normal 2 2 3 3 2 4 2 3 3" xfId="29558"/>
    <cellStyle name="Normal 2 2 3 3 2 4 2 3 3 2" xfId="40300"/>
    <cellStyle name="Normal 2 2 3 3 2 4 2 4" xfId="10066"/>
    <cellStyle name="Normal 2 2 3 3 2 4 2 4 2" xfId="37867"/>
    <cellStyle name="Normal 2 2 3 3 2 4 2 4 2 2" xfId="45430"/>
    <cellStyle name="Normal 2 2 3 3 2 4 2 5" xfId="23553"/>
    <cellStyle name="Normal 2 2 3 3 2 4 3" xfId="4423"/>
    <cellStyle name="Normal 2 2 3 3 2 4 3 2" xfId="6087"/>
    <cellStyle name="Normal 2 2 3 3 2 4 3 2 2" xfId="18014"/>
    <cellStyle name="Normal 2 2 3 3 2 4 3 2 2 2" xfId="19649"/>
    <cellStyle name="Normal 2 2 3 3 2 4 3 2 2 2 2" xfId="53340"/>
    <cellStyle name="Normal 2 2 3 3 2 4 3 2 2 2 2 2" xfId="54975"/>
    <cellStyle name="Normal 2 2 3 3 2 4 3 2 2 3" xfId="33150"/>
    <cellStyle name="Normal 2 2 3 3 2 4 3 2 3" xfId="31515"/>
    <cellStyle name="Normal 2 2 3 3 2 4 3 2 3 2" xfId="41520"/>
    <cellStyle name="Normal 2 2 3 3 2 4 3 3" xfId="11313"/>
    <cellStyle name="Normal 2 2 3 3 2 4 3 3 2" xfId="39865"/>
    <cellStyle name="Normal 2 2 3 3 2 4 3 3 2 2" xfId="46666"/>
    <cellStyle name="Normal 2 2 3 3 2 4 3 4" xfId="24803"/>
    <cellStyle name="Normal 2 2 3 3 2 4 4" xfId="9626"/>
    <cellStyle name="Normal 2 2 3 3 2 4 4 2" xfId="14471"/>
    <cellStyle name="Normal 2 2 3 3 2 4 4 2 2" xfId="45006"/>
    <cellStyle name="Normal 2 2 3 3 2 4 4 2 2 2" xfId="49813"/>
    <cellStyle name="Normal 2 2 3 3 2 4 4 3" xfId="27982"/>
    <cellStyle name="Normal 2 2 3 3 2 4 5" xfId="23127"/>
    <cellStyle name="Normal 2 2 3 3 2 4 5 2" xfId="36281"/>
    <cellStyle name="Normal 2 2 3 3 2 5" xfId="1556"/>
    <cellStyle name="Normal 2 2 3 3 2 5 2" xfId="5630"/>
    <cellStyle name="Normal 2 2 3 3 2 5 2 2" xfId="6829"/>
    <cellStyle name="Normal 2 2 3 3 2 5 2 2 2" xfId="19202"/>
    <cellStyle name="Normal 2 2 3 3 2 5 2 2 2 2" xfId="20382"/>
    <cellStyle name="Normal 2 2 3 3 2 5 2 2 2 2 2" xfId="54528"/>
    <cellStyle name="Normal 2 2 3 3 2 5 2 2 2 2 2 2" xfId="55708"/>
    <cellStyle name="Normal 2 2 3 3 2 5 2 2 2 3" xfId="33884"/>
    <cellStyle name="Normal 2 2 3 3 2 5 2 2 3" xfId="32703"/>
    <cellStyle name="Normal 2 2 3 3 2 5 2 2 3 2" xfId="42257"/>
    <cellStyle name="Normal 2 2 3 3 2 5 2 3" xfId="12053"/>
    <cellStyle name="Normal 2 2 3 3 2 5 2 3 2" xfId="41066"/>
    <cellStyle name="Normal 2 2 3 3 2 5 2 3 2 2" xfId="47400"/>
    <cellStyle name="Normal 2 2 3 3 2 5 2 4" xfId="25538"/>
    <cellStyle name="Normal 2 2 3 3 2 5 3" xfId="10846"/>
    <cellStyle name="Normal 2 2 3 3 2 5 3 2" xfId="15232"/>
    <cellStyle name="Normal 2 2 3 3 2 5 3 2 2" xfId="46208"/>
    <cellStyle name="Normal 2 2 3 3 2 5 3 2 2 2" xfId="50569"/>
    <cellStyle name="Normal 2 2 3 3 2 5 3 3" xfId="28743"/>
    <cellStyle name="Normal 2 2 3 3 2 5 4" xfId="24338"/>
    <cellStyle name="Normal 2 2 3 3 2 5 4 2" xfId="37044"/>
    <cellStyle name="Normal 2 2 3 3 2 6" xfId="3557"/>
    <cellStyle name="Normal 2 2 3 3 2 6 2" xfId="14014"/>
    <cellStyle name="Normal 2 2 3 3 2 6 2 2" xfId="17194"/>
    <cellStyle name="Normal 2 2 3 3 2 6 2 2 2" xfId="49360"/>
    <cellStyle name="Normal 2 2 3 3 2 6 2 2 2 2" xfId="52521"/>
    <cellStyle name="Normal 2 2 3 3 2 6 2 3" xfId="30695"/>
    <cellStyle name="Normal 2 2 3 3 2 6 3" xfId="27508"/>
    <cellStyle name="Normal 2 2 3 3 2 6 3 2" xfId="39014"/>
    <cellStyle name="Normal 2 2 3 3 2 7" xfId="8748"/>
    <cellStyle name="Normal 2 2 3 3 2 7 2" xfId="35826"/>
    <cellStyle name="Normal 2 2 3 3 2 7 2 2" xfId="44162"/>
    <cellStyle name="Normal 2 2 3 3 2 8" xfId="22266"/>
    <cellStyle name="Normal 2 2 3 3 3" xfId="412"/>
    <cellStyle name="Normal 2 2 3 3 3 2" xfId="513"/>
    <cellStyle name="Normal 2 2 3 3 3 2 2" xfId="1242"/>
    <cellStyle name="Normal 2 2 3 3 3 2 2 2" xfId="1323"/>
    <cellStyle name="Normal 2 2 3 3 3 2 2 2 2" xfId="3260"/>
    <cellStyle name="Normal 2 2 3 3 3 2 2 2 2 2" xfId="3341"/>
    <cellStyle name="Normal 2 2 3 3 3 2 2 2 2 2 2" xfId="8475"/>
    <cellStyle name="Normal 2 2 3 3 3 2 2 2 2 2 2 2" xfId="8556"/>
    <cellStyle name="Normal 2 2 3 3 3 2 2 2 2 2 2 2 2" xfId="22027"/>
    <cellStyle name="Normal 2 2 3 3 3 2 2 2 2 2 2 2 2 2" xfId="22108"/>
    <cellStyle name="Normal 2 2 3 3 3 2 2 2 2 2 2 2 2 2 2" xfId="57353"/>
    <cellStyle name="Normal 2 2 3 3 3 2 2 2 2 2 2 2 2 2 2 2" xfId="57434"/>
    <cellStyle name="Normal 2 2 3 3 3 2 2 2 2 2 2 2 2 3" xfId="35611"/>
    <cellStyle name="Normal 2 2 3 3 3 2 2 2 2 2 2 2 3" xfId="35530"/>
    <cellStyle name="Normal 2 2 3 3 3 2 2 2 2 2 2 2 3 2" xfId="43983"/>
    <cellStyle name="Normal 2 2 3 3 3 2 2 2 2 2 2 3" xfId="13781"/>
    <cellStyle name="Normal 2 2 3 3 3 2 2 2 2 2 2 3 2" xfId="43902"/>
    <cellStyle name="Normal 2 2 3 3 3 2 2 2 2 2 2 3 2 2" xfId="49127"/>
    <cellStyle name="Normal 2 2 3 3 3 2 2 2 2 2 2 4" xfId="27266"/>
    <cellStyle name="Normal 2 2 3 3 3 2 2 2 2 2 3" xfId="13700"/>
    <cellStyle name="Normal 2 2 3 3 3 2 2 2 2 2 3 2" xfId="16998"/>
    <cellStyle name="Normal 2 2 3 3 3 2 2 2 2 2 3 2 2" xfId="49046"/>
    <cellStyle name="Normal 2 2 3 3 3 2 2 2 2 2 3 2 2 2" xfId="52326"/>
    <cellStyle name="Normal 2 2 3 3 3 2 2 2 2 2 3 3" xfId="30500"/>
    <cellStyle name="Normal 2 2 3 3 3 2 2 2 2 2 4" xfId="27185"/>
    <cellStyle name="Normal 2 2 3 3 3 2 2 2 2 2 4 2" xfId="38810"/>
    <cellStyle name="Normal 2 2 3 3 3 2 2 2 2 3" xfId="5378"/>
    <cellStyle name="Normal 2 2 3 3 3 2 2 2 2 3 2" xfId="16917"/>
    <cellStyle name="Normal 2 2 3 3 3 2 2 2 2 3 2 2" xfId="18951"/>
    <cellStyle name="Normal 2 2 3 3 3 2 2 2 2 3 2 2 2" xfId="52245"/>
    <cellStyle name="Normal 2 2 3 3 3 2 2 2 2 3 2 2 2 2" xfId="54277"/>
    <cellStyle name="Normal 2 2 3 3 3 2 2 2 2 3 2 3" xfId="32452"/>
    <cellStyle name="Normal 2 2 3 3 3 2 2 2 2 3 3" xfId="30419"/>
    <cellStyle name="Normal 2 2 3 3 3 2 2 2 2 3 3 2" xfId="40815"/>
    <cellStyle name="Normal 2 2 3 3 3 2 2 2 2 4" xfId="10581"/>
    <cellStyle name="Normal 2 2 3 3 3 2 2 2 2 4 2" xfId="38729"/>
    <cellStyle name="Normal 2 2 3 3 3 2 2 2 2 4 2 2" xfId="45944"/>
    <cellStyle name="Normal 2 2 3 3 3 2 2 2 2 5" xfId="24067"/>
    <cellStyle name="Normal 2 2 3 3 3 2 2 2 3" xfId="5297"/>
    <cellStyle name="Normal 2 2 3 3 3 2 2 2 3 2" xfId="6631"/>
    <cellStyle name="Normal 2 2 3 3 3 2 2 2 3 2 2" xfId="18870"/>
    <cellStyle name="Normal 2 2 3 3 3 2 2 2 3 2 2 2" xfId="20184"/>
    <cellStyle name="Normal 2 2 3 3 3 2 2 2 3 2 2 2 2" xfId="54196"/>
    <cellStyle name="Normal 2 2 3 3 3 2 2 2 3 2 2 2 2 2" xfId="55510"/>
    <cellStyle name="Normal 2 2 3 3 3 2 2 2 3 2 2 3" xfId="33686"/>
    <cellStyle name="Normal 2 2 3 3 3 2 2 2 3 2 3" xfId="32371"/>
    <cellStyle name="Normal 2 2 3 3 3 2 2 2 3 2 3 2" xfId="42059"/>
    <cellStyle name="Normal 2 2 3 3 3 2 2 2 3 3" xfId="11854"/>
    <cellStyle name="Normal 2 2 3 3 3 2 2 2 3 3 2" xfId="40734"/>
    <cellStyle name="Normal 2 2 3 3 3 2 2 2 3 3 2 2" xfId="47202"/>
    <cellStyle name="Normal 2 2 3 3 3 2 2 2 3 4" xfId="25339"/>
    <cellStyle name="Normal 2 2 3 3 3 2 2 2 4" xfId="10500"/>
    <cellStyle name="Normal 2 2 3 3 3 2 2 2 4 2" xfId="15012"/>
    <cellStyle name="Normal 2 2 3 3 3 2 2 2 4 2 2" xfId="45863"/>
    <cellStyle name="Normal 2 2 3 3 3 2 2 2 4 2 2 2" xfId="50351"/>
    <cellStyle name="Normal 2 2 3 3 3 2 2 2 4 3" xfId="28525"/>
    <cellStyle name="Normal 2 2 3 3 3 2 2 2 5" xfId="23986"/>
    <cellStyle name="Normal 2 2 3 3 3 2 2 2 5 2" xfId="36820"/>
    <cellStyle name="Normal 2 2 3 3 3 2 2 3" xfId="2130"/>
    <cellStyle name="Normal 2 2 3 3 3 2 2 3 2" xfId="6550"/>
    <cellStyle name="Normal 2 2 3 3 3 2 2 3 2 2" xfId="7364"/>
    <cellStyle name="Normal 2 2 3 3 3 2 2 3 2 2 2" xfId="20103"/>
    <cellStyle name="Normal 2 2 3 3 3 2 2 3 2 2 2 2" xfId="20916"/>
    <cellStyle name="Normal 2 2 3 3 3 2 2 3 2 2 2 2 2" xfId="55429"/>
    <cellStyle name="Normal 2 2 3 3 3 2 2 3 2 2 2 2 2 2" xfId="56242"/>
    <cellStyle name="Normal 2 2 3 3 3 2 2 3 2 2 2 3" xfId="34419"/>
    <cellStyle name="Normal 2 2 3 3 3 2 2 3 2 2 3" xfId="33605"/>
    <cellStyle name="Normal 2 2 3 3 3 2 2 3 2 2 3 2" xfId="42791"/>
    <cellStyle name="Normal 2 2 3 3 3 2 2 3 2 3" xfId="12589"/>
    <cellStyle name="Normal 2 2 3 3 3 2 2 3 2 3 2" xfId="41978"/>
    <cellStyle name="Normal 2 2 3 3 3 2 2 3 2 3 2 2" xfId="47935"/>
    <cellStyle name="Normal 2 2 3 3 3 2 2 3 2 4" xfId="26073"/>
    <cellStyle name="Normal 2 2 3 3 3 2 2 3 3" xfId="11773"/>
    <cellStyle name="Normal 2 2 3 3 3 2 2 3 3 2" xfId="15794"/>
    <cellStyle name="Normal 2 2 3 3 3 2 2 3 3 2 2" xfId="47121"/>
    <cellStyle name="Normal 2 2 3 3 3 2 2 3 3 2 2 2" xfId="51126"/>
    <cellStyle name="Normal 2 2 3 3 3 2 2 3 3 3" xfId="29300"/>
    <cellStyle name="Normal 2 2 3 3 3 2 2 3 4" xfId="25258"/>
    <cellStyle name="Normal 2 2 3 3 3 2 2 3 4 2" xfId="37608"/>
    <cellStyle name="Normal 2 2 3 3 3 2 2 4" xfId="4146"/>
    <cellStyle name="Normal 2 2 3 3 3 2 2 4 2" xfId="14931"/>
    <cellStyle name="Normal 2 2 3 3 3 2 2 4 2 2" xfId="17739"/>
    <cellStyle name="Normal 2 2 3 3 3 2 2 4 2 2 2" xfId="50270"/>
    <cellStyle name="Normal 2 2 3 3 3 2 2 4 2 2 2 2" xfId="53066"/>
    <cellStyle name="Normal 2 2 3 3 3 2 2 4 2 3" xfId="31241"/>
    <cellStyle name="Normal 2 2 3 3 3 2 2 4 3" xfId="28444"/>
    <cellStyle name="Normal 2 2 3 3 3 2 2 4 3 2" xfId="39589"/>
    <cellStyle name="Normal 2 2 3 3 3 2 2 5" xfId="9337"/>
    <cellStyle name="Normal 2 2 3 3 3 2 2 5 2" xfId="36739"/>
    <cellStyle name="Normal 2 2 3 3 3 2 2 5 2 2" xfId="44719"/>
    <cellStyle name="Normal 2 2 3 3 3 2 2 6" xfId="22833"/>
    <cellStyle name="Normal 2 2 3 3 3 2 3" xfId="2048"/>
    <cellStyle name="Normal 2 2 3 3 3 2 3 2" xfId="2609"/>
    <cellStyle name="Normal 2 2 3 3 3 2 3 2 2" xfId="7282"/>
    <cellStyle name="Normal 2 2 3 3 3 2 3 2 2 2" xfId="7829"/>
    <cellStyle name="Normal 2 2 3 3 3 2 3 2 2 2 2" xfId="20834"/>
    <cellStyle name="Normal 2 2 3 3 3 2 3 2 2 2 2 2" xfId="21381"/>
    <cellStyle name="Normal 2 2 3 3 3 2 3 2 2 2 2 2 2" xfId="56160"/>
    <cellStyle name="Normal 2 2 3 3 3 2 3 2 2 2 2 2 2 2" xfId="56707"/>
    <cellStyle name="Normal 2 2 3 3 3 2 3 2 2 2 2 3" xfId="34884"/>
    <cellStyle name="Normal 2 2 3 3 3 2 3 2 2 2 3" xfId="34337"/>
    <cellStyle name="Normal 2 2 3 3 3 2 3 2 2 2 3 2" xfId="43256"/>
    <cellStyle name="Normal 2 2 3 3 3 2 3 2 2 3" xfId="13054"/>
    <cellStyle name="Normal 2 2 3 3 3 2 3 2 2 3 2" xfId="42709"/>
    <cellStyle name="Normal 2 2 3 3 3 2 3 2 2 3 2 2" xfId="48400"/>
    <cellStyle name="Normal 2 2 3 3 3 2 3 2 2 4" xfId="26538"/>
    <cellStyle name="Normal 2 2 3 3 3 2 3 2 3" xfId="12507"/>
    <cellStyle name="Normal 2 2 3 3 3 2 3 2 3 2" xfId="16268"/>
    <cellStyle name="Normal 2 2 3 3 3 2 3 2 3 2 2" xfId="47853"/>
    <cellStyle name="Normal 2 2 3 3 3 2 3 2 3 2 2 2" xfId="51598"/>
    <cellStyle name="Normal 2 2 3 3 3 2 3 2 3 3" xfId="29772"/>
    <cellStyle name="Normal 2 2 3 3 3 2 3 2 4" xfId="25991"/>
    <cellStyle name="Normal 2 2 3 3 3 2 3 2 4 2" xfId="38082"/>
    <cellStyle name="Normal 2 2 3 3 3 2 3 3" xfId="4643"/>
    <cellStyle name="Normal 2 2 3 3 3 2 3 3 2" xfId="15712"/>
    <cellStyle name="Normal 2 2 3 3 3 2 3 3 2 2" xfId="18223"/>
    <cellStyle name="Normal 2 2 3 3 3 2 3 3 2 2 2" xfId="51044"/>
    <cellStyle name="Normal 2 2 3 3 3 2 3 3 2 2 2 2" xfId="53549"/>
    <cellStyle name="Normal 2 2 3 3 3 2 3 3 2 3" xfId="31724"/>
    <cellStyle name="Normal 2 2 3 3 3 2 3 3 3" xfId="29218"/>
    <cellStyle name="Normal 2 2 3 3 3 2 3 3 3 2" xfId="40082"/>
    <cellStyle name="Normal 2 2 3 3 3 2 3 4" xfId="9846"/>
    <cellStyle name="Normal 2 2 3 3 3 2 3 4 2" xfId="37526"/>
    <cellStyle name="Normal 2 2 3 3 3 2 3 4 2 2" xfId="45216"/>
    <cellStyle name="Normal 2 2 3 3 3 2 3 5" xfId="23339"/>
    <cellStyle name="Normal 2 2 3 3 3 2 4" xfId="4064"/>
    <cellStyle name="Normal 2 2 3 3 3 2 4 2" xfId="5848"/>
    <cellStyle name="Normal 2 2 3 3 3 2 4 2 2" xfId="17657"/>
    <cellStyle name="Normal 2 2 3 3 3 2 4 2 2 2" xfId="19416"/>
    <cellStyle name="Normal 2 2 3 3 3 2 4 2 2 2 2" xfId="52984"/>
    <cellStyle name="Normal 2 2 3 3 3 2 4 2 2 2 2 2" xfId="54742"/>
    <cellStyle name="Normal 2 2 3 3 3 2 4 2 2 3" xfId="32917"/>
    <cellStyle name="Normal 2 2 3 3 3 2 4 2 3" xfId="31159"/>
    <cellStyle name="Normal 2 2 3 3 3 2 4 2 3 2" xfId="41283"/>
    <cellStyle name="Normal 2 2 3 3 3 2 4 3" xfId="11071"/>
    <cellStyle name="Normal 2 2 3 3 3 2 4 3 2" xfId="39507"/>
    <cellStyle name="Normal 2 2 3 3 3 2 4 3 2 2" xfId="46430"/>
    <cellStyle name="Normal 2 2 3 3 3 2 4 4" xfId="24565"/>
    <cellStyle name="Normal 2 2 3 3 3 2 5" xfId="9255"/>
    <cellStyle name="Normal 2 2 3 3 3 2 5 2" xfId="14232"/>
    <cellStyle name="Normal 2 2 3 3 3 2 5 2 2" xfId="44637"/>
    <cellStyle name="Normal 2 2 3 3 3 2 5 2 2 2" xfId="49577"/>
    <cellStyle name="Normal 2 2 3 3 3 2 5 3" xfId="27739"/>
    <cellStyle name="Normal 2 2 3 3 3 2 6" xfId="22751"/>
    <cellStyle name="Normal 2 2 3 3 3 2 6 2" xfId="36044"/>
    <cellStyle name="Normal 2 2 3 3 3 3" xfId="840"/>
    <cellStyle name="Normal 2 2 3 3 3 3 2" xfId="2514"/>
    <cellStyle name="Normal 2 2 3 3 3 3 2 2" xfId="2892"/>
    <cellStyle name="Normal 2 2 3 3 3 3 2 2 2" xfId="7739"/>
    <cellStyle name="Normal 2 2 3 3 3 3 2 2 2 2" xfId="8107"/>
    <cellStyle name="Normal 2 2 3 3 3 3 2 2 2 2 2" xfId="21291"/>
    <cellStyle name="Normal 2 2 3 3 3 3 2 2 2 2 2 2" xfId="21659"/>
    <cellStyle name="Normal 2 2 3 3 3 3 2 2 2 2 2 2 2" xfId="56617"/>
    <cellStyle name="Normal 2 2 3 3 3 3 2 2 2 2 2 2 2 2" xfId="56985"/>
    <cellStyle name="Normal 2 2 3 3 3 3 2 2 2 2 2 3" xfId="35162"/>
    <cellStyle name="Normal 2 2 3 3 3 3 2 2 2 2 3" xfId="34794"/>
    <cellStyle name="Normal 2 2 3 3 3 3 2 2 2 2 3 2" xfId="43534"/>
    <cellStyle name="Normal 2 2 3 3 3 3 2 2 2 3" xfId="13332"/>
    <cellStyle name="Normal 2 2 3 3 3 3 2 2 2 3 2" xfId="43166"/>
    <cellStyle name="Normal 2 2 3 3 3 3 2 2 2 3 2 2" xfId="48678"/>
    <cellStyle name="Normal 2 2 3 3 3 3 2 2 2 4" xfId="26817"/>
    <cellStyle name="Normal 2 2 3 3 3 3 2 2 3" xfId="12964"/>
    <cellStyle name="Normal 2 2 3 3 3 3 2 2 3 2" xfId="16549"/>
    <cellStyle name="Normal 2 2 3 3 3 3 2 2 3 2 2" xfId="48310"/>
    <cellStyle name="Normal 2 2 3 3 3 3 2 2 3 2 2 2" xfId="51877"/>
    <cellStyle name="Normal 2 2 3 3 3 3 2 2 3 3" xfId="30051"/>
    <cellStyle name="Normal 2 2 3 3 3 3 2 2 4" xfId="26448"/>
    <cellStyle name="Normal 2 2 3 3 3 3 2 2 4 2" xfId="38361"/>
    <cellStyle name="Normal 2 2 3 3 3 3 2 3" xfId="4928"/>
    <cellStyle name="Normal 2 2 3 3 3 3 2 3 2" xfId="16175"/>
    <cellStyle name="Normal 2 2 3 3 3 3 2 3 2 2" xfId="18501"/>
    <cellStyle name="Normal 2 2 3 3 3 3 2 3 2 2 2" xfId="51506"/>
    <cellStyle name="Normal 2 2 3 3 3 3 2 3 2 2 2 2" xfId="53827"/>
    <cellStyle name="Normal 2 2 3 3 3 3 2 3 2 3" xfId="32002"/>
    <cellStyle name="Normal 2 2 3 3 3 3 2 3 3" xfId="29680"/>
    <cellStyle name="Normal 2 2 3 3 3 3 2 3 3 2" xfId="40365"/>
    <cellStyle name="Normal 2 2 3 3 3 3 2 4" xfId="10131"/>
    <cellStyle name="Normal 2 2 3 3 3 3 2 4 2" xfId="37989"/>
    <cellStyle name="Normal 2 2 3 3 3 3 2 4 2 2" xfId="45494"/>
    <cellStyle name="Normal 2 2 3 3 3 3 2 5" xfId="23617"/>
    <cellStyle name="Normal 2 2 3 3 3 3 3" xfId="4549"/>
    <cellStyle name="Normal 2 2 3 3 3 3 3 2" xfId="6155"/>
    <cellStyle name="Normal 2 2 3 3 3 3 3 2 2" xfId="18132"/>
    <cellStyle name="Normal 2 2 3 3 3 3 3 2 2 2" xfId="19715"/>
    <cellStyle name="Normal 2 2 3 3 3 3 3 2 2 2 2" xfId="53458"/>
    <cellStyle name="Normal 2 2 3 3 3 3 3 2 2 2 2 2" xfId="55041"/>
    <cellStyle name="Normal 2 2 3 3 3 3 3 2 2 3" xfId="33217"/>
    <cellStyle name="Normal 2 2 3 3 3 3 3 2 3" xfId="31633"/>
    <cellStyle name="Normal 2 2 3 3 3 3 3 2 3 2" xfId="41586"/>
    <cellStyle name="Normal 2 2 3 3 3 3 3 3" xfId="11381"/>
    <cellStyle name="Normal 2 2 3 3 3 3 3 3 2" xfId="39990"/>
    <cellStyle name="Normal 2 2 3 3 3 3 3 3 2 2" xfId="46732"/>
    <cellStyle name="Normal 2 2 3 3 3 3 3 4" xfId="24869"/>
    <cellStyle name="Normal 2 2 3 3 3 3 4" xfId="9752"/>
    <cellStyle name="Normal 2 2 3 3 3 3 4 2" xfId="14538"/>
    <cellStyle name="Normal 2 2 3 3 3 3 4 2 2" xfId="45125"/>
    <cellStyle name="Normal 2 2 3 3 3 3 4 2 2 2" xfId="49879"/>
    <cellStyle name="Normal 2 2 3 3 3 3 4 3" xfId="28049"/>
    <cellStyle name="Normal 2 2 3 3 3 3 5" xfId="23248"/>
    <cellStyle name="Normal 2 2 3 3 3 3 5 2" xfId="36348"/>
    <cellStyle name="Normal 2 2 3 3 3 4" xfId="1635"/>
    <cellStyle name="Normal 2 2 3 3 3 4 2" xfId="5755"/>
    <cellStyle name="Normal 2 2 3 3 3 4 2 2" xfId="6901"/>
    <cellStyle name="Normal 2 2 3 3 3 4 2 2 2" xfId="19324"/>
    <cellStyle name="Normal 2 2 3 3 3 4 2 2 2 2" xfId="20454"/>
    <cellStyle name="Normal 2 2 3 3 3 4 2 2 2 2 2" xfId="54650"/>
    <cellStyle name="Normal 2 2 3 3 3 4 2 2 2 2 2 2" xfId="55780"/>
    <cellStyle name="Normal 2 2 3 3 3 4 2 2 2 3" xfId="33956"/>
    <cellStyle name="Normal 2 2 3 3 3 4 2 2 3" xfId="32825"/>
    <cellStyle name="Normal 2 2 3 3 3 4 2 2 3 2" xfId="42329"/>
    <cellStyle name="Normal 2 2 3 3 3 4 2 3" xfId="12125"/>
    <cellStyle name="Normal 2 2 3 3 3 4 2 3 2" xfId="41190"/>
    <cellStyle name="Normal 2 2 3 3 3 4 2 3 2 2" xfId="47472"/>
    <cellStyle name="Normal 2 2 3 3 3 4 2 4" xfId="25610"/>
    <cellStyle name="Normal 2 2 3 3 3 4 3" xfId="10976"/>
    <cellStyle name="Normal 2 2 3 3 3 4 3 2" xfId="15309"/>
    <cellStyle name="Normal 2 2 3 3 3 4 3 2 2" xfId="46335"/>
    <cellStyle name="Normal 2 2 3 3 3 4 3 2 2 2" xfId="50644"/>
    <cellStyle name="Normal 2 2 3 3 3 4 3 3" xfId="28818"/>
    <cellStyle name="Normal 2 2 3 3 3 4 4" xfId="24469"/>
    <cellStyle name="Normal 2 2 3 3 3 4 4 2" xfId="37120"/>
    <cellStyle name="Normal 2 2 3 3 3 5" xfId="3639"/>
    <cellStyle name="Normal 2 2 3 3 3 5 2" xfId="14139"/>
    <cellStyle name="Normal 2 2 3 3 3 5 2 2" xfId="17269"/>
    <cellStyle name="Normal 2 2 3 3 3 5 2 2 2" xfId="49484"/>
    <cellStyle name="Normal 2 2 3 3 3 5 2 2 2 2" xfId="52596"/>
    <cellStyle name="Normal 2 2 3 3 3 5 2 3" xfId="30770"/>
    <cellStyle name="Normal 2 2 3 3 3 5 3" xfId="27641"/>
    <cellStyle name="Normal 2 2 3 3 3 5 3 2" xfId="39094"/>
    <cellStyle name="Normal 2 2 3 3 3 6" xfId="8834"/>
    <cellStyle name="Normal 2 2 3 3 3 6 2" xfId="35950"/>
    <cellStyle name="Normal 2 2 3 3 3 6 2 2" xfId="44241"/>
    <cellStyle name="Normal 2 2 3 3 3 7" xfId="22349"/>
    <cellStyle name="Normal 2 2 3 3 4" xfId="730"/>
    <cellStyle name="Normal 2 2 3 3 4 2" xfId="1016"/>
    <cellStyle name="Normal 2 2 3 3 4 2 2" xfId="2801"/>
    <cellStyle name="Normal 2 2 3 3 4 2 2 2" xfId="3053"/>
    <cellStyle name="Normal 2 2 3 3 4 2 2 2 2" xfId="8017"/>
    <cellStyle name="Normal 2 2 3 3 4 2 2 2 2 2" xfId="8268"/>
    <cellStyle name="Normal 2 2 3 3 4 2 2 2 2 2 2" xfId="21569"/>
    <cellStyle name="Normal 2 2 3 3 4 2 2 2 2 2 2 2" xfId="21820"/>
    <cellStyle name="Normal 2 2 3 3 4 2 2 2 2 2 2 2 2" xfId="56895"/>
    <cellStyle name="Normal 2 2 3 3 4 2 2 2 2 2 2 2 2 2" xfId="57146"/>
    <cellStyle name="Normal 2 2 3 3 4 2 2 2 2 2 2 3" xfId="35323"/>
    <cellStyle name="Normal 2 2 3 3 4 2 2 2 2 2 3" xfId="35072"/>
    <cellStyle name="Normal 2 2 3 3 4 2 2 2 2 2 3 2" xfId="43695"/>
    <cellStyle name="Normal 2 2 3 3 4 2 2 2 2 3" xfId="13493"/>
    <cellStyle name="Normal 2 2 3 3 4 2 2 2 2 3 2" xfId="43444"/>
    <cellStyle name="Normal 2 2 3 3 4 2 2 2 2 3 2 2" xfId="48839"/>
    <cellStyle name="Normal 2 2 3 3 4 2 2 2 2 4" xfId="26978"/>
    <cellStyle name="Normal 2 2 3 3 4 2 2 2 3" xfId="13242"/>
    <cellStyle name="Normal 2 2 3 3 4 2 2 2 3 2" xfId="16710"/>
    <cellStyle name="Normal 2 2 3 3 4 2 2 2 3 2 2" xfId="48588"/>
    <cellStyle name="Normal 2 2 3 3 4 2 2 2 3 2 2 2" xfId="52038"/>
    <cellStyle name="Normal 2 2 3 3 4 2 2 2 3 3" xfId="30212"/>
    <cellStyle name="Normal 2 2 3 3 4 2 2 2 4" xfId="26726"/>
    <cellStyle name="Normal 2 2 3 3 4 2 2 2 4 2" xfId="38522"/>
    <cellStyle name="Normal 2 2 3 3 4 2 2 3" xfId="5090"/>
    <cellStyle name="Normal 2 2 3 3 4 2 2 3 2" xfId="16459"/>
    <cellStyle name="Normal 2 2 3 3 4 2 2 3 2 2" xfId="18663"/>
    <cellStyle name="Normal 2 2 3 3 4 2 2 3 2 2 2" xfId="51787"/>
    <cellStyle name="Normal 2 2 3 3 4 2 2 3 2 2 2 2" xfId="53989"/>
    <cellStyle name="Normal 2 2 3 3 4 2 2 3 2 3" xfId="32164"/>
    <cellStyle name="Normal 2 2 3 3 4 2 2 3 3" xfId="29961"/>
    <cellStyle name="Normal 2 2 3 3 4 2 2 3 3 2" xfId="40527"/>
    <cellStyle name="Normal 2 2 3 3 4 2 2 4" xfId="10293"/>
    <cellStyle name="Normal 2 2 3 3 4 2 2 4 2" xfId="38271"/>
    <cellStyle name="Normal 2 2 3 3 4 2 2 4 2 2" xfId="45656"/>
    <cellStyle name="Normal 2 2 3 3 4 2 2 5" xfId="23779"/>
    <cellStyle name="Normal 2 2 3 3 4 2 3" xfId="4837"/>
    <cellStyle name="Normal 2 2 3 3 4 2 3 2" xfId="6326"/>
    <cellStyle name="Normal 2 2 3 3 4 2 3 2 2" xfId="18411"/>
    <cellStyle name="Normal 2 2 3 3 4 2 3 2 2 2" xfId="19883"/>
    <cellStyle name="Normal 2 2 3 3 4 2 3 2 2 2 2" xfId="53737"/>
    <cellStyle name="Normal 2 2 3 3 4 2 3 2 2 2 2 2" xfId="55209"/>
    <cellStyle name="Normal 2 2 3 3 4 2 3 2 2 3" xfId="33385"/>
    <cellStyle name="Normal 2 2 3 3 4 2 3 2 3" xfId="31912"/>
    <cellStyle name="Normal 2 2 3 3 4 2 3 2 3 2" xfId="41755"/>
    <cellStyle name="Normal 2 2 3 3 4 2 3 3" xfId="11552"/>
    <cellStyle name="Normal 2 2 3 3 4 2 3 3 2" xfId="40274"/>
    <cellStyle name="Normal 2 2 3 3 4 2 3 3 2 2" xfId="46901"/>
    <cellStyle name="Normal 2 2 3 3 4 2 3 4" xfId="25038"/>
    <cellStyle name="Normal 2 2 3 3 4 2 4" xfId="10040"/>
    <cellStyle name="Normal 2 2 3 3 4 2 4 2" xfId="14709"/>
    <cellStyle name="Normal 2 2 3 3 4 2 4 2 2" xfId="45404"/>
    <cellStyle name="Normal 2 2 3 3 4 2 4 2 2 2" xfId="50048"/>
    <cellStyle name="Normal 2 2 3 3 4 2 4 3" xfId="28221"/>
    <cellStyle name="Normal 2 2 3 3 4 2 5" xfId="23527"/>
    <cellStyle name="Normal 2 2 3 3 4 2 5 2" xfId="36517"/>
    <cellStyle name="Normal 2 2 3 3 4 3" xfId="1819"/>
    <cellStyle name="Normal 2 2 3 3 4 3 2" xfId="6053"/>
    <cellStyle name="Normal 2 2 3 3 4 3 2 2" xfId="7071"/>
    <cellStyle name="Normal 2 2 3 3 4 3 2 2 2" xfId="19617"/>
    <cellStyle name="Normal 2 2 3 3 4 3 2 2 2 2" xfId="20624"/>
    <cellStyle name="Normal 2 2 3 3 4 3 2 2 2 2 2" xfId="54943"/>
    <cellStyle name="Normal 2 2 3 3 4 3 2 2 2 2 2 2" xfId="55950"/>
    <cellStyle name="Normal 2 2 3 3 4 3 2 2 2 3" xfId="34126"/>
    <cellStyle name="Normal 2 2 3 3 4 3 2 2 3" xfId="33118"/>
    <cellStyle name="Normal 2 2 3 3 4 3 2 2 3 2" xfId="42499"/>
    <cellStyle name="Normal 2 2 3 3 4 3 2 3" xfId="12295"/>
    <cellStyle name="Normal 2 2 3 3 4 3 2 3 2" xfId="41487"/>
    <cellStyle name="Normal 2 2 3 3 4 3 2 3 2 2" xfId="47642"/>
    <cellStyle name="Normal 2 2 3 3 4 3 2 4" xfId="25780"/>
    <cellStyle name="Normal 2 2 3 3 4 3 3" xfId="11279"/>
    <cellStyle name="Normal 2 2 3 3 4 3 3 2" xfId="15491"/>
    <cellStyle name="Normal 2 2 3 3 4 3 3 2 2" xfId="46634"/>
    <cellStyle name="Normal 2 2 3 3 4 3 3 2 2 2" xfId="50824"/>
    <cellStyle name="Normal 2 2 3 3 4 3 3 3" xfId="28998"/>
    <cellStyle name="Normal 2 2 3 3 4 3 4" xfId="24771"/>
    <cellStyle name="Normal 2 2 3 3 4 3 4 2" xfId="37301"/>
    <cellStyle name="Normal 2 2 3 3 4 4" xfId="3829"/>
    <cellStyle name="Normal 2 2 3 3 4 4 2" xfId="14436"/>
    <cellStyle name="Normal 2 2 3 3 4 4 2 2" xfId="17444"/>
    <cellStyle name="Normal 2 2 3 3 4 4 2 2 2" xfId="49781"/>
    <cellStyle name="Normal 2 2 3 3 4 4 2 2 2 2" xfId="52771"/>
    <cellStyle name="Normal 2 2 3 3 4 4 2 3" xfId="30945"/>
    <cellStyle name="Normal 2 2 3 3 4 4 3" xfId="27949"/>
    <cellStyle name="Normal 2 2 3 3 4 4 3 2" xfId="39279"/>
    <cellStyle name="Normal 2 2 3 3 4 5" xfId="9021"/>
    <cellStyle name="Normal 2 2 3 3 4 5 2" xfId="36249"/>
    <cellStyle name="Normal 2 2 3 3 4 5 2 2" xfId="44419"/>
    <cellStyle name="Normal 2 2 3 3 4 6" xfId="22530"/>
    <cellStyle name="Normal 2 2 3 3 5" xfId="1514"/>
    <cellStyle name="Normal 2 2 3 3 5 2" xfId="2280"/>
    <cellStyle name="Normal 2 2 3 3 5 2 2" xfId="6803"/>
    <cellStyle name="Normal 2 2 3 3 5 2 2 2" xfId="7514"/>
    <cellStyle name="Normal 2 2 3 3 5 2 2 2 2" xfId="20356"/>
    <cellStyle name="Normal 2 2 3 3 5 2 2 2 2 2" xfId="21066"/>
    <cellStyle name="Normal 2 2 3 3 5 2 2 2 2 2 2" xfId="55682"/>
    <cellStyle name="Normal 2 2 3 3 5 2 2 2 2 2 2 2" xfId="56392"/>
    <cellStyle name="Normal 2 2 3 3 5 2 2 2 2 3" xfId="34569"/>
    <cellStyle name="Normal 2 2 3 3 5 2 2 2 3" xfId="33858"/>
    <cellStyle name="Normal 2 2 3 3 5 2 2 2 3 2" xfId="42941"/>
    <cellStyle name="Normal 2 2 3 3 5 2 2 3" xfId="12739"/>
    <cellStyle name="Normal 2 2 3 3 5 2 2 3 2" xfId="42231"/>
    <cellStyle name="Normal 2 2 3 3 5 2 2 3 2 2" xfId="48085"/>
    <cellStyle name="Normal 2 2 3 3 5 2 2 4" xfId="26223"/>
    <cellStyle name="Normal 2 2 3 3 5 2 3" xfId="12027"/>
    <cellStyle name="Normal 2 2 3 3 5 2 3 2" xfId="15944"/>
    <cellStyle name="Normal 2 2 3 3 5 2 3 2 2" xfId="47374"/>
    <cellStyle name="Normal 2 2 3 3 5 2 3 2 2 2" xfId="51276"/>
    <cellStyle name="Normal 2 2 3 3 5 2 3 3" xfId="29450"/>
    <cellStyle name="Normal 2 2 3 3 5 2 4" xfId="25511"/>
    <cellStyle name="Normal 2 2 3 3 5 2 4 2" xfId="37758"/>
    <cellStyle name="Normal 2 2 3 3 5 3" xfId="4304"/>
    <cellStyle name="Normal 2 2 3 3 5 3 2" xfId="15196"/>
    <cellStyle name="Normal 2 2 3 3 5 3 2 2" xfId="17897"/>
    <cellStyle name="Normal 2 2 3 3 5 3 2 2 2" xfId="50534"/>
    <cellStyle name="Normal 2 2 3 3 5 3 2 2 2 2" xfId="53224"/>
    <cellStyle name="Normal 2 2 3 3 5 3 2 3" xfId="31399"/>
    <cellStyle name="Normal 2 2 3 3 5 3 3" xfId="28708"/>
    <cellStyle name="Normal 2 2 3 3 5 3 3 2" xfId="39747"/>
    <cellStyle name="Normal 2 2 3 3 5 4" xfId="9498"/>
    <cellStyle name="Normal 2 2 3 3 5 4 2" xfId="37006"/>
    <cellStyle name="Normal 2 2 3 3 5 4 2 2" xfId="44880"/>
    <cellStyle name="Normal 2 2 3 3 5 5" xfId="22995"/>
    <cellStyle name="Normal 2 2 3 3 6" xfId="3514"/>
    <cellStyle name="Normal 2 2 3 3 6 2" xfId="5519"/>
    <cellStyle name="Normal 2 2 3 3 6 2 2" xfId="17167"/>
    <cellStyle name="Normal 2 2 3 3 6 2 2 2" xfId="19092"/>
    <cellStyle name="Normal 2 2 3 3 6 2 2 2 2" xfId="52494"/>
    <cellStyle name="Normal 2 2 3 3 6 2 2 2 2 2" xfId="54418"/>
    <cellStyle name="Normal 2 2 3 3 6 2 2 3" xfId="32593"/>
    <cellStyle name="Normal 2 2 3 3 6 2 3" xfId="30668"/>
    <cellStyle name="Normal 2 2 3 3 6 2 3 2" xfId="40956"/>
    <cellStyle name="Normal 2 2 3 3 6 3" xfId="10722"/>
    <cellStyle name="Normal 2 2 3 3 6 3 2" xfId="38980"/>
    <cellStyle name="Normal 2 2 3 3 6 3 2 2" xfId="46085"/>
    <cellStyle name="Normal 2 2 3 3 6 4" xfId="24208"/>
    <cellStyle name="Normal 2 2 3 3 7" xfId="8707"/>
    <cellStyle name="Normal 2 2 3 3 7 2" xfId="9479"/>
    <cellStyle name="Normal 2 2 3 3 7 2 2" xfId="44134"/>
    <cellStyle name="Normal 2 2 3 3 7 2 2 2" xfId="44861"/>
    <cellStyle name="Normal 2 2 3 3 7 3" xfId="22975"/>
    <cellStyle name="Normal 2 2 3 3 8" xfId="10915"/>
    <cellStyle name="Normal 2 2 3 3 8 2" xfId="3606"/>
    <cellStyle name="Normal 2 2 3 4" xfId="159"/>
    <cellStyle name="Normal 2 2 3 4 2" xfId="484"/>
    <cellStyle name="Normal 2 2 3 4 2 2" xfId="545"/>
    <cellStyle name="Normal 2 2 3 4 2 2 2" xfId="1298"/>
    <cellStyle name="Normal 2 2 3 4 2 2 2 2" xfId="1350"/>
    <cellStyle name="Normal 2 2 3 4 2 2 2 2 2" xfId="3316"/>
    <cellStyle name="Normal 2 2 3 4 2 2 2 2 2 2" xfId="3368"/>
    <cellStyle name="Normal 2 2 3 4 2 2 2 2 2 2 2" xfId="8531"/>
    <cellStyle name="Normal 2 2 3 4 2 2 2 2 2 2 2 2" xfId="8583"/>
    <cellStyle name="Normal 2 2 3 4 2 2 2 2 2 2 2 2 2" xfId="22083"/>
    <cellStyle name="Normal 2 2 3 4 2 2 2 2 2 2 2 2 2 2" xfId="22135"/>
    <cellStyle name="Normal 2 2 3 4 2 2 2 2 2 2 2 2 2 2 2" xfId="57409"/>
    <cellStyle name="Normal 2 2 3 4 2 2 2 2 2 2 2 2 2 2 2 2" xfId="57461"/>
    <cellStyle name="Normal 2 2 3 4 2 2 2 2 2 2 2 2 2 3" xfId="35638"/>
    <cellStyle name="Normal 2 2 3 4 2 2 2 2 2 2 2 2 3" xfId="35586"/>
    <cellStyle name="Normal 2 2 3 4 2 2 2 2 2 2 2 2 3 2" xfId="44010"/>
    <cellStyle name="Normal 2 2 3 4 2 2 2 2 2 2 2 3" xfId="13808"/>
    <cellStyle name="Normal 2 2 3 4 2 2 2 2 2 2 2 3 2" xfId="43958"/>
    <cellStyle name="Normal 2 2 3 4 2 2 2 2 2 2 2 3 2 2" xfId="49154"/>
    <cellStyle name="Normal 2 2 3 4 2 2 2 2 2 2 2 4" xfId="27293"/>
    <cellStyle name="Normal 2 2 3 4 2 2 2 2 2 2 3" xfId="13756"/>
    <cellStyle name="Normal 2 2 3 4 2 2 2 2 2 2 3 2" xfId="17025"/>
    <cellStyle name="Normal 2 2 3 4 2 2 2 2 2 2 3 2 2" xfId="49102"/>
    <cellStyle name="Normal 2 2 3 4 2 2 2 2 2 2 3 2 2 2" xfId="52353"/>
    <cellStyle name="Normal 2 2 3 4 2 2 2 2 2 2 3 3" xfId="30527"/>
    <cellStyle name="Normal 2 2 3 4 2 2 2 2 2 2 4" xfId="27241"/>
    <cellStyle name="Normal 2 2 3 4 2 2 2 2 2 2 4 2" xfId="38837"/>
    <cellStyle name="Normal 2 2 3 4 2 2 2 2 2 3" xfId="5405"/>
    <cellStyle name="Normal 2 2 3 4 2 2 2 2 2 3 2" xfId="16973"/>
    <cellStyle name="Normal 2 2 3 4 2 2 2 2 2 3 2 2" xfId="18978"/>
    <cellStyle name="Normal 2 2 3 4 2 2 2 2 2 3 2 2 2" xfId="52301"/>
    <cellStyle name="Normal 2 2 3 4 2 2 2 2 2 3 2 2 2 2" xfId="54304"/>
    <cellStyle name="Normal 2 2 3 4 2 2 2 2 2 3 2 3" xfId="32479"/>
    <cellStyle name="Normal 2 2 3 4 2 2 2 2 2 3 3" xfId="30475"/>
    <cellStyle name="Normal 2 2 3 4 2 2 2 2 2 3 3 2" xfId="40842"/>
    <cellStyle name="Normal 2 2 3 4 2 2 2 2 2 4" xfId="10608"/>
    <cellStyle name="Normal 2 2 3 4 2 2 2 2 2 4 2" xfId="38785"/>
    <cellStyle name="Normal 2 2 3 4 2 2 2 2 2 4 2 2" xfId="45971"/>
    <cellStyle name="Normal 2 2 3 4 2 2 2 2 2 5" xfId="24094"/>
    <cellStyle name="Normal 2 2 3 4 2 2 2 2 3" xfId="5353"/>
    <cellStyle name="Normal 2 2 3 4 2 2 2 2 3 2" xfId="6658"/>
    <cellStyle name="Normal 2 2 3 4 2 2 2 2 3 2 2" xfId="18926"/>
    <cellStyle name="Normal 2 2 3 4 2 2 2 2 3 2 2 2" xfId="20211"/>
    <cellStyle name="Normal 2 2 3 4 2 2 2 2 3 2 2 2 2" xfId="54252"/>
    <cellStyle name="Normal 2 2 3 4 2 2 2 2 3 2 2 2 2 2" xfId="55537"/>
    <cellStyle name="Normal 2 2 3 4 2 2 2 2 3 2 2 3" xfId="33713"/>
    <cellStyle name="Normal 2 2 3 4 2 2 2 2 3 2 3" xfId="32427"/>
    <cellStyle name="Normal 2 2 3 4 2 2 2 2 3 2 3 2" xfId="42086"/>
    <cellStyle name="Normal 2 2 3 4 2 2 2 2 3 3" xfId="11881"/>
    <cellStyle name="Normal 2 2 3 4 2 2 2 2 3 3 2" xfId="40790"/>
    <cellStyle name="Normal 2 2 3 4 2 2 2 2 3 3 2 2" xfId="47229"/>
    <cellStyle name="Normal 2 2 3 4 2 2 2 2 3 4" xfId="25366"/>
    <cellStyle name="Normal 2 2 3 4 2 2 2 2 4" xfId="10556"/>
    <cellStyle name="Normal 2 2 3 4 2 2 2 2 4 2" xfId="15039"/>
    <cellStyle name="Normal 2 2 3 4 2 2 2 2 4 2 2" xfId="45919"/>
    <cellStyle name="Normal 2 2 3 4 2 2 2 2 4 2 2 2" xfId="50378"/>
    <cellStyle name="Normal 2 2 3 4 2 2 2 2 4 3" xfId="28552"/>
    <cellStyle name="Normal 2 2 3 4 2 2 2 2 5" xfId="24042"/>
    <cellStyle name="Normal 2 2 3 4 2 2 2 2 5 2" xfId="36847"/>
    <cellStyle name="Normal 2 2 3 4 2 2 2 3" xfId="2157"/>
    <cellStyle name="Normal 2 2 3 4 2 2 2 3 2" xfId="6606"/>
    <cellStyle name="Normal 2 2 3 4 2 2 2 3 2 2" xfId="7391"/>
    <cellStyle name="Normal 2 2 3 4 2 2 2 3 2 2 2" xfId="20159"/>
    <cellStyle name="Normal 2 2 3 4 2 2 2 3 2 2 2 2" xfId="20943"/>
    <cellStyle name="Normal 2 2 3 4 2 2 2 3 2 2 2 2 2" xfId="55485"/>
    <cellStyle name="Normal 2 2 3 4 2 2 2 3 2 2 2 2 2 2" xfId="56269"/>
    <cellStyle name="Normal 2 2 3 4 2 2 2 3 2 2 2 3" xfId="34446"/>
    <cellStyle name="Normal 2 2 3 4 2 2 2 3 2 2 3" xfId="33661"/>
    <cellStyle name="Normal 2 2 3 4 2 2 2 3 2 2 3 2" xfId="42818"/>
    <cellStyle name="Normal 2 2 3 4 2 2 2 3 2 3" xfId="12616"/>
    <cellStyle name="Normal 2 2 3 4 2 2 2 3 2 3 2" xfId="42034"/>
    <cellStyle name="Normal 2 2 3 4 2 2 2 3 2 3 2 2" xfId="47962"/>
    <cellStyle name="Normal 2 2 3 4 2 2 2 3 2 4" xfId="26100"/>
    <cellStyle name="Normal 2 2 3 4 2 2 2 3 3" xfId="11829"/>
    <cellStyle name="Normal 2 2 3 4 2 2 2 3 3 2" xfId="15821"/>
    <cellStyle name="Normal 2 2 3 4 2 2 2 3 3 2 2" xfId="47177"/>
    <cellStyle name="Normal 2 2 3 4 2 2 2 3 3 2 2 2" xfId="51153"/>
    <cellStyle name="Normal 2 2 3 4 2 2 2 3 3 3" xfId="29327"/>
    <cellStyle name="Normal 2 2 3 4 2 2 2 3 4" xfId="25314"/>
    <cellStyle name="Normal 2 2 3 4 2 2 2 3 4 2" xfId="37635"/>
    <cellStyle name="Normal 2 2 3 4 2 2 2 4" xfId="4173"/>
    <cellStyle name="Normal 2 2 3 4 2 2 2 4 2" xfId="14987"/>
    <cellStyle name="Normal 2 2 3 4 2 2 2 4 2 2" xfId="17766"/>
    <cellStyle name="Normal 2 2 3 4 2 2 2 4 2 2 2" xfId="50326"/>
    <cellStyle name="Normal 2 2 3 4 2 2 2 4 2 2 2 2" xfId="53093"/>
    <cellStyle name="Normal 2 2 3 4 2 2 2 4 2 3" xfId="31268"/>
    <cellStyle name="Normal 2 2 3 4 2 2 2 4 3" xfId="28500"/>
    <cellStyle name="Normal 2 2 3 4 2 2 2 4 3 2" xfId="39616"/>
    <cellStyle name="Normal 2 2 3 4 2 2 2 5" xfId="9364"/>
    <cellStyle name="Normal 2 2 3 4 2 2 2 5 2" xfId="36795"/>
    <cellStyle name="Normal 2 2 3 4 2 2 2 5 2 2" xfId="44746"/>
    <cellStyle name="Normal 2 2 3 4 2 2 2 6" xfId="22860"/>
    <cellStyle name="Normal 2 2 3 4 2 2 3" xfId="2104"/>
    <cellStyle name="Normal 2 2 3 4 2 2 3 2" xfId="2639"/>
    <cellStyle name="Normal 2 2 3 4 2 2 3 2 2" xfId="7338"/>
    <cellStyle name="Normal 2 2 3 4 2 2 3 2 2 2" xfId="7859"/>
    <cellStyle name="Normal 2 2 3 4 2 2 3 2 2 2 2" xfId="20890"/>
    <cellStyle name="Normal 2 2 3 4 2 2 3 2 2 2 2 2" xfId="21411"/>
    <cellStyle name="Normal 2 2 3 4 2 2 3 2 2 2 2 2 2" xfId="56216"/>
    <cellStyle name="Normal 2 2 3 4 2 2 3 2 2 2 2 2 2 2" xfId="56737"/>
    <cellStyle name="Normal 2 2 3 4 2 2 3 2 2 2 2 3" xfId="34914"/>
    <cellStyle name="Normal 2 2 3 4 2 2 3 2 2 2 3" xfId="34393"/>
    <cellStyle name="Normal 2 2 3 4 2 2 3 2 2 2 3 2" xfId="43286"/>
    <cellStyle name="Normal 2 2 3 4 2 2 3 2 2 3" xfId="13084"/>
    <cellStyle name="Normal 2 2 3 4 2 2 3 2 2 3 2" xfId="42765"/>
    <cellStyle name="Normal 2 2 3 4 2 2 3 2 2 3 2 2" xfId="48430"/>
    <cellStyle name="Normal 2 2 3 4 2 2 3 2 2 4" xfId="26568"/>
    <cellStyle name="Normal 2 2 3 4 2 2 3 2 3" xfId="12563"/>
    <cellStyle name="Normal 2 2 3 4 2 2 3 2 3 2" xfId="16298"/>
    <cellStyle name="Normal 2 2 3 4 2 2 3 2 3 2 2" xfId="47909"/>
    <cellStyle name="Normal 2 2 3 4 2 2 3 2 3 2 2 2" xfId="51628"/>
    <cellStyle name="Normal 2 2 3 4 2 2 3 2 3 3" xfId="29802"/>
    <cellStyle name="Normal 2 2 3 4 2 2 3 2 4" xfId="26047"/>
    <cellStyle name="Normal 2 2 3 4 2 2 3 2 4 2" xfId="38112"/>
    <cellStyle name="Normal 2 2 3 4 2 2 3 3" xfId="4674"/>
    <cellStyle name="Normal 2 2 3 4 2 2 3 3 2" xfId="15768"/>
    <cellStyle name="Normal 2 2 3 4 2 2 3 3 2 2" xfId="18253"/>
    <cellStyle name="Normal 2 2 3 4 2 2 3 3 2 2 2" xfId="51100"/>
    <cellStyle name="Normal 2 2 3 4 2 2 3 3 2 2 2 2" xfId="53579"/>
    <cellStyle name="Normal 2 2 3 4 2 2 3 3 2 3" xfId="31754"/>
    <cellStyle name="Normal 2 2 3 4 2 2 3 3 3" xfId="29274"/>
    <cellStyle name="Normal 2 2 3 4 2 2 3 3 3 2" xfId="40113"/>
    <cellStyle name="Normal 2 2 3 4 2 2 3 4" xfId="9877"/>
    <cellStyle name="Normal 2 2 3 4 2 2 3 4 2" xfId="37582"/>
    <cellStyle name="Normal 2 2 3 4 2 2 3 4 2 2" xfId="45246"/>
    <cellStyle name="Normal 2 2 3 4 2 2 3 5" xfId="23369"/>
    <cellStyle name="Normal 2 2 3 4 2 2 4" xfId="4120"/>
    <cellStyle name="Normal 2 2 3 4 2 2 4 2" xfId="5878"/>
    <cellStyle name="Normal 2 2 3 4 2 2 4 2 2" xfId="17713"/>
    <cellStyle name="Normal 2 2 3 4 2 2 4 2 2 2" xfId="19446"/>
    <cellStyle name="Normal 2 2 3 4 2 2 4 2 2 2 2" xfId="53040"/>
    <cellStyle name="Normal 2 2 3 4 2 2 4 2 2 2 2 2" xfId="54772"/>
    <cellStyle name="Normal 2 2 3 4 2 2 4 2 2 3" xfId="32947"/>
    <cellStyle name="Normal 2 2 3 4 2 2 4 2 3" xfId="31215"/>
    <cellStyle name="Normal 2 2 3 4 2 2 4 2 3 2" xfId="41313"/>
    <cellStyle name="Normal 2 2 3 4 2 2 4 3" xfId="11102"/>
    <cellStyle name="Normal 2 2 3 4 2 2 4 3 2" xfId="39563"/>
    <cellStyle name="Normal 2 2 3 4 2 2 4 3 2 2" xfId="46461"/>
    <cellStyle name="Normal 2 2 3 4 2 2 4 4" xfId="24596"/>
    <cellStyle name="Normal 2 2 3 4 2 2 5" xfId="9311"/>
    <cellStyle name="Normal 2 2 3 4 2 2 5 2" xfId="14263"/>
    <cellStyle name="Normal 2 2 3 4 2 2 5 2 2" xfId="44693"/>
    <cellStyle name="Normal 2 2 3 4 2 2 5 2 2 2" xfId="49608"/>
    <cellStyle name="Normal 2 2 3 4 2 2 5 3" xfId="27770"/>
    <cellStyle name="Normal 2 2 3 4 2 2 6" xfId="22807"/>
    <cellStyle name="Normal 2 2 3 4 2 2 6 2" xfId="36075"/>
    <cellStyle name="Normal 2 2 3 4 2 3" xfId="873"/>
    <cellStyle name="Normal 2 2 3 4 2 3 2" xfId="2582"/>
    <cellStyle name="Normal 2 2 3 4 2 3 2 2" xfId="2920"/>
    <cellStyle name="Normal 2 2 3 4 2 3 2 2 2" xfId="7803"/>
    <cellStyle name="Normal 2 2 3 4 2 3 2 2 2 2" xfId="8135"/>
    <cellStyle name="Normal 2 2 3 4 2 3 2 2 2 2 2" xfId="21355"/>
    <cellStyle name="Normal 2 2 3 4 2 3 2 2 2 2 2 2" xfId="21687"/>
    <cellStyle name="Normal 2 2 3 4 2 3 2 2 2 2 2 2 2" xfId="56681"/>
    <cellStyle name="Normal 2 2 3 4 2 3 2 2 2 2 2 2 2 2" xfId="57013"/>
    <cellStyle name="Normal 2 2 3 4 2 3 2 2 2 2 2 3" xfId="35190"/>
    <cellStyle name="Normal 2 2 3 4 2 3 2 2 2 2 3" xfId="34858"/>
    <cellStyle name="Normal 2 2 3 4 2 3 2 2 2 2 3 2" xfId="43562"/>
    <cellStyle name="Normal 2 2 3 4 2 3 2 2 2 3" xfId="13360"/>
    <cellStyle name="Normal 2 2 3 4 2 3 2 2 2 3 2" xfId="43230"/>
    <cellStyle name="Normal 2 2 3 4 2 3 2 2 2 3 2 2" xfId="48706"/>
    <cellStyle name="Normal 2 2 3 4 2 3 2 2 2 4" xfId="26845"/>
    <cellStyle name="Normal 2 2 3 4 2 3 2 2 3" xfId="13028"/>
    <cellStyle name="Normal 2 2 3 4 2 3 2 2 3 2" xfId="16577"/>
    <cellStyle name="Normal 2 2 3 4 2 3 2 2 3 2 2" xfId="48374"/>
    <cellStyle name="Normal 2 2 3 4 2 3 2 2 3 2 2 2" xfId="51905"/>
    <cellStyle name="Normal 2 2 3 4 2 3 2 2 3 3" xfId="30079"/>
    <cellStyle name="Normal 2 2 3 4 2 3 2 2 4" xfId="26512"/>
    <cellStyle name="Normal 2 2 3 4 2 3 2 2 4 2" xfId="38389"/>
    <cellStyle name="Normal 2 2 3 4 2 3 2 3" xfId="4956"/>
    <cellStyle name="Normal 2 2 3 4 2 3 2 3 2" xfId="16241"/>
    <cellStyle name="Normal 2 2 3 4 2 3 2 3 2 2" xfId="18529"/>
    <cellStyle name="Normal 2 2 3 4 2 3 2 3 2 2 2" xfId="51571"/>
    <cellStyle name="Normal 2 2 3 4 2 3 2 3 2 2 2 2" xfId="53855"/>
    <cellStyle name="Normal 2 2 3 4 2 3 2 3 2 3" xfId="32030"/>
    <cellStyle name="Normal 2 2 3 4 2 3 2 3 3" xfId="29745"/>
    <cellStyle name="Normal 2 2 3 4 2 3 2 3 3 2" xfId="40393"/>
    <cellStyle name="Normal 2 2 3 4 2 3 2 4" xfId="10159"/>
    <cellStyle name="Normal 2 2 3 4 2 3 2 4 2" xfId="38055"/>
    <cellStyle name="Normal 2 2 3 4 2 3 2 4 2 2" xfId="45522"/>
    <cellStyle name="Normal 2 2 3 4 2 3 2 5" xfId="23645"/>
    <cellStyle name="Normal 2 2 3 4 2 3 3" xfId="4615"/>
    <cellStyle name="Normal 2 2 3 4 2 3 3 2" xfId="6187"/>
    <cellStyle name="Normal 2 2 3 4 2 3 3 2 2" xfId="18196"/>
    <cellStyle name="Normal 2 2 3 4 2 3 3 2 2 2" xfId="19746"/>
    <cellStyle name="Normal 2 2 3 4 2 3 3 2 2 2 2" xfId="53522"/>
    <cellStyle name="Normal 2 2 3 4 2 3 3 2 2 2 2 2" xfId="55072"/>
    <cellStyle name="Normal 2 2 3 4 2 3 3 2 2 3" xfId="33248"/>
    <cellStyle name="Normal 2 2 3 4 2 3 3 2 3" xfId="31697"/>
    <cellStyle name="Normal 2 2 3 4 2 3 3 2 3 2" xfId="41617"/>
    <cellStyle name="Normal 2 2 3 4 2 3 3 3" xfId="11412"/>
    <cellStyle name="Normal 2 2 3 4 2 3 3 3 2" xfId="40054"/>
    <cellStyle name="Normal 2 2 3 4 2 3 3 3 2 2" xfId="46763"/>
    <cellStyle name="Normal 2 2 3 4 2 3 3 4" xfId="24900"/>
    <cellStyle name="Normal 2 2 3 4 2 3 4" xfId="9819"/>
    <cellStyle name="Normal 2 2 3 4 2 3 4 2" xfId="14570"/>
    <cellStyle name="Normal 2 2 3 4 2 3 4 2 2" xfId="45189"/>
    <cellStyle name="Normal 2 2 3 4 2 3 4 2 2 2" xfId="49911"/>
    <cellStyle name="Normal 2 2 3 4 2 3 4 3" xfId="28081"/>
    <cellStyle name="Normal 2 2 3 4 2 3 5" xfId="23312"/>
    <cellStyle name="Normal 2 2 3 4 2 3 5 2" xfId="36380"/>
    <cellStyle name="Normal 2 2 3 4 2 4" xfId="1668"/>
    <cellStyle name="Normal 2 2 3 4 2 4 2" xfId="5821"/>
    <cellStyle name="Normal 2 2 3 4 2 4 2 2" xfId="6930"/>
    <cellStyle name="Normal 2 2 3 4 2 4 2 2 2" xfId="19389"/>
    <cellStyle name="Normal 2 2 3 4 2 4 2 2 2 2" xfId="20483"/>
    <cellStyle name="Normal 2 2 3 4 2 4 2 2 2 2 2" xfId="54715"/>
    <cellStyle name="Normal 2 2 3 4 2 4 2 2 2 2 2 2" xfId="55809"/>
    <cellStyle name="Normal 2 2 3 4 2 4 2 2 2 3" xfId="33985"/>
    <cellStyle name="Normal 2 2 3 4 2 4 2 2 3" xfId="32890"/>
    <cellStyle name="Normal 2 2 3 4 2 4 2 2 3 2" xfId="42358"/>
    <cellStyle name="Normal 2 2 3 4 2 4 2 3" xfId="12154"/>
    <cellStyle name="Normal 2 2 3 4 2 4 2 3 2" xfId="41256"/>
    <cellStyle name="Normal 2 2 3 4 2 4 2 3 2 2" xfId="47501"/>
    <cellStyle name="Normal 2 2 3 4 2 4 2 4" xfId="25639"/>
    <cellStyle name="Normal 2 2 3 4 2 4 3" xfId="11043"/>
    <cellStyle name="Normal 2 2 3 4 2 4 3 2" xfId="15341"/>
    <cellStyle name="Normal 2 2 3 4 2 4 3 2 2" xfId="46402"/>
    <cellStyle name="Normal 2 2 3 4 2 4 3 2 2 2" xfId="50676"/>
    <cellStyle name="Normal 2 2 3 4 2 4 3 3" xfId="28850"/>
    <cellStyle name="Normal 2 2 3 4 2 4 4" xfId="24537"/>
    <cellStyle name="Normal 2 2 3 4 2 4 4 2" xfId="37152"/>
    <cellStyle name="Normal 2 2 3 4 2 5" xfId="3673"/>
    <cellStyle name="Normal 2 2 3 4 2 5 2" xfId="14205"/>
    <cellStyle name="Normal 2 2 3 4 2 5 2 2" xfId="17298"/>
    <cellStyle name="Normal 2 2 3 4 2 5 2 2 2" xfId="49550"/>
    <cellStyle name="Normal 2 2 3 4 2 5 2 2 2 2" xfId="52625"/>
    <cellStyle name="Normal 2 2 3 4 2 5 2 3" xfId="30799"/>
    <cellStyle name="Normal 2 2 3 4 2 5 3" xfId="27711"/>
    <cellStyle name="Normal 2 2 3 4 2 5 3 2" xfId="39126"/>
    <cellStyle name="Normal 2 2 3 4 2 6" xfId="8866"/>
    <cellStyle name="Normal 2 2 3 4 2 6 2" xfId="36017"/>
    <cellStyle name="Normal 2 2 3 4 2 6 2 2" xfId="44270"/>
    <cellStyle name="Normal 2 2 3 4 2 7" xfId="22378"/>
    <cellStyle name="Normal 2 2 3 4 3" xfId="808"/>
    <cellStyle name="Normal 2 2 3 4 3 2" xfId="1045"/>
    <cellStyle name="Normal 2 2 3 4 3 2 2" xfId="2863"/>
    <cellStyle name="Normal 2 2 3 4 3 2 2 2" xfId="3081"/>
    <cellStyle name="Normal 2 2 3 4 3 2 2 2 2" xfId="8079"/>
    <cellStyle name="Normal 2 2 3 4 3 2 2 2 2 2" xfId="8296"/>
    <cellStyle name="Normal 2 2 3 4 3 2 2 2 2 2 2" xfId="21631"/>
    <cellStyle name="Normal 2 2 3 4 3 2 2 2 2 2 2 2" xfId="21848"/>
    <cellStyle name="Normal 2 2 3 4 3 2 2 2 2 2 2 2 2" xfId="56957"/>
    <cellStyle name="Normal 2 2 3 4 3 2 2 2 2 2 2 2 2 2" xfId="57174"/>
    <cellStyle name="Normal 2 2 3 4 3 2 2 2 2 2 2 3" xfId="35351"/>
    <cellStyle name="Normal 2 2 3 4 3 2 2 2 2 2 3" xfId="35134"/>
    <cellStyle name="Normal 2 2 3 4 3 2 2 2 2 2 3 2" xfId="43723"/>
    <cellStyle name="Normal 2 2 3 4 3 2 2 2 2 3" xfId="13521"/>
    <cellStyle name="Normal 2 2 3 4 3 2 2 2 2 3 2" xfId="43506"/>
    <cellStyle name="Normal 2 2 3 4 3 2 2 2 2 3 2 2" xfId="48867"/>
    <cellStyle name="Normal 2 2 3 4 3 2 2 2 2 4" xfId="27006"/>
    <cellStyle name="Normal 2 2 3 4 3 2 2 2 3" xfId="13304"/>
    <cellStyle name="Normal 2 2 3 4 3 2 2 2 3 2" xfId="16738"/>
    <cellStyle name="Normal 2 2 3 4 3 2 2 2 3 2 2" xfId="48650"/>
    <cellStyle name="Normal 2 2 3 4 3 2 2 2 3 2 2 2" xfId="52066"/>
    <cellStyle name="Normal 2 2 3 4 3 2 2 2 3 3" xfId="30240"/>
    <cellStyle name="Normal 2 2 3 4 3 2 2 2 4" xfId="26788"/>
    <cellStyle name="Normal 2 2 3 4 3 2 2 2 4 2" xfId="38550"/>
    <cellStyle name="Normal 2 2 3 4 3 2 2 3" xfId="5118"/>
    <cellStyle name="Normal 2 2 3 4 3 2 2 3 2" xfId="16521"/>
    <cellStyle name="Normal 2 2 3 4 3 2 2 3 2 2" xfId="18691"/>
    <cellStyle name="Normal 2 2 3 4 3 2 2 3 2 2 2" xfId="51849"/>
    <cellStyle name="Normal 2 2 3 4 3 2 2 3 2 2 2 2" xfId="54017"/>
    <cellStyle name="Normal 2 2 3 4 3 2 2 3 2 3" xfId="32192"/>
    <cellStyle name="Normal 2 2 3 4 3 2 2 3 3" xfId="30023"/>
    <cellStyle name="Normal 2 2 3 4 3 2 2 3 3 2" xfId="40555"/>
    <cellStyle name="Normal 2 2 3 4 3 2 2 4" xfId="10321"/>
    <cellStyle name="Normal 2 2 3 4 3 2 2 4 2" xfId="38333"/>
    <cellStyle name="Normal 2 2 3 4 3 2 2 4 2 2" xfId="45684"/>
    <cellStyle name="Normal 2 2 3 4 3 2 2 5" xfId="23807"/>
    <cellStyle name="Normal 2 2 3 4 3 2 3" xfId="4899"/>
    <cellStyle name="Normal 2 2 3 4 3 2 3 2" xfId="6355"/>
    <cellStyle name="Normal 2 2 3 4 3 2 3 2 2" xfId="18473"/>
    <cellStyle name="Normal 2 2 3 4 3 2 3 2 2 2" xfId="19912"/>
    <cellStyle name="Normal 2 2 3 4 3 2 3 2 2 2 2" xfId="53799"/>
    <cellStyle name="Normal 2 2 3 4 3 2 3 2 2 2 2 2" xfId="55238"/>
    <cellStyle name="Normal 2 2 3 4 3 2 3 2 2 3" xfId="33414"/>
    <cellStyle name="Normal 2 2 3 4 3 2 3 2 3" xfId="31974"/>
    <cellStyle name="Normal 2 2 3 4 3 2 3 2 3 2" xfId="41784"/>
    <cellStyle name="Normal 2 2 3 4 3 2 3 3" xfId="11581"/>
    <cellStyle name="Normal 2 2 3 4 3 2 3 3 2" xfId="40336"/>
    <cellStyle name="Normal 2 2 3 4 3 2 3 3 2 2" xfId="46930"/>
    <cellStyle name="Normal 2 2 3 4 3 2 3 4" xfId="25067"/>
    <cellStyle name="Normal 2 2 3 4 3 2 4" xfId="10102"/>
    <cellStyle name="Normal 2 2 3 4 3 2 4 2" xfId="14738"/>
    <cellStyle name="Normal 2 2 3 4 3 2 4 2 2" xfId="45466"/>
    <cellStyle name="Normal 2 2 3 4 3 2 4 2 2 2" xfId="50077"/>
    <cellStyle name="Normal 2 2 3 4 3 2 4 3" xfId="28250"/>
    <cellStyle name="Normal 2 2 3 4 3 2 5" xfId="23589"/>
    <cellStyle name="Normal 2 2 3 4 3 2 5 2" xfId="36546"/>
    <cellStyle name="Normal 2 2 3 4 3 3" xfId="1850"/>
    <cellStyle name="Normal 2 2 3 4 3 3 2" xfId="6124"/>
    <cellStyle name="Normal 2 2 3 4 3 3 2 2" xfId="7100"/>
    <cellStyle name="Normal 2 2 3 4 3 3 2 2 2" xfId="19685"/>
    <cellStyle name="Normal 2 2 3 4 3 3 2 2 2 2" xfId="20653"/>
    <cellStyle name="Normal 2 2 3 4 3 3 2 2 2 2 2" xfId="55011"/>
    <cellStyle name="Normal 2 2 3 4 3 3 2 2 2 2 2 2" xfId="55979"/>
    <cellStyle name="Normal 2 2 3 4 3 3 2 2 2 3" xfId="34155"/>
    <cellStyle name="Normal 2 2 3 4 3 3 2 2 3" xfId="33186"/>
    <cellStyle name="Normal 2 2 3 4 3 3 2 2 3 2" xfId="42528"/>
    <cellStyle name="Normal 2 2 3 4 3 3 2 3" xfId="12325"/>
    <cellStyle name="Normal 2 2 3 4 3 3 2 3 2" xfId="41556"/>
    <cellStyle name="Normal 2 2 3 4 3 3 2 3 2 2" xfId="47672"/>
    <cellStyle name="Normal 2 2 3 4 3 3 2 4" xfId="25810"/>
    <cellStyle name="Normal 2 2 3 4 3 3 3" xfId="11350"/>
    <cellStyle name="Normal 2 2 3 4 3 3 3 2" xfId="15521"/>
    <cellStyle name="Normal 2 2 3 4 3 3 3 2 2" xfId="46702"/>
    <cellStyle name="Normal 2 2 3 4 3 3 3 2 2 2" xfId="50854"/>
    <cellStyle name="Normal 2 2 3 4 3 3 3 3" xfId="29028"/>
    <cellStyle name="Normal 2 2 3 4 3 3 4" xfId="24839"/>
    <cellStyle name="Normal 2 2 3 4 3 3 4 2" xfId="37331"/>
    <cellStyle name="Normal 2 2 3 4 3 4" xfId="3863"/>
    <cellStyle name="Normal 2 2 3 4 3 4 2" xfId="14507"/>
    <cellStyle name="Normal 2 2 3 4 3 4 2 2" xfId="17476"/>
    <cellStyle name="Normal 2 2 3 4 3 4 2 2 2" xfId="49849"/>
    <cellStyle name="Normal 2 2 3 4 3 4 2 2 2 2" xfId="52803"/>
    <cellStyle name="Normal 2 2 3 4 3 4 2 3" xfId="30977"/>
    <cellStyle name="Normal 2 2 3 4 3 4 3" xfId="28019"/>
    <cellStyle name="Normal 2 2 3 4 3 4 3 2" xfId="39312"/>
    <cellStyle name="Normal 2 2 3 4 3 5" xfId="9055"/>
    <cellStyle name="Normal 2 2 3 4 3 5 2" xfId="36317"/>
    <cellStyle name="Normal 2 2 3 4 3 5 2 2" xfId="44452"/>
    <cellStyle name="Normal 2 2 3 4 3 6" xfId="22563"/>
    <cellStyle name="Normal 2 2 3 4 4" xfId="1597"/>
    <cellStyle name="Normal 2 2 3 4 4 2" xfId="2308"/>
    <cellStyle name="Normal 2 2 3 4 4 2 2" xfId="6868"/>
    <cellStyle name="Normal 2 2 3 4 4 2 2 2" xfId="7542"/>
    <cellStyle name="Normal 2 2 3 4 4 2 2 2 2" xfId="20421"/>
    <cellStyle name="Normal 2 2 3 4 4 2 2 2 2 2" xfId="21094"/>
    <cellStyle name="Normal 2 2 3 4 4 2 2 2 2 2 2" xfId="55747"/>
    <cellStyle name="Normal 2 2 3 4 4 2 2 2 2 2 2 2" xfId="56420"/>
    <cellStyle name="Normal 2 2 3 4 4 2 2 2 2 3" xfId="34597"/>
    <cellStyle name="Normal 2 2 3 4 4 2 2 2 3" xfId="33923"/>
    <cellStyle name="Normal 2 2 3 4 4 2 2 2 3 2" xfId="42969"/>
    <cellStyle name="Normal 2 2 3 4 4 2 2 3" xfId="12767"/>
    <cellStyle name="Normal 2 2 3 4 4 2 2 3 2" xfId="42296"/>
    <cellStyle name="Normal 2 2 3 4 4 2 2 3 2 2" xfId="48113"/>
    <cellStyle name="Normal 2 2 3 4 4 2 2 4" xfId="26251"/>
    <cellStyle name="Normal 2 2 3 4 4 2 3" xfId="12092"/>
    <cellStyle name="Normal 2 2 3 4 4 2 3 2" xfId="15972"/>
    <cellStyle name="Normal 2 2 3 4 4 2 3 2 2" xfId="47439"/>
    <cellStyle name="Normal 2 2 3 4 4 2 3 2 2 2" xfId="51304"/>
    <cellStyle name="Normal 2 2 3 4 4 2 3 3" xfId="29478"/>
    <cellStyle name="Normal 2 2 3 4 4 2 4" xfId="25577"/>
    <cellStyle name="Normal 2 2 3 4 4 2 4 2" xfId="37786"/>
    <cellStyle name="Normal 2 2 3 4 4 3" xfId="4336"/>
    <cellStyle name="Normal 2 2 3 4 4 3 2" xfId="15273"/>
    <cellStyle name="Normal 2 2 3 4 4 3 2 2" xfId="17929"/>
    <cellStyle name="Normal 2 2 3 4 4 3 2 2 2" xfId="50609"/>
    <cellStyle name="Normal 2 2 3 4 4 3 2 2 2 2" xfId="53256"/>
    <cellStyle name="Normal 2 2 3 4 4 3 2 3" xfId="31431"/>
    <cellStyle name="Normal 2 2 3 4 4 3 3" xfId="28783"/>
    <cellStyle name="Normal 2 2 3 4 4 3 3 2" xfId="39779"/>
    <cellStyle name="Normal 2 2 3 4 4 4" xfId="9532"/>
    <cellStyle name="Normal 2 2 3 4 4 4 2" xfId="37084"/>
    <cellStyle name="Normal 2 2 3 4 4 4 2 2" xfId="44914"/>
    <cellStyle name="Normal 2 2 3 4 4 5" xfId="23030"/>
    <cellStyle name="Normal 2 2 3 4 5" xfId="3597"/>
    <cellStyle name="Normal 2 2 3 4 5 2" xfId="5547"/>
    <cellStyle name="Normal 2 2 3 4 5 2 2" xfId="17233"/>
    <cellStyle name="Normal 2 2 3 4 5 2 2 2" xfId="19120"/>
    <cellStyle name="Normal 2 2 3 4 5 2 2 2 2" xfId="52560"/>
    <cellStyle name="Normal 2 2 3 4 5 2 2 2 2 2" xfId="54446"/>
    <cellStyle name="Normal 2 2 3 4 5 2 2 3" xfId="32621"/>
    <cellStyle name="Normal 2 2 3 4 5 2 3" xfId="30734"/>
    <cellStyle name="Normal 2 2 3 4 5 2 3 2" xfId="40984"/>
    <cellStyle name="Normal 2 2 3 4 5 3" xfId="10754"/>
    <cellStyle name="Normal 2 2 3 4 5 3 2" xfId="39054"/>
    <cellStyle name="Normal 2 2 3 4 5 3 2 2" xfId="46116"/>
    <cellStyle name="Normal 2 2 3 4 5 4" xfId="24241"/>
    <cellStyle name="Normal 2 2 3 4 6" xfId="8789"/>
    <cellStyle name="Normal 2 2 3 4 6 2" xfId="13932"/>
    <cellStyle name="Normal 2 2 3 4 6 2 2" xfId="44201"/>
    <cellStyle name="Normal 2 2 3 4 6 2 2 2" xfId="49278"/>
    <cellStyle name="Normal 2 2 3 4 6 3" xfId="27418"/>
    <cellStyle name="Normal 2 2 3 4 7" xfId="22306"/>
    <cellStyle name="Normal 2 2 3 4 7 2" xfId="23035"/>
    <cellStyle name="Normal 2 2 3 5" xfId="200"/>
    <cellStyle name="Normal 2 2 3 5 2" xfId="804"/>
    <cellStyle name="Normal 2 2 3 5 2 2" xfId="1074"/>
    <cellStyle name="Normal 2 2 3 5 2 2 2" xfId="2860"/>
    <cellStyle name="Normal 2 2 3 5 2 2 2 2" xfId="3109"/>
    <cellStyle name="Normal 2 2 3 5 2 2 2 2 2" xfId="8076"/>
    <cellStyle name="Normal 2 2 3 5 2 2 2 2 2 2" xfId="8324"/>
    <cellStyle name="Normal 2 2 3 5 2 2 2 2 2 2 2" xfId="21628"/>
    <cellStyle name="Normal 2 2 3 5 2 2 2 2 2 2 2 2" xfId="21876"/>
    <cellStyle name="Normal 2 2 3 5 2 2 2 2 2 2 2 2 2" xfId="56954"/>
    <cellStyle name="Normal 2 2 3 5 2 2 2 2 2 2 2 2 2 2" xfId="57202"/>
    <cellStyle name="Normal 2 2 3 5 2 2 2 2 2 2 2 3" xfId="35379"/>
    <cellStyle name="Normal 2 2 3 5 2 2 2 2 2 2 3" xfId="35131"/>
    <cellStyle name="Normal 2 2 3 5 2 2 2 2 2 2 3 2" xfId="43751"/>
    <cellStyle name="Normal 2 2 3 5 2 2 2 2 2 3" xfId="13549"/>
    <cellStyle name="Normal 2 2 3 5 2 2 2 2 2 3 2" xfId="43503"/>
    <cellStyle name="Normal 2 2 3 5 2 2 2 2 2 3 2 2" xfId="48895"/>
    <cellStyle name="Normal 2 2 3 5 2 2 2 2 2 4" xfId="27034"/>
    <cellStyle name="Normal 2 2 3 5 2 2 2 2 3" xfId="13301"/>
    <cellStyle name="Normal 2 2 3 5 2 2 2 2 3 2" xfId="16766"/>
    <cellStyle name="Normal 2 2 3 5 2 2 2 2 3 2 2" xfId="48647"/>
    <cellStyle name="Normal 2 2 3 5 2 2 2 2 3 2 2 2" xfId="52094"/>
    <cellStyle name="Normal 2 2 3 5 2 2 2 2 3 3" xfId="30268"/>
    <cellStyle name="Normal 2 2 3 5 2 2 2 2 4" xfId="26785"/>
    <cellStyle name="Normal 2 2 3 5 2 2 2 2 4 2" xfId="38578"/>
    <cellStyle name="Normal 2 2 3 5 2 2 2 3" xfId="5146"/>
    <cellStyle name="Normal 2 2 3 5 2 2 2 3 2" xfId="16518"/>
    <cellStyle name="Normal 2 2 3 5 2 2 2 3 2 2" xfId="18719"/>
    <cellStyle name="Normal 2 2 3 5 2 2 2 3 2 2 2" xfId="51846"/>
    <cellStyle name="Normal 2 2 3 5 2 2 2 3 2 2 2 2" xfId="54045"/>
    <cellStyle name="Normal 2 2 3 5 2 2 2 3 2 3" xfId="32220"/>
    <cellStyle name="Normal 2 2 3 5 2 2 2 3 3" xfId="30020"/>
    <cellStyle name="Normal 2 2 3 5 2 2 2 3 3 2" xfId="40583"/>
    <cellStyle name="Normal 2 2 3 5 2 2 2 4" xfId="10349"/>
    <cellStyle name="Normal 2 2 3 5 2 2 2 4 2" xfId="38330"/>
    <cellStyle name="Normal 2 2 3 5 2 2 2 4 2 2" xfId="45712"/>
    <cellStyle name="Normal 2 2 3 5 2 2 2 5" xfId="23835"/>
    <cellStyle name="Normal 2 2 3 5 2 2 3" xfId="4896"/>
    <cellStyle name="Normal 2 2 3 5 2 2 3 2" xfId="6384"/>
    <cellStyle name="Normal 2 2 3 5 2 2 3 2 2" xfId="18470"/>
    <cellStyle name="Normal 2 2 3 5 2 2 3 2 2 2" xfId="19940"/>
    <cellStyle name="Normal 2 2 3 5 2 2 3 2 2 2 2" xfId="53796"/>
    <cellStyle name="Normal 2 2 3 5 2 2 3 2 2 2 2 2" xfId="55266"/>
    <cellStyle name="Normal 2 2 3 5 2 2 3 2 2 3" xfId="33442"/>
    <cellStyle name="Normal 2 2 3 5 2 2 3 2 3" xfId="31971"/>
    <cellStyle name="Normal 2 2 3 5 2 2 3 2 3 2" xfId="41813"/>
    <cellStyle name="Normal 2 2 3 5 2 2 3 3" xfId="11609"/>
    <cellStyle name="Normal 2 2 3 5 2 2 3 3 2" xfId="40333"/>
    <cellStyle name="Normal 2 2 3 5 2 2 3 3 2 2" xfId="46958"/>
    <cellStyle name="Normal 2 2 3 5 2 2 3 4" xfId="25095"/>
    <cellStyle name="Normal 2 2 3 5 2 2 4" xfId="10099"/>
    <cellStyle name="Normal 2 2 3 5 2 2 4 2" xfId="14766"/>
    <cellStyle name="Normal 2 2 3 5 2 2 4 2 2" xfId="45463"/>
    <cellStyle name="Normal 2 2 3 5 2 2 4 2 2 2" xfId="50105"/>
    <cellStyle name="Normal 2 2 3 5 2 2 4 3" xfId="28278"/>
    <cellStyle name="Normal 2 2 3 5 2 2 5" xfId="23586"/>
    <cellStyle name="Normal 2 2 3 5 2 2 5 2" xfId="36574"/>
    <cellStyle name="Normal 2 2 3 5 2 3" xfId="1882"/>
    <cellStyle name="Normal 2 2 3 5 2 3 2" xfId="6120"/>
    <cellStyle name="Normal 2 2 3 5 2 3 2 2" xfId="7131"/>
    <cellStyle name="Normal 2 2 3 5 2 3 2 2 2" xfId="19682"/>
    <cellStyle name="Normal 2 2 3 5 2 3 2 2 2 2" xfId="20683"/>
    <cellStyle name="Normal 2 2 3 5 2 3 2 2 2 2 2" xfId="55008"/>
    <cellStyle name="Normal 2 2 3 5 2 3 2 2 2 2 2 2" xfId="56009"/>
    <cellStyle name="Normal 2 2 3 5 2 3 2 2 2 3" xfId="34186"/>
    <cellStyle name="Normal 2 2 3 5 2 3 2 2 3" xfId="33183"/>
    <cellStyle name="Normal 2 2 3 5 2 3 2 2 3 2" xfId="42558"/>
    <cellStyle name="Normal 2 2 3 5 2 3 2 3" xfId="12356"/>
    <cellStyle name="Normal 2 2 3 5 2 3 2 3 2" xfId="41553"/>
    <cellStyle name="Normal 2 2 3 5 2 3 2 3 2 2" xfId="47702"/>
    <cellStyle name="Normal 2 2 3 5 2 3 2 4" xfId="25840"/>
    <cellStyle name="Normal 2 2 3 5 2 3 3" xfId="11346"/>
    <cellStyle name="Normal 2 2 3 5 2 3 3 2" xfId="15552"/>
    <cellStyle name="Normal 2 2 3 5 2 3 3 2 2" xfId="46699"/>
    <cellStyle name="Normal 2 2 3 5 2 3 3 2 2 2" xfId="50884"/>
    <cellStyle name="Normal 2 2 3 5 2 3 3 3" xfId="29058"/>
    <cellStyle name="Normal 2 2 3 5 2 3 4" xfId="24836"/>
    <cellStyle name="Normal 2 2 3 5 2 3 4 2" xfId="37363"/>
    <cellStyle name="Normal 2 2 3 5 2 4" xfId="3896"/>
    <cellStyle name="Normal 2 2 3 5 2 4 2" xfId="14504"/>
    <cellStyle name="Normal 2 2 3 5 2 4 2 2" xfId="17506"/>
    <cellStyle name="Normal 2 2 3 5 2 4 2 2 2" xfId="49846"/>
    <cellStyle name="Normal 2 2 3 5 2 4 2 2 2 2" xfId="52833"/>
    <cellStyle name="Normal 2 2 3 5 2 4 2 3" xfId="31008"/>
    <cellStyle name="Normal 2 2 3 5 2 4 3" xfId="28015"/>
    <cellStyle name="Normal 2 2 3 5 2 4 3 2" xfId="39344"/>
    <cellStyle name="Normal 2 2 3 5 2 5" xfId="9089"/>
    <cellStyle name="Normal 2 2 3 5 2 5 2" xfId="36314"/>
    <cellStyle name="Normal 2 2 3 5 2 5 2 2" xfId="44485"/>
    <cellStyle name="Normal 2 2 3 5 2 6" xfId="22598"/>
    <cellStyle name="Normal 2 2 3 5 3" xfId="1591"/>
    <cellStyle name="Normal 2 2 3 5 3 2" xfId="2336"/>
    <cellStyle name="Normal 2 2 3 5 3 2 2" xfId="6863"/>
    <cellStyle name="Normal 2 2 3 5 3 2 2 2" xfId="7570"/>
    <cellStyle name="Normal 2 2 3 5 3 2 2 2 2" xfId="20416"/>
    <cellStyle name="Normal 2 2 3 5 3 2 2 2 2 2" xfId="21122"/>
    <cellStyle name="Normal 2 2 3 5 3 2 2 2 2 2 2" xfId="55742"/>
    <cellStyle name="Normal 2 2 3 5 3 2 2 2 2 2 2 2" xfId="56448"/>
    <cellStyle name="Normal 2 2 3 5 3 2 2 2 2 3" xfId="34625"/>
    <cellStyle name="Normal 2 2 3 5 3 2 2 2 3" xfId="33918"/>
    <cellStyle name="Normal 2 2 3 5 3 2 2 2 3 2" xfId="42997"/>
    <cellStyle name="Normal 2 2 3 5 3 2 2 3" xfId="12795"/>
    <cellStyle name="Normal 2 2 3 5 3 2 2 3 2" xfId="42291"/>
    <cellStyle name="Normal 2 2 3 5 3 2 2 3 2 2" xfId="48141"/>
    <cellStyle name="Normal 2 2 3 5 3 2 2 4" xfId="26279"/>
    <cellStyle name="Normal 2 2 3 5 3 2 3" xfId="12087"/>
    <cellStyle name="Normal 2 2 3 5 3 2 3 2" xfId="16000"/>
    <cellStyle name="Normal 2 2 3 5 3 2 3 2 2" xfId="47434"/>
    <cellStyle name="Normal 2 2 3 5 3 2 3 2 2 2" xfId="51332"/>
    <cellStyle name="Normal 2 2 3 5 3 2 3 3" xfId="29506"/>
    <cellStyle name="Normal 2 2 3 5 3 2 4" xfId="25572"/>
    <cellStyle name="Normal 2 2 3 5 3 2 4 2" xfId="37814"/>
    <cellStyle name="Normal 2 2 3 5 3 3" xfId="4366"/>
    <cellStyle name="Normal 2 2 3 5 3 3 2" xfId="15267"/>
    <cellStyle name="Normal 2 2 3 5 3 3 2 2" xfId="17958"/>
    <cellStyle name="Normal 2 2 3 5 3 3 2 2 2" xfId="50604"/>
    <cellStyle name="Normal 2 2 3 5 3 3 2 2 2 2" xfId="53285"/>
    <cellStyle name="Normal 2 2 3 5 3 3 2 3" xfId="31460"/>
    <cellStyle name="Normal 2 2 3 5 3 3 3" xfId="28778"/>
    <cellStyle name="Normal 2 2 3 5 3 3 3 2" xfId="39808"/>
    <cellStyle name="Normal 2 2 3 5 3 4" xfId="9566"/>
    <cellStyle name="Normal 2 2 3 5 3 4 2" xfId="37079"/>
    <cellStyle name="Normal 2 2 3 5 3 4 2 2" xfId="44948"/>
    <cellStyle name="Normal 2 2 3 5 3 5" xfId="23067"/>
    <cellStyle name="Normal 2 2 3 5 4" xfId="3592"/>
    <cellStyle name="Normal 2 2 3 5 4 2" xfId="5577"/>
    <cellStyle name="Normal 2 2 3 5 4 2 2" xfId="17228"/>
    <cellStyle name="Normal 2 2 3 5 4 2 2 2" xfId="19149"/>
    <cellStyle name="Normal 2 2 3 5 4 2 2 2 2" xfId="52555"/>
    <cellStyle name="Normal 2 2 3 5 4 2 2 2 2 2" xfId="54475"/>
    <cellStyle name="Normal 2 2 3 5 4 2 2 3" xfId="32650"/>
    <cellStyle name="Normal 2 2 3 5 4 2 3" xfId="30729"/>
    <cellStyle name="Normal 2 2 3 5 4 2 3 2" xfId="41013"/>
    <cellStyle name="Normal 2 2 3 5 4 3" xfId="10786"/>
    <cellStyle name="Normal 2 2 3 5 4 3 2" xfId="39049"/>
    <cellStyle name="Normal 2 2 3 5 4 3 2 2" xfId="46148"/>
    <cellStyle name="Normal 2 2 3 5 4 4" xfId="24275"/>
    <cellStyle name="Normal 2 2 3 5 5" xfId="8783"/>
    <cellStyle name="Normal 2 2 3 5 5 2" xfId="13961"/>
    <cellStyle name="Normal 2 2 3 5 5 2 2" xfId="44196"/>
    <cellStyle name="Normal 2 2 3 5 5 2 2 2" xfId="49307"/>
    <cellStyle name="Normal 2 2 3 5 5 3" xfId="27451"/>
    <cellStyle name="Normal 2 2 3 5 6" xfId="22300"/>
    <cellStyle name="Normal 2 2 3 5 6 2" xfId="35773"/>
    <cellStyle name="Normal 2 2 3 6" xfId="427"/>
    <cellStyle name="Normal 2 2 3 6 2" xfId="1803"/>
    <cellStyle name="Normal 2 2 3 6 2 2" xfId="2529"/>
    <cellStyle name="Normal 2 2 3 6 2 2 2" xfId="7055"/>
    <cellStyle name="Normal 2 2 3 6 2 2 2 2" xfId="7754"/>
    <cellStyle name="Normal 2 2 3 6 2 2 2 2 2" xfId="20608"/>
    <cellStyle name="Normal 2 2 3 6 2 2 2 2 2 2" xfId="21306"/>
    <cellStyle name="Normal 2 2 3 6 2 2 2 2 2 2 2" xfId="55934"/>
    <cellStyle name="Normal 2 2 3 6 2 2 2 2 2 2 2 2" xfId="56632"/>
    <cellStyle name="Normal 2 2 3 6 2 2 2 2 2 3" xfId="34809"/>
    <cellStyle name="Normal 2 2 3 6 2 2 2 2 3" xfId="34110"/>
    <cellStyle name="Normal 2 2 3 6 2 2 2 2 3 2" xfId="43181"/>
    <cellStyle name="Normal 2 2 3 6 2 2 2 3" xfId="12979"/>
    <cellStyle name="Normal 2 2 3 6 2 2 2 3 2" xfId="42483"/>
    <cellStyle name="Normal 2 2 3 6 2 2 2 3 2 2" xfId="48325"/>
    <cellStyle name="Normal 2 2 3 6 2 2 2 4" xfId="26463"/>
    <cellStyle name="Normal 2 2 3 6 2 2 3" xfId="12279"/>
    <cellStyle name="Normal 2 2 3 6 2 2 3 2" xfId="16190"/>
    <cellStyle name="Normal 2 2 3 6 2 2 3 2 2" xfId="47626"/>
    <cellStyle name="Normal 2 2 3 6 2 2 3 2 2 2" xfId="51521"/>
    <cellStyle name="Normal 2 2 3 6 2 2 3 3" xfId="29695"/>
    <cellStyle name="Normal 2 2 3 6 2 2 4" xfId="25764"/>
    <cellStyle name="Normal 2 2 3 6 2 2 4 2" xfId="38004"/>
    <cellStyle name="Normal 2 2 3 6 2 3" xfId="4564"/>
    <cellStyle name="Normal 2 2 3 6 2 3 2" xfId="15475"/>
    <cellStyle name="Normal 2 2 3 6 2 3 2 2" xfId="18147"/>
    <cellStyle name="Normal 2 2 3 6 2 3 2 2 2" xfId="50808"/>
    <cellStyle name="Normal 2 2 3 6 2 3 2 2 2 2" xfId="53473"/>
    <cellStyle name="Normal 2 2 3 6 2 3 2 3" xfId="31648"/>
    <cellStyle name="Normal 2 2 3 6 2 3 3" xfId="28982"/>
    <cellStyle name="Normal 2 2 3 6 2 3 3 2" xfId="40005"/>
    <cellStyle name="Normal 2 2 3 6 2 4" xfId="9767"/>
    <cellStyle name="Normal 2 2 3 6 2 4 2" xfId="37285"/>
    <cellStyle name="Normal 2 2 3 6 2 4 2 2" xfId="45140"/>
    <cellStyle name="Normal 2 2 3 6 2 5" xfId="23263"/>
    <cellStyle name="Normal 2 2 3 6 3" xfId="3810"/>
    <cellStyle name="Normal 2 2 3 6 3 2" xfId="5770"/>
    <cellStyle name="Normal 2 2 3 6 3 2 2" xfId="17425"/>
    <cellStyle name="Normal 2 2 3 6 3 2 2 2" xfId="19339"/>
    <cellStyle name="Normal 2 2 3 6 3 2 2 2 2" xfId="52752"/>
    <cellStyle name="Normal 2 2 3 6 3 2 2 2 2 2" xfId="54665"/>
    <cellStyle name="Normal 2 2 3 6 3 2 2 3" xfId="32840"/>
    <cellStyle name="Normal 2 2 3 6 3 2 3" xfId="30926"/>
    <cellStyle name="Normal 2 2 3 6 3 2 3 2" xfId="41205"/>
    <cellStyle name="Normal 2 2 3 6 3 3" xfId="10991"/>
    <cellStyle name="Normal 2 2 3 6 3 3 2" xfId="39260"/>
    <cellStyle name="Normal 2 2 3 6 3 3 2 2" xfId="46350"/>
    <cellStyle name="Normal 2 2 3 6 3 4" xfId="24484"/>
    <cellStyle name="Normal 2 2 3 6 4" xfId="9001"/>
    <cellStyle name="Normal 2 2 3 6 4 2" xfId="14154"/>
    <cellStyle name="Normal 2 2 3 6 4 2 2" xfId="44399"/>
    <cellStyle name="Normal 2 2 3 6 4 2 2 2" xfId="49499"/>
    <cellStyle name="Normal 2 2 3 6 4 3" xfId="27656"/>
    <cellStyle name="Normal 2 2 3 6 5" xfId="22508"/>
    <cellStyle name="Normal 2 2 3 6 5 2" xfId="35965"/>
    <cellStyle name="Normal 2 2 3 7" xfId="1080"/>
    <cellStyle name="Normal 2 2 3 7 2" xfId="3846"/>
    <cellStyle name="Normal 2 2 3 7 2 2" xfId="6390"/>
    <cellStyle name="Normal 2 2 3 7 2 2 2" xfId="17460"/>
    <cellStyle name="Normal 2 2 3 7 2 2 2 2" xfId="19946"/>
    <cellStyle name="Normal 2 2 3 7 2 2 2 2 2" xfId="52787"/>
    <cellStyle name="Normal 2 2 3 7 2 2 2 2 2 2" xfId="55272"/>
    <cellStyle name="Normal 2 2 3 7 2 2 2 3" xfId="33448"/>
    <cellStyle name="Normal 2 2 3 7 2 2 3" xfId="30961"/>
    <cellStyle name="Normal 2 2 3 7 2 2 3 2" xfId="41819"/>
    <cellStyle name="Normal 2 2 3 7 2 3" xfId="11615"/>
    <cellStyle name="Normal 2 2 3 7 2 3 2" xfId="39295"/>
    <cellStyle name="Normal 2 2 3 7 2 3 2 2" xfId="46964"/>
    <cellStyle name="Normal 2 2 3 7 2 4" xfId="25101"/>
    <cellStyle name="Normal 2 2 3 7 3" xfId="9039"/>
    <cellStyle name="Normal 2 2 3 7 3 2" xfId="14772"/>
    <cellStyle name="Normal 2 2 3 7 3 2 2" xfId="44436"/>
    <cellStyle name="Normal 2 2 3 7 3 2 2 2" xfId="50111"/>
    <cellStyle name="Normal 2 2 3 7 3 3" xfId="28284"/>
    <cellStyle name="Normal 2 2 3 7 4" xfId="22547"/>
    <cellStyle name="Normal 2 2 3 7 4 2" xfId="36580"/>
    <cellStyle name="Normal 2 2 3 8" xfId="1532"/>
    <cellStyle name="Normal 2 2 3 8 2" xfId="3542"/>
    <cellStyle name="Normal 2 2 3 8 2 2" xfId="15211"/>
    <cellStyle name="Normal 2 2 3 8 2 2 2" xfId="39003"/>
    <cellStyle name="Normal 2 2 3 8 2 2 2 2" xfId="50549"/>
    <cellStyle name="Normal 2 2 3 8 2 3" xfId="28723"/>
    <cellStyle name="Normal 2 2 3 8 3" xfId="3481"/>
    <cellStyle name="Normal 2 2 3 8 3 2" xfId="37022"/>
    <cellStyle name="Normal 2 2 3 9" xfId="4630"/>
    <cellStyle name="Normal 2 2 3 9 2" xfId="23045"/>
    <cellStyle name="Normal 2 2 3 9 2 2" xfId="40069"/>
    <cellStyle name="Normal 2 2 4" xfId="96"/>
    <cellStyle name="Normal 2 2 4 2" xfId="120"/>
    <cellStyle name="Normal 2 2 4 2 2" xfId="281"/>
    <cellStyle name="Normal 2 2 4 2 2 2" xfId="301"/>
    <cellStyle name="Normal 2 2 4 2 2 2 2" xfId="623"/>
    <cellStyle name="Normal 2 2 4 2 2 2 2 2" xfId="631"/>
    <cellStyle name="Normal 2 2 4 2 2 2 2 2 2" xfId="1419"/>
    <cellStyle name="Normal 2 2 4 2 2 2 2 2 2 2" xfId="1427"/>
    <cellStyle name="Normal 2 2 4 2 2 2 2 2 2 2 2" xfId="3437"/>
    <cellStyle name="Normal 2 2 4 2 2 2 2 2 2 2 2 2" xfId="3445"/>
    <cellStyle name="Normal 2 2 4 2 2 2 2 2 2 2 2 2 2" xfId="8652"/>
    <cellStyle name="Normal 2 2 4 2 2 2 2 2 2 2 2 2 2 2" xfId="8660"/>
    <cellStyle name="Normal 2 2 4 2 2 2 2 2 2 2 2 2 2 2 2" xfId="22204"/>
    <cellStyle name="Normal 2 2 4 2 2 2 2 2 2 2 2 2 2 2 2 2" xfId="22212"/>
    <cellStyle name="Normal 2 2 4 2 2 2 2 2 2 2 2 2 2 2 2 2 2" xfId="57530"/>
    <cellStyle name="Normal 2 2 4 2 2 2 2 2 2 2 2 2 2 2 2 2 2 2" xfId="57538"/>
    <cellStyle name="Normal 2 2 4 2 2 2 2 2 2 2 2 2 2 2 2 3" xfId="35715"/>
    <cellStyle name="Normal 2 2 4 2 2 2 2 2 2 2 2 2 2 2 3" xfId="35707"/>
    <cellStyle name="Normal 2 2 4 2 2 2 2 2 2 2 2 2 2 2 3 2" xfId="44087"/>
    <cellStyle name="Normal 2 2 4 2 2 2 2 2 2 2 2 2 2 3" xfId="13885"/>
    <cellStyle name="Normal 2 2 4 2 2 2 2 2 2 2 2 2 2 3 2" xfId="44079"/>
    <cellStyle name="Normal 2 2 4 2 2 2 2 2 2 2 2 2 2 3 2 2" xfId="49231"/>
    <cellStyle name="Normal 2 2 4 2 2 2 2 2 2 2 2 2 2 4" xfId="27370"/>
    <cellStyle name="Normal 2 2 4 2 2 2 2 2 2 2 2 2 3" xfId="13877"/>
    <cellStyle name="Normal 2 2 4 2 2 2 2 2 2 2 2 2 3 2" xfId="17102"/>
    <cellStyle name="Normal 2 2 4 2 2 2 2 2 2 2 2 2 3 2 2" xfId="49223"/>
    <cellStyle name="Normal 2 2 4 2 2 2 2 2 2 2 2 2 3 2 2 2" xfId="52430"/>
    <cellStyle name="Normal 2 2 4 2 2 2 2 2 2 2 2 2 3 3" xfId="30604"/>
    <cellStyle name="Normal 2 2 4 2 2 2 2 2 2 2 2 2 4" xfId="27362"/>
    <cellStyle name="Normal 2 2 4 2 2 2 2 2 2 2 2 2 4 2" xfId="38914"/>
    <cellStyle name="Normal 2 2 4 2 2 2 2 2 2 2 2 3" xfId="5482"/>
    <cellStyle name="Normal 2 2 4 2 2 2 2 2 2 2 2 3 2" xfId="17094"/>
    <cellStyle name="Normal 2 2 4 2 2 2 2 2 2 2 2 3 2 2" xfId="19055"/>
    <cellStyle name="Normal 2 2 4 2 2 2 2 2 2 2 2 3 2 2 2" xfId="52422"/>
    <cellStyle name="Normal 2 2 4 2 2 2 2 2 2 2 2 3 2 2 2 2" xfId="54381"/>
    <cellStyle name="Normal 2 2 4 2 2 2 2 2 2 2 2 3 2 3" xfId="32556"/>
    <cellStyle name="Normal 2 2 4 2 2 2 2 2 2 2 2 3 3" xfId="30596"/>
    <cellStyle name="Normal 2 2 4 2 2 2 2 2 2 2 2 3 3 2" xfId="40919"/>
    <cellStyle name="Normal 2 2 4 2 2 2 2 2 2 2 2 4" xfId="10685"/>
    <cellStyle name="Normal 2 2 4 2 2 2 2 2 2 2 2 4 2" xfId="38906"/>
    <cellStyle name="Normal 2 2 4 2 2 2 2 2 2 2 2 4 2 2" xfId="46048"/>
    <cellStyle name="Normal 2 2 4 2 2 2 2 2 2 2 2 5" xfId="24171"/>
    <cellStyle name="Normal 2 2 4 2 2 2 2 2 2 2 3" xfId="5474"/>
    <cellStyle name="Normal 2 2 4 2 2 2 2 2 2 2 3 2" xfId="6735"/>
    <cellStyle name="Normal 2 2 4 2 2 2 2 2 2 2 3 2 2" xfId="19047"/>
    <cellStyle name="Normal 2 2 4 2 2 2 2 2 2 2 3 2 2 2" xfId="20288"/>
    <cellStyle name="Normal 2 2 4 2 2 2 2 2 2 2 3 2 2 2 2" xfId="54373"/>
    <cellStyle name="Normal 2 2 4 2 2 2 2 2 2 2 3 2 2 2 2 2" xfId="55614"/>
    <cellStyle name="Normal 2 2 4 2 2 2 2 2 2 2 3 2 2 3" xfId="33790"/>
    <cellStyle name="Normal 2 2 4 2 2 2 2 2 2 2 3 2 3" xfId="32548"/>
    <cellStyle name="Normal 2 2 4 2 2 2 2 2 2 2 3 2 3 2" xfId="42163"/>
    <cellStyle name="Normal 2 2 4 2 2 2 2 2 2 2 3 3" xfId="11958"/>
    <cellStyle name="Normal 2 2 4 2 2 2 2 2 2 2 3 3 2" xfId="40911"/>
    <cellStyle name="Normal 2 2 4 2 2 2 2 2 2 2 3 3 2 2" xfId="47306"/>
    <cellStyle name="Normal 2 2 4 2 2 2 2 2 2 2 3 4" xfId="25443"/>
    <cellStyle name="Normal 2 2 4 2 2 2 2 2 2 2 4" xfId="10677"/>
    <cellStyle name="Normal 2 2 4 2 2 2 2 2 2 2 4 2" xfId="15116"/>
    <cellStyle name="Normal 2 2 4 2 2 2 2 2 2 2 4 2 2" xfId="46040"/>
    <cellStyle name="Normal 2 2 4 2 2 2 2 2 2 2 4 2 2 2" xfId="50455"/>
    <cellStyle name="Normal 2 2 4 2 2 2 2 2 2 2 4 3" xfId="28629"/>
    <cellStyle name="Normal 2 2 4 2 2 2 2 2 2 2 5" xfId="24163"/>
    <cellStyle name="Normal 2 2 4 2 2 2 2 2 2 2 5 2" xfId="36924"/>
    <cellStyle name="Normal 2 2 4 2 2 2 2 2 2 3" xfId="2234"/>
    <cellStyle name="Normal 2 2 4 2 2 2 2 2 2 3 2" xfId="6727"/>
    <cellStyle name="Normal 2 2 4 2 2 2 2 2 2 3 2 2" xfId="7468"/>
    <cellStyle name="Normal 2 2 4 2 2 2 2 2 2 3 2 2 2" xfId="20280"/>
    <cellStyle name="Normal 2 2 4 2 2 2 2 2 2 3 2 2 2 2" xfId="21020"/>
    <cellStyle name="Normal 2 2 4 2 2 2 2 2 2 3 2 2 2 2 2" xfId="55606"/>
    <cellStyle name="Normal 2 2 4 2 2 2 2 2 2 3 2 2 2 2 2 2" xfId="56346"/>
    <cellStyle name="Normal 2 2 4 2 2 2 2 2 2 3 2 2 2 3" xfId="34523"/>
    <cellStyle name="Normal 2 2 4 2 2 2 2 2 2 3 2 2 3" xfId="33782"/>
    <cellStyle name="Normal 2 2 4 2 2 2 2 2 2 3 2 2 3 2" xfId="42895"/>
    <cellStyle name="Normal 2 2 4 2 2 2 2 2 2 3 2 3" xfId="12693"/>
    <cellStyle name="Normal 2 2 4 2 2 2 2 2 2 3 2 3 2" xfId="42155"/>
    <cellStyle name="Normal 2 2 4 2 2 2 2 2 2 3 2 3 2 2" xfId="48039"/>
    <cellStyle name="Normal 2 2 4 2 2 2 2 2 2 3 2 4" xfId="26177"/>
    <cellStyle name="Normal 2 2 4 2 2 2 2 2 2 3 3" xfId="11950"/>
    <cellStyle name="Normal 2 2 4 2 2 2 2 2 2 3 3 2" xfId="15898"/>
    <cellStyle name="Normal 2 2 4 2 2 2 2 2 2 3 3 2 2" xfId="47298"/>
    <cellStyle name="Normal 2 2 4 2 2 2 2 2 2 3 3 2 2 2" xfId="51230"/>
    <cellStyle name="Normal 2 2 4 2 2 2 2 2 2 3 3 3" xfId="29404"/>
    <cellStyle name="Normal 2 2 4 2 2 2 2 2 2 3 4" xfId="25435"/>
    <cellStyle name="Normal 2 2 4 2 2 2 2 2 2 3 4 2" xfId="37712"/>
    <cellStyle name="Normal 2 2 4 2 2 2 2 2 2 4" xfId="4250"/>
    <cellStyle name="Normal 2 2 4 2 2 2 2 2 2 4 2" xfId="15108"/>
    <cellStyle name="Normal 2 2 4 2 2 2 2 2 2 4 2 2" xfId="17843"/>
    <cellStyle name="Normal 2 2 4 2 2 2 2 2 2 4 2 2 2" xfId="50447"/>
    <cellStyle name="Normal 2 2 4 2 2 2 2 2 2 4 2 2 2 2" xfId="53170"/>
    <cellStyle name="Normal 2 2 4 2 2 2 2 2 2 4 2 3" xfId="31345"/>
    <cellStyle name="Normal 2 2 4 2 2 2 2 2 2 4 3" xfId="28621"/>
    <cellStyle name="Normal 2 2 4 2 2 2 2 2 2 4 3 2" xfId="39693"/>
    <cellStyle name="Normal 2 2 4 2 2 2 2 2 2 5" xfId="9441"/>
    <cellStyle name="Normal 2 2 4 2 2 2 2 2 2 5 2" xfId="36916"/>
    <cellStyle name="Normal 2 2 4 2 2 2 2 2 2 5 2 2" xfId="44823"/>
    <cellStyle name="Normal 2 2 4 2 2 2 2 2 2 6" xfId="22937"/>
    <cellStyle name="Normal 2 2 4 2 2 2 2 2 3" xfId="2226"/>
    <cellStyle name="Normal 2 2 4 2 2 2 2 2 3 2" xfId="2721"/>
    <cellStyle name="Normal 2 2 4 2 2 2 2 2 3 2 2" xfId="7460"/>
    <cellStyle name="Normal 2 2 4 2 2 2 2 2 3 2 2 2" xfId="7940"/>
    <cellStyle name="Normal 2 2 4 2 2 2 2 2 3 2 2 2 2" xfId="21012"/>
    <cellStyle name="Normal 2 2 4 2 2 2 2 2 3 2 2 2 2 2" xfId="21492"/>
    <cellStyle name="Normal 2 2 4 2 2 2 2 2 3 2 2 2 2 2 2" xfId="56338"/>
    <cellStyle name="Normal 2 2 4 2 2 2 2 2 3 2 2 2 2 2 2 2" xfId="56818"/>
    <cellStyle name="Normal 2 2 4 2 2 2 2 2 3 2 2 2 2 3" xfId="34995"/>
    <cellStyle name="Normal 2 2 4 2 2 2 2 2 3 2 2 2 3" xfId="34515"/>
    <cellStyle name="Normal 2 2 4 2 2 2 2 2 3 2 2 2 3 2" xfId="43367"/>
    <cellStyle name="Normal 2 2 4 2 2 2 2 2 3 2 2 3" xfId="13165"/>
    <cellStyle name="Normal 2 2 4 2 2 2 2 2 3 2 2 3 2" xfId="42887"/>
    <cellStyle name="Normal 2 2 4 2 2 2 2 2 3 2 2 3 2 2" xfId="48511"/>
    <cellStyle name="Normal 2 2 4 2 2 2 2 2 3 2 2 4" xfId="26649"/>
    <cellStyle name="Normal 2 2 4 2 2 2 2 2 3 2 3" xfId="12685"/>
    <cellStyle name="Normal 2 2 4 2 2 2 2 2 3 2 3 2" xfId="16380"/>
    <cellStyle name="Normal 2 2 4 2 2 2 2 2 3 2 3 2 2" xfId="48031"/>
    <cellStyle name="Normal 2 2 4 2 2 2 2 2 3 2 3 2 2 2" xfId="51710"/>
    <cellStyle name="Normal 2 2 4 2 2 2 2 2 3 2 3 3" xfId="29884"/>
    <cellStyle name="Normal 2 2 4 2 2 2 2 2 3 2 4" xfId="26169"/>
    <cellStyle name="Normal 2 2 4 2 2 2 2 2 3 2 4 2" xfId="38194"/>
    <cellStyle name="Normal 2 2 4 2 2 2 2 2 3 3" xfId="4757"/>
    <cellStyle name="Normal 2 2 4 2 2 2 2 2 3 3 2" xfId="15890"/>
    <cellStyle name="Normal 2 2 4 2 2 2 2 2 3 3 2 2" xfId="18334"/>
    <cellStyle name="Normal 2 2 4 2 2 2 2 2 3 3 2 2 2" xfId="51222"/>
    <cellStyle name="Normal 2 2 4 2 2 2 2 2 3 3 2 2 2 2" xfId="53660"/>
    <cellStyle name="Normal 2 2 4 2 2 2 2 2 3 3 2 3" xfId="31835"/>
    <cellStyle name="Normal 2 2 4 2 2 2 2 2 3 3 3" xfId="29396"/>
    <cellStyle name="Normal 2 2 4 2 2 2 2 2 3 3 3 2" xfId="40195"/>
    <cellStyle name="Normal 2 2 4 2 2 2 2 2 3 4" xfId="9960"/>
    <cellStyle name="Normal 2 2 4 2 2 2 2 2 3 4 2" xfId="37704"/>
    <cellStyle name="Normal 2 2 4 2 2 2 2 2 3 4 2 2" xfId="45327"/>
    <cellStyle name="Normal 2 2 4 2 2 2 2 2 3 5" xfId="23450"/>
    <cellStyle name="Normal 2 2 4 2 2 2 2 2 4" xfId="4242"/>
    <cellStyle name="Normal 2 2 4 2 2 2 2 2 4 2" xfId="5962"/>
    <cellStyle name="Normal 2 2 4 2 2 2 2 2 4 2 2" xfId="17835"/>
    <cellStyle name="Normal 2 2 4 2 2 2 2 2 4 2 2 2" xfId="19529"/>
    <cellStyle name="Normal 2 2 4 2 2 2 2 2 4 2 2 2 2" xfId="53162"/>
    <cellStyle name="Normal 2 2 4 2 2 2 2 2 4 2 2 2 2 2" xfId="54855"/>
    <cellStyle name="Normal 2 2 4 2 2 2 2 2 4 2 2 3" xfId="33030"/>
    <cellStyle name="Normal 2 2 4 2 2 2 2 2 4 2 3" xfId="31337"/>
    <cellStyle name="Normal 2 2 4 2 2 2 2 2 4 2 3 2" xfId="41396"/>
    <cellStyle name="Normal 2 2 4 2 2 2 2 2 4 3" xfId="11187"/>
    <cellStyle name="Normal 2 2 4 2 2 2 2 2 4 3 2" xfId="39685"/>
    <cellStyle name="Normal 2 2 4 2 2 2 2 2 4 3 2 2" xfId="46545"/>
    <cellStyle name="Normal 2 2 4 2 2 2 2 2 4 4" xfId="24680"/>
    <cellStyle name="Normal 2 2 4 2 2 2 2 2 5" xfId="9433"/>
    <cellStyle name="Normal 2 2 4 2 2 2 2 2 5 2" xfId="14346"/>
    <cellStyle name="Normal 2 2 4 2 2 2 2 2 5 2 2" xfId="44815"/>
    <cellStyle name="Normal 2 2 4 2 2 2 2 2 5 2 2 2" xfId="49691"/>
    <cellStyle name="Normal 2 2 4 2 2 2 2 2 5 3" xfId="27856"/>
    <cellStyle name="Normal 2 2 4 2 2 2 2 2 6" xfId="22929"/>
    <cellStyle name="Normal 2 2 4 2 2 2 2 2 6 2" xfId="36158"/>
    <cellStyle name="Normal 2 2 4 2 2 2 2 3" xfId="959"/>
    <cellStyle name="Normal 2 2 4 2 2 2 2 3 2" xfId="2713"/>
    <cellStyle name="Normal 2 2 4 2 2 2 2 3 2 2" xfId="2997"/>
    <cellStyle name="Normal 2 2 4 2 2 2 2 3 2 2 2" xfId="7932"/>
    <cellStyle name="Normal 2 2 4 2 2 2 2 3 2 2 2 2" xfId="8212"/>
    <cellStyle name="Normal 2 2 4 2 2 2 2 3 2 2 2 2 2" xfId="21484"/>
    <cellStyle name="Normal 2 2 4 2 2 2 2 3 2 2 2 2 2 2" xfId="21764"/>
    <cellStyle name="Normal 2 2 4 2 2 2 2 3 2 2 2 2 2 2 2" xfId="56810"/>
    <cellStyle name="Normal 2 2 4 2 2 2 2 3 2 2 2 2 2 2 2 2" xfId="57090"/>
    <cellStyle name="Normal 2 2 4 2 2 2 2 3 2 2 2 2 2 3" xfId="35267"/>
    <cellStyle name="Normal 2 2 4 2 2 2 2 3 2 2 2 2 3" xfId="34987"/>
    <cellStyle name="Normal 2 2 4 2 2 2 2 3 2 2 2 2 3 2" xfId="43639"/>
    <cellStyle name="Normal 2 2 4 2 2 2 2 3 2 2 2 3" xfId="13437"/>
    <cellStyle name="Normal 2 2 4 2 2 2 2 3 2 2 2 3 2" xfId="43359"/>
    <cellStyle name="Normal 2 2 4 2 2 2 2 3 2 2 2 3 2 2" xfId="48783"/>
    <cellStyle name="Normal 2 2 4 2 2 2 2 3 2 2 2 4" xfId="26922"/>
    <cellStyle name="Normal 2 2 4 2 2 2 2 3 2 2 3" xfId="13157"/>
    <cellStyle name="Normal 2 2 4 2 2 2 2 3 2 2 3 2" xfId="16654"/>
    <cellStyle name="Normal 2 2 4 2 2 2 2 3 2 2 3 2 2" xfId="48503"/>
    <cellStyle name="Normal 2 2 4 2 2 2 2 3 2 2 3 2 2 2" xfId="51982"/>
    <cellStyle name="Normal 2 2 4 2 2 2 2 3 2 2 3 3" xfId="30156"/>
    <cellStyle name="Normal 2 2 4 2 2 2 2 3 2 2 4" xfId="26641"/>
    <cellStyle name="Normal 2 2 4 2 2 2 2 3 2 2 4 2" xfId="38466"/>
    <cellStyle name="Normal 2 2 4 2 2 2 2 3 2 3" xfId="5033"/>
    <cellStyle name="Normal 2 2 4 2 2 2 2 3 2 3 2" xfId="16372"/>
    <cellStyle name="Normal 2 2 4 2 2 2 2 3 2 3 2 2" xfId="18606"/>
    <cellStyle name="Normal 2 2 4 2 2 2 2 3 2 3 2 2 2" xfId="51702"/>
    <cellStyle name="Normal 2 2 4 2 2 2 2 3 2 3 2 2 2 2" xfId="53932"/>
    <cellStyle name="Normal 2 2 4 2 2 2 2 3 2 3 2 3" xfId="32107"/>
    <cellStyle name="Normal 2 2 4 2 2 2 2 3 2 3 3" xfId="29876"/>
    <cellStyle name="Normal 2 2 4 2 2 2 2 3 2 3 3 2" xfId="40470"/>
    <cellStyle name="Normal 2 2 4 2 2 2 2 3 2 4" xfId="10236"/>
    <cellStyle name="Normal 2 2 4 2 2 2 2 3 2 4 2" xfId="38186"/>
    <cellStyle name="Normal 2 2 4 2 2 2 2 3 2 4 2 2" xfId="45599"/>
    <cellStyle name="Normal 2 2 4 2 2 2 2 3 2 5" xfId="23722"/>
    <cellStyle name="Normal 2 2 4 2 2 2 2 3 3" xfId="4749"/>
    <cellStyle name="Normal 2 2 4 2 2 2 2 3 3 2" xfId="6270"/>
    <cellStyle name="Normal 2 2 4 2 2 2 2 3 3 2 2" xfId="18326"/>
    <cellStyle name="Normal 2 2 4 2 2 2 2 3 3 2 2 2" xfId="19827"/>
    <cellStyle name="Normal 2 2 4 2 2 2 2 3 3 2 2 2 2" xfId="53652"/>
    <cellStyle name="Normal 2 2 4 2 2 2 2 3 3 2 2 2 2 2" xfId="55153"/>
    <cellStyle name="Normal 2 2 4 2 2 2 2 3 3 2 2 3" xfId="33329"/>
    <cellStyle name="Normal 2 2 4 2 2 2 2 3 3 2 3" xfId="31827"/>
    <cellStyle name="Normal 2 2 4 2 2 2 2 3 3 2 3 2" xfId="41699"/>
    <cellStyle name="Normal 2 2 4 2 2 2 2 3 3 3" xfId="11495"/>
    <cellStyle name="Normal 2 2 4 2 2 2 2 3 3 3 2" xfId="40187"/>
    <cellStyle name="Normal 2 2 4 2 2 2 2 3 3 3 2 2" xfId="46844"/>
    <cellStyle name="Normal 2 2 4 2 2 2 2 3 3 4" xfId="24981"/>
    <cellStyle name="Normal 2 2 4 2 2 2 2 3 4" xfId="9952"/>
    <cellStyle name="Normal 2 2 4 2 2 2 2 3 4 2" xfId="14653"/>
    <cellStyle name="Normal 2 2 4 2 2 2 2 3 4 2 2" xfId="45319"/>
    <cellStyle name="Normal 2 2 4 2 2 2 2 3 4 2 2 2" xfId="49992"/>
    <cellStyle name="Normal 2 2 4 2 2 2 2 3 4 3" xfId="28164"/>
    <cellStyle name="Normal 2 2 4 2 2 2 2 3 5" xfId="23442"/>
    <cellStyle name="Normal 2 2 4 2 2 2 2 3 5 2" xfId="36461"/>
    <cellStyle name="Normal 2 2 4 2 2 2 2 4" xfId="1755"/>
    <cellStyle name="Normal 2 2 4 2 2 2 2 4 2" xfId="5954"/>
    <cellStyle name="Normal 2 2 4 2 2 2 2 4 2 2" xfId="7008"/>
    <cellStyle name="Normal 2 2 4 2 2 2 2 4 2 2 2" xfId="19521"/>
    <cellStyle name="Normal 2 2 4 2 2 2 2 4 2 2 2 2" xfId="20561"/>
    <cellStyle name="Normal 2 2 4 2 2 2 2 4 2 2 2 2 2" xfId="54847"/>
    <cellStyle name="Normal 2 2 4 2 2 2 2 4 2 2 2 2 2 2" xfId="55887"/>
    <cellStyle name="Normal 2 2 4 2 2 2 2 4 2 2 2 3" xfId="34063"/>
    <cellStyle name="Normal 2 2 4 2 2 2 2 4 2 2 3" xfId="33022"/>
    <cellStyle name="Normal 2 2 4 2 2 2 2 4 2 2 3 2" xfId="42436"/>
    <cellStyle name="Normal 2 2 4 2 2 2 2 4 2 3" xfId="12232"/>
    <cellStyle name="Normal 2 2 4 2 2 2 2 4 2 3 2" xfId="41388"/>
    <cellStyle name="Normal 2 2 4 2 2 2 2 4 2 3 2 2" xfId="47579"/>
    <cellStyle name="Normal 2 2 4 2 2 2 2 4 2 4" xfId="25717"/>
    <cellStyle name="Normal 2 2 4 2 2 2 2 4 3" xfId="11179"/>
    <cellStyle name="Normal 2 2 4 2 2 2 2 4 3 2" xfId="15427"/>
    <cellStyle name="Normal 2 2 4 2 2 2 2 4 3 2 2" xfId="46537"/>
    <cellStyle name="Normal 2 2 4 2 2 2 2 4 3 2 2 2" xfId="50760"/>
    <cellStyle name="Normal 2 2 4 2 2 2 2 4 3 3" xfId="28934"/>
    <cellStyle name="Normal 2 2 4 2 2 2 2 4 4" xfId="24672"/>
    <cellStyle name="Normal 2 2 4 2 2 2 2 4 4 2" xfId="37237"/>
    <cellStyle name="Normal 2 2 4 2 2 2 2 5" xfId="3761"/>
    <cellStyle name="Normal 2 2 4 2 2 2 2 5 2" xfId="14338"/>
    <cellStyle name="Normal 2 2 4 2 2 2 2 5 2 2" xfId="17377"/>
    <cellStyle name="Normal 2 2 4 2 2 2 2 5 2 2 2" xfId="49683"/>
    <cellStyle name="Normal 2 2 4 2 2 2 2 5 2 2 2 2" xfId="52704"/>
    <cellStyle name="Normal 2 2 4 2 2 2 2 5 2 3" xfId="30878"/>
    <cellStyle name="Normal 2 2 4 2 2 2 2 5 3" xfId="27848"/>
    <cellStyle name="Normal 2 2 4 2 2 2 2 5 3 2" xfId="39212"/>
    <cellStyle name="Normal 2 2 4 2 2 2 2 6" xfId="8951"/>
    <cellStyle name="Normal 2 2 4 2 2 2 2 6 2" xfId="36150"/>
    <cellStyle name="Normal 2 2 4 2 2 2 2 6 2 2" xfId="44350"/>
    <cellStyle name="Normal 2 2 4 2 2 2 2 7" xfId="22458"/>
    <cellStyle name="Normal 2 2 4 2 2 2 3" xfId="951"/>
    <cellStyle name="Normal 2 2 4 2 2 2 3 2" xfId="1163"/>
    <cellStyle name="Normal 2 2 4 2 2 2 3 2 2" xfId="2989"/>
    <cellStyle name="Normal 2 2 4 2 2 2 3 2 2 2" xfId="3183"/>
    <cellStyle name="Normal 2 2 4 2 2 2 3 2 2 2 2" xfId="8204"/>
    <cellStyle name="Normal 2 2 4 2 2 2 3 2 2 2 2 2" xfId="8398"/>
    <cellStyle name="Normal 2 2 4 2 2 2 3 2 2 2 2 2 2" xfId="21756"/>
    <cellStyle name="Normal 2 2 4 2 2 2 3 2 2 2 2 2 2 2" xfId="21950"/>
    <cellStyle name="Normal 2 2 4 2 2 2 3 2 2 2 2 2 2 2 2" xfId="57082"/>
    <cellStyle name="Normal 2 2 4 2 2 2 3 2 2 2 2 2 2 2 2 2" xfId="57276"/>
    <cellStyle name="Normal 2 2 4 2 2 2 3 2 2 2 2 2 2 3" xfId="35453"/>
    <cellStyle name="Normal 2 2 4 2 2 2 3 2 2 2 2 2 3" xfId="35259"/>
    <cellStyle name="Normal 2 2 4 2 2 2 3 2 2 2 2 2 3 2" xfId="43825"/>
    <cellStyle name="Normal 2 2 4 2 2 2 3 2 2 2 2 3" xfId="13623"/>
    <cellStyle name="Normal 2 2 4 2 2 2 3 2 2 2 2 3 2" xfId="43631"/>
    <cellStyle name="Normal 2 2 4 2 2 2 3 2 2 2 2 3 2 2" xfId="48969"/>
    <cellStyle name="Normal 2 2 4 2 2 2 3 2 2 2 2 4" xfId="27108"/>
    <cellStyle name="Normal 2 2 4 2 2 2 3 2 2 2 3" xfId="13429"/>
    <cellStyle name="Normal 2 2 4 2 2 2 3 2 2 2 3 2" xfId="16840"/>
    <cellStyle name="Normal 2 2 4 2 2 2 3 2 2 2 3 2 2" xfId="48775"/>
    <cellStyle name="Normal 2 2 4 2 2 2 3 2 2 2 3 2 2 2" xfId="52168"/>
    <cellStyle name="Normal 2 2 4 2 2 2 3 2 2 2 3 3" xfId="30342"/>
    <cellStyle name="Normal 2 2 4 2 2 2 3 2 2 2 4" xfId="26914"/>
    <cellStyle name="Normal 2 2 4 2 2 2 3 2 2 2 4 2" xfId="38652"/>
    <cellStyle name="Normal 2 2 4 2 2 2 3 2 2 3" xfId="5220"/>
    <cellStyle name="Normal 2 2 4 2 2 2 3 2 2 3 2" xfId="16646"/>
    <cellStyle name="Normal 2 2 4 2 2 2 3 2 2 3 2 2" xfId="18793"/>
    <cellStyle name="Normal 2 2 4 2 2 2 3 2 2 3 2 2 2" xfId="51974"/>
    <cellStyle name="Normal 2 2 4 2 2 2 3 2 2 3 2 2 2 2" xfId="54119"/>
    <cellStyle name="Normal 2 2 4 2 2 2 3 2 2 3 2 3" xfId="32294"/>
    <cellStyle name="Normal 2 2 4 2 2 2 3 2 2 3 3" xfId="30148"/>
    <cellStyle name="Normal 2 2 4 2 2 2 3 2 2 3 3 2" xfId="40657"/>
    <cellStyle name="Normal 2 2 4 2 2 2 3 2 2 4" xfId="10423"/>
    <cellStyle name="Normal 2 2 4 2 2 2 3 2 2 4 2" xfId="38458"/>
    <cellStyle name="Normal 2 2 4 2 2 2 3 2 2 4 2 2" xfId="45786"/>
    <cellStyle name="Normal 2 2 4 2 2 2 3 2 2 5" xfId="23909"/>
    <cellStyle name="Normal 2 2 4 2 2 2 3 2 3" xfId="5025"/>
    <cellStyle name="Normal 2 2 4 2 2 2 3 2 3 2" xfId="6471"/>
    <cellStyle name="Normal 2 2 4 2 2 2 3 2 3 2 2" xfId="18598"/>
    <cellStyle name="Normal 2 2 4 2 2 2 3 2 3 2 2 2" xfId="20025"/>
    <cellStyle name="Normal 2 2 4 2 2 2 3 2 3 2 2 2 2" xfId="53924"/>
    <cellStyle name="Normal 2 2 4 2 2 2 3 2 3 2 2 2 2 2" xfId="55351"/>
    <cellStyle name="Normal 2 2 4 2 2 2 3 2 3 2 2 3" xfId="33527"/>
    <cellStyle name="Normal 2 2 4 2 2 2 3 2 3 2 3" xfId="32099"/>
    <cellStyle name="Normal 2 2 4 2 2 2 3 2 3 2 3 2" xfId="41899"/>
    <cellStyle name="Normal 2 2 4 2 2 2 3 2 3 3" xfId="11695"/>
    <cellStyle name="Normal 2 2 4 2 2 2 3 2 3 3 2" xfId="40462"/>
    <cellStyle name="Normal 2 2 4 2 2 2 3 2 3 3 2 2" xfId="47043"/>
    <cellStyle name="Normal 2 2 4 2 2 2 3 2 3 4" xfId="25180"/>
    <cellStyle name="Normal 2 2 4 2 2 2 3 2 4" xfId="10228"/>
    <cellStyle name="Normal 2 2 4 2 2 2 3 2 4 2" xfId="14853"/>
    <cellStyle name="Normal 2 2 4 2 2 2 3 2 4 2 2" xfId="45591"/>
    <cellStyle name="Normal 2 2 4 2 2 2 3 2 4 2 2 2" xfId="50192"/>
    <cellStyle name="Normal 2 2 4 2 2 2 3 2 4 3" xfId="28366"/>
    <cellStyle name="Normal 2 2 4 2 2 2 3 2 5" xfId="23714"/>
    <cellStyle name="Normal 2 2 4 2 2 2 3 2 5 2" xfId="36661"/>
    <cellStyle name="Normal 2 2 4 2 2 2 3 3" xfId="1971"/>
    <cellStyle name="Normal 2 2 4 2 2 2 3 3 2" xfId="6262"/>
    <cellStyle name="Normal 2 2 4 2 2 2 3 3 2 2" xfId="7205"/>
    <cellStyle name="Normal 2 2 4 2 2 2 3 3 2 2 2" xfId="19819"/>
    <cellStyle name="Normal 2 2 4 2 2 2 3 3 2 2 2 2" xfId="20757"/>
    <cellStyle name="Normal 2 2 4 2 2 2 3 3 2 2 2 2 2" xfId="55145"/>
    <cellStyle name="Normal 2 2 4 2 2 2 3 3 2 2 2 2 2 2" xfId="56083"/>
    <cellStyle name="Normal 2 2 4 2 2 2 3 3 2 2 2 3" xfId="34260"/>
    <cellStyle name="Normal 2 2 4 2 2 2 3 3 2 2 3" xfId="33321"/>
    <cellStyle name="Normal 2 2 4 2 2 2 3 3 2 2 3 2" xfId="42632"/>
    <cellStyle name="Normal 2 2 4 2 2 2 3 3 2 3" xfId="12430"/>
    <cellStyle name="Normal 2 2 4 2 2 2 3 3 2 3 2" xfId="41691"/>
    <cellStyle name="Normal 2 2 4 2 2 2 3 3 2 3 2 2" xfId="47776"/>
    <cellStyle name="Normal 2 2 4 2 2 2 3 3 2 4" xfId="25914"/>
    <cellStyle name="Normal 2 2 4 2 2 2 3 3 3" xfId="11487"/>
    <cellStyle name="Normal 2 2 4 2 2 2 3 3 3 2" xfId="15635"/>
    <cellStyle name="Normal 2 2 4 2 2 2 3 3 3 2 2" xfId="46836"/>
    <cellStyle name="Normal 2 2 4 2 2 2 3 3 3 2 2 2" xfId="50967"/>
    <cellStyle name="Normal 2 2 4 2 2 2 3 3 3 3" xfId="29141"/>
    <cellStyle name="Normal 2 2 4 2 2 2 3 3 4" xfId="24973"/>
    <cellStyle name="Normal 2 2 4 2 2 2 3 3 4 2" xfId="37449"/>
    <cellStyle name="Normal 2 2 4 2 2 2 3 4" xfId="3985"/>
    <cellStyle name="Normal 2 2 4 2 2 2 3 4 2" xfId="14645"/>
    <cellStyle name="Normal 2 2 4 2 2 2 3 4 2 2" xfId="17580"/>
    <cellStyle name="Normal 2 2 4 2 2 2 3 4 2 2 2" xfId="49984"/>
    <cellStyle name="Normal 2 2 4 2 2 2 3 4 2 2 2 2" xfId="52907"/>
    <cellStyle name="Normal 2 2 4 2 2 2 3 4 2 3" xfId="31082"/>
    <cellStyle name="Normal 2 2 4 2 2 2 3 4 3" xfId="28156"/>
    <cellStyle name="Normal 2 2 4 2 2 2 3 4 3 2" xfId="39429"/>
    <cellStyle name="Normal 2 2 4 2 2 2 3 5" xfId="9177"/>
    <cellStyle name="Normal 2 2 4 2 2 2 3 5 2" xfId="36453"/>
    <cellStyle name="Normal 2 2 4 2 2 2 3 5 2 2" xfId="44560"/>
    <cellStyle name="Normal 2 2 4 2 2 2 3 6" xfId="22674"/>
    <cellStyle name="Normal 2 2 4 2 2 2 4" xfId="1747"/>
    <cellStyle name="Normal 2 2 4 2 2 2 4 2" xfId="2416"/>
    <cellStyle name="Normal 2 2 4 2 2 2 4 2 2" xfId="7000"/>
    <cellStyle name="Normal 2 2 4 2 2 2 4 2 2 2" xfId="7648"/>
    <cellStyle name="Normal 2 2 4 2 2 2 4 2 2 2 2" xfId="20553"/>
    <cellStyle name="Normal 2 2 4 2 2 2 4 2 2 2 2 2" xfId="21200"/>
    <cellStyle name="Normal 2 2 4 2 2 2 4 2 2 2 2 2 2" xfId="55879"/>
    <cellStyle name="Normal 2 2 4 2 2 2 4 2 2 2 2 2 2 2" xfId="56526"/>
    <cellStyle name="Normal 2 2 4 2 2 2 4 2 2 2 2 3" xfId="34703"/>
    <cellStyle name="Normal 2 2 4 2 2 2 4 2 2 2 3" xfId="34055"/>
    <cellStyle name="Normal 2 2 4 2 2 2 4 2 2 2 3 2" xfId="43075"/>
    <cellStyle name="Normal 2 2 4 2 2 2 4 2 2 3" xfId="12873"/>
    <cellStyle name="Normal 2 2 4 2 2 2 4 2 2 3 2" xfId="42428"/>
    <cellStyle name="Normal 2 2 4 2 2 2 4 2 2 3 2 2" xfId="48219"/>
    <cellStyle name="Normal 2 2 4 2 2 2 4 2 2 4" xfId="26357"/>
    <cellStyle name="Normal 2 2 4 2 2 2 4 2 3" xfId="12224"/>
    <cellStyle name="Normal 2 2 4 2 2 2 4 2 3 2" xfId="16079"/>
    <cellStyle name="Normal 2 2 4 2 2 2 4 2 3 2 2" xfId="47571"/>
    <cellStyle name="Normal 2 2 4 2 2 2 4 2 3 2 2 2" xfId="51411"/>
    <cellStyle name="Normal 2 2 4 2 2 2 4 2 3 3" xfId="29585"/>
    <cellStyle name="Normal 2 2 4 2 2 2 4 2 4" xfId="25709"/>
    <cellStyle name="Normal 2 2 4 2 2 2 4 2 4 2" xfId="37894"/>
    <cellStyle name="Normal 2 2 4 2 2 2 4 3" xfId="4451"/>
    <cellStyle name="Normal 2 2 4 2 2 2 4 3 2" xfId="15419"/>
    <cellStyle name="Normal 2 2 4 2 2 2 4 3 2 2" xfId="18041"/>
    <cellStyle name="Normal 2 2 4 2 2 2 4 3 2 2 2" xfId="50752"/>
    <cellStyle name="Normal 2 2 4 2 2 2 4 3 2 2 2 2" xfId="53367"/>
    <cellStyle name="Normal 2 2 4 2 2 2 4 3 2 3" xfId="31542"/>
    <cellStyle name="Normal 2 2 4 2 2 2 4 3 3" xfId="28926"/>
    <cellStyle name="Normal 2 2 4 2 2 2 4 3 3 2" xfId="39893"/>
    <cellStyle name="Normal 2 2 4 2 2 2 4 4" xfId="9656"/>
    <cellStyle name="Normal 2 2 4 2 2 2 4 4 2" xfId="37229"/>
    <cellStyle name="Normal 2 2 4 2 2 2 4 4 2 2" xfId="45034"/>
    <cellStyle name="Normal 2 2 4 2 2 2 4 5" xfId="23157"/>
    <cellStyle name="Normal 2 2 4 2 2 2 5" xfId="3753"/>
    <cellStyle name="Normal 2 2 4 2 2 2 5 2" xfId="5657"/>
    <cellStyle name="Normal 2 2 4 2 2 2 5 2 2" xfId="17369"/>
    <cellStyle name="Normal 2 2 4 2 2 2 5 2 2 2" xfId="19229"/>
    <cellStyle name="Normal 2 2 4 2 2 2 5 2 2 2 2" xfId="52696"/>
    <cellStyle name="Normal 2 2 4 2 2 2 5 2 2 2 2 2" xfId="54555"/>
    <cellStyle name="Normal 2 2 4 2 2 2 5 2 2 3" xfId="32730"/>
    <cellStyle name="Normal 2 2 4 2 2 2 5 2 3" xfId="30870"/>
    <cellStyle name="Normal 2 2 4 2 2 2 5 2 3 2" xfId="41093"/>
    <cellStyle name="Normal 2 2 4 2 2 2 5 3" xfId="10875"/>
    <cellStyle name="Normal 2 2 4 2 2 2 5 3 2" xfId="39204"/>
    <cellStyle name="Normal 2 2 4 2 2 2 5 3 2 2" xfId="46237"/>
    <cellStyle name="Normal 2 2 4 2 2 2 5 4" xfId="24368"/>
    <cellStyle name="Normal 2 2 4 2 2 2 6" xfId="8943"/>
    <cellStyle name="Normal 2 2 4 2 2 2 6 2" xfId="14041"/>
    <cellStyle name="Normal 2 2 4 2 2 2 6 2 2" xfId="44342"/>
    <cellStyle name="Normal 2 2 4 2 2 2 6 2 2 2" xfId="49387"/>
    <cellStyle name="Normal 2 2 4 2 2 2 6 3" xfId="27540"/>
    <cellStyle name="Normal 2 2 4 2 2 2 7" xfId="22450"/>
    <cellStyle name="Normal 2 2 4 2 2 2 7 2" xfId="35853"/>
    <cellStyle name="Normal 2 2 4 2 2 3" xfId="446"/>
    <cellStyle name="Normal 2 2 4 2 2 3 2" xfId="1146"/>
    <cellStyle name="Normal 2 2 4 2 2 3 2 2" xfId="1262"/>
    <cellStyle name="Normal 2 2 4 2 2 3 2 2 2" xfId="3169"/>
    <cellStyle name="Normal 2 2 4 2 2 3 2 2 2 2" xfId="3280"/>
    <cellStyle name="Normal 2 2 4 2 2 3 2 2 2 2 2" xfId="8384"/>
    <cellStyle name="Normal 2 2 4 2 2 3 2 2 2 2 2 2" xfId="8495"/>
    <cellStyle name="Normal 2 2 4 2 2 3 2 2 2 2 2 2 2" xfId="21936"/>
    <cellStyle name="Normal 2 2 4 2 2 3 2 2 2 2 2 2 2 2" xfId="22047"/>
    <cellStyle name="Normal 2 2 4 2 2 3 2 2 2 2 2 2 2 2 2" xfId="57262"/>
    <cellStyle name="Normal 2 2 4 2 2 3 2 2 2 2 2 2 2 2 2 2" xfId="57373"/>
    <cellStyle name="Normal 2 2 4 2 2 3 2 2 2 2 2 2 2 3" xfId="35550"/>
    <cellStyle name="Normal 2 2 4 2 2 3 2 2 2 2 2 2 3" xfId="35439"/>
    <cellStyle name="Normal 2 2 4 2 2 3 2 2 2 2 2 2 3 2" xfId="43922"/>
    <cellStyle name="Normal 2 2 4 2 2 3 2 2 2 2 2 3" xfId="13720"/>
    <cellStyle name="Normal 2 2 4 2 2 3 2 2 2 2 2 3 2" xfId="43811"/>
    <cellStyle name="Normal 2 2 4 2 2 3 2 2 2 2 2 3 2 2" xfId="49066"/>
    <cellStyle name="Normal 2 2 4 2 2 3 2 2 2 2 2 4" xfId="27205"/>
    <cellStyle name="Normal 2 2 4 2 2 3 2 2 2 2 3" xfId="13609"/>
    <cellStyle name="Normal 2 2 4 2 2 3 2 2 2 2 3 2" xfId="16937"/>
    <cellStyle name="Normal 2 2 4 2 2 3 2 2 2 2 3 2 2" xfId="48955"/>
    <cellStyle name="Normal 2 2 4 2 2 3 2 2 2 2 3 2 2 2" xfId="52265"/>
    <cellStyle name="Normal 2 2 4 2 2 3 2 2 2 2 3 3" xfId="30439"/>
    <cellStyle name="Normal 2 2 4 2 2 3 2 2 2 2 4" xfId="27094"/>
    <cellStyle name="Normal 2 2 4 2 2 3 2 2 2 2 4 2" xfId="38749"/>
    <cellStyle name="Normal 2 2 4 2 2 3 2 2 2 3" xfId="5317"/>
    <cellStyle name="Normal 2 2 4 2 2 3 2 2 2 3 2" xfId="16826"/>
    <cellStyle name="Normal 2 2 4 2 2 3 2 2 2 3 2 2" xfId="18890"/>
    <cellStyle name="Normal 2 2 4 2 2 3 2 2 2 3 2 2 2" xfId="52154"/>
    <cellStyle name="Normal 2 2 4 2 2 3 2 2 2 3 2 2 2 2" xfId="54216"/>
    <cellStyle name="Normal 2 2 4 2 2 3 2 2 2 3 2 3" xfId="32391"/>
    <cellStyle name="Normal 2 2 4 2 2 3 2 2 2 3 3" xfId="30328"/>
    <cellStyle name="Normal 2 2 4 2 2 3 2 2 2 3 3 2" xfId="40754"/>
    <cellStyle name="Normal 2 2 4 2 2 3 2 2 2 4" xfId="10520"/>
    <cellStyle name="Normal 2 2 4 2 2 3 2 2 2 4 2" xfId="38638"/>
    <cellStyle name="Normal 2 2 4 2 2 3 2 2 2 4 2 2" xfId="45883"/>
    <cellStyle name="Normal 2 2 4 2 2 3 2 2 2 5" xfId="24006"/>
    <cellStyle name="Normal 2 2 4 2 2 3 2 2 3" xfId="5206"/>
    <cellStyle name="Normal 2 2 4 2 2 3 2 2 3 2" xfId="6570"/>
    <cellStyle name="Normal 2 2 4 2 2 3 2 2 3 2 2" xfId="18779"/>
    <cellStyle name="Normal 2 2 4 2 2 3 2 2 3 2 2 2" xfId="20123"/>
    <cellStyle name="Normal 2 2 4 2 2 3 2 2 3 2 2 2 2" xfId="54105"/>
    <cellStyle name="Normal 2 2 4 2 2 3 2 2 3 2 2 2 2 2" xfId="55449"/>
    <cellStyle name="Normal 2 2 4 2 2 3 2 2 3 2 2 3" xfId="33625"/>
    <cellStyle name="Normal 2 2 4 2 2 3 2 2 3 2 3" xfId="32280"/>
    <cellStyle name="Normal 2 2 4 2 2 3 2 2 3 2 3 2" xfId="41998"/>
    <cellStyle name="Normal 2 2 4 2 2 3 2 2 3 3" xfId="11793"/>
    <cellStyle name="Normal 2 2 4 2 2 3 2 2 3 3 2" xfId="40643"/>
    <cellStyle name="Normal 2 2 4 2 2 3 2 2 3 3 2 2" xfId="47141"/>
    <cellStyle name="Normal 2 2 4 2 2 3 2 2 3 4" xfId="25278"/>
    <cellStyle name="Normal 2 2 4 2 2 3 2 2 4" xfId="10409"/>
    <cellStyle name="Normal 2 2 4 2 2 3 2 2 4 2" xfId="14951"/>
    <cellStyle name="Normal 2 2 4 2 2 3 2 2 4 2 2" xfId="45772"/>
    <cellStyle name="Normal 2 2 4 2 2 3 2 2 4 2 2 2" xfId="50290"/>
    <cellStyle name="Normal 2 2 4 2 2 3 2 2 4 3" xfId="28464"/>
    <cellStyle name="Normal 2 2 4 2 2 3 2 2 5" xfId="23895"/>
    <cellStyle name="Normal 2 2 4 2 2 3 2 2 5 2" xfId="36759"/>
    <cellStyle name="Normal 2 2 4 2 2 3 2 3" xfId="2068"/>
    <cellStyle name="Normal 2 2 4 2 2 3 2 3 2" xfId="6454"/>
    <cellStyle name="Normal 2 2 4 2 2 3 2 3 2 2" xfId="7302"/>
    <cellStyle name="Normal 2 2 4 2 2 3 2 3 2 2 2" xfId="20008"/>
    <cellStyle name="Normal 2 2 4 2 2 3 2 3 2 2 2 2" xfId="20854"/>
    <cellStyle name="Normal 2 2 4 2 2 3 2 3 2 2 2 2 2" xfId="55334"/>
    <cellStyle name="Normal 2 2 4 2 2 3 2 3 2 2 2 2 2 2" xfId="56180"/>
    <cellStyle name="Normal 2 2 4 2 2 3 2 3 2 2 2 3" xfId="34357"/>
    <cellStyle name="Normal 2 2 4 2 2 3 2 3 2 2 3" xfId="33510"/>
    <cellStyle name="Normal 2 2 4 2 2 3 2 3 2 2 3 2" xfId="42729"/>
    <cellStyle name="Normal 2 2 4 2 2 3 2 3 2 3" xfId="12527"/>
    <cellStyle name="Normal 2 2 4 2 2 3 2 3 2 3 2" xfId="41882"/>
    <cellStyle name="Normal 2 2 4 2 2 3 2 3 2 3 2 2" xfId="47873"/>
    <cellStyle name="Normal 2 2 4 2 2 3 2 3 2 4" xfId="26011"/>
    <cellStyle name="Normal 2 2 4 2 2 3 2 3 3" xfId="11678"/>
    <cellStyle name="Normal 2 2 4 2 2 3 2 3 3 2" xfId="15732"/>
    <cellStyle name="Normal 2 2 4 2 2 3 2 3 3 2 2" xfId="47026"/>
    <cellStyle name="Normal 2 2 4 2 2 3 2 3 3 2 2 2" xfId="51064"/>
    <cellStyle name="Normal 2 2 4 2 2 3 2 3 3 3" xfId="29238"/>
    <cellStyle name="Normal 2 2 4 2 2 3 2 3 4" xfId="25163"/>
    <cellStyle name="Normal 2 2 4 2 2 3 2 3 4 2" xfId="37546"/>
    <cellStyle name="Normal 2 2 4 2 2 3 2 4" xfId="4084"/>
    <cellStyle name="Normal 2 2 4 2 2 3 2 4 2" xfId="14836"/>
    <cellStyle name="Normal 2 2 4 2 2 3 2 4 2 2" xfId="17677"/>
    <cellStyle name="Normal 2 2 4 2 2 3 2 4 2 2 2" xfId="50175"/>
    <cellStyle name="Normal 2 2 4 2 2 3 2 4 2 2 2 2" xfId="53004"/>
    <cellStyle name="Normal 2 2 4 2 2 3 2 4 2 3" xfId="31179"/>
    <cellStyle name="Normal 2 2 4 2 2 3 2 4 3" xfId="28349"/>
    <cellStyle name="Normal 2 2 4 2 2 3 2 4 3 2" xfId="39527"/>
    <cellStyle name="Normal 2 2 4 2 2 3 2 5" xfId="9275"/>
    <cellStyle name="Normal 2 2 4 2 2 3 2 5 2" xfId="36644"/>
    <cellStyle name="Normal 2 2 4 2 2 3 2 5 2 2" xfId="44657"/>
    <cellStyle name="Normal 2 2 4 2 2 3 2 6" xfId="22771"/>
    <cellStyle name="Normal 2 2 4 2 2 3 3" xfId="1954"/>
    <cellStyle name="Normal 2 2 4 2 2 3 3 2" xfId="2545"/>
    <cellStyle name="Normal 2 2 4 2 2 3 3 2 2" xfId="7191"/>
    <cellStyle name="Normal 2 2 4 2 2 3 3 2 2 2" xfId="7767"/>
    <cellStyle name="Normal 2 2 4 2 2 3 3 2 2 2 2" xfId="20743"/>
    <cellStyle name="Normal 2 2 4 2 2 3 3 2 2 2 2 2" xfId="21319"/>
    <cellStyle name="Normal 2 2 4 2 2 3 3 2 2 2 2 2 2" xfId="56069"/>
    <cellStyle name="Normal 2 2 4 2 2 3 3 2 2 2 2 2 2 2" xfId="56645"/>
    <cellStyle name="Normal 2 2 4 2 2 3 3 2 2 2 2 3" xfId="34822"/>
    <cellStyle name="Normal 2 2 4 2 2 3 3 2 2 2 3" xfId="34246"/>
    <cellStyle name="Normal 2 2 4 2 2 3 3 2 2 2 3 2" xfId="43194"/>
    <cellStyle name="Normal 2 2 4 2 2 3 3 2 2 3" xfId="12992"/>
    <cellStyle name="Normal 2 2 4 2 2 3 3 2 2 3 2" xfId="42618"/>
    <cellStyle name="Normal 2 2 4 2 2 3 3 2 2 3 2 2" xfId="48338"/>
    <cellStyle name="Normal 2 2 4 2 2 3 3 2 2 4" xfId="26476"/>
    <cellStyle name="Normal 2 2 4 2 2 3 3 2 3" xfId="12416"/>
    <cellStyle name="Normal 2 2 4 2 2 3 3 2 3 2" xfId="16205"/>
    <cellStyle name="Normal 2 2 4 2 2 3 3 2 3 2 2" xfId="47762"/>
    <cellStyle name="Normal 2 2 4 2 2 3 3 2 3 2 2 2" xfId="51535"/>
    <cellStyle name="Normal 2 2 4 2 2 3 3 2 3 3" xfId="29709"/>
    <cellStyle name="Normal 2 2 4 2 2 3 3 2 4" xfId="25900"/>
    <cellStyle name="Normal 2 2 4 2 2 3 3 2 4 2" xfId="38018"/>
    <cellStyle name="Normal 2 2 4 2 2 3 3 3" xfId="4579"/>
    <cellStyle name="Normal 2 2 4 2 2 3 3 3 2" xfId="15619"/>
    <cellStyle name="Normal 2 2 4 2 2 3 3 3 2 2" xfId="18160"/>
    <cellStyle name="Normal 2 2 4 2 2 3 3 3 2 2 2" xfId="50951"/>
    <cellStyle name="Normal 2 2 4 2 2 3 3 3 2 2 2 2" xfId="53486"/>
    <cellStyle name="Normal 2 2 4 2 2 3 3 3 2 3" xfId="31661"/>
    <cellStyle name="Normal 2 2 4 2 2 3 3 3 3" xfId="29125"/>
    <cellStyle name="Normal 2 2 4 2 2 3 3 3 3 2" xfId="40018"/>
    <cellStyle name="Normal 2 2 4 2 2 3 3 4" xfId="9782"/>
    <cellStyle name="Normal 2 2 4 2 2 3 3 4 2" xfId="37432"/>
    <cellStyle name="Normal 2 2 4 2 2 3 3 4 2 2" xfId="45153"/>
    <cellStyle name="Normal 2 2 4 2 2 3 3 5" xfId="23276"/>
    <cellStyle name="Normal 2 2 4 2 2 3 4" xfId="3968"/>
    <cellStyle name="Normal 2 2 4 2 2 3 4 2" xfId="5785"/>
    <cellStyle name="Normal 2 2 4 2 2 3 4 2 2" xfId="17566"/>
    <cellStyle name="Normal 2 2 4 2 2 3 4 2 2 2" xfId="19353"/>
    <cellStyle name="Normal 2 2 4 2 2 3 4 2 2 2 2" xfId="52893"/>
    <cellStyle name="Normal 2 2 4 2 2 3 4 2 2 2 2 2" xfId="54679"/>
    <cellStyle name="Normal 2 2 4 2 2 3 4 2 2 3" xfId="32854"/>
    <cellStyle name="Normal 2 2 4 2 2 3 4 2 3" xfId="31068"/>
    <cellStyle name="Normal 2 2 4 2 2 3 4 2 3 2" xfId="41220"/>
    <cellStyle name="Normal 2 2 4 2 2 3 4 3" xfId="11006"/>
    <cellStyle name="Normal 2 2 4 2 2 3 4 3 2" xfId="39412"/>
    <cellStyle name="Normal 2 2 4 2 2 3 4 3 2 2" xfId="46365"/>
    <cellStyle name="Normal 2 2 4 2 2 3 4 4" xfId="24500"/>
    <cellStyle name="Normal 2 2 4 2 2 3 5" xfId="9160"/>
    <cellStyle name="Normal 2 2 4 2 2 3 5 2" xfId="14168"/>
    <cellStyle name="Normal 2 2 4 2 2 3 5 2 2" xfId="44546"/>
    <cellStyle name="Normal 2 2 4 2 2 3 5 2 2 2" xfId="49513"/>
    <cellStyle name="Normal 2 2 4 2 2 3 5 3" xfId="27673"/>
    <cellStyle name="Normal 2 2 4 2 2 3 6" xfId="22660"/>
    <cellStyle name="Normal 2 2 4 2 2 3 6 2" xfId="35980"/>
    <cellStyle name="Normal 2 2 4 2 2 4" xfId="767"/>
    <cellStyle name="Normal 2 2 4 2 2 4 2" xfId="2400"/>
    <cellStyle name="Normal 2 2 4 2 2 4 2 2" xfId="2824"/>
    <cellStyle name="Normal 2 2 4 2 2 4 2 2 2" xfId="7633"/>
    <cellStyle name="Normal 2 2 4 2 2 4 2 2 2 2" xfId="8040"/>
    <cellStyle name="Normal 2 2 4 2 2 4 2 2 2 2 2" xfId="21185"/>
    <cellStyle name="Normal 2 2 4 2 2 4 2 2 2 2 2 2" xfId="21592"/>
    <cellStyle name="Normal 2 2 4 2 2 4 2 2 2 2 2 2 2" xfId="56511"/>
    <cellStyle name="Normal 2 2 4 2 2 4 2 2 2 2 2 2 2 2" xfId="56918"/>
    <cellStyle name="Normal 2 2 4 2 2 4 2 2 2 2 2 3" xfId="35095"/>
    <cellStyle name="Normal 2 2 4 2 2 4 2 2 2 2 3" xfId="34688"/>
    <cellStyle name="Normal 2 2 4 2 2 4 2 2 2 2 3 2" xfId="43467"/>
    <cellStyle name="Normal 2 2 4 2 2 4 2 2 2 3" xfId="13265"/>
    <cellStyle name="Normal 2 2 4 2 2 4 2 2 2 3 2" xfId="43060"/>
    <cellStyle name="Normal 2 2 4 2 2 4 2 2 2 3 2 2" xfId="48611"/>
    <cellStyle name="Normal 2 2 4 2 2 4 2 2 2 4" xfId="26749"/>
    <cellStyle name="Normal 2 2 4 2 2 4 2 2 3" xfId="12858"/>
    <cellStyle name="Normal 2 2 4 2 2 4 2 2 3 2" xfId="16482"/>
    <cellStyle name="Normal 2 2 4 2 2 4 2 2 3 2 2" xfId="48204"/>
    <cellStyle name="Normal 2 2 4 2 2 4 2 2 3 2 2 2" xfId="51810"/>
    <cellStyle name="Normal 2 2 4 2 2 4 2 2 3 3" xfId="29984"/>
    <cellStyle name="Normal 2 2 4 2 2 4 2 2 4" xfId="26342"/>
    <cellStyle name="Normal 2 2 4 2 2 4 2 2 4 2" xfId="38294"/>
    <cellStyle name="Normal 2 2 4 2 2 4 2 3" xfId="4860"/>
    <cellStyle name="Normal 2 2 4 2 2 4 2 3 2" xfId="16063"/>
    <cellStyle name="Normal 2 2 4 2 2 4 2 3 2 2" xfId="18434"/>
    <cellStyle name="Normal 2 2 4 2 2 4 2 3 2 2 2" xfId="51395"/>
    <cellStyle name="Normal 2 2 4 2 2 4 2 3 2 2 2 2" xfId="53760"/>
    <cellStyle name="Normal 2 2 4 2 2 4 2 3 2 3" xfId="31935"/>
    <cellStyle name="Normal 2 2 4 2 2 4 2 3 3" xfId="29569"/>
    <cellStyle name="Normal 2 2 4 2 2 4 2 3 3 2" xfId="40297"/>
    <cellStyle name="Normal 2 2 4 2 2 4 2 4" xfId="10063"/>
    <cellStyle name="Normal 2 2 4 2 2 4 2 4 2" xfId="37878"/>
    <cellStyle name="Normal 2 2 4 2 2 4 2 4 2 2" xfId="45427"/>
    <cellStyle name="Normal 2 2 4 2 2 4 2 5" xfId="23550"/>
    <cellStyle name="Normal 2 2 4 2 2 4 3" xfId="4435"/>
    <cellStyle name="Normal 2 2 4 2 2 4 3 2" xfId="6084"/>
    <cellStyle name="Normal 2 2 4 2 2 4 3 2 2" xfId="18026"/>
    <cellStyle name="Normal 2 2 4 2 2 4 3 2 2 2" xfId="19646"/>
    <cellStyle name="Normal 2 2 4 2 2 4 3 2 2 2 2" xfId="53352"/>
    <cellStyle name="Normal 2 2 4 2 2 4 3 2 2 2 2 2" xfId="54972"/>
    <cellStyle name="Normal 2 2 4 2 2 4 3 2 2 3" xfId="33147"/>
    <cellStyle name="Normal 2 2 4 2 2 4 3 2 3" xfId="31527"/>
    <cellStyle name="Normal 2 2 4 2 2 4 3 2 3 2" xfId="41517"/>
    <cellStyle name="Normal 2 2 4 2 2 4 3 3" xfId="11310"/>
    <cellStyle name="Normal 2 2 4 2 2 4 3 3 2" xfId="39877"/>
    <cellStyle name="Normal 2 2 4 2 2 4 3 3 2 2" xfId="46663"/>
    <cellStyle name="Normal 2 2 4 2 2 4 3 4" xfId="24800"/>
    <cellStyle name="Normal 2 2 4 2 2 4 4" xfId="9639"/>
    <cellStyle name="Normal 2 2 4 2 2 4 4 2" xfId="14468"/>
    <cellStyle name="Normal 2 2 4 2 2 4 4 2 2" xfId="45018"/>
    <cellStyle name="Normal 2 2 4 2 2 4 4 2 2 2" xfId="49810"/>
    <cellStyle name="Normal 2 2 4 2 2 4 4 3" xfId="27979"/>
    <cellStyle name="Normal 2 2 4 2 2 4 5" xfId="23141"/>
    <cellStyle name="Normal 2 2 4 2 2 4 5 2" xfId="36278"/>
    <cellStyle name="Normal 2 2 4 2 2 5" xfId="1553"/>
    <cellStyle name="Normal 2 2 4 2 2 5 2" xfId="5641"/>
    <cellStyle name="Normal 2 2 4 2 2 5 2 2" xfId="6826"/>
    <cellStyle name="Normal 2 2 4 2 2 5 2 2 2" xfId="19213"/>
    <cellStyle name="Normal 2 2 4 2 2 5 2 2 2 2" xfId="20379"/>
    <cellStyle name="Normal 2 2 4 2 2 5 2 2 2 2 2" xfId="54539"/>
    <cellStyle name="Normal 2 2 4 2 2 5 2 2 2 2 2 2" xfId="55705"/>
    <cellStyle name="Normal 2 2 4 2 2 5 2 2 2 3" xfId="33881"/>
    <cellStyle name="Normal 2 2 4 2 2 5 2 2 3" xfId="32714"/>
    <cellStyle name="Normal 2 2 4 2 2 5 2 2 3 2" xfId="42254"/>
    <cellStyle name="Normal 2 2 4 2 2 5 2 3" xfId="12050"/>
    <cellStyle name="Normal 2 2 4 2 2 5 2 3 2" xfId="41077"/>
    <cellStyle name="Normal 2 2 4 2 2 5 2 3 2 2" xfId="47397"/>
    <cellStyle name="Normal 2 2 4 2 2 5 2 4" xfId="25535"/>
    <cellStyle name="Normal 2 2 4 2 2 5 3" xfId="10857"/>
    <cellStyle name="Normal 2 2 4 2 2 5 3 2" xfId="15229"/>
    <cellStyle name="Normal 2 2 4 2 2 5 3 2 2" xfId="46219"/>
    <cellStyle name="Normal 2 2 4 2 2 5 3 2 2 2" xfId="50566"/>
    <cellStyle name="Normal 2 2 4 2 2 5 3 3" xfId="28740"/>
    <cellStyle name="Normal 2 2 4 2 2 5 4" xfId="24350"/>
    <cellStyle name="Normal 2 2 4 2 2 5 4 2" xfId="37041"/>
    <cellStyle name="Normal 2 2 4 2 2 6" xfId="3554"/>
    <cellStyle name="Normal 2 2 4 2 2 6 2" xfId="14025"/>
    <cellStyle name="Normal 2 2 4 2 2 6 2 2" xfId="17191"/>
    <cellStyle name="Normal 2 2 4 2 2 6 2 2 2" xfId="49371"/>
    <cellStyle name="Normal 2 2 4 2 2 6 2 2 2 2" xfId="52518"/>
    <cellStyle name="Normal 2 2 4 2 2 6 2 3" xfId="30692"/>
    <cellStyle name="Normal 2 2 4 2 2 6 3" xfId="27521"/>
    <cellStyle name="Normal 2 2 4 2 2 6 3 2" xfId="39011"/>
    <cellStyle name="Normal 2 2 4 2 2 7" xfId="8745"/>
    <cellStyle name="Normal 2 2 4 2 2 7 2" xfId="35837"/>
    <cellStyle name="Normal 2 2 4 2 2 7 2 2" xfId="44159"/>
    <cellStyle name="Normal 2 2 4 2 2 8" xfId="22263"/>
    <cellStyle name="Normal 2 2 4 2 3" xfId="426"/>
    <cellStyle name="Normal 2 2 4 2 3 2" xfId="510"/>
    <cellStyle name="Normal 2 2 4 2 3 2 2" xfId="1254"/>
    <cellStyle name="Normal 2 2 4 2 3 2 2 2" xfId="1320"/>
    <cellStyle name="Normal 2 2 4 2 3 2 2 2 2" xfId="3272"/>
    <cellStyle name="Normal 2 2 4 2 3 2 2 2 2 2" xfId="3338"/>
    <cellStyle name="Normal 2 2 4 2 3 2 2 2 2 2 2" xfId="8487"/>
    <cellStyle name="Normal 2 2 4 2 3 2 2 2 2 2 2 2" xfId="8553"/>
    <cellStyle name="Normal 2 2 4 2 3 2 2 2 2 2 2 2 2" xfId="22039"/>
    <cellStyle name="Normal 2 2 4 2 3 2 2 2 2 2 2 2 2 2" xfId="22105"/>
    <cellStyle name="Normal 2 2 4 2 3 2 2 2 2 2 2 2 2 2 2" xfId="57365"/>
    <cellStyle name="Normal 2 2 4 2 3 2 2 2 2 2 2 2 2 2 2 2" xfId="57431"/>
    <cellStyle name="Normal 2 2 4 2 3 2 2 2 2 2 2 2 2 3" xfId="35608"/>
    <cellStyle name="Normal 2 2 4 2 3 2 2 2 2 2 2 2 3" xfId="35542"/>
    <cellStyle name="Normal 2 2 4 2 3 2 2 2 2 2 2 2 3 2" xfId="43980"/>
    <cellStyle name="Normal 2 2 4 2 3 2 2 2 2 2 2 3" xfId="13778"/>
    <cellStyle name="Normal 2 2 4 2 3 2 2 2 2 2 2 3 2" xfId="43914"/>
    <cellStyle name="Normal 2 2 4 2 3 2 2 2 2 2 2 3 2 2" xfId="49124"/>
    <cellStyle name="Normal 2 2 4 2 3 2 2 2 2 2 2 4" xfId="27263"/>
    <cellStyle name="Normal 2 2 4 2 3 2 2 2 2 2 3" xfId="13712"/>
    <cellStyle name="Normal 2 2 4 2 3 2 2 2 2 2 3 2" xfId="16995"/>
    <cellStyle name="Normal 2 2 4 2 3 2 2 2 2 2 3 2 2" xfId="49058"/>
    <cellStyle name="Normal 2 2 4 2 3 2 2 2 2 2 3 2 2 2" xfId="52323"/>
    <cellStyle name="Normal 2 2 4 2 3 2 2 2 2 2 3 3" xfId="30497"/>
    <cellStyle name="Normal 2 2 4 2 3 2 2 2 2 2 4" xfId="27197"/>
    <cellStyle name="Normal 2 2 4 2 3 2 2 2 2 2 4 2" xfId="38807"/>
    <cellStyle name="Normal 2 2 4 2 3 2 2 2 2 3" xfId="5375"/>
    <cellStyle name="Normal 2 2 4 2 3 2 2 2 2 3 2" xfId="16929"/>
    <cellStyle name="Normal 2 2 4 2 3 2 2 2 2 3 2 2" xfId="18948"/>
    <cellStyle name="Normal 2 2 4 2 3 2 2 2 2 3 2 2 2" xfId="52257"/>
    <cellStyle name="Normal 2 2 4 2 3 2 2 2 2 3 2 2 2 2" xfId="54274"/>
    <cellStyle name="Normal 2 2 4 2 3 2 2 2 2 3 2 3" xfId="32449"/>
    <cellStyle name="Normal 2 2 4 2 3 2 2 2 2 3 3" xfId="30431"/>
    <cellStyle name="Normal 2 2 4 2 3 2 2 2 2 3 3 2" xfId="40812"/>
    <cellStyle name="Normal 2 2 4 2 3 2 2 2 2 4" xfId="10578"/>
    <cellStyle name="Normal 2 2 4 2 3 2 2 2 2 4 2" xfId="38741"/>
    <cellStyle name="Normal 2 2 4 2 3 2 2 2 2 4 2 2" xfId="45941"/>
    <cellStyle name="Normal 2 2 4 2 3 2 2 2 2 5" xfId="24064"/>
    <cellStyle name="Normal 2 2 4 2 3 2 2 2 3" xfId="5309"/>
    <cellStyle name="Normal 2 2 4 2 3 2 2 2 3 2" xfId="6628"/>
    <cellStyle name="Normal 2 2 4 2 3 2 2 2 3 2 2" xfId="18882"/>
    <cellStyle name="Normal 2 2 4 2 3 2 2 2 3 2 2 2" xfId="20181"/>
    <cellStyle name="Normal 2 2 4 2 3 2 2 2 3 2 2 2 2" xfId="54208"/>
    <cellStyle name="Normal 2 2 4 2 3 2 2 2 3 2 2 2 2 2" xfId="55507"/>
    <cellStyle name="Normal 2 2 4 2 3 2 2 2 3 2 2 3" xfId="33683"/>
    <cellStyle name="Normal 2 2 4 2 3 2 2 2 3 2 3" xfId="32383"/>
    <cellStyle name="Normal 2 2 4 2 3 2 2 2 3 2 3 2" xfId="42056"/>
    <cellStyle name="Normal 2 2 4 2 3 2 2 2 3 3" xfId="11851"/>
    <cellStyle name="Normal 2 2 4 2 3 2 2 2 3 3 2" xfId="40746"/>
    <cellStyle name="Normal 2 2 4 2 3 2 2 2 3 3 2 2" xfId="47199"/>
    <cellStyle name="Normal 2 2 4 2 3 2 2 2 3 4" xfId="25336"/>
    <cellStyle name="Normal 2 2 4 2 3 2 2 2 4" xfId="10512"/>
    <cellStyle name="Normal 2 2 4 2 3 2 2 2 4 2" xfId="15009"/>
    <cellStyle name="Normal 2 2 4 2 3 2 2 2 4 2 2" xfId="45875"/>
    <cellStyle name="Normal 2 2 4 2 3 2 2 2 4 2 2 2" xfId="50348"/>
    <cellStyle name="Normal 2 2 4 2 3 2 2 2 4 3" xfId="28522"/>
    <cellStyle name="Normal 2 2 4 2 3 2 2 2 5" xfId="23998"/>
    <cellStyle name="Normal 2 2 4 2 3 2 2 2 5 2" xfId="36817"/>
    <cellStyle name="Normal 2 2 4 2 3 2 2 3" xfId="2127"/>
    <cellStyle name="Normal 2 2 4 2 3 2 2 3 2" xfId="6562"/>
    <cellStyle name="Normal 2 2 4 2 3 2 2 3 2 2" xfId="7361"/>
    <cellStyle name="Normal 2 2 4 2 3 2 2 3 2 2 2" xfId="20115"/>
    <cellStyle name="Normal 2 2 4 2 3 2 2 3 2 2 2 2" xfId="20913"/>
    <cellStyle name="Normal 2 2 4 2 3 2 2 3 2 2 2 2 2" xfId="55441"/>
    <cellStyle name="Normal 2 2 4 2 3 2 2 3 2 2 2 2 2 2" xfId="56239"/>
    <cellStyle name="Normal 2 2 4 2 3 2 2 3 2 2 2 3" xfId="34416"/>
    <cellStyle name="Normal 2 2 4 2 3 2 2 3 2 2 3" xfId="33617"/>
    <cellStyle name="Normal 2 2 4 2 3 2 2 3 2 2 3 2" xfId="42788"/>
    <cellStyle name="Normal 2 2 4 2 3 2 2 3 2 3" xfId="12586"/>
    <cellStyle name="Normal 2 2 4 2 3 2 2 3 2 3 2" xfId="41990"/>
    <cellStyle name="Normal 2 2 4 2 3 2 2 3 2 3 2 2" xfId="47932"/>
    <cellStyle name="Normal 2 2 4 2 3 2 2 3 2 4" xfId="26070"/>
    <cellStyle name="Normal 2 2 4 2 3 2 2 3 3" xfId="11785"/>
    <cellStyle name="Normal 2 2 4 2 3 2 2 3 3 2" xfId="15791"/>
    <cellStyle name="Normal 2 2 4 2 3 2 2 3 3 2 2" xfId="47133"/>
    <cellStyle name="Normal 2 2 4 2 3 2 2 3 3 2 2 2" xfId="51123"/>
    <cellStyle name="Normal 2 2 4 2 3 2 2 3 3 3" xfId="29297"/>
    <cellStyle name="Normal 2 2 4 2 3 2 2 3 4" xfId="25270"/>
    <cellStyle name="Normal 2 2 4 2 3 2 2 3 4 2" xfId="37605"/>
    <cellStyle name="Normal 2 2 4 2 3 2 2 4" xfId="4143"/>
    <cellStyle name="Normal 2 2 4 2 3 2 2 4 2" xfId="14943"/>
    <cellStyle name="Normal 2 2 4 2 3 2 2 4 2 2" xfId="17736"/>
    <cellStyle name="Normal 2 2 4 2 3 2 2 4 2 2 2" xfId="50282"/>
    <cellStyle name="Normal 2 2 4 2 3 2 2 4 2 2 2 2" xfId="53063"/>
    <cellStyle name="Normal 2 2 4 2 3 2 2 4 2 3" xfId="31238"/>
    <cellStyle name="Normal 2 2 4 2 3 2 2 4 3" xfId="28456"/>
    <cellStyle name="Normal 2 2 4 2 3 2 2 4 3 2" xfId="39586"/>
    <cellStyle name="Normal 2 2 4 2 3 2 2 5" xfId="9334"/>
    <cellStyle name="Normal 2 2 4 2 3 2 2 5 2" xfId="36751"/>
    <cellStyle name="Normal 2 2 4 2 3 2 2 5 2 2" xfId="44716"/>
    <cellStyle name="Normal 2 2 4 2 3 2 2 6" xfId="22830"/>
    <cellStyle name="Normal 2 2 4 2 3 2 3" xfId="2060"/>
    <cellStyle name="Normal 2 2 4 2 3 2 3 2" xfId="2606"/>
    <cellStyle name="Normal 2 2 4 2 3 2 3 2 2" xfId="7294"/>
    <cellStyle name="Normal 2 2 4 2 3 2 3 2 2 2" xfId="7826"/>
    <cellStyle name="Normal 2 2 4 2 3 2 3 2 2 2 2" xfId="20846"/>
    <cellStyle name="Normal 2 2 4 2 3 2 3 2 2 2 2 2" xfId="21378"/>
    <cellStyle name="Normal 2 2 4 2 3 2 3 2 2 2 2 2 2" xfId="56172"/>
    <cellStyle name="Normal 2 2 4 2 3 2 3 2 2 2 2 2 2 2" xfId="56704"/>
    <cellStyle name="Normal 2 2 4 2 3 2 3 2 2 2 2 3" xfId="34881"/>
    <cellStyle name="Normal 2 2 4 2 3 2 3 2 2 2 3" xfId="34349"/>
    <cellStyle name="Normal 2 2 4 2 3 2 3 2 2 2 3 2" xfId="43253"/>
    <cellStyle name="Normal 2 2 4 2 3 2 3 2 2 3" xfId="13051"/>
    <cellStyle name="Normal 2 2 4 2 3 2 3 2 2 3 2" xfId="42721"/>
    <cellStyle name="Normal 2 2 4 2 3 2 3 2 2 3 2 2" xfId="48397"/>
    <cellStyle name="Normal 2 2 4 2 3 2 3 2 2 4" xfId="26535"/>
    <cellStyle name="Normal 2 2 4 2 3 2 3 2 3" xfId="12519"/>
    <cellStyle name="Normal 2 2 4 2 3 2 3 2 3 2" xfId="16265"/>
    <cellStyle name="Normal 2 2 4 2 3 2 3 2 3 2 2" xfId="47865"/>
    <cellStyle name="Normal 2 2 4 2 3 2 3 2 3 2 2 2" xfId="51595"/>
    <cellStyle name="Normal 2 2 4 2 3 2 3 2 3 3" xfId="29769"/>
    <cellStyle name="Normal 2 2 4 2 3 2 3 2 4" xfId="26003"/>
    <cellStyle name="Normal 2 2 4 2 3 2 3 2 4 2" xfId="38079"/>
    <cellStyle name="Normal 2 2 4 2 3 2 3 3" xfId="4640"/>
    <cellStyle name="Normal 2 2 4 2 3 2 3 3 2" xfId="15724"/>
    <cellStyle name="Normal 2 2 4 2 3 2 3 3 2 2" xfId="18220"/>
    <cellStyle name="Normal 2 2 4 2 3 2 3 3 2 2 2" xfId="51056"/>
    <cellStyle name="Normal 2 2 4 2 3 2 3 3 2 2 2 2" xfId="53546"/>
    <cellStyle name="Normal 2 2 4 2 3 2 3 3 2 3" xfId="31721"/>
    <cellStyle name="Normal 2 2 4 2 3 2 3 3 3" xfId="29230"/>
    <cellStyle name="Normal 2 2 4 2 3 2 3 3 3 2" xfId="40079"/>
    <cellStyle name="Normal 2 2 4 2 3 2 3 4" xfId="9843"/>
    <cellStyle name="Normal 2 2 4 2 3 2 3 4 2" xfId="37538"/>
    <cellStyle name="Normal 2 2 4 2 3 2 3 4 2 2" xfId="45213"/>
    <cellStyle name="Normal 2 2 4 2 3 2 3 5" xfId="23336"/>
    <cellStyle name="Normal 2 2 4 2 3 2 4" xfId="4076"/>
    <cellStyle name="Normal 2 2 4 2 3 2 4 2" xfId="5845"/>
    <cellStyle name="Normal 2 2 4 2 3 2 4 2 2" xfId="17669"/>
    <cellStyle name="Normal 2 2 4 2 3 2 4 2 2 2" xfId="19413"/>
    <cellStyle name="Normal 2 2 4 2 3 2 4 2 2 2 2" xfId="52996"/>
    <cellStyle name="Normal 2 2 4 2 3 2 4 2 2 2 2 2" xfId="54739"/>
    <cellStyle name="Normal 2 2 4 2 3 2 4 2 2 3" xfId="32914"/>
    <cellStyle name="Normal 2 2 4 2 3 2 4 2 3" xfId="31171"/>
    <cellStyle name="Normal 2 2 4 2 3 2 4 2 3 2" xfId="41280"/>
    <cellStyle name="Normal 2 2 4 2 3 2 4 3" xfId="11068"/>
    <cellStyle name="Normal 2 2 4 2 3 2 4 3 2" xfId="39519"/>
    <cellStyle name="Normal 2 2 4 2 3 2 4 3 2 2" xfId="46427"/>
    <cellStyle name="Normal 2 2 4 2 3 2 4 4" xfId="24562"/>
    <cellStyle name="Normal 2 2 4 2 3 2 5" xfId="9267"/>
    <cellStyle name="Normal 2 2 4 2 3 2 5 2" xfId="14229"/>
    <cellStyle name="Normal 2 2 4 2 3 2 5 2 2" xfId="44649"/>
    <cellStyle name="Normal 2 2 4 2 3 2 5 2 2 2" xfId="49574"/>
    <cellStyle name="Normal 2 2 4 2 3 2 5 3" xfId="27736"/>
    <cellStyle name="Normal 2 2 4 2 3 2 6" xfId="22763"/>
    <cellStyle name="Normal 2 2 4 2 3 2 6 2" xfId="36041"/>
    <cellStyle name="Normal 2 2 4 2 3 3" xfId="837"/>
    <cellStyle name="Normal 2 2 4 2 3 3 2" xfId="2528"/>
    <cellStyle name="Normal 2 2 4 2 3 3 2 2" xfId="2889"/>
    <cellStyle name="Normal 2 2 4 2 3 3 2 2 2" xfId="7753"/>
    <cellStyle name="Normal 2 2 4 2 3 3 2 2 2 2" xfId="8104"/>
    <cellStyle name="Normal 2 2 4 2 3 3 2 2 2 2 2" xfId="21305"/>
    <cellStyle name="Normal 2 2 4 2 3 3 2 2 2 2 2 2" xfId="21656"/>
    <cellStyle name="Normal 2 2 4 2 3 3 2 2 2 2 2 2 2" xfId="56631"/>
    <cellStyle name="Normal 2 2 4 2 3 3 2 2 2 2 2 2 2 2" xfId="56982"/>
    <cellStyle name="Normal 2 2 4 2 3 3 2 2 2 2 2 3" xfId="35159"/>
    <cellStyle name="Normal 2 2 4 2 3 3 2 2 2 2 3" xfId="34808"/>
    <cellStyle name="Normal 2 2 4 2 3 3 2 2 2 2 3 2" xfId="43531"/>
    <cellStyle name="Normal 2 2 4 2 3 3 2 2 2 3" xfId="13329"/>
    <cellStyle name="Normal 2 2 4 2 3 3 2 2 2 3 2" xfId="43180"/>
    <cellStyle name="Normal 2 2 4 2 3 3 2 2 2 3 2 2" xfId="48675"/>
    <cellStyle name="Normal 2 2 4 2 3 3 2 2 2 4" xfId="26814"/>
    <cellStyle name="Normal 2 2 4 2 3 3 2 2 3" xfId="12978"/>
    <cellStyle name="Normal 2 2 4 2 3 3 2 2 3 2" xfId="16546"/>
    <cellStyle name="Normal 2 2 4 2 3 3 2 2 3 2 2" xfId="48324"/>
    <cellStyle name="Normal 2 2 4 2 3 3 2 2 3 2 2 2" xfId="51874"/>
    <cellStyle name="Normal 2 2 4 2 3 3 2 2 3 3" xfId="30048"/>
    <cellStyle name="Normal 2 2 4 2 3 3 2 2 4" xfId="26462"/>
    <cellStyle name="Normal 2 2 4 2 3 3 2 2 4 2" xfId="38358"/>
    <cellStyle name="Normal 2 2 4 2 3 3 2 3" xfId="4925"/>
    <cellStyle name="Normal 2 2 4 2 3 3 2 3 2" xfId="16189"/>
    <cellStyle name="Normal 2 2 4 2 3 3 2 3 2 2" xfId="18498"/>
    <cellStyle name="Normal 2 2 4 2 3 3 2 3 2 2 2" xfId="51520"/>
    <cellStyle name="Normal 2 2 4 2 3 3 2 3 2 2 2 2" xfId="53824"/>
    <cellStyle name="Normal 2 2 4 2 3 3 2 3 2 3" xfId="31999"/>
    <cellStyle name="Normal 2 2 4 2 3 3 2 3 3" xfId="29694"/>
    <cellStyle name="Normal 2 2 4 2 3 3 2 3 3 2" xfId="40362"/>
    <cellStyle name="Normal 2 2 4 2 3 3 2 4" xfId="10128"/>
    <cellStyle name="Normal 2 2 4 2 3 3 2 4 2" xfId="38003"/>
    <cellStyle name="Normal 2 2 4 2 3 3 2 4 2 2" xfId="45491"/>
    <cellStyle name="Normal 2 2 4 2 3 3 2 5" xfId="23614"/>
    <cellStyle name="Normal 2 2 4 2 3 3 3" xfId="4563"/>
    <cellStyle name="Normal 2 2 4 2 3 3 3 2" xfId="6152"/>
    <cellStyle name="Normal 2 2 4 2 3 3 3 2 2" xfId="18146"/>
    <cellStyle name="Normal 2 2 4 2 3 3 3 2 2 2" xfId="19712"/>
    <cellStyle name="Normal 2 2 4 2 3 3 3 2 2 2 2" xfId="53472"/>
    <cellStyle name="Normal 2 2 4 2 3 3 3 2 2 2 2 2" xfId="55038"/>
    <cellStyle name="Normal 2 2 4 2 3 3 3 2 2 3" xfId="33214"/>
    <cellStyle name="Normal 2 2 4 2 3 3 3 2 3" xfId="31647"/>
    <cellStyle name="Normal 2 2 4 2 3 3 3 2 3 2" xfId="41583"/>
    <cellStyle name="Normal 2 2 4 2 3 3 3 3" xfId="11378"/>
    <cellStyle name="Normal 2 2 4 2 3 3 3 3 2" xfId="40004"/>
    <cellStyle name="Normal 2 2 4 2 3 3 3 3 2 2" xfId="46729"/>
    <cellStyle name="Normal 2 2 4 2 3 3 3 4" xfId="24866"/>
    <cellStyle name="Normal 2 2 4 2 3 3 4" xfId="9766"/>
    <cellStyle name="Normal 2 2 4 2 3 3 4 2" xfId="14535"/>
    <cellStyle name="Normal 2 2 4 2 3 3 4 2 2" xfId="45139"/>
    <cellStyle name="Normal 2 2 4 2 3 3 4 2 2 2" xfId="49876"/>
    <cellStyle name="Normal 2 2 4 2 3 3 4 3" xfId="28046"/>
    <cellStyle name="Normal 2 2 4 2 3 3 5" xfId="23262"/>
    <cellStyle name="Normal 2 2 4 2 3 3 5 2" xfId="36345"/>
    <cellStyle name="Normal 2 2 4 2 3 4" xfId="1632"/>
    <cellStyle name="Normal 2 2 4 2 3 4 2" xfId="5769"/>
    <cellStyle name="Normal 2 2 4 2 3 4 2 2" xfId="6898"/>
    <cellStyle name="Normal 2 2 4 2 3 4 2 2 2" xfId="19338"/>
    <cellStyle name="Normal 2 2 4 2 3 4 2 2 2 2" xfId="20451"/>
    <cellStyle name="Normal 2 2 4 2 3 4 2 2 2 2 2" xfId="54664"/>
    <cellStyle name="Normal 2 2 4 2 3 4 2 2 2 2 2 2" xfId="55777"/>
    <cellStyle name="Normal 2 2 4 2 3 4 2 2 2 3" xfId="33953"/>
    <cellStyle name="Normal 2 2 4 2 3 4 2 2 3" xfId="32839"/>
    <cellStyle name="Normal 2 2 4 2 3 4 2 2 3 2" xfId="42326"/>
    <cellStyle name="Normal 2 2 4 2 3 4 2 3" xfId="12122"/>
    <cellStyle name="Normal 2 2 4 2 3 4 2 3 2" xfId="41204"/>
    <cellStyle name="Normal 2 2 4 2 3 4 2 3 2 2" xfId="47469"/>
    <cellStyle name="Normal 2 2 4 2 3 4 2 4" xfId="25607"/>
    <cellStyle name="Normal 2 2 4 2 3 4 3" xfId="10990"/>
    <cellStyle name="Normal 2 2 4 2 3 4 3 2" xfId="15306"/>
    <cellStyle name="Normal 2 2 4 2 3 4 3 2 2" xfId="46349"/>
    <cellStyle name="Normal 2 2 4 2 3 4 3 2 2 2" xfId="50641"/>
    <cellStyle name="Normal 2 2 4 2 3 4 3 3" xfId="28815"/>
    <cellStyle name="Normal 2 2 4 2 3 4 4" xfId="24483"/>
    <cellStyle name="Normal 2 2 4 2 3 4 4 2" xfId="37117"/>
    <cellStyle name="Normal 2 2 4 2 3 5" xfId="3636"/>
    <cellStyle name="Normal 2 2 4 2 3 5 2" xfId="14153"/>
    <cellStyle name="Normal 2 2 4 2 3 5 2 2" xfId="17266"/>
    <cellStyle name="Normal 2 2 4 2 3 5 2 2 2" xfId="49498"/>
    <cellStyle name="Normal 2 2 4 2 3 5 2 2 2 2" xfId="52593"/>
    <cellStyle name="Normal 2 2 4 2 3 5 2 3" xfId="30767"/>
    <cellStyle name="Normal 2 2 4 2 3 5 3" xfId="27655"/>
    <cellStyle name="Normal 2 2 4 2 3 5 3 2" xfId="39091"/>
    <cellStyle name="Normal 2 2 4 2 3 6" xfId="8831"/>
    <cellStyle name="Normal 2 2 4 2 3 6 2" xfId="35964"/>
    <cellStyle name="Normal 2 2 4 2 3 6 2 2" xfId="44238"/>
    <cellStyle name="Normal 2 2 4 2 3 7" xfId="22346"/>
    <cellStyle name="Normal 2 2 4 2 4" xfId="748"/>
    <cellStyle name="Normal 2 2 4 2 4 2" xfId="1013"/>
    <cellStyle name="Normal 2 2 4 2 4 2 2" xfId="2816"/>
    <cellStyle name="Normal 2 2 4 2 4 2 2 2" xfId="3050"/>
    <cellStyle name="Normal 2 2 4 2 4 2 2 2 2" xfId="8032"/>
    <cellStyle name="Normal 2 2 4 2 4 2 2 2 2 2" xfId="8265"/>
    <cellStyle name="Normal 2 2 4 2 4 2 2 2 2 2 2" xfId="21584"/>
    <cellStyle name="Normal 2 2 4 2 4 2 2 2 2 2 2 2" xfId="21817"/>
    <cellStyle name="Normal 2 2 4 2 4 2 2 2 2 2 2 2 2" xfId="56910"/>
    <cellStyle name="Normal 2 2 4 2 4 2 2 2 2 2 2 2 2 2" xfId="57143"/>
    <cellStyle name="Normal 2 2 4 2 4 2 2 2 2 2 2 3" xfId="35320"/>
    <cellStyle name="Normal 2 2 4 2 4 2 2 2 2 2 3" xfId="35087"/>
    <cellStyle name="Normal 2 2 4 2 4 2 2 2 2 2 3 2" xfId="43692"/>
    <cellStyle name="Normal 2 2 4 2 4 2 2 2 2 3" xfId="13490"/>
    <cellStyle name="Normal 2 2 4 2 4 2 2 2 2 3 2" xfId="43459"/>
    <cellStyle name="Normal 2 2 4 2 4 2 2 2 2 3 2 2" xfId="48836"/>
    <cellStyle name="Normal 2 2 4 2 4 2 2 2 2 4" xfId="26975"/>
    <cellStyle name="Normal 2 2 4 2 4 2 2 2 3" xfId="13257"/>
    <cellStyle name="Normal 2 2 4 2 4 2 2 2 3 2" xfId="16707"/>
    <cellStyle name="Normal 2 2 4 2 4 2 2 2 3 2 2" xfId="48603"/>
    <cellStyle name="Normal 2 2 4 2 4 2 2 2 3 2 2 2" xfId="52035"/>
    <cellStyle name="Normal 2 2 4 2 4 2 2 2 3 3" xfId="30209"/>
    <cellStyle name="Normal 2 2 4 2 4 2 2 2 4" xfId="26741"/>
    <cellStyle name="Normal 2 2 4 2 4 2 2 2 4 2" xfId="38519"/>
    <cellStyle name="Normal 2 2 4 2 4 2 2 3" xfId="5087"/>
    <cellStyle name="Normal 2 2 4 2 4 2 2 3 2" xfId="16474"/>
    <cellStyle name="Normal 2 2 4 2 4 2 2 3 2 2" xfId="18660"/>
    <cellStyle name="Normal 2 2 4 2 4 2 2 3 2 2 2" xfId="51802"/>
    <cellStyle name="Normal 2 2 4 2 4 2 2 3 2 2 2 2" xfId="53986"/>
    <cellStyle name="Normal 2 2 4 2 4 2 2 3 2 3" xfId="32161"/>
    <cellStyle name="Normal 2 2 4 2 4 2 2 3 3" xfId="29976"/>
    <cellStyle name="Normal 2 2 4 2 4 2 2 3 3 2" xfId="40524"/>
    <cellStyle name="Normal 2 2 4 2 4 2 2 4" xfId="10290"/>
    <cellStyle name="Normal 2 2 4 2 4 2 2 4 2" xfId="38286"/>
    <cellStyle name="Normal 2 2 4 2 4 2 2 4 2 2" xfId="45653"/>
    <cellStyle name="Normal 2 2 4 2 4 2 2 5" xfId="23776"/>
    <cellStyle name="Normal 2 2 4 2 4 2 3" xfId="4852"/>
    <cellStyle name="Normal 2 2 4 2 4 2 3 2" xfId="6323"/>
    <cellStyle name="Normal 2 2 4 2 4 2 3 2 2" xfId="18426"/>
    <cellStyle name="Normal 2 2 4 2 4 2 3 2 2 2" xfId="19880"/>
    <cellStyle name="Normal 2 2 4 2 4 2 3 2 2 2 2" xfId="53752"/>
    <cellStyle name="Normal 2 2 4 2 4 2 3 2 2 2 2 2" xfId="55206"/>
    <cellStyle name="Normal 2 2 4 2 4 2 3 2 2 3" xfId="33382"/>
    <cellStyle name="Normal 2 2 4 2 4 2 3 2 3" xfId="31927"/>
    <cellStyle name="Normal 2 2 4 2 4 2 3 2 3 2" xfId="41752"/>
    <cellStyle name="Normal 2 2 4 2 4 2 3 3" xfId="11549"/>
    <cellStyle name="Normal 2 2 4 2 4 2 3 3 2" xfId="40289"/>
    <cellStyle name="Normal 2 2 4 2 4 2 3 3 2 2" xfId="46898"/>
    <cellStyle name="Normal 2 2 4 2 4 2 3 4" xfId="25035"/>
    <cellStyle name="Normal 2 2 4 2 4 2 4" xfId="10055"/>
    <cellStyle name="Normal 2 2 4 2 4 2 4 2" xfId="14706"/>
    <cellStyle name="Normal 2 2 4 2 4 2 4 2 2" xfId="45419"/>
    <cellStyle name="Normal 2 2 4 2 4 2 4 2 2 2" xfId="50045"/>
    <cellStyle name="Normal 2 2 4 2 4 2 4 3" xfId="28218"/>
    <cellStyle name="Normal 2 2 4 2 4 2 5" xfId="23542"/>
    <cellStyle name="Normal 2 2 4 2 4 2 5 2" xfId="36514"/>
    <cellStyle name="Normal 2 2 4 2 4 3" xfId="1816"/>
    <cellStyle name="Normal 2 2 4 2 4 3 2" xfId="6068"/>
    <cellStyle name="Normal 2 2 4 2 4 3 2 2" xfId="7068"/>
    <cellStyle name="Normal 2 2 4 2 4 3 2 2 2" xfId="19632"/>
    <cellStyle name="Normal 2 2 4 2 4 3 2 2 2 2" xfId="20621"/>
    <cellStyle name="Normal 2 2 4 2 4 3 2 2 2 2 2" xfId="54958"/>
    <cellStyle name="Normal 2 2 4 2 4 3 2 2 2 2 2 2" xfId="55947"/>
    <cellStyle name="Normal 2 2 4 2 4 3 2 2 2 3" xfId="34123"/>
    <cellStyle name="Normal 2 2 4 2 4 3 2 2 3" xfId="33133"/>
    <cellStyle name="Normal 2 2 4 2 4 3 2 2 3 2" xfId="42496"/>
    <cellStyle name="Normal 2 2 4 2 4 3 2 3" xfId="12292"/>
    <cellStyle name="Normal 2 2 4 2 4 3 2 3 2" xfId="41502"/>
    <cellStyle name="Normal 2 2 4 2 4 3 2 3 2 2" xfId="47639"/>
    <cellStyle name="Normal 2 2 4 2 4 3 2 4" xfId="25777"/>
    <cellStyle name="Normal 2 2 4 2 4 3 3" xfId="11294"/>
    <cellStyle name="Normal 2 2 4 2 4 3 3 2" xfId="15488"/>
    <cellStyle name="Normal 2 2 4 2 4 3 3 2 2" xfId="46649"/>
    <cellStyle name="Normal 2 2 4 2 4 3 3 2 2 2" xfId="50821"/>
    <cellStyle name="Normal 2 2 4 2 4 3 3 3" xfId="28995"/>
    <cellStyle name="Normal 2 2 4 2 4 3 4" xfId="24786"/>
    <cellStyle name="Normal 2 2 4 2 4 3 4 2" xfId="37298"/>
    <cellStyle name="Normal 2 2 4 2 4 4" xfId="3826"/>
    <cellStyle name="Normal 2 2 4 2 4 4 2" xfId="14453"/>
    <cellStyle name="Normal 2 2 4 2 4 4 2 2" xfId="17441"/>
    <cellStyle name="Normal 2 2 4 2 4 4 2 2 2" xfId="49796"/>
    <cellStyle name="Normal 2 2 4 2 4 4 2 2 2 2" xfId="52768"/>
    <cellStyle name="Normal 2 2 4 2 4 4 2 3" xfId="30942"/>
    <cellStyle name="Normal 2 2 4 2 4 4 3" xfId="27964"/>
    <cellStyle name="Normal 2 2 4 2 4 4 3 2" xfId="39276"/>
    <cellStyle name="Normal 2 2 4 2 4 5" xfId="9018"/>
    <cellStyle name="Normal 2 2 4 2 4 5 2" xfId="36264"/>
    <cellStyle name="Normal 2 2 4 2 4 5 2 2" xfId="44416"/>
    <cellStyle name="Normal 2 2 4 2 4 6" xfId="22527"/>
    <cellStyle name="Normal 2 2 4 2 5" xfId="1533"/>
    <cellStyle name="Normal 2 2 4 2 5 2" xfId="2277"/>
    <cellStyle name="Normal 2 2 4 2 5 2 2" xfId="6818"/>
    <cellStyle name="Normal 2 2 4 2 5 2 2 2" xfId="7511"/>
    <cellStyle name="Normal 2 2 4 2 5 2 2 2 2" xfId="20371"/>
    <cellStyle name="Normal 2 2 4 2 5 2 2 2 2 2" xfId="21063"/>
    <cellStyle name="Normal 2 2 4 2 5 2 2 2 2 2 2" xfId="55697"/>
    <cellStyle name="Normal 2 2 4 2 5 2 2 2 2 2 2 2" xfId="56389"/>
    <cellStyle name="Normal 2 2 4 2 5 2 2 2 2 3" xfId="34566"/>
    <cellStyle name="Normal 2 2 4 2 5 2 2 2 3" xfId="33873"/>
    <cellStyle name="Normal 2 2 4 2 5 2 2 2 3 2" xfId="42938"/>
    <cellStyle name="Normal 2 2 4 2 5 2 2 3" xfId="12736"/>
    <cellStyle name="Normal 2 2 4 2 5 2 2 3 2" xfId="42246"/>
    <cellStyle name="Normal 2 2 4 2 5 2 2 3 2 2" xfId="48082"/>
    <cellStyle name="Normal 2 2 4 2 5 2 2 4" xfId="26220"/>
    <cellStyle name="Normal 2 2 4 2 5 2 3" xfId="12042"/>
    <cellStyle name="Normal 2 2 4 2 5 2 3 2" xfId="15941"/>
    <cellStyle name="Normal 2 2 4 2 5 2 3 2 2" xfId="47389"/>
    <cellStyle name="Normal 2 2 4 2 5 2 3 2 2 2" xfId="51273"/>
    <cellStyle name="Normal 2 2 4 2 5 2 3 3" xfId="29447"/>
    <cellStyle name="Normal 2 2 4 2 5 2 4" xfId="25527"/>
    <cellStyle name="Normal 2 2 4 2 5 2 4 2" xfId="37755"/>
    <cellStyle name="Normal 2 2 4 2 5 3" xfId="4301"/>
    <cellStyle name="Normal 2 2 4 2 5 3 2" xfId="15212"/>
    <cellStyle name="Normal 2 2 4 2 5 3 2 2" xfId="17894"/>
    <cellStyle name="Normal 2 2 4 2 5 3 2 2 2" xfId="50550"/>
    <cellStyle name="Normal 2 2 4 2 5 3 2 2 2 2" xfId="53221"/>
    <cellStyle name="Normal 2 2 4 2 5 3 2 3" xfId="31396"/>
    <cellStyle name="Normal 2 2 4 2 5 3 3" xfId="28724"/>
    <cellStyle name="Normal 2 2 4 2 5 3 3 2" xfId="39744"/>
    <cellStyle name="Normal 2 2 4 2 5 4" xfId="9495"/>
    <cellStyle name="Normal 2 2 4 2 5 4 2" xfId="37023"/>
    <cellStyle name="Normal 2 2 4 2 5 4 2 2" xfId="44877"/>
    <cellStyle name="Normal 2 2 4 2 5 5" xfId="22992"/>
    <cellStyle name="Normal 2 2 4 2 6" xfId="3534"/>
    <cellStyle name="Normal 2 2 4 2 6 2" xfId="5516"/>
    <cellStyle name="Normal 2 2 4 2 6 2 2" xfId="17183"/>
    <cellStyle name="Normal 2 2 4 2 6 2 2 2" xfId="19089"/>
    <cellStyle name="Normal 2 2 4 2 6 2 2 2 2" xfId="52510"/>
    <cellStyle name="Normal 2 2 4 2 6 2 2 2 2 2" xfId="54415"/>
    <cellStyle name="Normal 2 2 4 2 6 2 2 3" xfId="32590"/>
    <cellStyle name="Normal 2 2 4 2 6 2 3" xfId="30684"/>
    <cellStyle name="Normal 2 2 4 2 6 2 3 2" xfId="40953"/>
    <cellStyle name="Normal 2 2 4 2 6 3" xfId="10719"/>
    <cellStyle name="Normal 2 2 4 2 6 3 2" xfId="38997"/>
    <cellStyle name="Normal 2 2 4 2 6 3 2 2" xfId="46082"/>
    <cellStyle name="Normal 2 2 4 2 6 4" xfId="24205"/>
    <cellStyle name="Normal 2 2 4 2 7" xfId="8727"/>
    <cellStyle name="Normal 2 2 4 2 7 2" xfId="10922"/>
    <cellStyle name="Normal 2 2 4 2 7 2 2" xfId="44151"/>
    <cellStyle name="Normal 2 2 4 2 7 2 2 2" xfId="46282"/>
    <cellStyle name="Normal 2 2 4 2 7 3" xfId="24414"/>
    <cellStyle name="Normal 2 2 4 2 8" xfId="22255"/>
    <cellStyle name="Normal 2 2 4 2 8 2" xfId="26810"/>
    <cellStyle name="Normal 2 2 4 3" xfId="131"/>
    <cellStyle name="Normal 2 2 4 3 2" xfId="498"/>
    <cellStyle name="Normal 2 2 4 3 2 2" xfId="520"/>
    <cellStyle name="Normal 2 2 4 3 2 2 2" xfId="1310"/>
    <cellStyle name="Normal 2 2 4 3 2 2 2 2" xfId="1330"/>
    <cellStyle name="Normal 2 2 4 3 2 2 2 2 2" xfId="3328"/>
    <cellStyle name="Normal 2 2 4 3 2 2 2 2 2 2" xfId="3348"/>
    <cellStyle name="Normal 2 2 4 3 2 2 2 2 2 2 2" xfId="8543"/>
    <cellStyle name="Normal 2 2 4 3 2 2 2 2 2 2 2 2" xfId="8563"/>
    <cellStyle name="Normal 2 2 4 3 2 2 2 2 2 2 2 2 2" xfId="22095"/>
    <cellStyle name="Normal 2 2 4 3 2 2 2 2 2 2 2 2 2 2" xfId="22115"/>
    <cellStyle name="Normal 2 2 4 3 2 2 2 2 2 2 2 2 2 2 2" xfId="57421"/>
    <cellStyle name="Normal 2 2 4 3 2 2 2 2 2 2 2 2 2 2 2 2" xfId="57441"/>
    <cellStyle name="Normal 2 2 4 3 2 2 2 2 2 2 2 2 2 3" xfId="35618"/>
    <cellStyle name="Normal 2 2 4 3 2 2 2 2 2 2 2 2 3" xfId="35598"/>
    <cellStyle name="Normal 2 2 4 3 2 2 2 2 2 2 2 2 3 2" xfId="43990"/>
    <cellStyle name="Normal 2 2 4 3 2 2 2 2 2 2 2 3" xfId="13788"/>
    <cellStyle name="Normal 2 2 4 3 2 2 2 2 2 2 2 3 2" xfId="43970"/>
    <cellStyle name="Normal 2 2 4 3 2 2 2 2 2 2 2 3 2 2" xfId="49134"/>
    <cellStyle name="Normal 2 2 4 3 2 2 2 2 2 2 2 4" xfId="27273"/>
    <cellStyle name="Normal 2 2 4 3 2 2 2 2 2 2 3" xfId="13768"/>
    <cellStyle name="Normal 2 2 4 3 2 2 2 2 2 2 3 2" xfId="17005"/>
    <cellStyle name="Normal 2 2 4 3 2 2 2 2 2 2 3 2 2" xfId="49114"/>
    <cellStyle name="Normal 2 2 4 3 2 2 2 2 2 2 3 2 2 2" xfId="52333"/>
    <cellStyle name="Normal 2 2 4 3 2 2 2 2 2 2 3 3" xfId="30507"/>
    <cellStyle name="Normal 2 2 4 3 2 2 2 2 2 2 4" xfId="27253"/>
    <cellStyle name="Normal 2 2 4 3 2 2 2 2 2 2 4 2" xfId="38817"/>
    <cellStyle name="Normal 2 2 4 3 2 2 2 2 2 3" xfId="5385"/>
    <cellStyle name="Normal 2 2 4 3 2 2 2 2 2 3 2" xfId="16985"/>
    <cellStyle name="Normal 2 2 4 3 2 2 2 2 2 3 2 2" xfId="18958"/>
    <cellStyle name="Normal 2 2 4 3 2 2 2 2 2 3 2 2 2" xfId="52313"/>
    <cellStyle name="Normal 2 2 4 3 2 2 2 2 2 3 2 2 2 2" xfId="54284"/>
    <cellStyle name="Normal 2 2 4 3 2 2 2 2 2 3 2 3" xfId="32459"/>
    <cellStyle name="Normal 2 2 4 3 2 2 2 2 2 3 3" xfId="30487"/>
    <cellStyle name="Normal 2 2 4 3 2 2 2 2 2 3 3 2" xfId="40822"/>
    <cellStyle name="Normal 2 2 4 3 2 2 2 2 2 4" xfId="10588"/>
    <cellStyle name="Normal 2 2 4 3 2 2 2 2 2 4 2" xfId="38797"/>
    <cellStyle name="Normal 2 2 4 3 2 2 2 2 2 4 2 2" xfId="45951"/>
    <cellStyle name="Normal 2 2 4 3 2 2 2 2 2 5" xfId="24074"/>
    <cellStyle name="Normal 2 2 4 3 2 2 2 2 3" xfId="5365"/>
    <cellStyle name="Normal 2 2 4 3 2 2 2 2 3 2" xfId="6638"/>
    <cellStyle name="Normal 2 2 4 3 2 2 2 2 3 2 2" xfId="18938"/>
    <cellStyle name="Normal 2 2 4 3 2 2 2 2 3 2 2 2" xfId="20191"/>
    <cellStyle name="Normal 2 2 4 3 2 2 2 2 3 2 2 2 2" xfId="54264"/>
    <cellStyle name="Normal 2 2 4 3 2 2 2 2 3 2 2 2 2 2" xfId="55517"/>
    <cellStyle name="Normal 2 2 4 3 2 2 2 2 3 2 2 3" xfId="33693"/>
    <cellStyle name="Normal 2 2 4 3 2 2 2 2 3 2 3" xfId="32439"/>
    <cellStyle name="Normal 2 2 4 3 2 2 2 2 3 2 3 2" xfId="42066"/>
    <cellStyle name="Normal 2 2 4 3 2 2 2 2 3 3" xfId="11861"/>
    <cellStyle name="Normal 2 2 4 3 2 2 2 2 3 3 2" xfId="40802"/>
    <cellStyle name="Normal 2 2 4 3 2 2 2 2 3 3 2 2" xfId="47209"/>
    <cellStyle name="Normal 2 2 4 3 2 2 2 2 3 4" xfId="25346"/>
    <cellStyle name="Normal 2 2 4 3 2 2 2 2 4" xfId="10568"/>
    <cellStyle name="Normal 2 2 4 3 2 2 2 2 4 2" xfId="15019"/>
    <cellStyle name="Normal 2 2 4 3 2 2 2 2 4 2 2" xfId="45931"/>
    <cellStyle name="Normal 2 2 4 3 2 2 2 2 4 2 2 2" xfId="50358"/>
    <cellStyle name="Normal 2 2 4 3 2 2 2 2 4 3" xfId="28532"/>
    <cellStyle name="Normal 2 2 4 3 2 2 2 2 5" xfId="24054"/>
    <cellStyle name="Normal 2 2 4 3 2 2 2 2 5 2" xfId="36827"/>
    <cellStyle name="Normal 2 2 4 3 2 2 2 3" xfId="2137"/>
    <cellStyle name="Normal 2 2 4 3 2 2 2 3 2" xfId="6618"/>
    <cellStyle name="Normal 2 2 4 3 2 2 2 3 2 2" xfId="7371"/>
    <cellStyle name="Normal 2 2 4 3 2 2 2 3 2 2 2" xfId="20171"/>
    <cellStyle name="Normal 2 2 4 3 2 2 2 3 2 2 2 2" xfId="20923"/>
    <cellStyle name="Normal 2 2 4 3 2 2 2 3 2 2 2 2 2" xfId="55497"/>
    <cellStyle name="Normal 2 2 4 3 2 2 2 3 2 2 2 2 2 2" xfId="56249"/>
    <cellStyle name="Normal 2 2 4 3 2 2 2 3 2 2 2 3" xfId="34426"/>
    <cellStyle name="Normal 2 2 4 3 2 2 2 3 2 2 3" xfId="33673"/>
    <cellStyle name="Normal 2 2 4 3 2 2 2 3 2 2 3 2" xfId="42798"/>
    <cellStyle name="Normal 2 2 4 3 2 2 2 3 2 3" xfId="12596"/>
    <cellStyle name="Normal 2 2 4 3 2 2 2 3 2 3 2" xfId="42046"/>
    <cellStyle name="Normal 2 2 4 3 2 2 2 3 2 3 2 2" xfId="47942"/>
    <cellStyle name="Normal 2 2 4 3 2 2 2 3 2 4" xfId="26080"/>
    <cellStyle name="Normal 2 2 4 3 2 2 2 3 3" xfId="11841"/>
    <cellStyle name="Normal 2 2 4 3 2 2 2 3 3 2" xfId="15801"/>
    <cellStyle name="Normal 2 2 4 3 2 2 2 3 3 2 2" xfId="47189"/>
    <cellStyle name="Normal 2 2 4 3 2 2 2 3 3 2 2 2" xfId="51133"/>
    <cellStyle name="Normal 2 2 4 3 2 2 2 3 3 3" xfId="29307"/>
    <cellStyle name="Normal 2 2 4 3 2 2 2 3 4" xfId="25326"/>
    <cellStyle name="Normal 2 2 4 3 2 2 2 3 4 2" xfId="37615"/>
    <cellStyle name="Normal 2 2 4 3 2 2 2 4" xfId="4153"/>
    <cellStyle name="Normal 2 2 4 3 2 2 2 4 2" xfId="14999"/>
    <cellStyle name="Normal 2 2 4 3 2 2 2 4 2 2" xfId="17746"/>
    <cellStyle name="Normal 2 2 4 3 2 2 2 4 2 2 2" xfId="50338"/>
    <cellStyle name="Normal 2 2 4 3 2 2 2 4 2 2 2 2" xfId="53073"/>
    <cellStyle name="Normal 2 2 4 3 2 2 2 4 2 3" xfId="31248"/>
    <cellStyle name="Normal 2 2 4 3 2 2 2 4 3" xfId="28512"/>
    <cellStyle name="Normal 2 2 4 3 2 2 2 4 3 2" xfId="39596"/>
    <cellStyle name="Normal 2 2 4 3 2 2 2 5" xfId="9344"/>
    <cellStyle name="Normal 2 2 4 3 2 2 2 5 2" xfId="36807"/>
    <cellStyle name="Normal 2 2 4 3 2 2 2 5 2 2" xfId="44726"/>
    <cellStyle name="Normal 2 2 4 3 2 2 2 6" xfId="22840"/>
    <cellStyle name="Normal 2 2 4 3 2 2 3" xfId="2117"/>
    <cellStyle name="Normal 2 2 4 3 2 2 3 2" xfId="2616"/>
    <cellStyle name="Normal 2 2 4 3 2 2 3 2 2" xfId="7351"/>
    <cellStyle name="Normal 2 2 4 3 2 2 3 2 2 2" xfId="7836"/>
    <cellStyle name="Normal 2 2 4 3 2 2 3 2 2 2 2" xfId="20903"/>
    <cellStyle name="Normal 2 2 4 3 2 2 3 2 2 2 2 2" xfId="21388"/>
    <cellStyle name="Normal 2 2 4 3 2 2 3 2 2 2 2 2 2" xfId="56229"/>
    <cellStyle name="Normal 2 2 4 3 2 2 3 2 2 2 2 2 2 2" xfId="56714"/>
    <cellStyle name="Normal 2 2 4 3 2 2 3 2 2 2 2 3" xfId="34891"/>
    <cellStyle name="Normal 2 2 4 3 2 2 3 2 2 2 3" xfId="34406"/>
    <cellStyle name="Normal 2 2 4 3 2 2 3 2 2 2 3 2" xfId="43263"/>
    <cellStyle name="Normal 2 2 4 3 2 2 3 2 2 3" xfId="13061"/>
    <cellStyle name="Normal 2 2 4 3 2 2 3 2 2 3 2" xfId="42778"/>
    <cellStyle name="Normal 2 2 4 3 2 2 3 2 2 3 2 2" xfId="48407"/>
    <cellStyle name="Normal 2 2 4 3 2 2 3 2 2 4" xfId="26545"/>
    <cellStyle name="Normal 2 2 4 3 2 2 3 2 3" xfId="12576"/>
    <cellStyle name="Normal 2 2 4 3 2 2 3 2 3 2" xfId="16275"/>
    <cellStyle name="Normal 2 2 4 3 2 2 3 2 3 2 2" xfId="47922"/>
    <cellStyle name="Normal 2 2 4 3 2 2 3 2 3 2 2 2" xfId="51605"/>
    <cellStyle name="Normal 2 2 4 3 2 2 3 2 3 3" xfId="29779"/>
    <cellStyle name="Normal 2 2 4 3 2 2 3 2 4" xfId="26060"/>
    <cellStyle name="Normal 2 2 4 3 2 2 3 2 4 2" xfId="38089"/>
    <cellStyle name="Normal 2 2 4 3 2 2 3 3" xfId="4650"/>
    <cellStyle name="Normal 2 2 4 3 2 2 3 3 2" xfId="15781"/>
    <cellStyle name="Normal 2 2 4 3 2 2 3 3 2 2" xfId="18230"/>
    <cellStyle name="Normal 2 2 4 3 2 2 3 3 2 2 2" xfId="51113"/>
    <cellStyle name="Normal 2 2 4 3 2 2 3 3 2 2 2 2" xfId="53556"/>
    <cellStyle name="Normal 2 2 4 3 2 2 3 3 2 3" xfId="31731"/>
    <cellStyle name="Normal 2 2 4 3 2 2 3 3 3" xfId="29287"/>
    <cellStyle name="Normal 2 2 4 3 2 2 3 3 3 2" xfId="40089"/>
    <cellStyle name="Normal 2 2 4 3 2 2 3 4" xfId="9853"/>
    <cellStyle name="Normal 2 2 4 3 2 2 3 4 2" xfId="37595"/>
    <cellStyle name="Normal 2 2 4 3 2 2 3 4 2 2" xfId="45223"/>
    <cellStyle name="Normal 2 2 4 3 2 2 3 5" xfId="23346"/>
    <cellStyle name="Normal 2 2 4 3 2 2 4" xfId="4133"/>
    <cellStyle name="Normal 2 2 4 3 2 2 4 2" xfId="5855"/>
    <cellStyle name="Normal 2 2 4 3 2 2 4 2 2" xfId="17726"/>
    <cellStyle name="Normal 2 2 4 3 2 2 4 2 2 2" xfId="19423"/>
    <cellStyle name="Normal 2 2 4 3 2 2 4 2 2 2 2" xfId="53053"/>
    <cellStyle name="Normal 2 2 4 3 2 2 4 2 2 2 2 2" xfId="54749"/>
    <cellStyle name="Normal 2 2 4 3 2 2 4 2 2 3" xfId="32924"/>
    <cellStyle name="Normal 2 2 4 3 2 2 4 2 3" xfId="31228"/>
    <cellStyle name="Normal 2 2 4 3 2 2 4 2 3 2" xfId="41290"/>
    <cellStyle name="Normal 2 2 4 3 2 2 4 3" xfId="11078"/>
    <cellStyle name="Normal 2 2 4 3 2 2 4 3 2" xfId="39576"/>
    <cellStyle name="Normal 2 2 4 3 2 2 4 3 2 2" xfId="46437"/>
    <cellStyle name="Normal 2 2 4 3 2 2 4 4" xfId="24572"/>
    <cellStyle name="Normal 2 2 4 3 2 2 5" xfId="9324"/>
    <cellStyle name="Normal 2 2 4 3 2 2 5 2" xfId="14239"/>
    <cellStyle name="Normal 2 2 4 3 2 2 5 2 2" xfId="44706"/>
    <cellStyle name="Normal 2 2 4 3 2 2 5 2 2 2" xfId="49584"/>
    <cellStyle name="Normal 2 2 4 3 2 2 5 3" xfId="27746"/>
    <cellStyle name="Normal 2 2 4 3 2 2 6" xfId="22820"/>
    <cellStyle name="Normal 2 2 4 3 2 2 6 2" xfId="36051"/>
    <cellStyle name="Normal 2 2 4 3 2 3" xfId="848"/>
    <cellStyle name="Normal 2 2 4 3 2 3 2" xfId="2595"/>
    <cellStyle name="Normal 2 2 4 3 2 3 2 2" xfId="2900"/>
    <cellStyle name="Normal 2 2 4 3 2 3 2 2 2" xfId="7816"/>
    <cellStyle name="Normal 2 2 4 3 2 3 2 2 2 2" xfId="8115"/>
    <cellStyle name="Normal 2 2 4 3 2 3 2 2 2 2 2" xfId="21368"/>
    <cellStyle name="Normal 2 2 4 3 2 3 2 2 2 2 2 2" xfId="21667"/>
    <cellStyle name="Normal 2 2 4 3 2 3 2 2 2 2 2 2 2" xfId="56694"/>
    <cellStyle name="Normal 2 2 4 3 2 3 2 2 2 2 2 2 2 2" xfId="56993"/>
    <cellStyle name="Normal 2 2 4 3 2 3 2 2 2 2 2 3" xfId="35170"/>
    <cellStyle name="Normal 2 2 4 3 2 3 2 2 2 2 3" xfId="34871"/>
    <cellStyle name="Normal 2 2 4 3 2 3 2 2 2 2 3 2" xfId="43542"/>
    <cellStyle name="Normal 2 2 4 3 2 3 2 2 2 3" xfId="13340"/>
    <cellStyle name="Normal 2 2 4 3 2 3 2 2 2 3 2" xfId="43243"/>
    <cellStyle name="Normal 2 2 4 3 2 3 2 2 2 3 2 2" xfId="48686"/>
    <cellStyle name="Normal 2 2 4 3 2 3 2 2 2 4" xfId="26825"/>
    <cellStyle name="Normal 2 2 4 3 2 3 2 2 3" xfId="13041"/>
    <cellStyle name="Normal 2 2 4 3 2 3 2 2 3 2" xfId="16557"/>
    <cellStyle name="Normal 2 2 4 3 2 3 2 2 3 2 2" xfId="48387"/>
    <cellStyle name="Normal 2 2 4 3 2 3 2 2 3 2 2 2" xfId="51885"/>
    <cellStyle name="Normal 2 2 4 3 2 3 2 2 3 3" xfId="30059"/>
    <cellStyle name="Normal 2 2 4 3 2 3 2 2 4" xfId="26525"/>
    <cellStyle name="Normal 2 2 4 3 2 3 2 2 4 2" xfId="38369"/>
    <cellStyle name="Normal 2 2 4 3 2 3 2 3" xfId="4936"/>
    <cellStyle name="Normal 2 2 4 3 2 3 2 3 2" xfId="16254"/>
    <cellStyle name="Normal 2 2 4 3 2 3 2 3 2 2" xfId="18509"/>
    <cellStyle name="Normal 2 2 4 3 2 3 2 3 2 2 2" xfId="51584"/>
    <cellStyle name="Normal 2 2 4 3 2 3 2 3 2 2 2 2" xfId="53835"/>
    <cellStyle name="Normal 2 2 4 3 2 3 2 3 2 3" xfId="32010"/>
    <cellStyle name="Normal 2 2 4 3 2 3 2 3 3" xfId="29758"/>
    <cellStyle name="Normal 2 2 4 3 2 3 2 3 3 2" xfId="40373"/>
    <cellStyle name="Normal 2 2 4 3 2 3 2 4" xfId="10139"/>
    <cellStyle name="Normal 2 2 4 3 2 3 2 4 2" xfId="38068"/>
    <cellStyle name="Normal 2 2 4 3 2 3 2 4 2 2" xfId="45502"/>
    <cellStyle name="Normal 2 2 4 3 2 3 2 5" xfId="23625"/>
    <cellStyle name="Normal 2 2 4 3 2 3 3" xfId="4629"/>
    <cellStyle name="Normal 2 2 4 3 2 3 3 2" xfId="6163"/>
    <cellStyle name="Normal 2 2 4 3 2 3 3 2 2" xfId="18210"/>
    <cellStyle name="Normal 2 2 4 3 2 3 3 2 2 2" xfId="19723"/>
    <cellStyle name="Normal 2 2 4 3 2 3 3 2 2 2 2" xfId="53536"/>
    <cellStyle name="Normal 2 2 4 3 2 3 3 2 2 2 2 2" xfId="55049"/>
    <cellStyle name="Normal 2 2 4 3 2 3 3 2 2 3" xfId="33225"/>
    <cellStyle name="Normal 2 2 4 3 2 3 3 2 3" xfId="31711"/>
    <cellStyle name="Normal 2 2 4 3 2 3 3 2 3 2" xfId="41594"/>
    <cellStyle name="Normal 2 2 4 3 2 3 3 3" xfId="11389"/>
    <cellStyle name="Normal 2 2 4 3 2 3 3 3 2" xfId="40068"/>
    <cellStyle name="Normal 2 2 4 3 2 3 3 3 2 2" xfId="46740"/>
    <cellStyle name="Normal 2 2 4 3 2 3 3 4" xfId="24877"/>
    <cellStyle name="Normal 2 2 4 3 2 3 4" xfId="9833"/>
    <cellStyle name="Normal 2 2 4 3 2 3 4 2" xfId="14546"/>
    <cellStyle name="Normal 2 2 4 3 2 3 4 2 2" xfId="45203"/>
    <cellStyle name="Normal 2 2 4 3 2 3 4 2 2 2" xfId="49887"/>
    <cellStyle name="Normal 2 2 4 3 2 3 4 3" xfId="28057"/>
    <cellStyle name="Normal 2 2 4 3 2 3 5" xfId="23326"/>
    <cellStyle name="Normal 2 2 4 3 2 3 5 2" xfId="36356"/>
    <cellStyle name="Normal 2 2 4 3 2 4" xfId="1643"/>
    <cellStyle name="Normal 2 2 4 3 2 4 2" xfId="5834"/>
    <cellStyle name="Normal 2 2 4 3 2 4 2 2" xfId="6909"/>
    <cellStyle name="Normal 2 2 4 3 2 4 2 2 2" xfId="19402"/>
    <cellStyle name="Normal 2 2 4 3 2 4 2 2 2 2" xfId="20462"/>
    <cellStyle name="Normal 2 2 4 3 2 4 2 2 2 2 2" xfId="54728"/>
    <cellStyle name="Normal 2 2 4 3 2 4 2 2 2 2 2 2" xfId="55788"/>
    <cellStyle name="Normal 2 2 4 3 2 4 2 2 2 3" xfId="33964"/>
    <cellStyle name="Normal 2 2 4 3 2 4 2 2 3" xfId="32903"/>
    <cellStyle name="Normal 2 2 4 3 2 4 2 2 3 2" xfId="42337"/>
    <cellStyle name="Normal 2 2 4 3 2 4 2 3" xfId="12133"/>
    <cellStyle name="Normal 2 2 4 3 2 4 2 3 2" xfId="41269"/>
    <cellStyle name="Normal 2 2 4 3 2 4 2 3 2 2" xfId="47480"/>
    <cellStyle name="Normal 2 2 4 3 2 4 2 4" xfId="25618"/>
    <cellStyle name="Normal 2 2 4 3 2 4 3" xfId="11057"/>
    <cellStyle name="Normal 2 2 4 3 2 4 3 2" xfId="15317"/>
    <cellStyle name="Normal 2 2 4 3 2 4 3 2 2" xfId="46416"/>
    <cellStyle name="Normal 2 2 4 3 2 4 3 2 2 2" xfId="50652"/>
    <cellStyle name="Normal 2 2 4 3 2 4 3 3" xfId="28826"/>
    <cellStyle name="Normal 2 2 4 3 2 4 4" xfId="24551"/>
    <cellStyle name="Normal 2 2 4 3 2 4 4 2" xfId="37128"/>
    <cellStyle name="Normal 2 2 4 3 2 5" xfId="3647"/>
    <cellStyle name="Normal 2 2 4 3 2 5 2" xfId="14218"/>
    <cellStyle name="Normal 2 2 4 3 2 5 2 2" xfId="17277"/>
    <cellStyle name="Normal 2 2 4 3 2 5 2 2 2" xfId="49563"/>
    <cellStyle name="Normal 2 2 4 3 2 5 2 2 2 2" xfId="52604"/>
    <cellStyle name="Normal 2 2 4 3 2 5 2 3" xfId="30778"/>
    <cellStyle name="Normal 2 2 4 3 2 5 3" xfId="27725"/>
    <cellStyle name="Normal 2 2 4 3 2 5 3 2" xfId="39102"/>
    <cellStyle name="Normal 2 2 4 3 2 6" xfId="8842"/>
    <cellStyle name="Normal 2 2 4 3 2 6 2" xfId="36030"/>
    <cellStyle name="Normal 2 2 4 3 2 6 2 2" xfId="44249"/>
    <cellStyle name="Normal 2 2 4 3 2 7" xfId="22357"/>
    <cellStyle name="Normal 2 2 4 3 3" xfId="824"/>
    <cellStyle name="Normal 2 2 4 3 3 2" xfId="1023"/>
    <cellStyle name="Normal 2 2 4 3 3 2 2" xfId="2877"/>
    <cellStyle name="Normal 2 2 4 3 3 2 2 2" xfId="3060"/>
    <cellStyle name="Normal 2 2 4 3 3 2 2 2 2" xfId="8093"/>
    <cellStyle name="Normal 2 2 4 3 3 2 2 2 2 2" xfId="8275"/>
    <cellStyle name="Normal 2 2 4 3 3 2 2 2 2 2 2" xfId="21645"/>
    <cellStyle name="Normal 2 2 4 3 3 2 2 2 2 2 2 2" xfId="21827"/>
    <cellStyle name="Normal 2 2 4 3 3 2 2 2 2 2 2 2 2" xfId="56971"/>
    <cellStyle name="Normal 2 2 4 3 3 2 2 2 2 2 2 2 2 2" xfId="57153"/>
    <cellStyle name="Normal 2 2 4 3 3 2 2 2 2 2 2 3" xfId="35330"/>
    <cellStyle name="Normal 2 2 4 3 3 2 2 2 2 2 3" xfId="35148"/>
    <cellStyle name="Normal 2 2 4 3 3 2 2 2 2 2 3 2" xfId="43702"/>
    <cellStyle name="Normal 2 2 4 3 3 2 2 2 2 3" xfId="13500"/>
    <cellStyle name="Normal 2 2 4 3 3 2 2 2 2 3 2" xfId="43520"/>
    <cellStyle name="Normal 2 2 4 3 3 2 2 2 2 3 2 2" xfId="48846"/>
    <cellStyle name="Normal 2 2 4 3 3 2 2 2 2 4" xfId="26985"/>
    <cellStyle name="Normal 2 2 4 3 3 2 2 2 3" xfId="13318"/>
    <cellStyle name="Normal 2 2 4 3 3 2 2 2 3 2" xfId="16717"/>
    <cellStyle name="Normal 2 2 4 3 3 2 2 2 3 2 2" xfId="48664"/>
    <cellStyle name="Normal 2 2 4 3 3 2 2 2 3 2 2 2" xfId="52045"/>
    <cellStyle name="Normal 2 2 4 3 3 2 2 2 3 3" xfId="30219"/>
    <cellStyle name="Normal 2 2 4 3 3 2 2 2 4" xfId="26802"/>
    <cellStyle name="Normal 2 2 4 3 3 2 2 2 4 2" xfId="38529"/>
    <cellStyle name="Normal 2 2 4 3 3 2 2 3" xfId="5097"/>
    <cellStyle name="Normal 2 2 4 3 3 2 2 3 2" xfId="16535"/>
    <cellStyle name="Normal 2 2 4 3 3 2 2 3 2 2" xfId="18670"/>
    <cellStyle name="Normal 2 2 4 3 3 2 2 3 2 2 2" xfId="51863"/>
    <cellStyle name="Normal 2 2 4 3 3 2 2 3 2 2 2 2" xfId="53996"/>
    <cellStyle name="Normal 2 2 4 3 3 2 2 3 2 3" xfId="32171"/>
    <cellStyle name="Normal 2 2 4 3 3 2 2 3 3" xfId="30037"/>
    <cellStyle name="Normal 2 2 4 3 3 2 2 3 3 2" xfId="40534"/>
    <cellStyle name="Normal 2 2 4 3 3 2 2 4" xfId="10300"/>
    <cellStyle name="Normal 2 2 4 3 3 2 2 4 2" xfId="38347"/>
    <cellStyle name="Normal 2 2 4 3 3 2 2 4 2 2" xfId="45663"/>
    <cellStyle name="Normal 2 2 4 3 3 2 2 5" xfId="23786"/>
    <cellStyle name="Normal 2 2 4 3 3 2 3" xfId="4913"/>
    <cellStyle name="Normal 2 2 4 3 3 2 3 2" xfId="6333"/>
    <cellStyle name="Normal 2 2 4 3 3 2 3 2 2" xfId="18487"/>
    <cellStyle name="Normal 2 2 4 3 3 2 3 2 2 2" xfId="19890"/>
    <cellStyle name="Normal 2 2 4 3 3 2 3 2 2 2 2" xfId="53813"/>
    <cellStyle name="Normal 2 2 4 3 3 2 3 2 2 2 2 2" xfId="55216"/>
    <cellStyle name="Normal 2 2 4 3 3 2 3 2 2 3" xfId="33392"/>
    <cellStyle name="Normal 2 2 4 3 3 2 3 2 3" xfId="31988"/>
    <cellStyle name="Normal 2 2 4 3 3 2 3 2 3 2" xfId="41762"/>
    <cellStyle name="Normal 2 2 4 3 3 2 3 3" xfId="11559"/>
    <cellStyle name="Normal 2 2 4 3 3 2 3 3 2" xfId="40350"/>
    <cellStyle name="Normal 2 2 4 3 3 2 3 3 2 2" xfId="46908"/>
    <cellStyle name="Normal 2 2 4 3 3 2 3 4" xfId="25045"/>
    <cellStyle name="Normal 2 2 4 3 3 2 4" xfId="10116"/>
    <cellStyle name="Normal 2 2 4 3 3 2 4 2" xfId="14716"/>
    <cellStyle name="Normal 2 2 4 3 3 2 4 2 2" xfId="45480"/>
    <cellStyle name="Normal 2 2 4 3 3 2 4 2 2 2" xfId="50055"/>
    <cellStyle name="Normal 2 2 4 3 3 2 4 3" xfId="28228"/>
    <cellStyle name="Normal 2 2 4 3 3 2 5" xfId="23603"/>
    <cellStyle name="Normal 2 2 4 3 3 2 5 2" xfId="36524"/>
    <cellStyle name="Normal 2 2 4 3 3 3" xfId="1826"/>
    <cellStyle name="Normal 2 2 4 3 3 3 2" xfId="6139"/>
    <cellStyle name="Normal 2 2 4 3 3 3 2 2" xfId="7078"/>
    <cellStyle name="Normal 2 2 4 3 3 3 2 2 2" xfId="19700"/>
    <cellStyle name="Normal 2 2 4 3 3 3 2 2 2 2" xfId="20631"/>
    <cellStyle name="Normal 2 2 4 3 3 3 2 2 2 2 2" xfId="55026"/>
    <cellStyle name="Normal 2 2 4 3 3 3 2 2 2 2 2 2" xfId="55957"/>
    <cellStyle name="Normal 2 2 4 3 3 3 2 2 2 3" xfId="34133"/>
    <cellStyle name="Normal 2 2 4 3 3 3 2 2 3" xfId="33201"/>
    <cellStyle name="Normal 2 2 4 3 3 3 2 2 3 2" xfId="42506"/>
    <cellStyle name="Normal 2 2 4 3 3 3 2 3" xfId="12302"/>
    <cellStyle name="Normal 2 2 4 3 3 3 2 3 2" xfId="41571"/>
    <cellStyle name="Normal 2 2 4 3 3 3 2 3 2 2" xfId="47649"/>
    <cellStyle name="Normal 2 2 4 3 3 3 2 4" xfId="25787"/>
    <cellStyle name="Normal 2 2 4 3 3 3 3" xfId="11365"/>
    <cellStyle name="Normal 2 2 4 3 3 3 3 2" xfId="15498"/>
    <cellStyle name="Normal 2 2 4 3 3 3 3 2 2" xfId="46717"/>
    <cellStyle name="Normal 2 2 4 3 3 3 3 2 2 2" xfId="50831"/>
    <cellStyle name="Normal 2 2 4 3 3 3 3 3" xfId="29005"/>
    <cellStyle name="Normal 2 2 4 3 3 3 4" xfId="24854"/>
    <cellStyle name="Normal 2 2 4 3 3 3 4 2" xfId="37308"/>
    <cellStyle name="Normal 2 2 4 3 3 4" xfId="3837"/>
    <cellStyle name="Normal 2 2 4 3 3 4 2" xfId="14522"/>
    <cellStyle name="Normal 2 2 4 3 3 4 2 2" xfId="17452"/>
    <cellStyle name="Normal 2 2 4 3 3 4 2 2 2" xfId="49864"/>
    <cellStyle name="Normal 2 2 4 3 3 4 2 2 2 2" xfId="52779"/>
    <cellStyle name="Normal 2 2 4 3 3 4 2 3" xfId="30953"/>
    <cellStyle name="Normal 2 2 4 3 3 4 3" xfId="28034"/>
    <cellStyle name="Normal 2 2 4 3 3 4 3 2" xfId="39287"/>
    <cellStyle name="Normal 2 2 4 3 3 5" xfId="9029"/>
    <cellStyle name="Normal 2 2 4 3 3 5 2" xfId="36332"/>
    <cellStyle name="Normal 2 2 4 3 3 5 2 2" xfId="44427"/>
    <cellStyle name="Normal 2 2 4 3 3 6" xfId="22538"/>
    <cellStyle name="Normal 2 2 4 3 4" xfId="1615"/>
    <cellStyle name="Normal 2 2 4 3 4 2" xfId="2287"/>
    <cellStyle name="Normal 2 2 4 3 4 2 2" xfId="6884"/>
    <cellStyle name="Normal 2 2 4 3 4 2 2 2" xfId="7521"/>
    <cellStyle name="Normal 2 2 4 3 4 2 2 2 2" xfId="20437"/>
    <cellStyle name="Normal 2 2 4 3 4 2 2 2 2 2" xfId="21073"/>
    <cellStyle name="Normal 2 2 4 3 4 2 2 2 2 2 2" xfId="55763"/>
    <cellStyle name="Normal 2 2 4 3 4 2 2 2 2 2 2 2" xfId="56399"/>
    <cellStyle name="Normal 2 2 4 3 4 2 2 2 2 3" xfId="34576"/>
    <cellStyle name="Normal 2 2 4 3 4 2 2 2 3" xfId="33939"/>
    <cellStyle name="Normal 2 2 4 3 4 2 2 2 3 2" xfId="42948"/>
    <cellStyle name="Normal 2 2 4 3 4 2 2 3" xfId="12746"/>
    <cellStyle name="Normal 2 2 4 3 4 2 2 3 2" xfId="42312"/>
    <cellStyle name="Normal 2 2 4 3 4 2 2 3 2 2" xfId="48092"/>
    <cellStyle name="Normal 2 2 4 3 4 2 2 4" xfId="26230"/>
    <cellStyle name="Normal 2 2 4 3 4 2 3" xfId="12108"/>
    <cellStyle name="Normal 2 2 4 3 4 2 3 2" xfId="15951"/>
    <cellStyle name="Normal 2 2 4 3 4 2 3 2 2" xfId="47455"/>
    <cellStyle name="Normal 2 2 4 3 4 2 3 2 2 2" xfId="51283"/>
    <cellStyle name="Normal 2 2 4 3 4 2 3 3" xfId="29457"/>
    <cellStyle name="Normal 2 2 4 3 4 2 4" xfId="25593"/>
    <cellStyle name="Normal 2 2 4 3 4 2 4 2" xfId="37765"/>
    <cellStyle name="Normal 2 2 4 3 4 3" xfId="4311"/>
    <cellStyle name="Normal 2 2 4 3 4 3 2" xfId="15290"/>
    <cellStyle name="Normal 2 2 4 3 4 3 2 2" xfId="17904"/>
    <cellStyle name="Normal 2 2 4 3 4 3 2 2 2" xfId="50625"/>
    <cellStyle name="Normal 2 2 4 3 4 3 2 2 2 2" xfId="53231"/>
    <cellStyle name="Normal 2 2 4 3 4 3 2 3" xfId="31406"/>
    <cellStyle name="Normal 2 2 4 3 4 3 3" xfId="28799"/>
    <cellStyle name="Normal 2 2 4 3 4 3 3 2" xfId="39754"/>
    <cellStyle name="Normal 2 2 4 3 4 4" xfId="9505"/>
    <cellStyle name="Normal 2 2 4 3 4 4 2" xfId="37101"/>
    <cellStyle name="Normal 2 2 4 3 4 4 2 2" xfId="44887"/>
    <cellStyle name="Normal 2 2 4 3 4 5" xfId="23003"/>
    <cellStyle name="Normal 2 2 4 3 5" xfId="3619"/>
    <cellStyle name="Normal 2 2 4 3 5 2" xfId="5526"/>
    <cellStyle name="Normal 2 2 4 3 5 2 2" xfId="17252"/>
    <cellStyle name="Normal 2 2 4 3 5 2 2 2" xfId="19099"/>
    <cellStyle name="Normal 2 2 4 3 5 2 2 2 2" xfId="52579"/>
    <cellStyle name="Normal 2 2 4 3 5 2 2 2 2 2" xfId="54425"/>
    <cellStyle name="Normal 2 2 4 3 5 2 2 3" xfId="32600"/>
    <cellStyle name="Normal 2 2 4 3 5 2 3" xfId="30753"/>
    <cellStyle name="Normal 2 2 4 3 5 2 3 2" xfId="40963"/>
    <cellStyle name="Normal 2 2 4 3 5 3" xfId="10729"/>
    <cellStyle name="Normal 2 2 4 3 5 3 2" xfId="39074"/>
    <cellStyle name="Normal 2 2 4 3 5 3 2 2" xfId="46092"/>
    <cellStyle name="Normal 2 2 4 3 5 4" xfId="24216"/>
    <cellStyle name="Normal 2 2 4 3 6" xfId="8813"/>
    <cellStyle name="Normal 2 2 4 3 6 2" xfId="9000"/>
    <cellStyle name="Normal 2 2 4 3 6 2 2" xfId="44222"/>
    <cellStyle name="Normal 2 2 4 3 6 2 2 2" xfId="44398"/>
    <cellStyle name="Normal 2 2 4 3 6 3" xfId="22507"/>
    <cellStyle name="Normal 2 2 4 3 7" xfId="22329"/>
    <cellStyle name="Normal 2 2 4 3 7 2" xfId="27582"/>
    <cellStyle name="Normal 2 2 4 4" xfId="201"/>
    <cellStyle name="Normal 2 2 4 4 2" xfId="1003"/>
    <cellStyle name="Normal 2 2 4 4 2 2" xfId="1075"/>
    <cellStyle name="Normal 2 2 4 4 2 2 2" xfId="3040"/>
    <cellStyle name="Normal 2 2 4 4 2 2 2 2" xfId="3110"/>
    <cellStyle name="Normal 2 2 4 4 2 2 2 2 2" xfId="8255"/>
    <cellStyle name="Normal 2 2 4 4 2 2 2 2 2 2" xfId="8325"/>
    <cellStyle name="Normal 2 2 4 4 2 2 2 2 2 2 2" xfId="21807"/>
    <cellStyle name="Normal 2 2 4 4 2 2 2 2 2 2 2 2" xfId="21877"/>
    <cellStyle name="Normal 2 2 4 4 2 2 2 2 2 2 2 2 2" xfId="57133"/>
    <cellStyle name="Normal 2 2 4 4 2 2 2 2 2 2 2 2 2 2" xfId="57203"/>
    <cellStyle name="Normal 2 2 4 4 2 2 2 2 2 2 2 3" xfId="35380"/>
    <cellStyle name="Normal 2 2 4 4 2 2 2 2 2 2 3" xfId="35310"/>
    <cellStyle name="Normal 2 2 4 4 2 2 2 2 2 2 3 2" xfId="43752"/>
    <cellStyle name="Normal 2 2 4 4 2 2 2 2 2 3" xfId="13550"/>
    <cellStyle name="Normal 2 2 4 4 2 2 2 2 2 3 2" xfId="43682"/>
    <cellStyle name="Normal 2 2 4 4 2 2 2 2 2 3 2 2" xfId="48896"/>
    <cellStyle name="Normal 2 2 4 4 2 2 2 2 2 4" xfId="27035"/>
    <cellStyle name="Normal 2 2 4 4 2 2 2 2 3" xfId="13480"/>
    <cellStyle name="Normal 2 2 4 4 2 2 2 2 3 2" xfId="16767"/>
    <cellStyle name="Normal 2 2 4 4 2 2 2 2 3 2 2" xfId="48826"/>
    <cellStyle name="Normal 2 2 4 4 2 2 2 2 3 2 2 2" xfId="52095"/>
    <cellStyle name="Normal 2 2 4 4 2 2 2 2 3 3" xfId="30269"/>
    <cellStyle name="Normal 2 2 4 4 2 2 2 2 4" xfId="26965"/>
    <cellStyle name="Normal 2 2 4 4 2 2 2 2 4 2" xfId="38579"/>
    <cellStyle name="Normal 2 2 4 4 2 2 2 3" xfId="5147"/>
    <cellStyle name="Normal 2 2 4 4 2 2 2 3 2" xfId="16697"/>
    <cellStyle name="Normal 2 2 4 4 2 2 2 3 2 2" xfId="18720"/>
    <cellStyle name="Normal 2 2 4 4 2 2 2 3 2 2 2" xfId="52025"/>
    <cellStyle name="Normal 2 2 4 4 2 2 2 3 2 2 2 2" xfId="54046"/>
    <cellStyle name="Normal 2 2 4 4 2 2 2 3 2 3" xfId="32221"/>
    <cellStyle name="Normal 2 2 4 4 2 2 2 3 3" xfId="30199"/>
    <cellStyle name="Normal 2 2 4 4 2 2 2 3 3 2" xfId="40584"/>
    <cellStyle name="Normal 2 2 4 4 2 2 2 4" xfId="10350"/>
    <cellStyle name="Normal 2 2 4 4 2 2 2 4 2" xfId="38509"/>
    <cellStyle name="Normal 2 2 4 4 2 2 2 4 2 2" xfId="45713"/>
    <cellStyle name="Normal 2 2 4 4 2 2 2 5" xfId="23836"/>
    <cellStyle name="Normal 2 2 4 4 2 2 3" xfId="5077"/>
    <cellStyle name="Normal 2 2 4 4 2 2 3 2" xfId="6385"/>
    <cellStyle name="Normal 2 2 4 4 2 2 3 2 2" xfId="18650"/>
    <cellStyle name="Normal 2 2 4 4 2 2 3 2 2 2" xfId="19941"/>
    <cellStyle name="Normal 2 2 4 4 2 2 3 2 2 2 2" xfId="53976"/>
    <cellStyle name="Normal 2 2 4 4 2 2 3 2 2 2 2 2" xfId="55267"/>
    <cellStyle name="Normal 2 2 4 4 2 2 3 2 2 3" xfId="33443"/>
    <cellStyle name="Normal 2 2 4 4 2 2 3 2 3" xfId="32151"/>
    <cellStyle name="Normal 2 2 4 4 2 2 3 2 3 2" xfId="41814"/>
    <cellStyle name="Normal 2 2 4 4 2 2 3 3" xfId="11610"/>
    <cellStyle name="Normal 2 2 4 4 2 2 3 3 2" xfId="40514"/>
    <cellStyle name="Normal 2 2 4 4 2 2 3 3 2 2" xfId="46959"/>
    <cellStyle name="Normal 2 2 4 4 2 2 3 4" xfId="25096"/>
    <cellStyle name="Normal 2 2 4 4 2 2 4" xfId="10280"/>
    <cellStyle name="Normal 2 2 4 4 2 2 4 2" xfId="14767"/>
    <cellStyle name="Normal 2 2 4 4 2 2 4 2 2" xfId="45643"/>
    <cellStyle name="Normal 2 2 4 4 2 2 4 2 2 2" xfId="50106"/>
    <cellStyle name="Normal 2 2 4 4 2 2 4 3" xfId="28279"/>
    <cellStyle name="Normal 2 2 4 4 2 2 5" xfId="23766"/>
    <cellStyle name="Normal 2 2 4 4 2 2 5 2" xfId="36575"/>
    <cellStyle name="Normal 2 2 4 4 2 3" xfId="1883"/>
    <cellStyle name="Normal 2 2 4 4 2 3 2" xfId="6313"/>
    <cellStyle name="Normal 2 2 4 4 2 3 2 2" xfId="7132"/>
    <cellStyle name="Normal 2 2 4 4 2 3 2 2 2" xfId="19870"/>
    <cellStyle name="Normal 2 2 4 4 2 3 2 2 2 2" xfId="20684"/>
    <cellStyle name="Normal 2 2 4 4 2 3 2 2 2 2 2" xfId="55196"/>
    <cellStyle name="Normal 2 2 4 4 2 3 2 2 2 2 2 2" xfId="56010"/>
    <cellStyle name="Normal 2 2 4 4 2 3 2 2 2 3" xfId="34187"/>
    <cellStyle name="Normal 2 2 4 4 2 3 2 2 3" xfId="33372"/>
    <cellStyle name="Normal 2 2 4 4 2 3 2 2 3 2" xfId="42559"/>
    <cellStyle name="Normal 2 2 4 4 2 3 2 3" xfId="12357"/>
    <cellStyle name="Normal 2 2 4 4 2 3 2 3 2" xfId="41742"/>
    <cellStyle name="Normal 2 2 4 4 2 3 2 3 2 2" xfId="47703"/>
    <cellStyle name="Normal 2 2 4 4 2 3 2 4" xfId="25841"/>
    <cellStyle name="Normal 2 2 4 4 2 3 3" xfId="11539"/>
    <cellStyle name="Normal 2 2 4 4 2 3 3 2" xfId="15553"/>
    <cellStyle name="Normal 2 2 4 4 2 3 3 2 2" xfId="46888"/>
    <cellStyle name="Normal 2 2 4 4 2 3 3 2 2 2" xfId="50885"/>
    <cellStyle name="Normal 2 2 4 4 2 3 3 3" xfId="29059"/>
    <cellStyle name="Normal 2 2 4 4 2 3 4" xfId="25025"/>
    <cellStyle name="Normal 2 2 4 4 2 3 4 2" xfId="37364"/>
    <cellStyle name="Normal 2 2 4 4 2 4" xfId="3897"/>
    <cellStyle name="Normal 2 2 4 4 2 4 2" xfId="14696"/>
    <cellStyle name="Normal 2 2 4 4 2 4 2 2" xfId="17507"/>
    <cellStyle name="Normal 2 2 4 4 2 4 2 2 2" xfId="50035"/>
    <cellStyle name="Normal 2 2 4 4 2 4 2 2 2 2" xfId="52834"/>
    <cellStyle name="Normal 2 2 4 4 2 4 2 3" xfId="31009"/>
    <cellStyle name="Normal 2 2 4 4 2 4 3" xfId="28208"/>
    <cellStyle name="Normal 2 2 4 4 2 4 3 2" xfId="39345"/>
    <cellStyle name="Normal 2 2 4 4 2 5" xfId="9090"/>
    <cellStyle name="Normal 2 2 4 4 2 5 2" xfId="36504"/>
    <cellStyle name="Normal 2 2 4 4 2 5 2 2" xfId="44486"/>
    <cellStyle name="Normal 2 2 4 4 2 6" xfId="22599"/>
    <cellStyle name="Normal 2 2 4 4 3" xfId="1802"/>
    <cellStyle name="Normal 2 2 4 4 3 2" xfId="2337"/>
    <cellStyle name="Normal 2 2 4 4 3 2 2" xfId="7054"/>
    <cellStyle name="Normal 2 2 4 4 3 2 2 2" xfId="7571"/>
    <cellStyle name="Normal 2 2 4 4 3 2 2 2 2" xfId="20607"/>
    <cellStyle name="Normal 2 2 4 4 3 2 2 2 2 2" xfId="21123"/>
    <cellStyle name="Normal 2 2 4 4 3 2 2 2 2 2 2" xfId="55933"/>
    <cellStyle name="Normal 2 2 4 4 3 2 2 2 2 2 2 2" xfId="56449"/>
    <cellStyle name="Normal 2 2 4 4 3 2 2 2 2 3" xfId="34626"/>
    <cellStyle name="Normal 2 2 4 4 3 2 2 2 3" xfId="34109"/>
    <cellStyle name="Normal 2 2 4 4 3 2 2 2 3 2" xfId="42998"/>
    <cellStyle name="Normal 2 2 4 4 3 2 2 3" xfId="12796"/>
    <cellStyle name="Normal 2 2 4 4 3 2 2 3 2" xfId="42482"/>
    <cellStyle name="Normal 2 2 4 4 3 2 2 3 2 2" xfId="48142"/>
    <cellStyle name="Normal 2 2 4 4 3 2 2 4" xfId="26280"/>
    <cellStyle name="Normal 2 2 4 4 3 2 3" xfId="12278"/>
    <cellStyle name="Normal 2 2 4 4 3 2 3 2" xfId="16001"/>
    <cellStyle name="Normal 2 2 4 4 3 2 3 2 2" xfId="47625"/>
    <cellStyle name="Normal 2 2 4 4 3 2 3 2 2 2" xfId="51333"/>
    <cellStyle name="Normal 2 2 4 4 3 2 3 3" xfId="29507"/>
    <cellStyle name="Normal 2 2 4 4 3 2 4" xfId="25763"/>
    <cellStyle name="Normal 2 2 4 4 3 2 4 2" xfId="37815"/>
    <cellStyle name="Normal 2 2 4 4 3 3" xfId="4367"/>
    <cellStyle name="Normal 2 2 4 4 3 3 2" xfId="15474"/>
    <cellStyle name="Normal 2 2 4 4 3 3 2 2" xfId="17959"/>
    <cellStyle name="Normal 2 2 4 4 3 3 2 2 2" xfId="50807"/>
    <cellStyle name="Normal 2 2 4 4 3 3 2 2 2 2" xfId="53286"/>
    <cellStyle name="Normal 2 2 4 4 3 3 2 3" xfId="31461"/>
    <cellStyle name="Normal 2 2 4 4 3 3 3" xfId="28981"/>
    <cellStyle name="Normal 2 2 4 4 3 3 3 2" xfId="39809"/>
    <cellStyle name="Normal 2 2 4 4 3 4" xfId="9567"/>
    <cellStyle name="Normal 2 2 4 4 3 4 2" xfId="37284"/>
    <cellStyle name="Normal 2 2 4 4 3 4 2 2" xfId="44949"/>
    <cellStyle name="Normal 2 2 4 4 3 5" xfId="23068"/>
    <cellStyle name="Normal 2 2 4 4 4" xfId="3809"/>
    <cellStyle name="Normal 2 2 4 4 4 2" xfId="5578"/>
    <cellStyle name="Normal 2 2 4 4 4 2 2" xfId="17424"/>
    <cellStyle name="Normal 2 2 4 4 4 2 2 2" xfId="19150"/>
    <cellStyle name="Normal 2 2 4 4 4 2 2 2 2" xfId="52751"/>
    <cellStyle name="Normal 2 2 4 4 4 2 2 2 2 2" xfId="54476"/>
    <cellStyle name="Normal 2 2 4 4 4 2 2 3" xfId="32651"/>
    <cellStyle name="Normal 2 2 4 4 4 2 3" xfId="30925"/>
    <cellStyle name="Normal 2 2 4 4 4 2 3 2" xfId="41014"/>
    <cellStyle name="Normal 2 2 4 4 4 3" xfId="10787"/>
    <cellStyle name="Normal 2 2 4 4 4 3 2" xfId="39259"/>
    <cellStyle name="Normal 2 2 4 4 4 3 2 2" xfId="46149"/>
    <cellStyle name="Normal 2 2 4 4 4 4" xfId="24276"/>
    <cellStyle name="Normal 2 2 4 4 5" xfId="8999"/>
    <cellStyle name="Normal 2 2 4 4 5 2" xfId="13962"/>
    <cellStyle name="Normal 2 2 4 4 5 2 2" xfId="44397"/>
    <cellStyle name="Normal 2 2 4 4 5 2 2 2" xfId="49308"/>
    <cellStyle name="Normal 2 2 4 4 5 3" xfId="27452"/>
    <cellStyle name="Normal 2 2 4 4 6" xfId="22506"/>
    <cellStyle name="Normal 2 2 4 4 6 2" xfId="35774"/>
    <cellStyle name="Normal 2 2 4 5" xfId="240"/>
    <cellStyle name="Normal 2 2 4 5 2" xfId="1656"/>
    <cellStyle name="Normal 2 2 4 5 2 2" xfId="2366"/>
    <cellStyle name="Normal 2 2 4 5 2 2 2" xfId="6918"/>
    <cellStyle name="Normal 2 2 4 5 2 2 2 2" xfId="7600"/>
    <cellStyle name="Normal 2 2 4 5 2 2 2 2 2" xfId="20471"/>
    <cellStyle name="Normal 2 2 4 5 2 2 2 2 2 2" xfId="21152"/>
    <cellStyle name="Normal 2 2 4 5 2 2 2 2 2 2 2" xfId="55797"/>
    <cellStyle name="Normal 2 2 4 5 2 2 2 2 2 2 2 2" xfId="56478"/>
    <cellStyle name="Normal 2 2 4 5 2 2 2 2 2 3" xfId="34655"/>
    <cellStyle name="Normal 2 2 4 5 2 2 2 2 3" xfId="33973"/>
    <cellStyle name="Normal 2 2 4 5 2 2 2 2 3 2" xfId="43027"/>
    <cellStyle name="Normal 2 2 4 5 2 2 2 3" xfId="12825"/>
    <cellStyle name="Normal 2 2 4 5 2 2 2 3 2" xfId="42346"/>
    <cellStyle name="Normal 2 2 4 5 2 2 2 3 2 2" xfId="48171"/>
    <cellStyle name="Normal 2 2 4 5 2 2 2 4" xfId="26309"/>
    <cellStyle name="Normal 2 2 4 5 2 2 3" xfId="12142"/>
    <cellStyle name="Normal 2 2 4 5 2 2 3 2" xfId="16030"/>
    <cellStyle name="Normal 2 2 4 5 2 2 3 2 2" xfId="47489"/>
    <cellStyle name="Normal 2 2 4 5 2 2 3 2 2 2" xfId="51362"/>
    <cellStyle name="Normal 2 2 4 5 2 2 3 3" xfId="29536"/>
    <cellStyle name="Normal 2 2 4 5 2 2 4" xfId="25627"/>
    <cellStyle name="Normal 2 2 4 5 2 2 4 2" xfId="37844"/>
    <cellStyle name="Normal 2 2 4 5 2 3" xfId="4397"/>
    <cellStyle name="Normal 2 2 4 5 2 3 2" xfId="15329"/>
    <cellStyle name="Normal 2 2 4 5 2 3 2 2" xfId="17989"/>
    <cellStyle name="Normal 2 2 4 5 2 3 2 2 2" xfId="50664"/>
    <cellStyle name="Normal 2 2 4 5 2 3 2 2 2 2" xfId="53315"/>
    <cellStyle name="Normal 2 2 4 5 2 3 2 3" xfId="31490"/>
    <cellStyle name="Normal 2 2 4 5 2 3 3" xfId="28838"/>
    <cellStyle name="Normal 2 2 4 5 2 3 3 2" xfId="39839"/>
    <cellStyle name="Normal 2 2 4 5 2 4" xfId="9600"/>
    <cellStyle name="Normal 2 2 4 5 2 4 2" xfId="37140"/>
    <cellStyle name="Normal 2 2 4 5 2 4 2 2" xfId="44981"/>
    <cellStyle name="Normal 2 2 4 5 2 5" xfId="23102"/>
    <cellStyle name="Normal 2 2 4 5 3" xfId="3661"/>
    <cellStyle name="Normal 2 2 4 5 3 2" xfId="5608"/>
    <cellStyle name="Normal 2 2 4 5 3 2 2" xfId="17286"/>
    <cellStyle name="Normal 2 2 4 5 3 2 2 2" xfId="19180"/>
    <cellStyle name="Normal 2 2 4 5 3 2 2 2 2" xfId="52613"/>
    <cellStyle name="Normal 2 2 4 5 3 2 2 2 2 2" xfId="54506"/>
    <cellStyle name="Normal 2 2 4 5 3 2 2 3" xfId="32681"/>
    <cellStyle name="Normal 2 2 4 5 3 2 3" xfId="30787"/>
    <cellStyle name="Normal 2 2 4 5 3 2 3 2" xfId="41044"/>
    <cellStyle name="Normal 2 2 4 5 3 3" xfId="10821"/>
    <cellStyle name="Normal 2 2 4 5 3 3 2" xfId="39114"/>
    <cellStyle name="Normal 2 2 4 5 3 3 2 2" xfId="46183"/>
    <cellStyle name="Normal 2 2 4 5 3 4" xfId="24312"/>
    <cellStyle name="Normal 2 2 4 5 4" xfId="8854"/>
    <cellStyle name="Normal 2 2 4 5 4 2" xfId="13992"/>
    <cellStyle name="Normal 2 2 4 5 4 2 2" xfId="44258"/>
    <cellStyle name="Normal 2 2 4 5 4 2 2 2" xfId="49338"/>
    <cellStyle name="Normal 2 2 4 5 4 3" xfId="27484"/>
    <cellStyle name="Normal 2 2 4 5 5" xfId="22366"/>
    <cellStyle name="Normal 2 2 4 5 5 2" xfId="35804"/>
    <cellStyle name="Normal 2 2 4 6" xfId="695"/>
    <cellStyle name="Normal 2 2 4 6 2" xfId="4287"/>
    <cellStyle name="Normal 2 2 4 6 2 2" xfId="6023"/>
    <cellStyle name="Normal 2 2 4 6 2 2 2" xfId="17880"/>
    <cellStyle name="Normal 2 2 4 6 2 2 2 2" xfId="19587"/>
    <cellStyle name="Normal 2 2 4 6 2 2 2 2 2" xfId="53207"/>
    <cellStyle name="Normal 2 2 4 6 2 2 2 2 2 2" xfId="54913"/>
    <cellStyle name="Normal 2 2 4 6 2 2 2 3" xfId="33088"/>
    <cellStyle name="Normal 2 2 4 6 2 2 3" xfId="31382"/>
    <cellStyle name="Normal 2 2 4 6 2 2 3 2" xfId="41457"/>
    <cellStyle name="Normal 2 2 4 6 2 3" xfId="11248"/>
    <cellStyle name="Normal 2 2 4 6 2 3 2" xfId="39730"/>
    <cellStyle name="Normal 2 2 4 6 2 3 2 2" xfId="46603"/>
    <cellStyle name="Normal 2 2 4 6 2 4" xfId="24740"/>
    <cellStyle name="Normal 2 2 4 6 3" xfId="9478"/>
    <cellStyle name="Normal 2 2 4 6 3 2" xfId="14404"/>
    <cellStyle name="Normal 2 2 4 6 3 2 2" xfId="44860"/>
    <cellStyle name="Normal 2 2 4 6 3 2 2 2" xfId="49749"/>
    <cellStyle name="Normal 2 2 4 6 3 3" xfId="27917"/>
    <cellStyle name="Normal 2 2 4 6 4" xfId="22974"/>
    <cellStyle name="Normal 2 2 4 6 4 2" xfId="36216"/>
    <cellStyle name="Normal 2 2 4 7" xfId="2596"/>
    <cellStyle name="Normal 2 2 4 7 2" xfId="9515"/>
    <cellStyle name="Normal 2 2 4 7 2 2" xfId="16255"/>
    <cellStyle name="Normal 2 2 4 7 2 2 2" xfId="44897"/>
    <cellStyle name="Normal 2 2 4 7 2 2 2 2" xfId="51585"/>
    <cellStyle name="Normal 2 2 4 7 2 3" xfId="29759"/>
    <cellStyle name="Normal 2 2 4 7 3" xfId="23013"/>
    <cellStyle name="Normal 2 2 4 7 3 2" xfId="38069"/>
    <cellStyle name="Normal 2 2 4 8" xfId="3699"/>
    <cellStyle name="Normal 2 2 4 8 2" xfId="27781"/>
    <cellStyle name="Normal 2 2 4 8 2 2" xfId="39150"/>
    <cellStyle name="Normal 2 2 4 9" xfId="9995"/>
    <cellStyle name="Normal 2 2 5" xfId="169"/>
    <cellStyle name="Normal 2 2 5 2" xfId="228"/>
    <cellStyle name="Normal 2 2 5 2 2" xfId="554"/>
    <cellStyle name="Normal 2 2 5 2 2 2" xfId="591"/>
    <cellStyle name="Normal 2 2 5 2 2 2 2" xfId="1354"/>
    <cellStyle name="Normal 2 2 5 2 2 2 2 2" xfId="1387"/>
    <cellStyle name="Normal 2 2 5 2 2 2 2 2 2" xfId="3372"/>
    <cellStyle name="Normal 2 2 5 2 2 2 2 2 2 2" xfId="3405"/>
    <cellStyle name="Normal 2 2 5 2 2 2 2 2 2 2 2" xfId="8587"/>
    <cellStyle name="Normal 2 2 5 2 2 2 2 2 2 2 2 2" xfId="8620"/>
    <cellStyle name="Normal 2 2 5 2 2 2 2 2 2 2 2 2 2" xfId="22139"/>
    <cellStyle name="Normal 2 2 5 2 2 2 2 2 2 2 2 2 2 2" xfId="22172"/>
    <cellStyle name="Normal 2 2 5 2 2 2 2 2 2 2 2 2 2 2 2" xfId="57465"/>
    <cellStyle name="Normal 2 2 5 2 2 2 2 2 2 2 2 2 2 2 2 2" xfId="57498"/>
    <cellStyle name="Normal 2 2 5 2 2 2 2 2 2 2 2 2 2 3" xfId="35675"/>
    <cellStyle name="Normal 2 2 5 2 2 2 2 2 2 2 2 2 3" xfId="35642"/>
    <cellStyle name="Normal 2 2 5 2 2 2 2 2 2 2 2 2 3 2" xfId="44047"/>
    <cellStyle name="Normal 2 2 5 2 2 2 2 2 2 2 2 3" xfId="13845"/>
    <cellStyle name="Normal 2 2 5 2 2 2 2 2 2 2 2 3 2" xfId="44014"/>
    <cellStyle name="Normal 2 2 5 2 2 2 2 2 2 2 2 3 2 2" xfId="49191"/>
    <cellStyle name="Normal 2 2 5 2 2 2 2 2 2 2 2 4" xfId="27330"/>
    <cellStyle name="Normal 2 2 5 2 2 2 2 2 2 2 3" xfId="13812"/>
    <cellStyle name="Normal 2 2 5 2 2 2 2 2 2 2 3 2" xfId="17062"/>
    <cellStyle name="Normal 2 2 5 2 2 2 2 2 2 2 3 2 2" xfId="49158"/>
    <cellStyle name="Normal 2 2 5 2 2 2 2 2 2 2 3 2 2 2" xfId="52390"/>
    <cellStyle name="Normal 2 2 5 2 2 2 2 2 2 2 3 3" xfId="30564"/>
    <cellStyle name="Normal 2 2 5 2 2 2 2 2 2 2 4" xfId="27297"/>
    <cellStyle name="Normal 2 2 5 2 2 2 2 2 2 2 4 2" xfId="38874"/>
    <cellStyle name="Normal 2 2 5 2 2 2 2 2 2 3" xfId="5442"/>
    <cellStyle name="Normal 2 2 5 2 2 2 2 2 2 3 2" xfId="17029"/>
    <cellStyle name="Normal 2 2 5 2 2 2 2 2 2 3 2 2" xfId="19015"/>
    <cellStyle name="Normal 2 2 5 2 2 2 2 2 2 3 2 2 2" xfId="52357"/>
    <cellStyle name="Normal 2 2 5 2 2 2 2 2 2 3 2 2 2 2" xfId="54341"/>
    <cellStyle name="Normal 2 2 5 2 2 2 2 2 2 3 2 3" xfId="32516"/>
    <cellStyle name="Normal 2 2 5 2 2 2 2 2 2 3 3" xfId="30531"/>
    <cellStyle name="Normal 2 2 5 2 2 2 2 2 2 3 3 2" xfId="40879"/>
    <cellStyle name="Normal 2 2 5 2 2 2 2 2 2 4" xfId="10645"/>
    <cellStyle name="Normal 2 2 5 2 2 2 2 2 2 4 2" xfId="38841"/>
    <cellStyle name="Normal 2 2 5 2 2 2 2 2 2 4 2 2" xfId="46008"/>
    <cellStyle name="Normal 2 2 5 2 2 2 2 2 2 5" xfId="24131"/>
    <cellStyle name="Normal 2 2 5 2 2 2 2 2 3" xfId="5409"/>
    <cellStyle name="Normal 2 2 5 2 2 2 2 2 3 2" xfId="6695"/>
    <cellStyle name="Normal 2 2 5 2 2 2 2 2 3 2 2" xfId="18982"/>
    <cellStyle name="Normal 2 2 5 2 2 2 2 2 3 2 2 2" xfId="20248"/>
    <cellStyle name="Normal 2 2 5 2 2 2 2 2 3 2 2 2 2" xfId="54308"/>
    <cellStyle name="Normal 2 2 5 2 2 2 2 2 3 2 2 2 2 2" xfId="55574"/>
    <cellStyle name="Normal 2 2 5 2 2 2 2 2 3 2 2 3" xfId="33750"/>
    <cellStyle name="Normal 2 2 5 2 2 2 2 2 3 2 3" xfId="32483"/>
    <cellStyle name="Normal 2 2 5 2 2 2 2 2 3 2 3 2" xfId="42123"/>
    <cellStyle name="Normal 2 2 5 2 2 2 2 2 3 3" xfId="11918"/>
    <cellStyle name="Normal 2 2 5 2 2 2 2 2 3 3 2" xfId="40846"/>
    <cellStyle name="Normal 2 2 5 2 2 2 2 2 3 3 2 2" xfId="47266"/>
    <cellStyle name="Normal 2 2 5 2 2 2 2 2 3 4" xfId="25403"/>
    <cellStyle name="Normal 2 2 5 2 2 2 2 2 4" xfId="10612"/>
    <cellStyle name="Normal 2 2 5 2 2 2 2 2 4 2" xfId="15076"/>
    <cellStyle name="Normal 2 2 5 2 2 2 2 2 4 2 2" xfId="45975"/>
    <cellStyle name="Normal 2 2 5 2 2 2 2 2 4 2 2 2" xfId="50415"/>
    <cellStyle name="Normal 2 2 5 2 2 2 2 2 4 3" xfId="28589"/>
    <cellStyle name="Normal 2 2 5 2 2 2 2 2 5" xfId="24098"/>
    <cellStyle name="Normal 2 2 5 2 2 2 2 2 5 2" xfId="36884"/>
    <cellStyle name="Normal 2 2 5 2 2 2 2 3" xfId="2194"/>
    <cellStyle name="Normal 2 2 5 2 2 2 2 3 2" xfId="6662"/>
    <cellStyle name="Normal 2 2 5 2 2 2 2 3 2 2" xfId="7428"/>
    <cellStyle name="Normal 2 2 5 2 2 2 2 3 2 2 2" xfId="20215"/>
    <cellStyle name="Normal 2 2 5 2 2 2 2 3 2 2 2 2" xfId="20980"/>
    <cellStyle name="Normal 2 2 5 2 2 2 2 3 2 2 2 2 2" xfId="55541"/>
    <cellStyle name="Normal 2 2 5 2 2 2 2 3 2 2 2 2 2 2" xfId="56306"/>
    <cellStyle name="Normal 2 2 5 2 2 2 2 3 2 2 2 3" xfId="34483"/>
    <cellStyle name="Normal 2 2 5 2 2 2 2 3 2 2 3" xfId="33717"/>
    <cellStyle name="Normal 2 2 5 2 2 2 2 3 2 2 3 2" xfId="42855"/>
    <cellStyle name="Normal 2 2 5 2 2 2 2 3 2 3" xfId="12653"/>
    <cellStyle name="Normal 2 2 5 2 2 2 2 3 2 3 2" xfId="42090"/>
    <cellStyle name="Normal 2 2 5 2 2 2 2 3 2 3 2 2" xfId="47999"/>
    <cellStyle name="Normal 2 2 5 2 2 2 2 3 2 4" xfId="26137"/>
    <cellStyle name="Normal 2 2 5 2 2 2 2 3 3" xfId="11885"/>
    <cellStyle name="Normal 2 2 5 2 2 2 2 3 3 2" xfId="15858"/>
    <cellStyle name="Normal 2 2 5 2 2 2 2 3 3 2 2" xfId="47233"/>
    <cellStyle name="Normal 2 2 5 2 2 2 2 3 3 2 2 2" xfId="51190"/>
    <cellStyle name="Normal 2 2 5 2 2 2 2 3 3 3" xfId="29364"/>
    <cellStyle name="Normal 2 2 5 2 2 2 2 3 4" xfId="25370"/>
    <cellStyle name="Normal 2 2 5 2 2 2 2 3 4 2" xfId="37672"/>
    <cellStyle name="Normal 2 2 5 2 2 2 2 4" xfId="4210"/>
    <cellStyle name="Normal 2 2 5 2 2 2 2 4 2" xfId="15043"/>
    <cellStyle name="Normal 2 2 5 2 2 2 2 4 2 2" xfId="17803"/>
    <cellStyle name="Normal 2 2 5 2 2 2 2 4 2 2 2" xfId="50382"/>
    <cellStyle name="Normal 2 2 5 2 2 2 2 4 2 2 2 2" xfId="53130"/>
    <cellStyle name="Normal 2 2 5 2 2 2 2 4 2 3" xfId="31305"/>
    <cellStyle name="Normal 2 2 5 2 2 2 2 4 3" xfId="28556"/>
    <cellStyle name="Normal 2 2 5 2 2 2 2 4 3 2" xfId="39653"/>
    <cellStyle name="Normal 2 2 5 2 2 2 2 5" xfId="9401"/>
    <cellStyle name="Normal 2 2 5 2 2 2 2 5 2" xfId="36851"/>
    <cellStyle name="Normal 2 2 5 2 2 2 2 5 2 2" xfId="44783"/>
    <cellStyle name="Normal 2 2 5 2 2 2 2 6" xfId="22897"/>
    <cellStyle name="Normal 2 2 5 2 2 2 3" xfId="2161"/>
    <cellStyle name="Normal 2 2 5 2 2 2 3 2" xfId="2681"/>
    <cellStyle name="Normal 2 2 5 2 2 2 3 2 2" xfId="7395"/>
    <cellStyle name="Normal 2 2 5 2 2 2 3 2 2 2" xfId="7900"/>
    <cellStyle name="Normal 2 2 5 2 2 2 3 2 2 2 2" xfId="20947"/>
    <cellStyle name="Normal 2 2 5 2 2 2 3 2 2 2 2 2" xfId="21452"/>
    <cellStyle name="Normal 2 2 5 2 2 2 3 2 2 2 2 2 2" xfId="56273"/>
    <cellStyle name="Normal 2 2 5 2 2 2 3 2 2 2 2 2 2 2" xfId="56778"/>
    <cellStyle name="Normal 2 2 5 2 2 2 3 2 2 2 2 3" xfId="34955"/>
    <cellStyle name="Normal 2 2 5 2 2 2 3 2 2 2 3" xfId="34450"/>
    <cellStyle name="Normal 2 2 5 2 2 2 3 2 2 2 3 2" xfId="43327"/>
    <cellStyle name="Normal 2 2 5 2 2 2 3 2 2 3" xfId="13125"/>
    <cellStyle name="Normal 2 2 5 2 2 2 3 2 2 3 2" xfId="42822"/>
    <cellStyle name="Normal 2 2 5 2 2 2 3 2 2 3 2 2" xfId="48471"/>
    <cellStyle name="Normal 2 2 5 2 2 2 3 2 2 4" xfId="26609"/>
    <cellStyle name="Normal 2 2 5 2 2 2 3 2 3" xfId="12620"/>
    <cellStyle name="Normal 2 2 5 2 2 2 3 2 3 2" xfId="16340"/>
    <cellStyle name="Normal 2 2 5 2 2 2 3 2 3 2 2" xfId="47966"/>
    <cellStyle name="Normal 2 2 5 2 2 2 3 2 3 2 2 2" xfId="51670"/>
    <cellStyle name="Normal 2 2 5 2 2 2 3 2 3 3" xfId="29844"/>
    <cellStyle name="Normal 2 2 5 2 2 2 3 2 4" xfId="26104"/>
    <cellStyle name="Normal 2 2 5 2 2 2 3 2 4 2" xfId="38154"/>
    <cellStyle name="Normal 2 2 5 2 2 2 3 3" xfId="4717"/>
    <cellStyle name="Normal 2 2 5 2 2 2 3 3 2" xfId="15825"/>
    <cellStyle name="Normal 2 2 5 2 2 2 3 3 2 2" xfId="18294"/>
    <cellStyle name="Normal 2 2 5 2 2 2 3 3 2 2 2" xfId="51157"/>
    <cellStyle name="Normal 2 2 5 2 2 2 3 3 2 2 2 2" xfId="53620"/>
    <cellStyle name="Normal 2 2 5 2 2 2 3 3 2 3" xfId="31795"/>
    <cellStyle name="Normal 2 2 5 2 2 2 3 3 3" xfId="29331"/>
    <cellStyle name="Normal 2 2 5 2 2 2 3 3 3 2" xfId="40155"/>
    <cellStyle name="Normal 2 2 5 2 2 2 3 4" xfId="9920"/>
    <cellStyle name="Normal 2 2 5 2 2 2 3 4 2" xfId="37639"/>
    <cellStyle name="Normal 2 2 5 2 2 2 3 4 2 2" xfId="45287"/>
    <cellStyle name="Normal 2 2 5 2 2 2 3 5" xfId="23410"/>
    <cellStyle name="Normal 2 2 5 2 2 2 4" xfId="4177"/>
    <cellStyle name="Normal 2 2 5 2 2 2 4 2" xfId="5922"/>
    <cellStyle name="Normal 2 2 5 2 2 2 4 2 2" xfId="17770"/>
    <cellStyle name="Normal 2 2 5 2 2 2 4 2 2 2" xfId="19489"/>
    <cellStyle name="Normal 2 2 5 2 2 2 4 2 2 2 2" xfId="53097"/>
    <cellStyle name="Normal 2 2 5 2 2 2 4 2 2 2 2 2" xfId="54815"/>
    <cellStyle name="Normal 2 2 5 2 2 2 4 2 2 3" xfId="32990"/>
    <cellStyle name="Normal 2 2 5 2 2 2 4 2 3" xfId="31272"/>
    <cellStyle name="Normal 2 2 5 2 2 2 4 2 3 2" xfId="41356"/>
    <cellStyle name="Normal 2 2 5 2 2 2 4 3" xfId="11147"/>
    <cellStyle name="Normal 2 2 5 2 2 2 4 3 2" xfId="39620"/>
    <cellStyle name="Normal 2 2 5 2 2 2 4 3 2 2" xfId="46505"/>
    <cellStyle name="Normal 2 2 5 2 2 2 4 4" xfId="24640"/>
    <cellStyle name="Normal 2 2 5 2 2 2 5" xfId="9368"/>
    <cellStyle name="Normal 2 2 5 2 2 2 5 2" xfId="14306"/>
    <cellStyle name="Normal 2 2 5 2 2 2 5 2 2" xfId="44750"/>
    <cellStyle name="Normal 2 2 5 2 2 2 5 2 2 2" xfId="49651"/>
    <cellStyle name="Normal 2 2 5 2 2 2 5 3" xfId="27816"/>
    <cellStyle name="Normal 2 2 5 2 2 2 6" xfId="22864"/>
    <cellStyle name="Normal 2 2 5 2 2 2 6 2" xfId="36118"/>
    <cellStyle name="Normal 2 2 5 2 2 3" xfId="919"/>
    <cellStyle name="Normal 2 2 5 2 2 3 2" xfId="2647"/>
    <cellStyle name="Normal 2 2 5 2 2 3 2 2" xfId="2957"/>
    <cellStyle name="Normal 2 2 5 2 2 3 2 2 2" xfId="7866"/>
    <cellStyle name="Normal 2 2 5 2 2 3 2 2 2 2" xfId="8172"/>
    <cellStyle name="Normal 2 2 5 2 2 3 2 2 2 2 2" xfId="21418"/>
    <cellStyle name="Normal 2 2 5 2 2 3 2 2 2 2 2 2" xfId="21724"/>
    <cellStyle name="Normal 2 2 5 2 2 3 2 2 2 2 2 2 2" xfId="56744"/>
    <cellStyle name="Normal 2 2 5 2 2 3 2 2 2 2 2 2 2 2" xfId="57050"/>
    <cellStyle name="Normal 2 2 5 2 2 3 2 2 2 2 2 3" xfId="35227"/>
    <cellStyle name="Normal 2 2 5 2 2 3 2 2 2 2 3" xfId="34921"/>
    <cellStyle name="Normal 2 2 5 2 2 3 2 2 2 2 3 2" xfId="43599"/>
    <cellStyle name="Normal 2 2 5 2 2 3 2 2 2 3" xfId="13397"/>
    <cellStyle name="Normal 2 2 5 2 2 3 2 2 2 3 2" xfId="43293"/>
    <cellStyle name="Normal 2 2 5 2 2 3 2 2 2 3 2 2" xfId="48743"/>
    <cellStyle name="Normal 2 2 5 2 2 3 2 2 2 4" xfId="26882"/>
    <cellStyle name="Normal 2 2 5 2 2 3 2 2 3" xfId="13091"/>
    <cellStyle name="Normal 2 2 5 2 2 3 2 2 3 2" xfId="16614"/>
    <cellStyle name="Normal 2 2 5 2 2 3 2 2 3 2 2" xfId="48437"/>
    <cellStyle name="Normal 2 2 5 2 2 3 2 2 3 2 2 2" xfId="51942"/>
    <cellStyle name="Normal 2 2 5 2 2 3 2 2 3 3" xfId="30116"/>
    <cellStyle name="Normal 2 2 5 2 2 3 2 2 4" xfId="26575"/>
    <cellStyle name="Normal 2 2 5 2 2 3 2 2 4 2" xfId="38426"/>
    <cellStyle name="Normal 2 2 5 2 2 3 2 3" xfId="4993"/>
    <cellStyle name="Normal 2 2 5 2 2 3 2 3 2" xfId="16306"/>
    <cellStyle name="Normal 2 2 5 2 2 3 2 3 2 2" xfId="18566"/>
    <cellStyle name="Normal 2 2 5 2 2 3 2 3 2 2 2" xfId="51636"/>
    <cellStyle name="Normal 2 2 5 2 2 3 2 3 2 2 2 2" xfId="53892"/>
    <cellStyle name="Normal 2 2 5 2 2 3 2 3 2 3" xfId="32067"/>
    <cellStyle name="Normal 2 2 5 2 2 3 2 3 3" xfId="29810"/>
    <cellStyle name="Normal 2 2 5 2 2 3 2 3 3 2" xfId="40430"/>
    <cellStyle name="Normal 2 2 5 2 2 3 2 4" xfId="10196"/>
    <cellStyle name="Normal 2 2 5 2 2 3 2 4 2" xfId="38120"/>
    <cellStyle name="Normal 2 2 5 2 2 3 2 4 2 2" xfId="45559"/>
    <cellStyle name="Normal 2 2 5 2 2 3 2 5" xfId="23682"/>
    <cellStyle name="Normal 2 2 5 2 2 3 3" xfId="4682"/>
    <cellStyle name="Normal 2 2 5 2 2 3 3 2" xfId="6230"/>
    <cellStyle name="Normal 2 2 5 2 2 3 3 2 2" xfId="18260"/>
    <cellStyle name="Normal 2 2 5 2 2 3 3 2 2 2" xfId="19787"/>
    <cellStyle name="Normal 2 2 5 2 2 3 3 2 2 2 2" xfId="53586"/>
    <cellStyle name="Normal 2 2 5 2 2 3 3 2 2 2 2 2" xfId="55113"/>
    <cellStyle name="Normal 2 2 5 2 2 3 3 2 2 3" xfId="33289"/>
    <cellStyle name="Normal 2 2 5 2 2 3 3 2 3" xfId="31761"/>
    <cellStyle name="Normal 2 2 5 2 2 3 3 2 3 2" xfId="41659"/>
    <cellStyle name="Normal 2 2 5 2 2 3 3 3" xfId="11455"/>
    <cellStyle name="Normal 2 2 5 2 2 3 3 3 2" xfId="40121"/>
    <cellStyle name="Normal 2 2 5 2 2 3 3 3 2 2" xfId="46804"/>
    <cellStyle name="Normal 2 2 5 2 2 3 3 4" xfId="24941"/>
    <cellStyle name="Normal 2 2 5 2 2 3 4" xfId="9885"/>
    <cellStyle name="Normal 2 2 5 2 2 3 4 2" xfId="14613"/>
    <cellStyle name="Normal 2 2 5 2 2 3 4 2 2" xfId="45253"/>
    <cellStyle name="Normal 2 2 5 2 2 3 4 2 2 2" xfId="49952"/>
    <cellStyle name="Normal 2 2 5 2 2 3 4 3" xfId="28124"/>
    <cellStyle name="Normal 2 2 5 2 2 3 5" xfId="23376"/>
    <cellStyle name="Normal 2 2 5 2 2 3 5 2" xfId="36421"/>
    <cellStyle name="Normal 2 2 5 2 2 4" xfId="1715"/>
    <cellStyle name="Normal 2 2 5 2 2 4 2" xfId="5886"/>
    <cellStyle name="Normal 2 2 5 2 2 4 2 2" xfId="6968"/>
    <cellStyle name="Normal 2 2 5 2 2 4 2 2 2" xfId="19454"/>
    <cellStyle name="Normal 2 2 5 2 2 4 2 2 2 2" xfId="20521"/>
    <cellStyle name="Normal 2 2 5 2 2 4 2 2 2 2 2" xfId="54780"/>
    <cellStyle name="Normal 2 2 5 2 2 4 2 2 2 2 2 2" xfId="55847"/>
    <cellStyle name="Normal 2 2 5 2 2 4 2 2 2 3" xfId="34023"/>
    <cellStyle name="Normal 2 2 5 2 2 4 2 2 3" xfId="32955"/>
    <cellStyle name="Normal 2 2 5 2 2 4 2 2 3 2" xfId="42396"/>
    <cellStyle name="Normal 2 2 5 2 2 4 2 3" xfId="12192"/>
    <cellStyle name="Normal 2 2 5 2 2 4 2 3 2" xfId="41321"/>
    <cellStyle name="Normal 2 2 5 2 2 4 2 3 2 2" xfId="47539"/>
    <cellStyle name="Normal 2 2 5 2 2 4 2 4" xfId="25677"/>
    <cellStyle name="Normal 2 2 5 2 2 4 3" xfId="11111"/>
    <cellStyle name="Normal 2 2 5 2 2 4 3 2" xfId="15387"/>
    <cellStyle name="Normal 2 2 5 2 2 4 3 2 2" xfId="46470"/>
    <cellStyle name="Normal 2 2 5 2 2 4 3 2 2 2" xfId="50720"/>
    <cellStyle name="Normal 2 2 5 2 2 4 3 3" xfId="28894"/>
    <cellStyle name="Normal 2 2 5 2 2 4 4" xfId="24604"/>
    <cellStyle name="Normal 2 2 5 2 2 4 4 2" xfId="37197"/>
    <cellStyle name="Normal 2 2 5 2 2 5" xfId="3720"/>
    <cellStyle name="Normal 2 2 5 2 2 5 2" xfId="14271"/>
    <cellStyle name="Normal 2 2 5 2 2 5 2 2" xfId="17336"/>
    <cellStyle name="Normal 2 2 5 2 2 5 2 2 2" xfId="49616"/>
    <cellStyle name="Normal 2 2 5 2 2 5 2 2 2 2" xfId="52663"/>
    <cellStyle name="Normal 2 2 5 2 2 5 2 3" xfId="30837"/>
    <cellStyle name="Normal 2 2 5 2 2 5 3" xfId="27779"/>
    <cellStyle name="Normal 2 2 5 2 2 5 3 2" xfId="39171"/>
    <cellStyle name="Normal 2 2 5 2 2 6" xfId="8910"/>
    <cellStyle name="Normal 2 2 5 2 2 6 2" xfId="36083"/>
    <cellStyle name="Normal 2 2 5 2 2 6 2 2" xfId="44309"/>
    <cellStyle name="Normal 2 2 5 2 2 7" xfId="22417"/>
    <cellStyle name="Normal 2 2 5 2 3" xfId="882"/>
    <cellStyle name="Normal 2 2 5 2 3 2" xfId="1100"/>
    <cellStyle name="Normal 2 2 5 2 3 2 2" xfId="2924"/>
    <cellStyle name="Normal 2 2 5 2 3 2 2 2" xfId="3130"/>
    <cellStyle name="Normal 2 2 5 2 3 2 2 2 2" xfId="8139"/>
    <cellStyle name="Normal 2 2 5 2 3 2 2 2 2 2" xfId="8345"/>
    <cellStyle name="Normal 2 2 5 2 3 2 2 2 2 2 2" xfId="21691"/>
    <cellStyle name="Normal 2 2 5 2 3 2 2 2 2 2 2 2" xfId="21897"/>
    <cellStyle name="Normal 2 2 5 2 3 2 2 2 2 2 2 2 2" xfId="57017"/>
    <cellStyle name="Normal 2 2 5 2 3 2 2 2 2 2 2 2 2 2" xfId="57223"/>
    <cellStyle name="Normal 2 2 5 2 3 2 2 2 2 2 2 3" xfId="35400"/>
    <cellStyle name="Normal 2 2 5 2 3 2 2 2 2 2 3" xfId="35194"/>
    <cellStyle name="Normal 2 2 5 2 3 2 2 2 2 2 3 2" xfId="43772"/>
    <cellStyle name="Normal 2 2 5 2 3 2 2 2 2 3" xfId="13570"/>
    <cellStyle name="Normal 2 2 5 2 3 2 2 2 2 3 2" xfId="43566"/>
    <cellStyle name="Normal 2 2 5 2 3 2 2 2 2 3 2 2" xfId="48916"/>
    <cellStyle name="Normal 2 2 5 2 3 2 2 2 2 4" xfId="27055"/>
    <cellStyle name="Normal 2 2 5 2 3 2 2 2 3" xfId="13364"/>
    <cellStyle name="Normal 2 2 5 2 3 2 2 2 3 2" xfId="16787"/>
    <cellStyle name="Normal 2 2 5 2 3 2 2 2 3 2 2" xfId="48710"/>
    <cellStyle name="Normal 2 2 5 2 3 2 2 2 3 2 2 2" xfId="52115"/>
    <cellStyle name="Normal 2 2 5 2 3 2 2 2 3 3" xfId="30289"/>
    <cellStyle name="Normal 2 2 5 2 3 2 2 2 4" xfId="26849"/>
    <cellStyle name="Normal 2 2 5 2 3 2 2 2 4 2" xfId="38599"/>
    <cellStyle name="Normal 2 2 5 2 3 2 2 3" xfId="5167"/>
    <cellStyle name="Normal 2 2 5 2 3 2 2 3 2" xfId="16581"/>
    <cellStyle name="Normal 2 2 5 2 3 2 2 3 2 2" xfId="18740"/>
    <cellStyle name="Normal 2 2 5 2 3 2 2 3 2 2 2" xfId="51909"/>
    <cellStyle name="Normal 2 2 5 2 3 2 2 3 2 2 2 2" xfId="54066"/>
    <cellStyle name="Normal 2 2 5 2 3 2 2 3 2 3" xfId="32241"/>
    <cellStyle name="Normal 2 2 5 2 3 2 2 3 3" xfId="30083"/>
    <cellStyle name="Normal 2 2 5 2 3 2 2 3 3 2" xfId="40604"/>
    <cellStyle name="Normal 2 2 5 2 3 2 2 4" xfId="10370"/>
    <cellStyle name="Normal 2 2 5 2 3 2 2 4 2" xfId="38393"/>
    <cellStyle name="Normal 2 2 5 2 3 2 2 4 2 2" xfId="45733"/>
    <cellStyle name="Normal 2 2 5 2 3 2 2 5" xfId="23856"/>
    <cellStyle name="Normal 2 2 5 2 3 2 3" xfId="4960"/>
    <cellStyle name="Normal 2 2 5 2 3 2 3 2" xfId="6409"/>
    <cellStyle name="Normal 2 2 5 2 3 2 3 2 2" xfId="18533"/>
    <cellStyle name="Normal 2 2 5 2 3 2 3 2 2 2" xfId="19965"/>
    <cellStyle name="Normal 2 2 5 2 3 2 3 2 2 2 2" xfId="53859"/>
    <cellStyle name="Normal 2 2 5 2 3 2 3 2 2 2 2 2" xfId="55291"/>
    <cellStyle name="Normal 2 2 5 2 3 2 3 2 2 3" xfId="33467"/>
    <cellStyle name="Normal 2 2 5 2 3 2 3 2 3" xfId="32034"/>
    <cellStyle name="Normal 2 2 5 2 3 2 3 2 3 2" xfId="41838"/>
    <cellStyle name="Normal 2 2 5 2 3 2 3 3" xfId="11634"/>
    <cellStyle name="Normal 2 2 5 2 3 2 3 3 2" xfId="40397"/>
    <cellStyle name="Normal 2 2 5 2 3 2 3 3 2 2" xfId="46983"/>
    <cellStyle name="Normal 2 2 5 2 3 2 3 4" xfId="25120"/>
    <cellStyle name="Normal 2 2 5 2 3 2 4" xfId="10163"/>
    <cellStyle name="Normal 2 2 5 2 3 2 4 2" xfId="14792"/>
    <cellStyle name="Normal 2 2 5 2 3 2 4 2 2" xfId="45526"/>
    <cellStyle name="Normal 2 2 5 2 3 2 4 2 2 2" xfId="50131"/>
    <cellStyle name="Normal 2 2 5 2 3 2 4 3" xfId="28304"/>
    <cellStyle name="Normal 2 2 5 2 3 2 5" xfId="23649"/>
    <cellStyle name="Normal 2 2 5 2 3 2 5 2" xfId="36600"/>
    <cellStyle name="Normal 2 2 5 2 3 3" xfId="1908"/>
    <cellStyle name="Normal 2 2 5 2 3 3 2" xfId="6194"/>
    <cellStyle name="Normal 2 2 5 2 3 3 2 2" xfId="7152"/>
    <cellStyle name="Normal 2 2 5 2 3 3 2 2 2" xfId="19753"/>
    <cellStyle name="Normal 2 2 5 2 3 3 2 2 2 2" xfId="20704"/>
    <cellStyle name="Normal 2 2 5 2 3 3 2 2 2 2 2" xfId="55079"/>
    <cellStyle name="Normal 2 2 5 2 3 3 2 2 2 2 2 2" xfId="56030"/>
    <cellStyle name="Normal 2 2 5 2 3 3 2 2 2 3" xfId="34207"/>
    <cellStyle name="Normal 2 2 5 2 3 3 2 2 3" xfId="33255"/>
    <cellStyle name="Normal 2 2 5 2 3 3 2 2 3 2" xfId="42579"/>
    <cellStyle name="Normal 2 2 5 2 3 3 2 3" xfId="12377"/>
    <cellStyle name="Normal 2 2 5 2 3 3 2 3 2" xfId="41624"/>
    <cellStyle name="Normal 2 2 5 2 3 3 2 3 2 2" xfId="47723"/>
    <cellStyle name="Normal 2 2 5 2 3 3 2 4" xfId="25861"/>
    <cellStyle name="Normal 2 2 5 2 3 3 3" xfId="11419"/>
    <cellStyle name="Normal 2 2 5 2 3 3 3 2" xfId="15575"/>
    <cellStyle name="Normal 2 2 5 2 3 3 3 2 2" xfId="46770"/>
    <cellStyle name="Normal 2 2 5 2 3 3 3 2 2 2" xfId="50907"/>
    <cellStyle name="Normal 2 2 5 2 3 3 3 3" xfId="29081"/>
    <cellStyle name="Normal 2 2 5 2 3 3 4" xfId="24907"/>
    <cellStyle name="Normal 2 2 5 2 3 3 4 2" xfId="37387"/>
    <cellStyle name="Normal 2 2 5 2 3 4" xfId="3922"/>
    <cellStyle name="Normal 2 2 5 2 3 4 2" xfId="14578"/>
    <cellStyle name="Normal 2 2 5 2 3 4 2 2" xfId="17527"/>
    <cellStyle name="Normal 2 2 5 2 3 4 2 2 2" xfId="49918"/>
    <cellStyle name="Normal 2 2 5 2 3 4 2 2 2 2" xfId="52854"/>
    <cellStyle name="Normal 2 2 5 2 3 4 2 3" xfId="31029"/>
    <cellStyle name="Normal 2 2 5 2 3 4 3" xfId="28089"/>
    <cellStyle name="Normal 2 2 5 2 3 4 3 2" xfId="39367"/>
    <cellStyle name="Normal 2 2 5 2 3 5" xfId="9114"/>
    <cellStyle name="Normal 2 2 5 2 3 5 2" xfId="36387"/>
    <cellStyle name="Normal 2 2 5 2 3 5 2 2" xfId="44506"/>
    <cellStyle name="Normal 2 2 5 2 3 6" xfId="22620"/>
    <cellStyle name="Normal 2 2 5 2 4" xfId="1677"/>
    <cellStyle name="Normal 2 2 5 2 4 2" xfId="2357"/>
    <cellStyle name="Normal 2 2 5 2 4 2 2" xfId="6934"/>
    <cellStyle name="Normal 2 2 5 2 4 2 2 2" xfId="7591"/>
    <cellStyle name="Normal 2 2 5 2 4 2 2 2 2" xfId="20487"/>
    <cellStyle name="Normal 2 2 5 2 4 2 2 2 2 2" xfId="21143"/>
    <cellStyle name="Normal 2 2 5 2 4 2 2 2 2 2 2" xfId="55813"/>
    <cellStyle name="Normal 2 2 5 2 4 2 2 2 2 2 2 2" xfId="56469"/>
    <cellStyle name="Normal 2 2 5 2 4 2 2 2 2 3" xfId="34646"/>
    <cellStyle name="Normal 2 2 5 2 4 2 2 2 3" xfId="33989"/>
    <cellStyle name="Normal 2 2 5 2 4 2 2 2 3 2" xfId="43018"/>
    <cellStyle name="Normal 2 2 5 2 4 2 2 3" xfId="12816"/>
    <cellStyle name="Normal 2 2 5 2 4 2 2 3 2" xfId="42362"/>
    <cellStyle name="Normal 2 2 5 2 4 2 2 3 2 2" xfId="48162"/>
    <cellStyle name="Normal 2 2 5 2 4 2 2 4" xfId="26300"/>
    <cellStyle name="Normal 2 2 5 2 4 2 3" xfId="12158"/>
    <cellStyle name="Normal 2 2 5 2 4 2 3 2" xfId="16021"/>
    <cellStyle name="Normal 2 2 5 2 4 2 3 2 2" xfId="47505"/>
    <cellStyle name="Normal 2 2 5 2 4 2 3 2 2 2" xfId="51353"/>
    <cellStyle name="Normal 2 2 5 2 4 2 3 3" xfId="29527"/>
    <cellStyle name="Normal 2 2 5 2 4 2 4" xfId="25643"/>
    <cellStyle name="Normal 2 2 5 2 4 2 4 2" xfId="37835"/>
    <cellStyle name="Normal 2 2 5 2 4 3" xfId="4388"/>
    <cellStyle name="Normal 2 2 5 2 4 3 2" xfId="15350"/>
    <cellStyle name="Normal 2 2 5 2 4 3 2 2" xfId="17980"/>
    <cellStyle name="Normal 2 2 5 2 4 3 2 2 2" xfId="50684"/>
    <cellStyle name="Normal 2 2 5 2 4 3 2 2 2 2" xfId="53306"/>
    <cellStyle name="Normal 2 2 5 2 4 3 2 3" xfId="31481"/>
    <cellStyle name="Normal 2 2 5 2 4 3 3" xfId="28858"/>
    <cellStyle name="Normal 2 2 5 2 4 3 3 2" xfId="39830"/>
    <cellStyle name="Normal 2 2 5 2 4 4" xfId="9590"/>
    <cellStyle name="Normal 2 2 5 2 4 4 2" xfId="37160"/>
    <cellStyle name="Normal 2 2 5 2 4 4 2 2" xfId="44971"/>
    <cellStyle name="Normal 2 2 5 2 4 5" xfId="23091"/>
    <cellStyle name="Normal 2 2 5 2 5" xfId="3682"/>
    <cellStyle name="Normal 2 2 5 2 5 2" xfId="5598"/>
    <cellStyle name="Normal 2 2 5 2 5 2 2" xfId="17302"/>
    <cellStyle name="Normal 2 2 5 2 5 2 2 2" xfId="19170"/>
    <cellStyle name="Normal 2 2 5 2 5 2 2 2 2" xfId="52629"/>
    <cellStyle name="Normal 2 2 5 2 5 2 2 2 2 2" xfId="54496"/>
    <cellStyle name="Normal 2 2 5 2 5 2 2 3" xfId="32671"/>
    <cellStyle name="Normal 2 2 5 2 5 2 3" xfId="30803"/>
    <cellStyle name="Normal 2 2 5 2 5 2 3 2" xfId="41034"/>
    <cellStyle name="Normal 2 2 5 2 5 3" xfId="10810"/>
    <cellStyle name="Normal 2 2 5 2 5 3 2" xfId="39133"/>
    <cellStyle name="Normal 2 2 5 2 5 3 2 2" xfId="46172"/>
    <cellStyle name="Normal 2 2 5 2 5 4" xfId="24300"/>
    <cellStyle name="Normal 2 2 5 2 6" xfId="8871"/>
    <cellStyle name="Normal 2 2 5 2 6 2" xfId="13982"/>
    <cellStyle name="Normal 2 2 5 2 6 2 2" xfId="44274"/>
    <cellStyle name="Normal 2 2 5 2 6 2 2 2" xfId="49328"/>
    <cellStyle name="Normal 2 2 5 2 6 3" xfId="27474"/>
    <cellStyle name="Normal 2 2 5 2 7" xfId="22382"/>
    <cellStyle name="Normal 2 2 5 2 7 2" xfId="35794"/>
    <cellStyle name="Normal 2 2 5 3" xfId="367"/>
    <cellStyle name="Normal 2 2 5 3 2" xfId="1050"/>
    <cellStyle name="Normal 2 2 5 3 2 2" xfId="1215"/>
    <cellStyle name="Normal 2 2 5 3 2 2 2" xfId="3086"/>
    <cellStyle name="Normal 2 2 5 3 2 2 2 2" xfId="3233"/>
    <cellStyle name="Normal 2 2 5 3 2 2 2 2 2" xfId="8301"/>
    <cellStyle name="Normal 2 2 5 3 2 2 2 2 2 2" xfId="8448"/>
    <cellStyle name="Normal 2 2 5 3 2 2 2 2 2 2 2" xfId="21853"/>
    <cellStyle name="Normal 2 2 5 3 2 2 2 2 2 2 2 2" xfId="22000"/>
    <cellStyle name="Normal 2 2 5 3 2 2 2 2 2 2 2 2 2" xfId="57179"/>
    <cellStyle name="Normal 2 2 5 3 2 2 2 2 2 2 2 2 2 2" xfId="57326"/>
    <cellStyle name="Normal 2 2 5 3 2 2 2 2 2 2 2 3" xfId="35503"/>
    <cellStyle name="Normal 2 2 5 3 2 2 2 2 2 2 3" xfId="35356"/>
    <cellStyle name="Normal 2 2 5 3 2 2 2 2 2 2 3 2" xfId="43875"/>
    <cellStyle name="Normal 2 2 5 3 2 2 2 2 2 3" xfId="13673"/>
    <cellStyle name="Normal 2 2 5 3 2 2 2 2 2 3 2" xfId="43728"/>
    <cellStyle name="Normal 2 2 5 3 2 2 2 2 2 3 2 2" xfId="49019"/>
    <cellStyle name="Normal 2 2 5 3 2 2 2 2 2 4" xfId="27158"/>
    <cellStyle name="Normal 2 2 5 3 2 2 2 2 3" xfId="13526"/>
    <cellStyle name="Normal 2 2 5 3 2 2 2 2 3 2" xfId="16890"/>
    <cellStyle name="Normal 2 2 5 3 2 2 2 2 3 2 2" xfId="48872"/>
    <cellStyle name="Normal 2 2 5 3 2 2 2 2 3 2 2 2" xfId="52218"/>
    <cellStyle name="Normal 2 2 5 3 2 2 2 2 3 3" xfId="30392"/>
    <cellStyle name="Normal 2 2 5 3 2 2 2 2 4" xfId="27011"/>
    <cellStyle name="Normal 2 2 5 3 2 2 2 2 4 2" xfId="38702"/>
    <cellStyle name="Normal 2 2 5 3 2 2 2 3" xfId="5270"/>
    <cellStyle name="Normal 2 2 5 3 2 2 2 3 2" xfId="16743"/>
    <cellStyle name="Normal 2 2 5 3 2 2 2 3 2 2" xfId="18843"/>
    <cellStyle name="Normal 2 2 5 3 2 2 2 3 2 2 2" xfId="52071"/>
    <cellStyle name="Normal 2 2 5 3 2 2 2 3 2 2 2 2" xfId="54169"/>
    <cellStyle name="Normal 2 2 5 3 2 2 2 3 2 3" xfId="32344"/>
    <cellStyle name="Normal 2 2 5 3 2 2 2 3 3" xfId="30245"/>
    <cellStyle name="Normal 2 2 5 3 2 2 2 3 3 2" xfId="40707"/>
    <cellStyle name="Normal 2 2 5 3 2 2 2 4" xfId="10473"/>
    <cellStyle name="Normal 2 2 5 3 2 2 2 4 2" xfId="38555"/>
    <cellStyle name="Normal 2 2 5 3 2 2 2 4 2 2" xfId="45836"/>
    <cellStyle name="Normal 2 2 5 3 2 2 2 5" xfId="23959"/>
    <cellStyle name="Normal 2 2 5 3 2 2 3" xfId="5123"/>
    <cellStyle name="Normal 2 2 5 3 2 2 3 2" xfId="6523"/>
    <cellStyle name="Normal 2 2 5 3 2 2 3 2 2" xfId="18696"/>
    <cellStyle name="Normal 2 2 5 3 2 2 3 2 2 2" xfId="20076"/>
    <cellStyle name="Normal 2 2 5 3 2 2 3 2 2 2 2" xfId="54022"/>
    <cellStyle name="Normal 2 2 5 3 2 2 3 2 2 2 2 2" xfId="55402"/>
    <cellStyle name="Normal 2 2 5 3 2 2 3 2 2 3" xfId="33578"/>
    <cellStyle name="Normal 2 2 5 3 2 2 3 2 3" xfId="32197"/>
    <cellStyle name="Normal 2 2 5 3 2 2 3 2 3 2" xfId="41951"/>
    <cellStyle name="Normal 2 2 5 3 2 2 3 3" xfId="11746"/>
    <cellStyle name="Normal 2 2 5 3 2 2 3 3 2" xfId="40560"/>
    <cellStyle name="Normal 2 2 5 3 2 2 3 3 2 2" xfId="47094"/>
    <cellStyle name="Normal 2 2 5 3 2 2 3 4" xfId="25231"/>
    <cellStyle name="Normal 2 2 5 3 2 2 4" xfId="10326"/>
    <cellStyle name="Normal 2 2 5 3 2 2 4 2" xfId="14904"/>
    <cellStyle name="Normal 2 2 5 3 2 2 4 2 2" xfId="45689"/>
    <cellStyle name="Normal 2 2 5 3 2 2 4 2 2 2" xfId="50243"/>
    <cellStyle name="Normal 2 2 5 3 2 2 4 3" xfId="28417"/>
    <cellStyle name="Normal 2 2 5 3 2 2 5" xfId="23812"/>
    <cellStyle name="Normal 2 2 5 3 2 2 5 2" xfId="36712"/>
    <cellStyle name="Normal 2 2 5 3 2 3" xfId="2021"/>
    <cellStyle name="Normal 2 2 5 3 2 3 2" xfId="6360"/>
    <cellStyle name="Normal 2 2 5 3 2 3 2 2" xfId="7255"/>
    <cellStyle name="Normal 2 2 5 3 2 3 2 2 2" xfId="19917"/>
    <cellStyle name="Normal 2 2 5 3 2 3 2 2 2 2" xfId="20807"/>
    <cellStyle name="Normal 2 2 5 3 2 3 2 2 2 2 2" xfId="55243"/>
    <cellStyle name="Normal 2 2 5 3 2 3 2 2 2 2 2 2" xfId="56133"/>
    <cellStyle name="Normal 2 2 5 3 2 3 2 2 2 3" xfId="34310"/>
    <cellStyle name="Normal 2 2 5 3 2 3 2 2 3" xfId="33419"/>
    <cellStyle name="Normal 2 2 5 3 2 3 2 2 3 2" xfId="42682"/>
    <cellStyle name="Normal 2 2 5 3 2 3 2 3" xfId="12480"/>
    <cellStyle name="Normal 2 2 5 3 2 3 2 3 2" xfId="41789"/>
    <cellStyle name="Normal 2 2 5 3 2 3 2 3 2 2" xfId="47826"/>
    <cellStyle name="Normal 2 2 5 3 2 3 2 4" xfId="25964"/>
    <cellStyle name="Normal 2 2 5 3 2 3 3" xfId="11586"/>
    <cellStyle name="Normal 2 2 5 3 2 3 3 2" xfId="15685"/>
    <cellStyle name="Normal 2 2 5 3 2 3 3 2 2" xfId="46935"/>
    <cellStyle name="Normal 2 2 5 3 2 3 3 2 2 2" xfId="51017"/>
    <cellStyle name="Normal 2 2 5 3 2 3 3 3" xfId="29191"/>
    <cellStyle name="Normal 2 2 5 3 2 3 4" xfId="25072"/>
    <cellStyle name="Normal 2 2 5 3 2 3 4 2" xfId="37499"/>
    <cellStyle name="Normal 2 2 5 3 2 4" xfId="4037"/>
    <cellStyle name="Normal 2 2 5 3 2 4 2" xfId="14743"/>
    <cellStyle name="Normal 2 2 5 3 2 4 2 2" xfId="17630"/>
    <cellStyle name="Normal 2 2 5 3 2 4 2 2 2" xfId="50082"/>
    <cellStyle name="Normal 2 2 5 3 2 4 2 2 2 2" xfId="52957"/>
    <cellStyle name="Normal 2 2 5 3 2 4 2 3" xfId="31132"/>
    <cellStyle name="Normal 2 2 5 3 2 4 3" xfId="28255"/>
    <cellStyle name="Normal 2 2 5 3 2 4 3 2" xfId="39480"/>
    <cellStyle name="Normal 2 2 5 3 2 5" xfId="9228"/>
    <cellStyle name="Normal 2 2 5 3 2 5 2" xfId="36551"/>
    <cellStyle name="Normal 2 2 5 3 2 5 2 2" xfId="44610"/>
    <cellStyle name="Normal 2 2 5 3 2 6" xfId="22724"/>
    <cellStyle name="Normal 2 2 5 3 3" xfId="1857"/>
    <cellStyle name="Normal 2 2 5 3 3 2" xfId="2474"/>
    <cellStyle name="Normal 2 2 5 3 3 2 2" xfId="7107"/>
    <cellStyle name="Normal 2 2 5 3 3 2 2 2" xfId="7704"/>
    <cellStyle name="Normal 2 2 5 3 3 2 2 2 2" xfId="20659"/>
    <cellStyle name="Normal 2 2 5 3 3 2 2 2 2 2" xfId="21256"/>
    <cellStyle name="Normal 2 2 5 3 3 2 2 2 2 2 2" xfId="55985"/>
    <cellStyle name="Normal 2 2 5 3 3 2 2 2 2 2 2 2" xfId="56582"/>
    <cellStyle name="Normal 2 2 5 3 3 2 2 2 2 3" xfId="34759"/>
    <cellStyle name="Normal 2 2 5 3 3 2 2 2 3" xfId="34162"/>
    <cellStyle name="Normal 2 2 5 3 3 2 2 2 3 2" xfId="43131"/>
    <cellStyle name="Normal 2 2 5 3 3 2 2 3" xfId="12929"/>
    <cellStyle name="Normal 2 2 5 3 3 2 2 3 2" xfId="42534"/>
    <cellStyle name="Normal 2 2 5 3 3 2 2 3 2 2" xfId="48275"/>
    <cellStyle name="Normal 2 2 5 3 3 2 2 4" xfId="26413"/>
    <cellStyle name="Normal 2 2 5 3 3 2 3" xfId="12332"/>
    <cellStyle name="Normal 2 2 5 3 3 2 3 2" xfId="16137"/>
    <cellStyle name="Normal 2 2 5 3 3 2 3 2 2" xfId="47678"/>
    <cellStyle name="Normal 2 2 5 3 3 2 3 2 2 2" xfId="51468"/>
    <cellStyle name="Normal 2 2 5 3 3 2 3 3" xfId="29642"/>
    <cellStyle name="Normal 2 2 5 3 3 2 4" xfId="25816"/>
    <cellStyle name="Normal 2 2 5 3 3 2 4 2" xfId="37951"/>
    <cellStyle name="Normal 2 2 5 3 3 3" xfId="4509"/>
    <cellStyle name="Normal 2 2 5 3 3 3 2" xfId="15528"/>
    <cellStyle name="Normal 2 2 5 3 3 3 2 2" xfId="18097"/>
    <cellStyle name="Normal 2 2 5 3 3 3 2 2 2" xfId="50860"/>
    <cellStyle name="Normal 2 2 5 3 3 3 2 2 2 2" xfId="53423"/>
    <cellStyle name="Normal 2 2 5 3 3 3 2 3" xfId="31598"/>
    <cellStyle name="Normal 2 2 5 3 3 3 3" xfId="29034"/>
    <cellStyle name="Normal 2 2 5 3 3 3 3 2" xfId="39950"/>
    <cellStyle name="Normal 2 2 5 3 3 4" xfId="9713"/>
    <cellStyle name="Normal 2 2 5 3 3 4 2" xfId="37338"/>
    <cellStyle name="Normal 2 2 5 3 3 4 2 2" xfId="45090"/>
    <cellStyle name="Normal 2 2 5 3 3 5" xfId="23213"/>
    <cellStyle name="Normal 2 2 5 3 4" xfId="3871"/>
    <cellStyle name="Normal 2 2 5 3 4 2" xfId="5717"/>
    <cellStyle name="Normal 2 2 5 3 4 2 2" xfId="17482"/>
    <cellStyle name="Normal 2 2 5 3 4 2 2 2" xfId="19286"/>
    <cellStyle name="Normal 2 2 5 3 4 2 2 2 2" xfId="52809"/>
    <cellStyle name="Normal 2 2 5 3 4 2 2 2 2 2" xfId="54612"/>
    <cellStyle name="Normal 2 2 5 3 4 2 2 3" xfId="32787"/>
    <cellStyle name="Normal 2 2 5 3 4 2 3" xfId="30984"/>
    <cellStyle name="Normal 2 2 5 3 4 2 3 2" xfId="41152"/>
    <cellStyle name="Normal 2 2 5 3 4 3" xfId="10937"/>
    <cellStyle name="Normal 2 2 5 3 4 3 2" xfId="39319"/>
    <cellStyle name="Normal 2 2 5 3 4 3 2 2" xfId="46296"/>
    <cellStyle name="Normal 2 2 5 3 4 4" xfId="24428"/>
    <cellStyle name="Normal 2 2 5 3 5" xfId="9064"/>
    <cellStyle name="Normal 2 2 5 3 5 2" xfId="14100"/>
    <cellStyle name="Normal 2 2 5 3 5 2 2" xfId="44460"/>
    <cellStyle name="Normal 2 2 5 3 5 2 2 2" xfId="49445"/>
    <cellStyle name="Normal 2 2 5 3 5 3" xfId="27600"/>
    <cellStyle name="Normal 2 2 5 3 6" xfId="22571"/>
    <cellStyle name="Normal 2 2 5 3 6 2" xfId="35911"/>
    <cellStyle name="Normal 2 2 5 4" xfId="681"/>
    <cellStyle name="Normal 2 2 5 4 2" xfId="2313"/>
    <cellStyle name="Normal 2 2 5 4 2 2" xfId="2769"/>
    <cellStyle name="Normal 2 2 5 4 2 2 2" xfId="7547"/>
    <cellStyle name="Normal 2 2 5 4 2 2 2 2" xfId="7986"/>
    <cellStyle name="Normal 2 2 5 4 2 2 2 2 2" xfId="21099"/>
    <cellStyle name="Normal 2 2 5 4 2 2 2 2 2 2" xfId="21538"/>
    <cellStyle name="Normal 2 2 5 4 2 2 2 2 2 2 2" xfId="56425"/>
    <cellStyle name="Normal 2 2 5 4 2 2 2 2 2 2 2 2" xfId="56864"/>
    <cellStyle name="Normal 2 2 5 4 2 2 2 2 2 3" xfId="35041"/>
    <cellStyle name="Normal 2 2 5 4 2 2 2 2 3" xfId="34602"/>
    <cellStyle name="Normal 2 2 5 4 2 2 2 2 3 2" xfId="43413"/>
    <cellStyle name="Normal 2 2 5 4 2 2 2 3" xfId="13211"/>
    <cellStyle name="Normal 2 2 5 4 2 2 2 3 2" xfId="42974"/>
    <cellStyle name="Normal 2 2 5 4 2 2 2 3 2 2" xfId="48557"/>
    <cellStyle name="Normal 2 2 5 4 2 2 2 4" xfId="26695"/>
    <cellStyle name="Normal 2 2 5 4 2 2 3" xfId="12772"/>
    <cellStyle name="Normal 2 2 5 4 2 2 3 2" xfId="16428"/>
    <cellStyle name="Normal 2 2 5 4 2 2 3 2 2" xfId="48118"/>
    <cellStyle name="Normal 2 2 5 4 2 2 3 2 2 2" xfId="51756"/>
    <cellStyle name="Normal 2 2 5 4 2 2 3 3" xfId="29930"/>
    <cellStyle name="Normal 2 2 5 4 2 2 4" xfId="26256"/>
    <cellStyle name="Normal 2 2 5 4 2 2 4 2" xfId="38240"/>
    <cellStyle name="Normal 2 2 5 4 2 3" xfId="4805"/>
    <cellStyle name="Normal 2 2 5 4 2 3 2" xfId="15977"/>
    <cellStyle name="Normal 2 2 5 4 2 3 2 2" xfId="18380"/>
    <cellStyle name="Normal 2 2 5 4 2 3 2 2 2" xfId="51309"/>
    <cellStyle name="Normal 2 2 5 4 2 3 2 2 2 2" xfId="53706"/>
    <cellStyle name="Normal 2 2 5 4 2 3 2 3" xfId="31881"/>
    <cellStyle name="Normal 2 2 5 4 2 3 3" xfId="29483"/>
    <cellStyle name="Normal 2 2 5 4 2 3 3 2" xfId="40242"/>
    <cellStyle name="Normal 2 2 5 4 2 4" xfId="10008"/>
    <cellStyle name="Normal 2 2 5 4 2 4 2" xfId="37791"/>
    <cellStyle name="Normal 2 2 5 4 2 4 2 2" xfId="45373"/>
    <cellStyle name="Normal 2 2 5 4 2 5" xfId="23496"/>
    <cellStyle name="Normal 2 2 5 4 3" xfId="4342"/>
    <cellStyle name="Normal 2 2 5 4 3 2" xfId="6010"/>
    <cellStyle name="Normal 2 2 5 4 3 2 2" xfId="17935"/>
    <cellStyle name="Normal 2 2 5 4 3 2 2 2" xfId="19575"/>
    <cellStyle name="Normal 2 2 5 4 3 2 2 2 2" xfId="53262"/>
    <cellStyle name="Normal 2 2 5 4 3 2 2 2 2 2" xfId="54901"/>
    <cellStyle name="Normal 2 2 5 4 3 2 2 3" xfId="33076"/>
    <cellStyle name="Normal 2 2 5 4 3 2 3" xfId="31437"/>
    <cellStyle name="Normal 2 2 5 4 3 2 3 2" xfId="41444"/>
    <cellStyle name="Normal 2 2 5 4 3 3" xfId="11235"/>
    <cellStyle name="Normal 2 2 5 4 3 3 2" xfId="39785"/>
    <cellStyle name="Normal 2 2 5 4 3 3 2 2" xfId="46591"/>
    <cellStyle name="Normal 2 2 5 4 3 4" xfId="24728"/>
    <cellStyle name="Normal 2 2 5 4 4" xfId="9540"/>
    <cellStyle name="Normal 2 2 5 4 4 2" xfId="14392"/>
    <cellStyle name="Normal 2 2 5 4 4 2 2" xfId="44922"/>
    <cellStyle name="Normal 2 2 5 4 4 2 2 2" xfId="49737"/>
    <cellStyle name="Normal 2 2 5 4 4 3" xfId="27904"/>
    <cellStyle name="Normal 2 2 5 4 5" xfId="23040"/>
    <cellStyle name="Normal 2 2 5 4 5 2" xfId="36204"/>
    <cellStyle name="Normal 2 2 5 5" xfId="755"/>
    <cellStyle name="Normal 2 2 5 5 2" xfId="5552"/>
    <cellStyle name="Normal 2 2 5 5 2 2" xfId="6073"/>
    <cellStyle name="Normal 2 2 5 5 2 2 2" xfId="19125"/>
    <cellStyle name="Normal 2 2 5 5 2 2 2 2" xfId="19637"/>
    <cellStyle name="Normal 2 2 5 5 2 2 2 2 2" xfId="54451"/>
    <cellStyle name="Normal 2 2 5 5 2 2 2 2 2 2" xfId="54963"/>
    <cellStyle name="Normal 2 2 5 5 2 2 2 3" xfId="33138"/>
    <cellStyle name="Normal 2 2 5 5 2 2 3" xfId="32626"/>
    <cellStyle name="Normal 2 2 5 5 2 2 3 2" xfId="41507"/>
    <cellStyle name="Normal 2 2 5 5 2 3" xfId="11299"/>
    <cellStyle name="Normal 2 2 5 5 2 3 2" xfId="40989"/>
    <cellStyle name="Normal 2 2 5 5 2 3 2 2" xfId="46654"/>
    <cellStyle name="Normal 2 2 5 5 2 4" xfId="24791"/>
    <cellStyle name="Normal 2 2 5 5 3" xfId="10761"/>
    <cellStyle name="Normal 2 2 5 5 3 2" xfId="14459"/>
    <cellStyle name="Normal 2 2 5 5 3 2 2" xfId="46123"/>
    <cellStyle name="Normal 2 2 5 5 3 2 2 2" xfId="49801"/>
    <cellStyle name="Normal 2 2 5 5 3 3" xfId="27969"/>
    <cellStyle name="Normal 2 2 5 5 4" xfId="24249"/>
    <cellStyle name="Normal 2 2 5 5 4 2" xfId="36269"/>
    <cellStyle name="Normal 2 2 5 6" xfId="1538"/>
    <cellStyle name="Normal 2 2 5 6 2" xfId="13937"/>
    <cellStyle name="Normal 2 2 5 6 2 2" xfId="15216"/>
    <cellStyle name="Normal 2 2 5 6 2 2 2" xfId="49283"/>
    <cellStyle name="Normal 2 2 5 6 2 2 2 2" xfId="50554"/>
    <cellStyle name="Normal 2 2 5 6 2 3" xfId="28728"/>
    <cellStyle name="Normal 2 2 5 6 3" xfId="27423"/>
    <cellStyle name="Normal 2 2 5 6 3 2" xfId="37028"/>
    <cellStyle name="Normal 2 2 5 7" xfId="1614"/>
    <cellStyle name="Normal 2 2 5 7 2" xfId="35749"/>
    <cellStyle name="Normal 2 2 5 7 2 2" xfId="37100"/>
    <cellStyle name="Normal 2 2 5 8" xfId="15344"/>
    <cellStyle name="Normal 2 2 6" xfId="294"/>
    <cellStyle name="Normal 2 2 6 2" xfId="405"/>
    <cellStyle name="Normal 2 2 6 2 2" xfId="1157"/>
    <cellStyle name="Normal 2 2 6 2 2 2" xfId="1236"/>
    <cellStyle name="Normal 2 2 6 2 2 2 2" xfId="3179"/>
    <cellStyle name="Normal 2 2 6 2 2 2 2 2" xfId="3254"/>
    <cellStyle name="Normal 2 2 6 2 2 2 2 2 2" xfId="8394"/>
    <cellStyle name="Normal 2 2 6 2 2 2 2 2 2 2" xfId="8469"/>
    <cellStyle name="Normal 2 2 6 2 2 2 2 2 2 2 2" xfId="21946"/>
    <cellStyle name="Normal 2 2 6 2 2 2 2 2 2 2 2 2" xfId="22021"/>
    <cellStyle name="Normal 2 2 6 2 2 2 2 2 2 2 2 2 2" xfId="57272"/>
    <cellStyle name="Normal 2 2 6 2 2 2 2 2 2 2 2 2 2 2" xfId="57347"/>
    <cellStyle name="Normal 2 2 6 2 2 2 2 2 2 2 2 3" xfId="35524"/>
    <cellStyle name="Normal 2 2 6 2 2 2 2 2 2 2 3" xfId="35449"/>
    <cellStyle name="Normal 2 2 6 2 2 2 2 2 2 2 3 2" xfId="43896"/>
    <cellStyle name="Normal 2 2 6 2 2 2 2 2 2 3" xfId="13694"/>
    <cellStyle name="Normal 2 2 6 2 2 2 2 2 2 3 2" xfId="43821"/>
    <cellStyle name="Normal 2 2 6 2 2 2 2 2 2 3 2 2" xfId="49040"/>
    <cellStyle name="Normal 2 2 6 2 2 2 2 2 2 4" xfId="27179"/>
    <cellStyle name="Normal 2 2 6 2 2 2 2 2 3" xfId="13619"/>
    <cellStyle name="Normal 2 2 6 2 2 2 2 2 3 2" xfId="16911"/>
    <cellStyle name="Normal 2 2 6 2 2 2 2 2 3 2 2" xfId="48965"/>
    <cellStyle name="Normal 2 2 6 2 2 2 2 2 3 2 2 2" xfId="52239"/>
    <cellStyle name="Normal 2 2 6 2 2 2 2 2 3 3" xfId="30413"/>
    <cellStyle name="Normal 2 2 6 2 2 2 2 2 4" xfId="27104"/>
    <cellStyle name="Normal 2 2 6 2 2 2 2 2 4 2" xfId="38723"/>
    <cellStyle name="Normal 2 2 6 2 2 2 2 3" xfId="5291"/>
    <cellStyle name="Normal 2 2 6 2 2 2 2 3 2" xfId="16836"/>
    <cellStyle name="Normal 2 2 6 2 2 2 2 3 2 2" xfId="18864"/>
    <cellStyle name="Normal 2 2 6 2 2 2 2 3 2 2 2" xfId="52164"/>
    <cellStyle name="Normal 2 2 6 2 2 2 2 3 2 2 2 2" xfId="54190"/>
    <cellStyle name="Normal 2 2 6 2 2 2 2 3 2 3" xfId="32365"/>
    <cellStyle name="Normal 2 2 6 2 2 2 2 3 3" xfId="30338"/>
    <cellStyle name="Normal 2 2 6 2 2 2 2 3 3 2" xfId="40728"/>
    <cellStyle name="Normal 2 2 6 2 2 2 2 4" xfId="10494"/>
    <cellStyle name="Normal 2 2 6 2 2 2 2 4 2" xfId="38648"/>
    <cellStyle name="Normal 2 2 6 2 2 2 2 4 2 2" xfId="45857"/>
    <cellStyle name="Normal 2 2 6 2 2 2 2 5" xfId="23980"/>
    <cellStyle name="Normal 2 2 6 2 2 2 3" xfId="5216"/>
    <cellStyle name="Normal 2 2 6 2 2 2 3 2" xfId="6544"/>
    <cellStyle name="Normal 2 2 6 2 2 2 3 2 2" xfId="18789"/>
    <cellStyle name="Normal 2 2 6 2 2 2 3 2 2 2" xfId="20097"/>
    <cellStyle name="Normal 2 2 6 2 2 2 3 2 2 2 2" xfId="54115"/>
    <cellStyle name="Normal 2 2 6 2 2 2 3 2 2 2 2 2" xfId="55423"/>
    <cellStyle name="Normal 2 2 6 2 2 2 3 2 2 3" xfId="33599"/>
    <cellStyle name="Normal 2 2 6 2 2 2 3 2 3" xfId="32290"/>
    <cellStyle name="Normal 2 2 6 2 2 2 3 2 3 2" xfId="41972"/>
    <cellStyle name="Normal 2 2 6 2 2 2 3 3" xfId="11767"/>
    <cellStyle name="Normal 2 2 6 2 2 2 3 3 2" xfId="40653"/>
    <cellStyle name="Normal 2 2 6 2 2 2 3 3 2 2" xfId="47115"/>
    <cellStyle name="Normal 2 2 6 2 2 2 3 4" xfId="25252"/>
    <cellStyle name="Normal 2 2 6 2 2 2 4" xfId="10419"/>
    <cellStyle name="Normal 2 2 6 2 2 2 4 2" xfId="14925"/>
    <cellStyle name="Normal 2 2 6 2 2 2 4 2 2" xfId="45782"/>
    <cellStyle name="Normal 2 2 6 2 2 2 4 2 2 2" xfId="50264"/>
    <cellStyle name="Normal 2 2 6 2 2 2 4 3" xfId="28438"/>
    <cellStyle name="Normal 2 2 6 2 2 2 5" xfId="23905"/>
    <cellStyle name="Normal 2 2 6 2 2 2 5 2" xfId="36733"/>
    <cellStyle name="Normal 2 2 6 2 2 3" xfId="2042"/>
    <cellStyle name="Normal 2 2 6 2 2 3 2" xfId="6465"/>
    <cellStyle name="Normal 2 2 6 2 2 3 2 2" xfId="7276"/>
    <cellStyle name="Normal 2 2 6 2 2 3 2 2 2" xfId="20019"/>
    <cellStyle name="Normal 2 2 6 2 2 3 2 2 2 2" xfId="20828"/>
    <cellStyle name="Normal 2 2 6 2 2 3 2 2 2 2 2" xfId="55345"/>
    <cellStyle name="Normal 2 2 6 2 2 3 2 2 2 2 2 2" xfId="56154"/>
    <cellStyle name="Normal 2 2 6 2 2 3 2 2 2 3" xfId="34331"/>
    <cellStyle name="Normal 2 2 6 2 2 3 2 2 3" xfId="33521"/>
    <cellStyle name="Normal 2 2 6 2 2 3 2 2 3 2" xfId="42703"/>
    <cellStyle name="Normal 2 2 6 2 2 3 2 3" xfId="12501"/>
    <cellStyle name="Normal 2 2 6 2 2 3 2 3 2" xfId="41893"/>
    <cellStyle name="Normal 2 2 6 2 2 3 2 3 2 2" xfId="47847"/>
    <cellStyle name="Normal 2 2 6 2 2 3 2 4" xfId="25985"/>
    <cellStyle name="Normal 2 2 6 2 2 3 3" xfId="11689"/>
    <cellStyle name="Normal 2 2 6 2 2 3 3 2" xfId="15706"/>
    <cellStyle name="Normal 2 2 6 2 2 3 3 2 2" xfId="47037"/>
    <cellStyle name="Normal 2 2 6 2 2 3 3 2 2 2" xfId="51038"/>
    <cellStyle name="Normal 2 2 6 2 2 3 3 3" xfId="29212"/>
    <cellStyle name="Normal 2 2 6 2 2 3 4" xfId="25174"/>
    <cellStyle name="Normal 2 2 6 2 2 3 4 2" xfId="37520"/>
    <cellStyle name="Normal 2 2 6 2 2 4" xfId="4058"/>
    <cellStyle name="Normal 2 2 6 2 2 4 2" xfId="14847"/>
    <cellStyle name="Normal 2 2 6 2 2 4 2 2" xfId="17651"/>
    <cellStyle name="Normal 2 2 6 2 2 4 2 2 2" xfId="50186"/>
    <cellStyle name="Normal 2 2 6 2 2 4 2 2 2 2" xfId="52978"/>
    <cellStyle name="Normal 2 2 6 2 2 4 2 3" xfId="31153"/>
    <cellStyle name="Normal 2 2 6 2 2 4 3" xfId="28360"/>
    <cellStyle name="Normal 2 2 6 2 2 4 3 2" xfId="39501"/>
    <cellStyle name="Normal 2 2 6 2 2 5" xfId="9249"/>
    <cellStyle name="Normal 2 2 6 2 2 5 2" xfId="36655"/>
    <cellStyle name="Normal 2 2 6 2 2 5 2 2" xfId="44631"/>
    <cellStyle name="Normal 2 2 6 2 2 6" xfId="22745"/>
    <cellStyle name="Normal 2 2 6 2 3" xfId="1965"/>
    <cellStyle name="Normal 2 2 6 2 3 2" xfId="2507"/>
    <cellStyle name="Normal 2 2 6 2 3 2 2" xfId="7201"/>
    <cellStyle name="Normal 2 2 6 2 3 2 2 2" xfId="7732"/>
    <cellStyle name="Normal 2 2 6 2 3 2 2 2 2" xfId="20753"/>
    <cellStyle name="Normal 2 2 6 2 3 2 2 2 2 2" xfId="21284"/>
    <cellStyle name="Normal 2 2 6 2 3 2 2 2 2 2 2" xfId="56079"/>
    <cellStyle name="Normal 2 2 6 2 3 2 2 2 2 2 2 2" xfId="56610"/>
    <cellStyle name="Normal 2 2 6 2 3 2 2 2 2 3" xfId="34787"/>
    <cellStyle name="Normal 2 2 6 2 3 2 2 2 3" xfId="34256"/>
    <cellStyle name="Normal 2 2 6 2 3 2 2 2 3 2" xfId="43159"/>
    <cellStyle name="Normal 2 2 6 2 3 2 2 3" xfId="12957"/>
    <cellStyle name="Normal 2 2 6 2 3 2 2 3 2" xfId="42628"/>
    <cellStyle name="Normal 2 2 6 2 3 2 2 3 2 2" xfId="48303"/>
    <cellStyle name="Normal 2 2 6 2 3 2 2 4" xfId="26441"/>
    <cellStyle name="Normal 2 2 6 2 3 2 3" xfId="12426"/>
    <cellStyle name="Normal 2 2 6 2 3 2 3 2" xfId="16168"/>
    <cellStyle name="Normal 2 2 6 2 3 2 3 2 2" xfId="47772"/>
    <cellStyle name="Normal 2 2 6 2 3 2 3 2 2 2" xfId="51499"/>
    <cellStyle name="Normal 2 2 6 2 3 2 3 3" xfId="29673"/>
    <cellStyle name="Normal 2 2 6 2 3 2 4" xfId="25910"/>
    <cellStyle name="Normal 2 2 6 2 3 2 4 2" xfId="37982"/>
    <cellStyle name="Normal 2 2 6 2 3 3" xfId="4542"/>
    <cellStyle name="Normal 2 2 6 2 3 3 2" xfId="15629"/>
    <cellStyle name="Normal 2 2 6 2 3 3 2 2" xfId="18125"/>
    <cellStyle name="Normal 2 2 6 2 3 3 2 2 2" xfId="50961"/>
    <cellStyle name="Normal 2 2 6 2 3 3 2 2 2 2" xfId="53451"/>
    <cellStyle name="Normal 2 2 6 2 3 3 2 3" xfId="31626"/>
    <cellStyle name="Normal 2 2 6 2 3 3 3" xfId="29135"/>
    <cellStyle name="Normal 2 2 6 2 3 3 3 2" xfId="39983"/>
    <cellStyle name="Normal 2 2 6 2 3 4" xfId="9745"/>
    <cellStyle name="Normal 2 2 6 2 3 4 2" xfId="37443"/>
    <cellStyle name="Normal 2 2 6 2 3 4 2 2" xfId="45118"/>
    <cellStyle name="Normal 2 2 6 2 3 5" xfId="23241"/>
    <cellStyle name="Normal 2 2 6 2 4" xfId="3979"/>
    <cellStyle name="Normal 2 2 6 2 4 2" xfId="5748"/>
    <cellStyle name="Normal 2 2 6 2 4 2 2" xfId="17576"/>
    <cellStyle name="Normal 2 2 6 2 4 2 2 2" xfId="19317"/>
    <cellStyle name="Normal 2 2 6 2 4 2 2 2 2" xfId="52903"/>
    <cellStyle name="Normal 2 2 6 2 4 2 2 2 2 2" xfId="54643"/>
    <cellStyle name="Normal 2 2 6 2 4 2 2 3" xfId="32818"/>
    <cellStyle name="Normal 2 2 6 2 4 2 3" xfId="31078"/>
    <cellStyle name="Normal 2 2 6 2 4 2 3 2" xfId="41183"/>
    <cellStyle name="Normal 2 2 6 2 4 3" xfId="10969"/>
    <cellStyle name="Normal 2 2 6 2 4 3 2" xfId="39423"/>
    <cellStyle name="Normal 2 2 6 2 4 3 2 2" xfId="46328"/>
    <cellStyle name="Normal 2 2 6 2 4 4" xfId="24462"/>
    <cellStyle name="Normal 2 2 6 2 5" xfId="9171"/>
    <cellStyle name="Normal 2 2 6 2 5 2" xfId="14132"/>
    <cellStyle name="Normal 2 2 6 2 5 2 2" xfId="44556"/>
    <cellStyle name="Normal 2 2 6 2 5 2 2 2" xfId="49477"/>
    <cellStyle name="Normal 2 2 6 2 5 3" xfId="27634"/>
    <cellStyle name="Normal 2 2 6 2 6" xfId="22670"/>
    <cellStyle name="Normal 2 2 6 2 6 2" xfId="35943"/>
    <cellStyle name="Normal 2 2 6 3" xfId="721"/>
    <cellStyle name="Normal 2 2 6 3 2" xfId="2411"/>
    <cellStyle name="Normal 2 2 6 3 2 2" xfId="2793"/>
    <cellStyle name="Normal 2 2 6 3 2 2 2" xfId="7643"/>
    <cellStyle name="Normal 2 2 6 3 2 2 2 2" xfId="8009"/>
    <cellStyle name="Normal 2 2 6 3 2 2 2 2 2" xfId="21195"/>
    <cellStyle name="Normal 2 2 6 3 2 2 2 2 2 2" xfId="21561"/>
    <cellStyle name="Normal 2 2 6 3 2 2 2 2 2 2 2" xfId="56521"/>
    <cellStyle name="Normal 2 2 6 3 2 2 2 2 2 2 2 2" xfId="56887"/>
    <cellStyle name="Normal 2 2 6 3 2 2 2 2 2 3" xfId="35064"/>
    <cellStyle name="Normal 2 2 6 3 2 2 2 2 3" xfId="34698"/>
    <cellStyle name="Normal 2 2 6 3 2 2 2 2 3 2" xfId="43436"/>
    <cellStyle name="Normal 2 2 6 3 2 2 2 3" xfId="13234"/>
    <cellStyle name="Normal 2 2 6 3 2 2 2 3 2" xfId="43070"/>
    <cellStyle name="Normal 2 2 6 3 2 2 2 3 2 2" xfId="48580"/>
    <cellStyle name="Normal 2 2 6 3 2 2 2 4" xfId="26718"/>
    <cellStyle name="Normal 2 2 6 3 2 2 3" xfId="12868"/>
    <cellStyle name="Normal 2 2 6 3 2 2 3 2" xfId="16451"/>
    <cellStyle name="Normal 2 2 6 3 2 2 3 2 2" xfId="48214"/>
    <cellStyle name="Normal 2 2 6 3 2 2 3 2 2 2" xfId="51779"/>
    <cellStyle name="Normal 2 2 6 3 2 2 3 3" xfId="29953"/>
    <cellStyle name="Normal 2 2 6 3 2 2 4" xfId="26352"/>
    <cellStyle name="Normal 2 2 6 3 2 2 4 2" xfId="38263"/>
    <cellStyle name="Normal 2 2 6 3 2 3" xfId="4829"/>
    <cellStyle name="Normal 2 2 6 3 2 3 2" xfId="16074"/>
    <cellStyle name="Normal 2 2 6 3 2 3 2 2" xfId="18403"/>
    <cellStyle name="Normal 2 2 6 3 2 3 2 2 2" xfId="51406"/>
    <cellStyle name="Normal 2 2 6 3 2 3 2 2 2 2" xfId="53729"/>
    <cellStyle name="Normal 2 2 6 3 2 3 2 3" xfId="31904"/>
    <cellStyle name="Normal 2 2 6 3 2 3 3" xfId="29580"/>
    <cellStyle name="Normal 2 2 6 3 2 3 3 2" xfId="40266"/>
    <cellStyle name="Normal 2 2 6 3 2 4" xfId="10032"/>
    <cellStyle name="Normal 2 2 6 3 2 4 2" xfId="37889"/>
    <cellStyle name="Normal 2 2 6 3 2 4 2 2" xfId="45396"/>
    <cellStyle name="Normal 2 2 6 3 2 5" xfId="23519"/>
    <cellStyle name="Normal 2 2 6 3 3" xfId="4446"/>
    <cellStyle name="Normal 2 2 6 3 3 2" xfId="6045"/>
    <cellStyle name="Normal 2 2 6 3 3 2 2" xfId="18036"/>
    <cellStyle name="Normal 2 2 6 3 3 2 2 2" xfId="19609"/>
    <cellStyle name="Normal 2 2 6 3 3 2 2 2 2" xfId="53362"/>
    <cellStyle name="Normal 2 2 6 3 3 2 2 2 2 2" xfId="54935"/>
    <cellStyle name="Normal 2 2 6 3 3 2 2 3" xfId="33110"/>
    <cellStyle name="Normal 2 2 6 3 3 2 3" xfId="31537"/>
    <cellStyle name="Normal 2 2 6 3 3 2 3 2" xfId="41479"/>
    <cellStyle name="Normal 2 2 6 3 3 3" xfId="11271"/>
    <cellStyle name="Normal 2 2 6 3 3 3 2" xfId="39888"/>
    <cellStyle name="Normal 2 2 6 3 3 3 2 2" xfId="46626"/>
    <cellStyle name="Normal 2 2 6 3 3 4" xfId="24763"/>
    <cellStyle name="Normal 2 2 6 3 4" xfId="9651"/>
    <cellStyle name="Normal 2 2 6 3 4 2" xfId="14428"/>
    <cellStyle name="Normal 2 2 6 3 4 2 2" xfId="45029"/>
    <cellStyle name="Normal 2 2 6 3 4 2 2 2" xfId="49773"/>
    <cellStyle name="Normal 2 2 6 3 4 3" xfId="27941"/>
    <cellStyle name="Normal 2 2 6 3 5" xfId="23152"/>
    <cellStyle name="Normal 2 2 6 3 5 2" xfId="36241"/>
    <cellStyle name="Normal 2 2 6 4" xfId="1501"/>
    <cellStyle name="Normal 2 2 6 4 2" xfId="5652"/>
    <cellStyle name="Normal 2 2 6 4 2 2" xfId="6791"/>
    <cellStyle name="Normal 2 2 6 4 2 2 2" xfId="19224"/>
    <cellStyle name="Normal 2 2 6 4 2 2 2 2" xfId="20344"/>
    <cellStyle name="Normal 2 2 6 4 2 2 2 2 2" xfId="54550"/>
    <cellStyle name="Normal 2 2 6 4 2 2 2 2 2 2" xfId="55670"/>
    <cellStyle name="Normal 2 2 6 4 2 2 2 3" xfId="33846"/>
    <cellStyle name="Normal 2 2 6 4 2 2 3" xfId="32725"/>
    <cellStyle name="Normal 2 2 6 4 2 2 3 2" xfId="42219"/>
    <cellStyle name="Normal 2 2 6 4 2 3" xfId="12015"/>
    <cellStyle name="Normal 2 2 6 4 2 3 2" xfId="41088"/>
    <cellStyle name="Normal 2 2 6 4 2 3 2 2" xfId="47362"/>
    <cellStyle name="Normal 2 2 6 4 2 4" xfId="25499"/>
    <cellStyle name="Normal 2 2 6 4 3" xfId="10869"/>
    <cellStyle name="Normal 2 2 6 4 3 2" xfId="15184"/>
    <cellStyle name="Normal 2 2 6 4 3 2 2" xfId="46231"/>
    <cellStyle name="Normal 2 2 6 4 3 2 2 2" xfId="50522"/>
    <cellStyle name="Normal 2 2 6 4 3 3" xfId="28696"/>
    <cellStyle name="Normal 2 2 6 4 4" xfId="24362"/>
    <cellStyle name="Normal 2 2 6 4 4 2" xfId="36994"/>
    <cellStyle name="Normal 2 2 6 5" xfId="3500"/>
    <cellStyle name="Normal 2 2 6 5 2" xfId="14036"/>
    <cellStyle name="Normal 2 2 6 5 2 2" xfId="17154"/>
    <cellStyle name="Normal 2 2 6 5 2 2 2" xfId="49382"/>
    <cellStyle name="Normal 2 2 6 5 2 2 2 2" xfId="52481"/>
    <cellStyle name="Normal 2 2 6 5 2 3" xfId="30655"/>
    <cellStyle name="Normal 2 2 6 5 3" xfId="27533"/>
    <cellStyle name="Normal 2 2 6 5 3 2" xfId="38966"/>
    <cellStyle name="Normal 2 2 6 6" xfId="8694"/>
    <cellStyle name="Normal 2 2 6 6 2" xfId="35848"/>
    <cellStyle name="Normal 2 2 6 6 2 2" xfId="44121"/>
    <cellStyle name="Normal 2 2 6 7" xfId="3546"/>
    <cellStyle name="Normal 2 2 7" xfId="346"/>
    <cellStyle name="Normal 2 2 7 2" xfId="834"/>
    <cellStyle name="Normal 2 2 7 2 2" xfId="2456"/>
    <cellStyle name="Normal 2 2 7 2 2 2" xfId="2886"/>
    <cellStyle name="Normal 2 2 7 2 2 2 2" xfId="7688"/>
    <cellStyle name="Normal 2 2 7 2 2 2 2 2" xfId="8101"/>
    <cellStyle name="Normal 2 2 7 2 2 2 2 2 2" xfId="21240"/>
    <cellStyle name="Normal 2 2 7 2 2 2 2 2 2 2" xfId="21653"/>
    <cellStyle name="Normal 2 2 7 2 2 2 2 2 2 2 2" xfId="56566"/>
    <cellStyle name="Normal 2 2 7 2 2 2 2 2 2 2 2 2" xfId="56979"/>
    <cellStyle name="Normal 2 2 7 2 2 2 2 2 2 3" xfId="35156"/>
    <cellStyle name="Normal 2 2 7 2 2 2 2 2 3" xfId="34743"/>
    <cellStyle name="Normal 2 2 7 2 2 2 2 2 3 2" xfId="43528"/>
    <cellStyle name="Normal 2 2 7 2 2 2 2 3" xfId="13326"/>
    <cellStyle name="Normal 2 2 7 2 2 2 2 3 2" xfId="43115"/>
    <cellStyle name="Normal 2 2 7 2 2 2 2 3 2 2" xfId="48672"/>
    <cellStyle name="Normal 2 2 7 2 2 2 2 4" xfId="26811"/>
    <cellStyle name="Normal 2 2 7 2 2 2 3" xfId="12913"/>
    <cellStyle name="Normal 2 2 7 2 2 2 3 2" xfId="16543"/>
    <cellStyle name="Normal 2 2 7 2 2 2 3 2 2" xfId="48259"/>
    <cellStyle name="Normal 2 2 7 2 2 2 3 2 2 2" xfId="51871"/>
    <cellStyle name="Normal 2 2 7 2 2 2 3 3" xfId="30045"/>
    <cellStyle name="Normal 2 2 7 2 2 2 4" xfId="26397"/>
    <cellStyle name="Normal 2 2 7 2 2 2 4 2" xfId="38355"/>
    <cellStyle name="Normal 2 2 7 2 2 3" xfId="4922"/>
    <cellStyle name="Normal 2 2 7 2 2 3 2" xfId="16119"/>
    <cellStyle name="Normal 2 2 7 2 2 3 2 2" xfId="18495"/>
    <cellStyle name="Normal 2 2 7 2 2 3 2 2 2" xfId="51451"/>
    <cellStyle name="Normal 2 2 7 2 2 3 2 2 2 2" xfId="53821"/>
    <cellStyle name="Normal 2 2 7 2 2 3 2 3" xfId="31996"/>
    <cellStyle name="Normal 2 2 7 2 2 3 3" xfId="29625"/>
    <cellStyle name="Normal 2 2 7 2 2 3 3 2" xfId="40359"/>
    <cellStyle name="Normal 2 2 7 2 2 4" xfId="10125"/>
    <cellStyle name="Normal 2 2 7 2 2 4 2" xfId="37934"/>
    <cellStyle name="Normal 2 2 7 2 2 4 2 2" xfId="45488"/>
    <cellStyle name="Normal 2 2 7 2 2 5" xfId="23611"/>
    <cellStyle name="Normal 2 2 7 2 3" xfId="4491"/>
    <cellStyle name="Normal 2 2 7 2 3 2" xfId="6149"/>
    <cellStyle name="Normal 2 2 7 2 3 2 2" xfId="18081"/>
    <cellStyle name="Normal 2 2 7 2 3 2 2 2" xfId="19709"/>
    <cellStyle name="Normal 2 2 7 2 3 2 2 2 2" xfId="53407"/>
    <cellStyle name="Normal 2 2 7 2 3 2 2 2 2 2" xfId="55035"/>
    <cellStyle name="Normal 2 2 7 2 3 2 2 3" xfId="33211"/>
    <cellStyle name="Normal 2 2 7 2 3 2 3" xfId="31582"/>
    <cellStyle name="Normal 2 2 7 2 3 2 3 2" xfId="41580"/>
    <cellStyle name="Normal 2 2 7 2 3 3" xfId="11375"/>
    <cellStyle name="Normal 2 2 7 2 3 3 2" xfId="39933"/>
    <cellStyle name="Normal 2 2 7 2 3 3 2 2" xfId="46726"/>
    <cellStyle name="Normal 2 2 7 2 3 4" xfId="24863"/>
    <cellStyle name="Normal 2 2 7 2 4" xfId="9696"/>
    <cellStyle name="Normal 2 2 7 2 4 2" xfId="14532"/>
    <cellStyle name="Normal 2 2 7 2 4 2 2" xfId="45074"/>
    <cellStyle name="Normal 2 2 7 2 4 2 2 2" xfId="49873"/>
    <cellStyle name="Normal 2 2 7 2 4 3" xfId="28043"/>
    <cellStyle name="Normal 2 2 7 2 5" xfId="23197"/>
    <cellStyle name="Normal 2 2 7 2 5 2" xfId="36342"/>
    <cellStyle name="Normal 2 2 7 3" xfId="1628"/>
    <cellStyle name="Normal 2 2 7 3 2" xfId="5700"/>
    <cellStyle name="Normal 2 2 7 3 2 2" xfId="6895"/>
    <cellStyle name="Normal 2 2 7 3 2 2 2" xfId="19270"/>
    <cellStyle name="Normal 2 2 7 3 2 2 2 2" xfId="20448"/>
    <cellStyle name="Normal 2 2 7 3 2 2 2 2 2" xfId="54596"/>
    <cellStyle name="Normal 2 2 7 3 2 2 2 2 2 2" xfId="55774"/>
    <cellStyle name="Normal 2 2 7 3 2 2 2 3" xfId="33950"/>
    <cellStyle name="Normal 2 2 7 3 2 2 3" xfId="32771"/>
    <cellStyle name="Normal 2 2 7 3 2 2 3 2" xfId="42323"/>
    <cellStyle name="Normal 2 2 7 3 2 3" xfId="12119"/>
    <cellStyle name="Normal 2 2 7 3 2 3 2" xfId="41135"/>
    <cellStyle name="Normal 2 2 7 3 2 3 2 2" xfId="47466"/>
    <cellStyle name="Normal 2 2 7 3 2 4" xfId="25604"/>
    <cellStyle name="Normal 2 2 7 3 3" xfId="10918"/>
    <cellStyle name="Normal 2 2 7 3 3 2" xfId="15302"/>
    <cellStyle name="Normal 2 2 7 3 3 2 2" xfId="46278"/>
    <cellStyle name="Normal 2 2 7 3 3 2 2 2" xfId="50637"/>
    <cellStyle name="Normal 2 2 7 3 3 3" xfId="28811"/>
    <cellStyle name="Normal 2 2 7 3 4" xfId="24409"/>
    <cellStyle name="Normal 2 2 7 3 4 2" xfId="37113"/>
    <cellStyle name="Normal 2 2 7 4" xfId="3632"/>
    <cellStyle name="Normal 2 2 7 4 2" xfId="14084"/>
    <cellStyle name="Normal 2 2 7 4 2 2" xfId="17263"/>
    <cellStyle name="Normal 2 2 7 4 2 2 2" xfId="49429"/>
    <cellStyle name="Normal 2 2 7 4 2 2 2 2" xfId="52590"/>
    <cellStyle name="Normal 2 2 7 4 2 3" xfId="30764"/>
    <cellStyle name="Normal 2 2 7 4 3" xfId="27583"/>
    <cellStyle name="Normal 2 2 7 4 3 2" xfId="39087"/>
    <cellStyle name="Normal 2 2 7 5" xfId="8828"/>
    <cellStyle name="Normal 2 2 7 5 2" xfId="35895"/>
    <cellStyle name="Normal 2 2 7 5 2 2" xfId="44235"/>
    <cellStyle name="Normal 2 2 7 6" xfId="22343"/>
    <cellStyle name="Normal 2 2 8" xfId="1210"/>
    <cellStyle name="Normal 2 2 8 2" xfId="1566"/>
    <cellStyle name="Normal 2 2 8 2 2" xfId="6518"/>
    <cellStyle name="Normal 2 2 8 2 2 2" xfId="6838"/>
    <cellStyle name="Normal 2 2 8 2 2 2 2" xfId="20071"/>
    <cellStyle name="Normal 2 2 8 2 2 2 2 2" xfId="20391"/>
    <cellStyle name="Normal 2 2 8 2 2 2 2 2 2" xfId="55397"/>
    <cellStyle name="Normal 2 2 8 2 2 2 2 2 2 2" xfId="55717"/>
    <cellStyle name="Normal 2 2 8 2 2 2 2 3" xfId="33893"/>
    <cellStyle name="Normal 2 2 8 2 2 2 3" xfId="33573"/>
    <cellStyle name="Normal 2 2 8 2 2 2 3 2" xfId="42266"/>
    <cellStyle name="Normal 2 2 8 2 2 3" xfId="12062"/>
    <cellStyle name="Normal 2 2 8 2 2 3 2" xfId="41946"/>
    <cellStyle name="Normal 2 2 8 2 2 3 2 2" xfId="47409"/>
    <cellStyle name="Normal 2 2 8 2 2 4" xfId="25547"/>
    <cellStyle name="Normal 2 2 8 2 3" xfId="11741"/>
    <cellStyle name="Normal 2 2 8 2 3 2" xfId="15242"/>
    <cellStyle name="Normal 2 2 8 2 3 2 2" xfId="47089"/>
    <cellStyle name="Normal 2 2 8 2 3 2 2 2" xfId="50579"/>
    <cellStyle name="Normal 2 2 8 2 3 3" xfId="28753"/>
    <cellStyle name="Normal 2 2 8 2 4" xfId="25226"/>
    <cellStyle name="Normal 2 2 8 2 4 2" xfId="37054"/>
    <cellStyle name="Normal 2 2 8 3" xfId="3567"/>
    <cellStyle name="Normal 2 2 8 3 2" xfId="14899"/>
    <cellStyle name="Normal 2 2 8 3 2 2" xfId="17203"/>
    <cellStyle name="Normal 2 2 8 3 2 2 2" xfId="50238"/>
    <cellStyle name="Normal 2 2 8 3 2 2 2 2" xfId="52530"/>
    <cellStyle name="Normal 2 2 8 3 2 3" xfId="30704"/>
    <cellStyle name="Normal 2 2 8 3 3" xfId="28412"/>
    <cellStyle name="Normal 2 2 8 3 3 2" xfId="39024"/>
    <cellStyle name="Normal 2 2 8 4" xfId="8758"/>
    <cellStyle name="Normal 2 2 8 4 2" xfId="36707"/>
    <cellStyle name="Normal 2 2 8 4 2 2" xfId="44171"/>
    <cellStyle name="Normal 2 2 8 5" xfId="22275"/>
    <cellStyle name="Normal 2 2 9" xfId="1548"/>
    <cellStyle name="Normal 2 2 9 2" xfId="3797"/>
    <cellStyle name="Normal 2 2 9 2 2" xfId="15224"/>
    <cellStyle name="Normal 2 2 9 2 2 2" xfId="17413"/>
    <cellStyle name="Normal 2 2 9 2 2 2 2" xfId="50561"/>
    <cellStyle name="Normal 2 2 9 2 2 2 2 2" xfId="52740"/>
    <cellStyle name="Normal 2 2 9 2 2 3" xfId="30914"/>
    <cellStyle name="Normal 2 2 9 2 3" xfId="28735"/>
    <cellStyle name="Normal 2 2 9 2 3 2" xfId="39248"/>
    <cellStyle name="Normal 2 2 9 3" xfId="8987"/>
    <cellStyle name="Normal 2 2 9 3 2" xfId="37036"/>
    <cellStyle name="Normal 2 2 9 3 2 2" xfId="44386"/>
    <cellStyle name="Normal 2 2 9 4" xfId="22494"/>
    <cellStyle name="Normal 2 3" xfId="33"/>
    <cellStyle name="Normal 2 3 10" xfId="8750"/>
    <cellStyle name="Normal 2 3 10 2" xfId="24495"/>
    <cellStyle name="Normal 2 3 2" xfId="86"/>
    <cellStyle name="Normal 2 3 2 10" xfId="8815"/>
    <cellStyle name="Normal 2 3 2 2" xfId="89"/>
    <cellStyle name="Normal 2 3 2 2 2" xfId="179"/>
    <cellStyle name="Normal 2 3 2 2 2 2" xfId="181"/>
    <cellStyle name="Normal 2 3 2 2 2 2 2" xfId="328"/>
    <cellStyle name="Normal 2 3 2 2 2 2 2 2" xfId="330"/>
    <cellStyle name="Normal 2 3 2 2 2 2 2 2 2" xfId="657"/>
    <cellStyle name="Normal 2 3 2 2 2 2 2 2 2 2" xfId="659"/>
    <cellStyle name="Normal 2 3 2 2 2 2 2 2 2 2 2" xfId="1453"/>
    <cellStyle name="Normal 2 3 2 2 2 2 2 2 2 2 2 2" xfId="1455"/>
    <cellStyle name="Normal 2 3 2 2 2 2 2 2 2 2 2 2 2" xfId="3471"/>
    <cellStyle name="Normal 2 3 2 2 2 2 2 2 2 2 2 2 2 2" xfId="3473"/>
    <cellStyle name="Normal 2 3 2 2 2 2 2 2 2 2 2 2 2 2 2" xfId="8686"/>
    <cellStyle name="Normal 2 3 2 2 2 2 2 2 2 2 2 2 2 2 2 2" xfId="8688"/>
    <cellStyle name="Normal 2 3 2 2 2 2 2 2 2 2 2 2 2 2 2 2 2" xfId="22238"/>
    <cellStyle name="Normal 2 3 2 2 2 2 2 2 2 2 2 2 2 2 2 2 2 2" xfId="22240"/>
    <cellStyle name="Normal 2 3 2 2 2 2 2 2 2 2 2 2 2 2 2 2 2 2 2" xfId="57564"/>
    <cellStyle name="Normal 2 3 2 2 2 2 2 2 2 2 2 2 2 2 2 2 2 2 2 2" xfId="57566"/>
    <cellStyle name="Normal 2 3 2 2 2 2 2 2 2 2 2 2 2 2 2 2 2 3" xfId="35743"/>
    <cellStyle name="Normal 2 3 2 2 2 2 2 2 2 2 2 2 2 2 2 2 3" xfId="35741"/>
    <cellStyle name="Normal 2 3 2 2 2 2 2 2 2 2 2 2 2 2 2 2 3 2" xfId="44115"/>
    <cellStyle name="Normal 2 3 2 2 2 2 2 2 2 2 2 2 2 2 2 3" xfId="13913"/>
    <cellStyle name="Normal 2 3 2 2 2 2 2 2 2 2 2 2 2 2 2 3 2" xfId="44113"/>
    <cellStyle name="Normal 2 3 2 2 2 2 2 2 2 2 2 2 2 2 2 3 2 2" xfId="49259"/>
    <cellStyle name="Normal 2 3 2 2 2 2 2 2 2 2 2 2 2 2 2 4" xfId="27398"/>
    <cellStyle name="Normal 2 3 2 2 2 2 2 2 2 2 2 2 2 2 3" xfId="13911"/>
    <cellStyle name="Normal 2 3 2 2 2 2 2 2 2 2 2 2 2 2 3 2" xfId="17130"/>
    <cellStyle name="Normal 2 3 2 2 2 2 2 2 2 2 2 2 2 2 3 2 2" xfId="49257"/>
    <cellStyle name="Normal 2 3 2 2 2 2 2 2 2 2 2 2 2 2 3 2 2 2" xfId="52458"/>
    <cellStyle name="Normal 2 3 2 2 2 2 2 2 2 2 2 2 2 2 3 3" xfId="30632"/>
    <cellStyle name="Normal 2 3 2 2 2 2 2 2 2 2 2 2 2 2 4" xfId="27396"/>
    <cellStyle name="Normal 2 3 2 2 2 2 2 2 2 2 2 2 2 2 4 2" xfId="38942"/>
    <cellStyle name="Normal 2 3 2 2 2 2 2 2 2 2 2 2 2 3" xfId="5510"/>
    <cellStyle name="Normal 2 3 2 2 2 2 2 2 2 2 2 2 2 3 2" xfId="17128"/>
    <cellStyle name="Normal 2 3 2 2 2 2 2 2 2 2 2 2 2 3 2 2" xfId="19083"/>
    <cellStyle name="Normal 2 3 2 2 2 2 2 2 2 2 2 2 2 3 2 2 2" xfId="52456"/>
    <cellStyle name="Normal 2 3 2 2 2 2 2 2 2 2 2 2 2 3 2 2 2 2" xfId="54409"/>
    <cellStyle name="Normal 2 3 2 2 2 2 2 2 2 2 2 2 2 3 2 3" xfId="32584"/>
    <cellStyle name="Normal 2 3 2 2 2 2 2 2 2 2 2 2 2 3 3" xfId="30630"/>
    <cellStyle name="Normal 2 3 2 2 2 2 2 2 2 2 2 2 2 3 3 2" xfId="40947"/>
    <cellStyle name="Normal 2 3 2 2 2 2 2 2 2 2 2 2 2 4" xfId="10713"/>
    <cellStyle name="Normal 2 3 2 2 2 2 2 2 2 2 2 2 2 4 2" xfId="38940"/>
    <cellStyle name="Normal 2 3 2 2 2 2 2 2 2 2 2 2 2 4 2 2" xfId="46076"/>
    <cellStyle name="Normal 2 3 2 2 2 2 2 2 2 2 2 2 2 5" xfId="24199"/>
    <cellStyle name="Normal 2 3 2 2 2 2 2 2 2 2 2 2 3" xfId="5508"/>
    <cellStyle name="Normal 2 3 2 2 2 2 2 2 2 2 2 2 3 2" xfId="6763"/>
    <cellStyle name="Normal 2 3 2 2 2 2 2 2 2 2 2 2 3 2 2" xfId="19081"/>
    <cellStyle name="Normal 2 3 2 2 2 2 2 2 2 2 2 2 3 2 2 2" xfId="20316"/>
    <cellStyle name="Normal 2 3 2 2 2 2 2 2 2 2 2 2 3 2 2 2 2" xfId="54407"/>
    <cellStyle name="Normal 2 3 2 2 2 2 2 2 2 2 2 2 3 2 2 2 2 2" xfId="55642"/>
    <cellStyle name="Normal 2 3 2 2 2 2 2 2 2 2 2 2 3 2 2 3" xfId="33818"/>
    <cellStyle name="Normal 2 3 2 2 2 2 2 2 2 2 2 2 3 2 3" xfId="32582"/>
    <cellStyle name="Normal 2 3 2 2 2 2 2 2 2 2 2 2 3 2 3 2" xfId="42191"/>
    <cellStyle name="Normal 2 3 2 2 2 2 2 2 2 2 2 2 3 3" xfId="11986"/>
    <cellStyle name="Normal 2 3 2 2 2 2 2 2 2 2 2 2 3 3 2" xfId="40945"/>
    <cellStyle name="Normal 2 3 2 2 2 2 2 2 2 2 2 2 3 3 2 2" xfId="47334"/>
    <cellStyle name="Normal 2 3 2 2 2 2 2 2 2 2 2 2 3 4" xfId="25471"/>
    <cellStyle name="Normal 2 3 2 2 2 2 2 2 2 2 2 2 4" xfId="10711"/>
    <cellStyle name="Normal 2 3 2 2 2 2 2 2 2 2 2 2 4 2" xfId="15144"/>
    <cellStyle name="Normal 2 3 2 2 2 2 2 2 2 2 2 2 4 2 2" xfId="46074"/>
    <cellStyle name="Normal 2 3 2 2 2 2 2 2 2 2 2 2 4 2 2 2" xfId="50483"/>
    <cellStyle name="Normal 2 3 2 2 2 2 2 2 2 2 2 2 4 3" xfId="28657"/>
    <cellStyle name="Normal 2 3 2 2 2 2 2 2 2 2 2 2 5" xfId="24197"/>
    <cellStyle name="Normal 2 3 2 2 2 2 2 2 2 2 2 2 5 2" xfId="36952"/>
    <cellStyle name="Normal 2 3 2 2 2 2 2 2 2 2 2 3" xfId="2262"/>
    <cellStyle name="Normal 2 3 2 2 2 2 2 2 2 2 2 3 2" xfId="6761"/>
    <cellStyle name="Normal 2 3 2 2 2 2 2 2 2 2 2 3 2 2" xfId="7496"/>
    <cellStyle name="Normal 2 3 2 2 2 2 2 2 2 2 2 3 2 2 2" xfId="20314"/>
    <cellStyle name="Normal 2 3 2 2 2 2 2 2 2 2 2 3 2 2 2 2" xfId="21048"/>
    <cellStyle name="Normal 2 3 2 2 2 2 2 2 2 2 2 3 2 2 2 2 2" xfId="55640"/>
    <cellStyle name="Normal 2 3 2 2 2 2 2 2 2 2 2 3 2 2 2 2 2 2" xfId="56374"/>
    <cellStyle name="Normal 2 3 2 2 2 2 2 2 2 2 2 3 2 2 2 3" xfId="34551"/>
    <cellStyle name="Normal 2 3 2 2 2 2 2 2 2 2 2 3 2 2 3" xfId="33816"/>
    <cellStyle name="Normal 2 3 2 2 2 2 2 2 2 2 2 3 2 2 3 2" xfId="42923"/>
    <cellStyle name="Normal 2 3 2 2 2 2 2 2 2 2 2 3 2 3" xfId="12721"/>
    <cellStyle name="Normal 2 3 2 2 2 2 2 2 2 2 2 3 2 3 2" xfId="42189"/>
    <cellStyle name="Normal 2 3 2 2 2 2 2 2 2 2 2 3 2 3 2 2" xfId="48067"/>
    <cellStyle name="Normal 2 3 2 2 2 2 2 2 2 2 2 3 2 4" xfId="26205"/>
    <cellStyle name="Normal 2 3 2 2 2 2 2 2 2 2 2 3 3" xfId="11984"/>
    <cellStyle name="Normal 2 3 2 2 2 2 2 2 2 2 2 3 3 2" xfId="15926"/>
    <cellStyle name="Normal 2 3 2 2 2 2 2 2 2 2 2 3 3 2 2" xfId="47332"/>
    <cellStyle name="Normal 2 3 2 2 2 2 2 2 2 2 2 3 3 2 2 2" xfId="51258"/>
    <cellStyle name="Normal 2 3 2 2 2 2 2 2 2 2 2 3 3 3" xfId="29432"/>
    <cellStyle name="Normal 2 3 2 2 2 2 2 2 2 2 2 3 4" xfId="25469"/>
    <cellStyle name="Normal 2 3 2 2 2 2 2 2 2 2 2 3 4 2" xfId="37740"/>
    <cellStyle name="Normal 2 3 2 2 2 2 2 2 2 2 2 4" xfId="4278"/>
    <cellStyle name="Normal 2 3 2 2 2 2 2 2 2 2 2 4 2" xfId="15142"/>
    <cellStyle name="Normal 2 3 2 2 2 2 2 2 2 2 2 4 2 2" xfId="17871"/>
    <cellStyle name="Normal 2 3 2 2 2 2 2 2 2 2 2 4 2 2 2" xfId="50481"/>
    <cellStyle name="Normal 2 3 2 2 2 2 2 2 2 2 2 4 2 2 2 2" xfId="53198"/>
    <cellStyle name="Normal 2 3 2 2 2 2 2 2 2 2 2 4 2 3" xfId="31373"/>
    <cellStyle name="Normal 2 3 2 2 2 2 2 2 2 2 2 4 3" xfId="28655"/>
    <cellStyle name="Normal 2 3 2 2 2 2 2 2 2 2 2 4 3 2" xfId="39721"/>
    <cellStyle name="Normal 2 3 2 2 2 2 2 2 2 2 2 5" xfId="9469"/>
    <cellStyle name="Normal 2 3 2 2 2 2 2 2 2 2 2 5 2" xfId="36950"/>
    <cellStyle name="Normal 2 3 2 2 2 2 2 2 2 2 2 5 2 2" xfId="44851"/>
    <cellStyle name="Normal 2 3 2 2 2 2 2 2 2 2 2 6" xfId="22965"/>
    <cellStyle name="Normal 2 3 2 2 2 2 2 2 2 2 3" xfId="2260"/>
    <cellStyle name="Normal 2 3 2 2 2 2 2 2 2 2 3 2" xfId="2749"/>
    <cellStyle name="Normal 2 3 2 2 2 2 2 2 2 2 3 2 2" xfId="7494"/>
    <cellStyle name="Normal 2 3 2 2 2 2 2 2 2 2 3 2 2 2" xfId="7968"/>
    <cellStyle name="Normal 2 3 2 2 2 2 2 2 2 2 3 2 2 2 2" xfId="21046"/>
    <cellStyle name="Normal 2 3 2 2 2 2 2 2 2 2 3 2 2 2 2 2" xfId="21520"/>
    <cellStyle name="Normal 2 3 2 2 2 2 2 2 2 2 3 2 2 2 2 2 2" xfId="56372"/>
    <cellStyle name="Normal 2 3 2 2 2 2 2 2 2 2 3 2 2 2 2 2 2 2" xfId="56846"/>
    <cellStyle name="Normal 2 3 2 2 2 2 2 2 2 2 3 2 2 2 2 3" xfId="35023"/>
    <cellStyle name="Normal 2 3 2 2 2 2 2 2 2 2 3 2 2 2 3" xfId="34549"/>
    <cellStyle name="Normal 2 3 2 2 2 2 2 2 2 2 3 2 2 2 3 2" xfId="43395"/>
    <cellStyle name="Normal 2 3 2 2 2 2 2 2 2 2 3 2 2 3" xfId="13193"/>
    <cellStyle name="Normal 2 3 2 2 2 2 2 2 2 2 3 2 2 3 2" xfId="42921"/>
    <cellStyle name="Normal 2 3 2 2 2 2 2 2 2 2 3 2 2 3 2 2" xfId="48539"/>
    <cellStyle name="Normal 2 3 2 2 2 2 2 2 2 2 3 2 2 4" xfId="26677"/>
    <cellStyle name="Normal 2 3 2 2 2 2 2 2 2 2 3 2 3" xfId="12719"/>
    <cellStyle name="Normal 2 3 2 2 2 2 2 2 2 2 3 2 3 2" xfId="16408"/>
    <cellStyle name="Normal 2 3 2 2 2 2 2 2 2 2 3 2 3 2 2" xfId="48065"/>
    <cellStyle name="Normal 2 3 2 2 2 2 2 2 2 2 3 2 3 2 2 2" xfId="51738"/>
    <cellStyle name="Normal 2 3 2 2 2 2 2 2 2 2 3 2 3 3" xfId="29912"/>
    <cellStyle name="Normal 2 3 2 2 2 2 2 2 2 2 3 2 4" xfId="26203"/>
    <cellStyle name="Normal 2 3 2 2 2 2 2 2 2 2 3 2 4 2" xfId="38222"/>
    <cellStyle name="Normal 2 3 2 2 2 2 2 2 2 2 3 3" xfId="4785"/>
    <cellStyle name="Normal 2 3 2 2 2 2 2 2 2 2 3 3 2" xfId="15924"/>
    <cellStyle name="Normal 2 3 2 2 2 2 2 2 2 2 3 3 2 2" xfId="18362"/>
    <cellStyle name="Normal 2 3 2 2 2 2 2 2 2 2 3 3 2 2 2" xfId="51256"/>
    <cellStyle name="Normal 2 3 2 2 2 2 2 2 2 2 3 3 2 2 2 2" xfId="53688"/>
    <cellStyle name="Normal 2 3 2 2 2 2 2 2 2 2 3 3 2 3" xfId="31863"/>
    <cellStyle name="Normal 2 3 2 2 2 2 2 2 2 2 3 3 3" xfId="29430"/>
    <cellStyle name="Normal 2 3 2 2 2 2 2 2 2 2 3 3 3 2" xfId="40223"/>
    <cellStyle name="Normal 2 3 2 2 2 2 2 2 2 2 3 4" xfId="9988"/>
    <cellStyle name="Normal 2 3 2 2 2 2 2 2 2 2 3 4 2" xfId="37738"/>
    <cellStyle name="Normal 2 3 2 2 2 2 2 2 2 2 3 4 2 2" xfId="45355"/>
    <cellStyle name="Normal 2 3 2 2 2 2 2 2 2 2 3 5" xfId="23478"/>
    <cellStyle name="Normal 2 3 2 2 2 2 2 2 2 2 4" xfId="4276"/>
    <cellStyle name="Normal 2 3 2 2 2 2 2 2 2 2 4 2" xfId="5990"/>
    <cellStyle name="Normal 2 3 2 2 2 2 2 2 2 2 4 2 2" xfId="17869"/>
    <cellStyle name="Normal 2 3 2 2 2 2 2 2 2 2 4 2 2 2" xfId="19557"/>
    <cellStyle name="Normal 2 3 2 2 2 2 2 2 2 2 4 2 2 2 2" xfId="53196"/>
    <cellStyle name="Normal 2 3 2 2 2 2 2 2 2 2 4 2 2 2 2 2" xfId="54883"/>
    <cellStyle name="Normal 2 3 2 2 2 2 2 2 2 2 4 2 2 3" xfId="33058"/>
    <cellStyle name="Normal 2 3 2 2 2 2 2 2 2 2 4 2 3" xfId="31371"/>
    <cellStyle name="Normal 2 3 2 2 2 2 2 2 2 2 4 2 3 2" xfId="41424"/>
    <cellStyle name="Normal 2 3 2 2 2 2 2 2 2 2 4 3" xfId="11215"/>
    <cellStyle name="Normal 2 3 2 2 2 2 2 2 2 2 4 3 2" xfId="39719"/>
    <cellStyle name="Normal 2 3 2 2 2 2 2 2 2 2 4 3 2 2" xfId="46573"/>
    <cellStyle name="Normal 2 3 2 2 2 2 2 2 2 2 4 4" xfId="24708"/>
    <cellStyle name="Normal 2 3 2 2 2 2 2 2 2 2 5" xfId="9467"/>
    <cellStyle name="Normal 2 3 2 2 2 2 2 2 2 2 5 2" xfId="14374"/>
    <cellStyle name="Normal 2 3 2 2 2 2 2 2 2 2 5 2 2" xfId="44849"/>
    <cellStyle name="Normal 2 3 2 2 2 2 2 2 2 2 5 2 2 2" xfId="49719"/>
    <cellStyle name="Normal 2 3 2 2 2 2 2 2 2 2 5 3" xfId="27884"/>
    <cellStyle name="Normal 2 3 2 2 2 2 2 2 2 2 6" xfId="22963"/>
    <cellStyle name="Normal 2 3 2 2 2 2 2 2 2 2 6 2" xfId="36186"/>
    <cellStyle name="Normal 2 3 2 2 2 2 2 2 2 3" xfId="987"/>
    <cellStyle name="Normal 2 3 2 2 2 2 2 2 2 3 2" xfId="2747"/>
    <cellStyle name="Normal 2 3 2 2 2 2 2 2 2 3 2 2" xfId="3025"/>
    <cellStyle name="Normal 2 3 2 2 2 2 2 2 2 3 2 2 2" xfId="7966"/>
    <cellStyle name="Normal 2 3 2 2 2 2 2 2 2 3 2 2 2 2" xfId="8240"/>
    <cellStyle name="Normal 2 3 2 2 2 2 2 2 2 3 2 2 2 2 2" xfId="21518"/>
    <cellStyle name="Normal 2 3 2 2 2 2 2 2 2 3 2 2 2 2 2 2" xfId="21792"/>
    <cellStyle name="Normal 2 3 2 2 2 2 2 2 2 3 2 2 2 2 2 2 2" xfId="56844"/>
    <cellStyle name="Normal 2 3 2 2 2 2 2 2 2 3 2 2 2 2 2 2 2 2" xfId="57118"/>
    <cellStyle name="Normal 2 3 2 2 2 2 2 2 2 3 2 2 2 2 2 3" xfId="35295"/>
    <cellStyle name="Normal 2 3 2 2 2 2 2 2 2 3 2 2 2 2 3" xfId="35021"/>
    <cellStyle name="Normal 2 3 2 2 2 2 2 2 2 3 2 2 2 2 3 2" xfId="43667"/>
    <cellStyle name="Normal 2 3 2 2 2 2 2 2 2 3 2 2 2 3" xfId="13465"/>
    <cellStyle name="Normal 2 3 2 2 2 2 2 2 2 3 2 2 2 3 2" xfId="43393"/>
    <cellStyle name="Normal 2 3 2 2 2 2 2 2 2 3 2 2 2 3 2 2" xfId="48811"/>
    <cellStyle name="Normal 2 3 2 2 2 2 2 2 2 3 2 2 2 4" xfId="26950"/>
    <cellStyle name="Normal 2 3 2 2 2 2 2 2 2 3 2 2 3" xfId="13191"/>
    <cellStyle name="Normal 2 3 2 2 2 2 2 2 2 3 2 2 3 2" xfId="16682"/>
    <cellStyle name="Normal 2 3 2 2 2 2 2 2 2 3 2 2 3 2 2" xfId="48537"/>
    <cellStyle name="Normal 2 3 2 2 2 2 2 2 2 3 2 2 3 2 2 2" xfId="52010"/>
    <cellStyle name="Normal 2 3 2 2 2 2 2 2 2 3 2 2 3 3" xfId="30184"/>
    <cellStyle name="Normal 2 3 2 2 2 2 2 2 2 3 2 2 4" xfId="26675"/>
    <cellStyle name="Normal 2 3 2 2 2 2 2 2 2 3 2 2 4 2" xfId="38494"/>
    <cellStyle name="Normal 2 3 2 2 2 2 2 2 2 3 2 3" xfId="5061"/>
    <cellStyle name="Normal 2 3 2 2 2 2 2 2 2 3 2 3 2" xfId="16406"/>
    <cellStyle name="Normal 2 3 2 2 2 2 2 2 2 3 2 3 2 2" xfId="18634"/>
    <cellStyle name="Normal 2 3 2 2 2 2 2 2 2 3 2 3 2 2 2" xfId="51736"/>
    <cellStyle name="Normal 2 3 2 2 2 2 2 2 2 3 2 3 2 2 2 2" xfId="53960"/>
    <cellStyle name="Normal 2 3 2 2 2 2 2 2 2 3 2 3 2 3" xfId="32135"/>
    <cellStyle name="Normal 2 3 2 2 2 2 2 2 2 3 2 3 3" xfId="29910"/>
    <cellStyle name="Normal 2 3 2 2 2 2 2 2 2 3 2 3 3 2" xfId="40498"/>
    <cellStyle name="Normal 2 3 2 2 2 2 2 2 2 3 2 4" xfId="10264"/>
    <cellStyle name="Normal 2 3 2 2 2 2 2 2 2 3 2 4 2" xfId="38220"/>
    <cellStyle name="Normal 2 3 2 2 2 2 2 2 2 3 2 4 2 2" xfId="45627"/>
    <cellStyle name="Normal 2 3 2 2 2 2 2 2 2 3 2 5" xfId="23750"/>
    <cellStyle name="Normal 2 3 2 2 2 2 2 2 2 3 3" xfId="4783"/>
    <cellStyle name="Normal 2 3 2 2 2 2 2 2 2 3 3 2" xfId="6298"/>
    <cellStyle name="Normal 2 3 2 2 2 2 2 2 2 3 3 2 2" xfId="18360"/>
    <cellStyle name="Normal 2 3 2 2 2 2 2 2 2 3 3 2 2 2" xfId="19855"/>
    <cellStyle name="Normal 2 3 2 2 2 2 2 2 2 3 3 2 2 2 2" xfId="53686"/>
    <cellStyle name="Normal 2 3 2 2 2 2 2 2 2 3 3 2 2 2 2 2" xfId="55181"/>
    <cellStyle name="Normal 2 3 2 2 2 2 2 2 2 3 3 2 2 3" xfId="33357"/>
    <cellStyle name="Normal 2 3 2 2 2 2 2 2 2 3 3 2 3" xfId="31861"/>
    <cellStyle name="Normal 2 3 2 2 2 2 2 2 2 3 3 2 3 2" xfId="41727"/>
    <cellStyle name="Normal 2 3 2 2 2 2 2 2 2 3 3 3" xfId="11523"/>
    <cellStyle name="Normal 2 3 2 2 2 2 2 2 2 3 3 3 2" xfId="40221"/>
    <cellStyle name="Normal 2 3 2 2 2 2 2 2 2 3 3 3 2 2" xfId="46872"/>
    <cellStyle name="Normal 2 3 2 2 2 2 2 2 2 3 3 4" xfId="25009"/>
    <cellStyle name="Normal 2 3 2 2 2 2 2 2 2 3 4" xfId="9986"/>
    <cellStyle name="Normal 2 3 2 2 2 2 2 2 2 3 4 2" xfId="14681"/>
    <cellStyle name="Normal 2 3 2 2 2 2 2 2 2 3 4 2 2" xfId="45353"/>
    <cellStyle name="Normal 2 3 2 2 2 2 2 2 2 3 4 2 2 2" xfId="50020"/>
    <cellStyle name="Normal 2 3 2 2 2 2 2 2 2 3 4 3" xfId="28192"/>
    <cellStyle name="Normal 2 3 2 2 2 2 2 2 2 3 5" xfId="23476"/>
    <cellStyle name="Normal 2 3 2 2 2 2 2 2 2 3 5 2" xfId="36489"/>
    <cellStyle name="Normal 2 3 2 2 2 2 2 2 2 4" xfId="1783"/>
    <cellStyle name="Normal 2 3 2 2 2 2 2 2 2 4 2" xfId="5988"/>
    <cellStyle name="Normal 2 3 2 2 2 2 2 2 2 4 2 2" xfId="7036"/>
    <cellStyle name="Normal 2 3 2 2 2 2 2 2 2 4 2 2 2" xfId="19555"/>
    <cellStyle name="Normal 2 3 2 2 2 2 2 2 2 4 2 2 2 2" xfId="20589"/>
    <cellStyle name="Normal 2 3 2 2 2 2 2 2 2 4 2 2 2 2 2" xfId="54881"/>
    <cellStyle name="Normal 2 3 2 2 2 2 2 2 2 4 2 2 2 2 2 2" xfId="55915"/>
    <cellStyle name="Normal 2 3 2 2 2 2 2 2 2 4 2 2 2 3" xfId="34091"/>
    <cellStyle name="Normal 2 3 2 2 2 2 2 2 2 4 2 2 3" xfId="33056"/>
    <cellStyle name="Normal 2 3 2 2 2 2 2 2 2 4 2 2 3 2" xfId="42464"/>
    <cellStyle name="Normal 2 3 2 2 2 2 2 2 2 4 2 3" xfId="12260"/>
    <cellStyle name="Normal 2 3 2 2 2 2 2 2 2 4 2 3 2" xfId="41422"/>
    <cellStyle name="Normal 2 3 2 2 2 2 2 2 2 4 2 3 2 2" xfId="47607"/>
    <cellStyle name="Normal 2 3 2 2 2 2 2 2 2 4 2 4" xfId="25745"/>
    <cellStyle name="Normal 2 3 2 2 2 2 2 2 2 4 3" xfId="11213"/>
    <cellStyle name="Normal 2 3 2 2 2 2 2 2 2 4 3 2" xfId="15455"/>
    <cellStyle name="Normal 2 3 2 2 2 2 2 2 2 4 3 2 2" xfId="46571"/>
    <cellStyle name="Normal 2 3 2 2 2 2 2 2 2 4 3 2 2 2" xfId="50788"/>
    <cellStyle name="Normal 2 3 2 2 2 2 2 2 2 4 3 3" xfId="28962"/>
    <cellStyle name="Normal 2 3 2 2 2 2 2 2 2 4 4" xfId="24706"/>
    <cellStyle name="Normal 2 3 2 2 2 2 2 2 2 4 4 2" xfId="37265"/>
    <cellStyle name="Normal 2 3 2 2 2 2 2 2 2 5" xfId="3789"/>
    <cellStyle name="Normal 2 3 2 2 2 2 2 2 2 5 2" xfId="14372"/>
    <cellStyle name="Normal 2 3 2 2 2 2 2 2 2 5 2 2" xfId="17405"/>
    <cellStyle name="Normal 2 3 2 2 2 2 2 2 2 5 2 2 2" xfId="49717"/>
    <cellStyle name="Normal 2 3 2 2 2 2 2 2 2 5 2 2 2 2" xfId="52732"/>
    <cellStyle name="Normal 2 3 2 2 2 2 2 2 2 5 2 3" xfId="30906"/>
    <cellStyle name="Normal 2 3 2 2 2 2 2 2 2 5 3" xfId="27882"/>
    <cellStyle name="Normal 2 3 2 2 2 2 2 2 2 5 3 2" xfId="39240"/>
    <cellStyle name="Normal 2 3 2 2 2 2 2 2 2 6" xfId="8979"/>
    <cellStyle name="Normal 2 3 2 2 2 2 2 2 2 6 2" xfId="36184"/>
    <cellStyle name="Normal 2 3 2 2 2 2 2 2 2 6 2 2" xfId="44378"/>
    <cellStyle name="Normal 2 3 2 2 2 2 2 2 2 7" xfId="22486"/>
    <cellStyle name="Normal 2 3 2 2 2 2 2 2 3" xfId="985"/>
    <cellStyle name="Normal 2 3 2 2 2 2 2 2 3 2" xfId="1191"/>
    <cellStyle name="Normal 2 3 2 2 2 2 2 2 3 2 2" xfId="3023"/>
    <cellStyle name="Normal 2 3 2 2 2 2 2 2 3 2 2 2" xfId="3211"/>
    <cellStyle name="Normal 2 3 2 2 2 2 2 2 3 2 2 2 2" xfId="8238"/>
    <cellStyle name="Normal 2 3 2 2 2 2 2 2 3 2 2 2 2 2" xfId="8426"/>
    <cellStyle name="Normal 2 3 2 2 2 2 2 2 3 2 2 2 2 2 2" xfId="21790"/>
    <cellStyle name="Normal 2 3 2 2 2 2 2 2 3 2 2 2 2 2 2 2" xfId="21978"/>
    <cellStyle name="Normal 2 3 2 2 2 2 2 2 3 2 2 2 2 2 2 2 2" xfId="57116"/>
    <cellStyle name="Normal 2 3 2 2 2 2 2 2 3 2 2 2 2 2 2 2 2 2" xfId="57304"/>
    <cellStyle name="Normal 2 3 2 2 2 2 2 2 3 2 2 2 2 2 2 3" xfId="35481"/>
    <cellStyle name="Normal 2 3 2 2 2 2 2 2 3 2 2 2 2 2 3" xfId="35293"/>
    <cellStyle name="Normal 2 3 2 2 2 2 2 2 3 2 2 2 2 2 3 2" xfId="43853"/>
    <cellStyle name="Normal 2 3 2 2 2 2 2 2 3 2 2 2 2 3" xfId="13651"/>
    <cellStyle name="Normal 2 3 2 2 2 2 2 2 3 2 2 2 2 3 2" xfId="43665"/>
    <cellStyle name="Normal 2 3 2 2 2 2 2 2 3 2 2 2 2 3 2 2" xfId="48997"/>
    <cellStyle name="Normal 2 3 2 2 2 2 2 2 3 2 2 2 2 4" xfId="27136"/>
    <cellStyle name="Normal 2 3 2 2 2 2 2 2 3 2 2 2 3" xfId="13463"/>
    <cellStyle name="Normal 2 3 2 2 2 2 2 2 3 2 2 2 3 2" xfId="16868"/>
    <cellStyle name="Normal 2 3 2 2 2 2 2 2 3 2 2 2 3 2 2" xfId="48809"/>
    <cellStyle name="Normal 2 3 2 2 2 2 2 2 3 2 2 2 3 2 2 2" xfId="52196"/>
    <cellStyle name="Normal 2 3 2 2 2 2 2 2 3 2 2 2 3 3" xfId="30370"/>
    <cellStyle name="Normal 2 3 2 2 2 2 2 2 3 2 2 2 4" xfId="26948"/>
    <cellStyle name="Normal 2 3 2 2 2 2 2 2 3 2 2 2 4 2" xfId="38680"/>
    <cellStyle name="Normal 2 3 2 2 2 2 2 2 3 2 2 3" xfId="5248"/>
    <cellStyle name="Normal 2 3 2 2 2 2 2 2 3 2 2 3 2" xfId="16680"/>
    <cellStyle name="Normal 2 3 2 2 2 2 2 2 3 2 2 3 2 2" xfId="18821"/>
    <cellStyle name="Normal 2 3 2 2 2 2 2 2 3 2 2 3 2 2 2" xfId="52008"/>
    <cellStyle name="Normal 2 3 2 2 2 2 2 2 3 2 2 3 2 2 2 2" xfId="54147"/>
    <cellStyle name="Normal 2 3 2 2 2 2 2 2 3 2 2 3 2 3" xfId="32322"/>
    <cellStyle name="Normal 2 3 2 2 2 2 2 2 3 2 2 3 3" xfId="30182"/>
    <cellStyle name="Normal 2 3 2 2 2 2 2 2 3 2 2 3 3 2" xfId="40685"/>
    <cellStyle name="Normal 2 3 2 2 2 2 2 2 3 2 2 4" xfId="10451"/>
    <cellStyle name="Normal 2 3 2 2 2 2 2 2 3 2 2 4 2" xfId="38492"/>
    <cellStyle name="Normal 2 3 2 2 2 2 2 2 3 2 2 4 2 2" xfId="45814"/>
    <cellStyle name="Normal 2 3 2 2 2 2 2 2 3 2 2 5" xfId="23937"/>
    <cellStyle name="Normal 2 3 2 2 2 2 2 2 3 2 3" xfId="5059"/>
    <cellStyle name="Normal 2 3 2 2 2 2 2 2 3 2 3 2" xfId="6499"/>
    <cellStyle name="Normal 2 3 2 2 2 2 2 2 3 2 3 2 2" xfId="18632"/>
    <cellStyle name="Normal 2 3 2 2 2 2 2 2 3 2 3 2 2 2" xfId="20053"/>
    <cellStyle name="Normal 2 3 2 2 2 2 2 2 3 2 3 2 2 2 2" xfId="53958"/>
    <cellStyle name="Normal 2 3 2 2 2 2 2 2 3 2 3 2 2 2 2 2" xfId="55379"/>
    <cellStyle name="Normal 2 3 2 2 2 2 2 2 3 2 3 2 2 3" xfId="33555"/>
    <cellStyle name="Normal 2 3 2 2 2 2 2 2 3 2 3 2 3" xfId="32133"/>
    <cellStyle name="Normal 2 3 2 2 2 2 2 2 3 2 3 2 3 2" xfId="41927"/>
    <cellStyle name="Normal 2 3 2 2 2 2 2 2 3 2 3 3" xfId="11723"/>
    <cellStyle name="Normal 2 3 2 2 2 2 2 2 3 2 3 3 2" xfId="40496"/>
    <cellStyle name="Normal 2 3 2 2 2 2 2 2 3 2 3 3 2 2" xfId="47071"/>
    <cellStyle name="Normal 2 3 2 2 2 2 2 2 3 2 3 4" xfId="25208"/>
    <cellStyle name="Normal 2 3 2 2 2 2 2 2 3 2 4" xfId="10262"/>
    <cellStyle name="Normal 2 3 2 2 2 2 2 2 3 2 4 2" xfId="14881"/>
    <cellStyle name="Normal 2 3 2 2 2 2 2 2 3 2 4 2 2" xfId="45625"/>
    <cellStyle name="Normal 2 3 2 2 2 2 2 2 3 2 4 2 2 2" xfId="50220"/>
    <cellStyle name="Normal 2 3 2 2 2 2 2 2 3 2 4 3" xfId="28394"/>
    <cellStyle name="Normal 2 3 2 2 2 2 2 2 3 2 5" xfId="23748"/>
    <cellStyle name="Normal 2 3 2 2 2 2 2 2 3 2 5 2" xfId="36689"/>
    <cellStyle name="Normal 2 3 2 2 2 2 2 2 3 3" xfId="1999"/>
    <cellStyle name="Normal 2 3 2 2 2 2 2 2 3 3 2" xfId="6296"/>
    <cellStyle name="Normal 2 3 2 2 2 2 2 2 3 3 2 2" xfId="7233"/>
    <cellStyle name="Normal 2 3 2 2 2 2 2 2 3 3 2 2 2" xfId="19853"/>
    <cellStyle name="Normal 2 3 2 2 2 2 2 2 3 3 2 2 2 2" xfId="20785"/>
    <cellStyle name="Normal 2 3 2 2 2 2 2 2 3 3 2 2 2 2 2" xfId="55179"/>
    <cellStyle name="Normal 2 3 2 2 2 2 2 2 3 3 2 2 2 2 2 2" xfId="56111"/>
    <cellStyle name="Normal 2 3 2 2 2 2 2 2 3 3 2 2 2 3" xfId="34288"/>
    <cellStyle name="Normal 2 3 2 2 2 2 2 2 3 3 2 2 3" xfId="33355"/>
    <cellStyle name="Normal 2 3 2 2 2 2 2 2 3 3 2 2 3 2" xfId="42660"/>
    <cellStyle name="Normal 2 3 2 2 2 2 2 2 3 3 2 3" xfId="12458"/>
    <cellStyle name="Normal 2 3 2 2 2 2 2 2 3 3 2 3 2" xfId="41725"/>
    <cellStyle name="Normal 2 3 2 2 2 2 2 2 3 3 2 3 2 2" xfId="47804"/>
    <cellStyle name="Normal 2 3 2 2 2 2 2 2 3 3 2 4" xfId="25942"/>
    <cellStyle name="Normal 2 3 2 2 2 2 2 2 3 3 3" xfId="11521"/>
    <cellStyle name="Normal 2 3 2 2 2 2 2 2 3 3 3 2" xfId="15663"/>
    <cellStyle name="Normal 2 3 2 2 2 2 2 2 3 3 3 2 2" xfId="46870"/>
    <cellStyle name="Normal 2 3 2 2 2 2 2 2 3 3 3 2 2 2" xfId="50995"/>
    <cellStyle name="Normal 2 3 2 2 2 2 2 2 3 3 3 3" xfId="29169"/>
    <cellStyle name="Normal 2 3 2 2 2 2 2 2 3 3 4" xfId="25007"/>
    <cellStyle name="Normal 2 3 2 2 2 2 2 2 3 3 4 2" xfId="37477"/>
    <cellStyle name="Normal 2 3 2 2 2 2 2 2 3 4" xfId="4013"/>
    <cellStyle name="Normal 2 3 2 2 2 2 2 2 3 4 2" xfId="14679"/>
    <cellStyle name="Normal 2 3 2 2 2 2 2 2 3 4 2 2" xfId="17608"/>
    <cellStyle name="Normal 2 3 2 2 2 2 2 2 3 4 2 2 2" xfId="50018"/>
    <cellStyle name="Normal 2 3 2 2 2 2 2 2 3 4 2 2 2 2" xfId="52935"/>
    <cellStyle name="Normal 2 3 2 2 2 2 2 2 3 4 2 3" xfId="31110"/>
    <cellStyle name="Normal 2 3 2 2 2 2 2 2 3 4 3" xfId="28190"/>
    <cellStyle name="Normal 2 3 2 2 2 2 2 2 3 4 3 2" xfId="39457"/>
    <cellStyle name="Normal 2 3 2 2 2 2 2 2 3 5" xfId="9205"/>
    <cellStyle name="Normal 2 3 2 2 2 2 2 2 3 5 2" xfId="36487"/>
    <cellStyle name="Normal 2 3 2 2 2 2 2 2 3 5 2 2" xfId="44588"/>
    <cellStyle name="Normal 2 3 2 2 2 2 2 2 3 6" xfId="22702"/>
    <cellStyle name="Normal 2 3 2 2 2 2 2 2 4" xfId="1781"/>
    <cellStyle name="Normal 2 3 2 2 2 2 2 2 4 2" xfId="2444"/>
    <cellStyle name="Normal 2 3 2 2 2 2 2 2 4 2 2" xfId="7034"/>
    <cellStyle name="Normal 2 3 2 2 2 2 2 2 4 2 2 2" xfId="7676"/>
    <cellStyle name="Normal 2 3 2 2 2 2 2 2 4 2 2 2 2" xfId="20587"/>
    <cellStyle name="Normal 2 3 2 2 2 2 2 2 4 2 2 2 2 2" xfId="21228"/>
    <cellStyle name="Normal 2 3 2 2 2 2 2 2 4 2 2 2 2 2 2" xfId="55913"/>
    <cellStyle name="Normal 2 3 2 2 2 2 2 2 4 2 2 2 2 2 2 2" xfId="56554"/>
    <cellStyle name="Normal 2 3 2 2 2 2 2 2 4 2 2 2 2 3" xfId="34731"/>
    <cellStyle name="Normal 2 3 2 2 2 2 2 2 4 2 2 2 3" xfId="34089"/>
    <cellStyle name="Normal 2 3 2 2 2 2 2 2 4 2 2 2 3 2" xfId="43103"/>
    <cellStyle name="Normal 2 3 2 2 2 2 2 2 4 2 2 3" xfId="12901"/>
    <cellStyle name="Normal 2 3 2 2 2 2 2 2 4 2 2 3 2" xfId="42462"/>
    <cellStyle name="Normal 2 3 2 2 2 2 2 2 4 2 2 3 2 2" xfId="48247"/>
    <cellStyle name="Normal 2 3 2 2 2 2 2 2 4 2 2 4" xfId="26385"/>
    <cellStyle name="Normal 2 3 2 2 2 2 2 2 4 2 3" xfId="12258"/>
    <cellStyle name="Normal 2 3 2 2 2 2 2 2 4 2 3 2" xfId="16107"/>
    <cellStyle name="Normal 2 3 2 2 2 2 2 2 4 2 3 2 2" xfId="47605"/>
    <cellStyle name="Normal 2 3 2 2 2 2 2 2 4 2 3 2 2 2" xfId="51439"/>
    <cellStyle name="Normal 2 3 2 2 2 2 2 2 4 2 3 3" xfId="29613"/>
    <cellStyle name="Normal 2 3 2 2 2 2 2 2 4 2 4" xfId="25743"/>
    <cellStyle name="Normal 2 3 2 2 2 2 2 2 4 2 4 2" xfId="37922"/>
    <cellStyle name="Normal 2 3 2 2 2 2 2 2 4 3" xfId="4479"/>
    <cellStyle name="Normal 2 3 2 2 2 2 2 2 4 3 2" xfId="15453"/>
    <cellStyle name="Normal 2 3 2 2 2 2 2 2 4 3 2 2" xfId="18069"/>
    <cellStyle name="Normal 2 3 2 2 2 2 2 2 4 3 2 2 2" xfId="50786"/>
    <cellStyle name="Normal 2 3 2 2 2 2 2 2 4 3 2 2 2 2" xfId="53395"/>
    <cellStyle name="Normal 2 3 2 2 2 2 2 2 4 3 2 3" xfId="31570"/>
    <cellStyle name="Normal 2 3 2 2 2 2 2 2 4 3 3" xfId="28960"/>
    <cellStyle name="Normal 2 3 2 2 2 2 2 2 4 3 3 2" xfId="39921"/>
    <cellStyle name="Normal 2 3 2 2 2 2 2 2 4 4" xfId="9684"/>
    <cellStyle name="Normal 2 3 2 2 2 2 2 2 4 4 2" xfId="37263"/>
    <cellStyle name="Normal 2 3 2 2 2 2 2 2 4 4 2 2" xfId="45062"/>
    <cellStyle name="Normal 2 3 2 2 2 2 2 2 4 5" xfId="23185"/>
    <cellStyle name="Normal 2 3 2 2 2 2 2 2 5" xfId="3787"/>
    <cellStyle name="Normal 2 3 2 2 2 2 2 2 5 2" xfId="5686"/>
    <cellStyle name="Normal 2 3 2 2 2 2 2 2 5 2 2" xfId="17403"/>
    <cellStyle name="Normal 2 3 2 2 2 2 2 2 5 2 2 2" xfId="19258"/>
    <cellStyle name="Normal 2 3 2 2 2 2 2 2 5 2 2 2 2" xfId="52730"/>
    <cellStyle name="Normal 2 3 2 2 2 2 2 2 5 2 2 2 2 2" xfId="54584"/>
    <cellStyle name="Normal 2 3 2 2 2 2 2 2 5 2 2 3" xfId="32759"/>
    <cellStyle name="Normal 2 3 2 2 2 2 2 2 5 2 3" xfId="30904"/>
    <cellStyle name="Normal 2 3 2 2 2 2 2 2 5 2 3 2" xfId="41122"/>
    <cellStyle name="Normal 2 3 2 2 2 2 2 2 5 3" xfId="10904"/>
    <cellStyle name="Normal 2 3 2 2 2 2 2 2 5 3 2" xfId="39238"/>
    <cellStyle name="Normal 2 3 2 2 2 2 2 2 5 3 2 2" xfId="46266"/>
    <cellStyle name="Normal 2 3 2 2 2 2 2 2 5 4" xfId="24397"/>
    <cellStyle name="Normal 2 3 2 2 2 2 2 2 6" xfId="8977"/>
    <cellStyle name="Normal 2 3 2 2 2 2 2 2 6 2" xfId="14070"/>
    <cellStyle name="Normal 2 3 2 2 2 2 2 2 6 2 2" xfId="44376"/>
    <cellStyle name="Normal 2 3 2 2 2 2 2 2 6 2 2 2" xfId="49416"/>
    <cellStyle name="Normal 2 3 2 2 2 2 2 2 6 3" xfId="27569"/>
    <cellStyle name="Normal 2 3 2 2 2 2 2 2 7" xfId="22484"/>
    <cellStyle name="Normal 2 3 2 2 2 2 2 2 7 2" xfId="35882"/>
    <cellStyle name="Normal 2 3 2 2 2 2 2 3" xfId="476"/>
    <cellStyle name="Normal 2 3 2 2 2 2 2 3 2" xfId="1189"/>
    <cellStyle name="Normal 2 3 2 2 2 2 2 3 2 2" xfId="1291"/>
    <cellStyle name="Normal 2 3 2 2 2 2 2 3 2 2 2" xfId="3209"/>
    <cellStyle name="Normal 2 3 2 2 2 2 2 3 2 2 2 2" xfId="3309"/>
    <cellStyle name="Normal 2 3 2 2 2 2 2 3 2 2 2 2 2" xfId="8424"/>
    <cellStyle name="Normal 2 3 2 2 2 2 2 3 2 2 2 2 2 2" xfId="8524"/>
    <cellStyle name="Normal 2 3 2 2 2 2 2 3 2 2 2 2 2 2 2" xfId="21976"/>
    <cellStyle name="Normal 2 3 2 2 2 2 2 3 2 2 2 2 2 2 2 2" xfId="22076"/>
    <cellStyle name="Normal 2 3 2 2 2 2 2 3 2 2 2 2 2 2 2 2 2" xfId="57302"/>
    <cellStyle name="Normal 2 3 2 2 2 2 2 3 2 2 2 2 2 2 2 2 2 2" xfId="57402"/>
    <cellStyle name="Normal 2 3 2 2 2 2 2 3 2 2 2 2 2 2 2 3" xfId="35579"/>
    <cellStyle name="Normal 2 3 2 2 2 2 2 3 2 2 2 2 2 2 3" xfId="35479"/>
    <cellStyle name="Normal 2 3 2 2 2 2 2 3 2 2 2 2 2 2 3 2" xfId="43951"/>
    <cellStyle name="Normal 2 3 2 2 2 2 2 3 2 2 2 2 2 3" xfId="13749"/>
    <cellStyle name="Normal 2 3 2 2 2 2 2 3 2 2 2 2 2 3 2" xfId="43851"/>
    <cellStyle name="Normal 2 3 2 2 2 2 2 3 2 2 2 2 2 3 2 2" xfId="49095"/>
    <cellStyle name="Normal 2 3 2 2 2 2 2 3 2 2 2 2 2 4" xfId="27234"/>
    <cellStyle name="Normal 2 3 2 2 2 2 2 3 2 2 2 2 3" xfId="13649"/>
    <cellStyle name="Normal 2 3 2 2 2 2 2 3 2 2 2 2 3 2" xfId="16966"/>
    <cellStyle name="Normal 2 3 2 2 2 2 2 3 2 2 2 2 3 2 2" xfId="48995"/>
    <cellStyle name="Normal 2 3 2 2 2 2 2 3 2 2 2 2 3 2 2 2" xfId="52294"/>
    <cellStyle name="Normal 2 3 2 2 2 2 2 3 2 2 2 2 3 3" xfId="30468"/>
    <cellStyle name="Normal 2 3 2 2 2 2 2 3 2 2 2 2 4" xfId="27134"/>
    <cellStyle name="Normal 2 3 2 2 2 2 2 3 2 2 2 2 4 2" xfId="38778"/>
    <cellStyle name="Normal 2 3 2 2 2 2 2 3 2 2 2 3" xfId="5346"/>
    <cellStyle name="Normal 2 3 2 2 2 2 2 3 2 2 2 3 2" xfId="16866"/>
    <cellStyle name="Normal 2 3 2 2 2 2 2 3 2 2 2 3 2 2" xfId="18919"/>
    <cellStyle name="Normal 2 3 2 2 2 2 2 3 2 2 2 3 2 2 2" xfId="52194"/>
    <cellStyle name="Normal 2 3 2 2 2 2 2 3 2 2 2 3 2 2 2 2" xfId="54245"/>
    <cellStyle name="Normal 2 3 2 2 2 2 2 3 2 2 2 3 2 3" xfId="32420"/>
    <cellStyle name="Normal 2 3 2 2 2 2 2 3 2 2 2 3 3" xfId="30368"/>
    <cellStyle name="Normal 2 3 2 2 2 2 2 3 2 2 2 3 3 2" xfId="40783"/>
    <cellStyle name="Normal 2 3 2 2 2 2 2 3 2 2 2 4" xfId="10549"/>
    <cellStyle name="Normal 2 3 2 2 2 2 2 3 2 2 2 4 2" xfId="38678"/>
    <cellStyle name="Normal 2 3 2 2 2 2 2 3 2 2 2 4 2 2" xfId="45912"/>
    <cellStyle name="Normal 2 3 2 2 2 2 2 3 2 2 2 5" xfId="24035"/>
    <cellStyle name="Normal 2 3 2 2 2 2 2 3 2 2 3" xfId="5246"/>
    <cellStyle name="Normal 2 3 2 2 2 2 2 3 2 2 3 2" xfId="6599"/>
    <cellStyle name="Normal 2 3 2 2 2 2 2 3 2 2 3 2 2" xfId="18819"/>
    <cellStyle name="Normal 2 3 2 2 2 2 2 3 2 2 3 2 2 2" xfId="20152"/>
    <cellStyle name="Normal 2 3 2 2 2 2 2 3 2 2 3 2 2 2 2" xfId="54145"/>
    <cellStyle name="Normal 2 3 2 2 2 2 2 3 2 2 3 2 2 2 2 2" xfId="55478"/>
    <cellStyle name="Normal 2 3 2 2 2 2 2 3 2 2 3 2 2 3" xfId="33654"/>
    <cellStyle name="Normal 2 3 2 2 2 2 2 3 2 2 3 2 3" xfId="32320"/>
    <cellStyle name="Normal 2 3 2 2 2 2 2 3 2 2 3 2 3 2" xfId="42027"/>
    <cellStyle name="Normal 2 3 2 2 2 2 2 3 2 2 3 3" xfId="11822"/>
    <cellStyle name="Normal 2 3 2 2 2 2 2 3 2 2 3 3 2" xfId="40683"/>
    <cellStyle name="Normal 2 3 2 2 2 2 2 3 2 2 3 3 2 2" xfId="47170"/>
    <cellStyle name="Normal 2 3 2 2 2 2 2 3 2 2 3 4" xfId="25307"/>
    <cellStyle name="Normal 2 3 2 2 2 2 2 3 2 2 4" xfId="10449"/>
    <cellStyle name="Normal 2 3 2 2 2 2 2 3 2 2 4 2" xfId="14980"/>
    <cellStyle name="Normal 2 3 2 2 2 2 2 3 2 2 4 2 2" xfId="45812"/>
    <cellStyle name="Normal 2 3 2 2 2 2 2 3 2 2 4 2 2 2" xfId="50319"/>
    <cellStyle name="Normal 2 3 2 2 2 2 2 3 2 2 4 3" xfId="28493"/>
    <cellStyle name="Normal 2 3 2 2 2 2 2 3 2 2 5" xfId="23935"/>
    <cellStyle name="Normal 2 3 2 2 2 2 2 3 2 2 5 2" xfId="36788"/>
    <cellStyle name="Normal 2 3 2 2 2 2 2 3 2 3" xfId="2097"/>
    <cellStyle name="Normal 2 3 2 2 2 2 2 3 2 3 2" xfId="6497"/>
    <cellStyle name="Normal 2 3 2 2 2 2 2 3 2 3 2 2" xfId="7331"/>
    <cellStyle name="Normal 2 3 2 2 2 2 2 3 2 3 2 2 2" xfId="20051"/>
    <cellStyle name="Normal 2 3 2 2 2 2 2 3 2 3 2 2 2 2" xfId="20883"/>
    <cellStyle name="Normal 2 3 2 2 2 2 2 3 2 3 2 2 2 2 2" xfId="55377"/>
    <cellStyle name="Normal 2 3 2 2 2 2 2 3 2 3 2 2 2 2 2 2" xfId="56209"/>
    <cellStyle name="Normal 2 3 2 2 2 2 2 3 2 3 2 2 2 3" xfId="34386"/>
    <cellStyle name="Normal 2 3 2 2 2 2 2 3 2 3 2 2 3" xfId="33553"/>
    <cellStyle name="Normal 2 3 2 2 2 2 2 3 2 3 2 2 3 2" xfId="42758"/>
    <cellStyle name="Normal 2 3 2 2 2 2 2 3 2 3 2 3" xfId="12556"/>
    <cellStyle name="Normal 2 3 2 2 2 2 2 3 2 3 2 3 2" xfId="41925"/>
    <cellStyle name="Normal 2 3 2 2 2 2 2 3 2 3 2 3 2 2" xfId="47902"/>
    <cellStyle name="Normal 2 3 2 2 2 2 2 3 2 3 2 4" xfId="26040"/>
    <cellStyle name="Normal 2 3 2 2 2 2 2 3 2 3 3" xfId="11721"/>
    <cellStyle name="Normal 2 3 2 2 2 2 2 3 2 3 3 2" xfId="15761"/>
    <cellStyle name="Normal 2 3 2 2 2 2 2 3 2 3 3 2 2" xfId="47069"/>
    <cellStyle name="Normal 2 3 2 2 2 2 2 3 2 3 3 2 2 2" xfId="51093"/>
    <cellStyle name="Normal 2 3 2 2 2 2 2 3 2 3 3 3" xfId="29267"/>
    <cellStyle name="Normal 2 3 2 2 2 2 2 3 2 3 4" xfId="25206"/>
    <cellStyle name="Normal 2 3 2 2 2 2 2 3 2 3 4 2" xfId="37575"/>
    <cellStyle name="Normal 2 3 2 2 2 2 2 3 2 4" xfId="4113"/>
    <cellStyle name="Normal 2 3 2 2 2 2 2 3 2 4 2" xfId="14879"/>
    <cellStyle name="Normal 2 3 2 2 2 2 2 3 2 4 2 2" xfId="17706"/>
    <cellStyle name="Normal 2 3 2 2 2 2 2 3 2 4 2 2 2" xfId="50218"/>
    <cellStyle name="Normal 2 3 2 2 2 2 2 3 2 4 2 2 2 2" xfId="53033"/>
    <cellStyle name="Normal 2 3 2 2 2 2 2 3 2 4 2 3" xfId="31208"/>
    <cellStyle name="Normal 2 3 2 2 2 2 2 3 2 4 3" xfId="28392"/>
    <cellStyle name="Normal 2 3 2 2 2 2 2 3 2 4 3 2" xfId="39556"/>
    <cellStyle name="Normal 2 3 2 2 2 2 2 3 2 5" xfId="9304"/>
    <cellStyle name="Normal 2 3 2 2 2 2 2 3 2 5 2" xfId="36687"/>
    <cellStyle name="Normal 2 3 2 2 2 2 2 3 2 5 2 2" xfId="44686"/>
    <cellStyle name="Normal 2 3 2 2 2 2 2 3 2 6" xfId="22800"/>
    <cellStyle name="Normal 2 3 2 2 2 2 2 3 3" xfId="1997"/>
    <cellStyle name="Normal 2 3 2 2 2 2 2 3 3 2" xfId="2575"/>
    <cellStyle name="Normal 2 3 2 2 2 2 2 3 3 2 2" xfId="7231"/>
    <cellStyle name="Normal 2 3 2 2 2 2 2 3 3 2 2 2" xfId="7796"/>
    <cellStyle name="Normal 2 3 2 2 2 2 2 3 3 2 2 2 2" xfId="20783"/>
    <cellStyle name="Normal 2 3 2 2 2 2 2 3 3 2 2 2 2 2" xfId="21348"/>
    <cellStyle name="Normal 2 3 2 2 2 2 2 3 3 2 2 2 2 2 2" xfId="56109"/>
    <cellStyle name="Normal 2 3 2 2 2 2 2 3 3 2 2 2 2 2 2 2" xfId="56674"/>
    <cellStyle name="Normal 2 3 2 2 2 2 2 3 3 2 2 2 2 3" xfId="34851"/>
    <cellStyle name="Normal 2 3 2 2 2 2 2 3 3 2 2 2 3" xfId="34286"/>
    <cellStyle name="Normal 2 3 2 2 2 2 2 3 3 2 2 2 3 2" xfId="43223"/>
    <cellStyle name="Normal 2 3 2 2 2 2 2 3 3 2 2 3" xfId="13021"/>
    <cellStyle name="Normal 2 3 2 2 2 2 2 3 3 2 2 3 2" xfId="42658"/>
    <cellStyle name="Normal 2 3 2 2 2 2 2 3 3 2 2 3 2 2" xfId="48367"/>
    <cellStyle name="Normal 2 3 2 2 2 2 2 3 3 2 2 4" xfId="26505"/>
    <cellStyle name="Normal 2 3 2 2 2 2 2 3 3 2 3" xfId="12456"/>
    <cellStyle name="Normal 2 3 2 2 2 2 2 3 3 2 3 2" xfId="16234"/>
    <cellStyle name="Normal 2 3 2 2 2 2 2 3 3 2 3 2 2" xfId="47802"/>
    <cellStyle name="Normal 2 3 2 2 2 2 2 3 3 2 3 2 2 2" xfId="51564"/>
    <cellStyle name="Normal 2 3 2 2 2 2 2 3 3 2 3 3" xfId="29738"/>
    <cellStyle name="Normal 2 3 2 2 2 2 2 3 3 2 4" xfId="25940"/>
    <cellStyle name="Normal 2 3 2 2 2 2 2 3 3 2 4 2" xfId="38048"/>
    <cellStyle name="Normal 2 3 2 2 2 2 2 3 3 3" xfId="4608"/>
    <cellStyle name="Normal 2 3 2 2 2 2 2 3 3 3 2" xfId="15661"/>
    <cellStyle name="Normal 2 3 2 2 2 2 2 3 3 3 2 2" xfId="18189"/>
    <cellStyle name="Normal 2 3 2 2 2 2 2 3 3 3 2 2 2" xfId="50993"/>
    <cellStyle name="Normal 2 3 2 2 2 2 2 3 3 3 2 2 2 2" xfId="53515"/>
    <cellStyle name="Normal 2 3 2 2 2 2 2 3 3 3 2 3" xfId="31690"/>
    <cellStyle name="Normal 2 3 2 2 2 2 2 3 3 3 3" xfId="29167"/>
    <cellStyle name="Normal 2 3 2 2 2 2 2 3 3 3 3 2" xfId="40047"/>
    <cellStyle name="Normal 2 3 2 2 2 2 2 3 3 4" xfId="9812"/>
    <cellStyle name="Normal 2 3 2 2 2 2 2 3 3 4 2" xfId="37475"/>
    <cellStyle name="Normal 2 3 2 2 2 2 2 3 3 4 2 2" xfId="45182"/>
    <cellStyle name="Normal 2 3 2 2 2 2 2 3 3 5" xfId="23305"/>
    <cellStyle name="Normal 2 3 2 2 2 2 2 3 4" xfId="4011"/>
    <cellStyle name="Normal 2 3 2 2 2 2 2 3 4 2" xfId="5814"/>
    <cellStyle name="Normal 2 3 2 2 2 2 2 3 4 2 2" xfId="17606"/>
    <cellStyle name="Normal 2 3 2 2 2 2 2 3 4 2 2 2" xfId="19382"/>
    <cellStyle name="Normal 2 3 2 2 2 2 2 3 4 2 2 2 2" xfId="52933"/>
    <cellStyle name="Normal 2 3 2 2 2 2 2 3 4 2 2 2 2 2" xfId="54708"/>
    <cellStyle name="Normal 2 3 2 2 2 2 2 3 4 2 2 3" xfId="32883"/>
    <cellStyle name="Normal 2 3 2 2 2 2 2 3 4 2 3" xfId="31108"/>
    <cellStyle name="Normal 2 3 2 2 2 2 2 3 4 2 3 2" xfId="41249"/>
    <cellStyle name="Normal 2 3 2 2 2 2 2 3 4 3" xfId="11036"/>
    <cellStyle name="Normal 2 3 2 2 2 2 2 3 4 3 2" xfId="39455"/>
    <cellStyle name="Normal 2 3 2 2 2 2 2 3 4 3 2 2" xfId="46395"/>
    <cellStyle name="Normal 2 3 2 2 2 2 2 3 4 4" xfId="24530"/>
    <cellStyle name="Normal 2 3 2 2 2 2 2 3 5" xfId="9203"/>
    <cellStyle name="Normal 2 3 2 2 2 2 2 3 5 2" xfId="14197"/>
    <cellStyle name="Normal 2 3 2 2 2 2 2 3 5 2 2" xfId="44586"/>
    <cellStyle name="Normal 2 3 2 2 2 2 2 3 5 2 2 2" xfId="49542"/>
    <cellStyle name="Normal 2 3 2 2 2 2 2 3 5 3" xfId="27703"/>
    <cellStyle name="Normal 2 3 2 2 2 2 2 3 6" xfId="22700"/>
    <cellStyle name="Normal 2 3 2 2 2 2 2 3 6 2" xfId="36009"/>
    <cellStyle name="Normal 2 3 2 2 2 2 2 4" xfId="797"/>
    <cellStyle name="Normal 2 3 2 2 2 2 2 4 2" xfId="2442"/>
    <cellStyle name="Normal 2 3 2 2 2 2 2 4 2 2" xfId="2853"/>
    <cellStyle name="Normal 2 3 2 2 2 2 2 4 2 2 2" xfId="7674"/>
    <cellStyle name="Normal 2 3 2 2 2 2 2 4 2 2 2 2" xfId="8069"/>
    <cellStyle name="Normal 2 3 2 2 2 2 2 4 2 2 2 2 2" xfId="21226"/>
    <cellStyle name="Normal 2 3 2 2 2 2 2 4 2 2 2 2 2 2" xfId="21621"/>
    <cellStyle name="Normal 2 3 2 2 2 2 2 4 2 2 2 2 2 2 2" xfId="56552"/>
    <cellStyle name="Normal 2 3 2 2 2 2 2 4 2 2 2 2 2 2 2 2" xfId="56947"/>
    <cellStyle name="Normal 2 3 2 2 2 2 2 4 2 2 2 2 2 3" xfId="35124"/>
    <cellStyle name="Normal 2 3 2 2 2 2 2 4 2 2 2 2 3" xfId="34729"/>
    <cellStyle name="Normal 2 3 2 2 2 2 2 4 2 2 2 2 3 2" xfId="43496"/>
    <cellStyle name="Normal 2 3 2 2 2 2 2 4 2 2 2 3" xfId="13294"/>
    <cellStyle name="Normal 2 3 2 2 2 2 2 4 2 2 2 3 2" xfId="43101"/>
    <cellStyle name="Normal 2 3 2 2 2 2 2 4 2 2 2 3 2 2" xfId="48640"/>
    <cellStyle name="Normal 2 3 2 2 2 2 2 4 2 2 2 4" xfId="26778"/>
    <cellStyle name="Normal 2 3 2 2 2 2 2 4 2 2 3" xfId="12899"/>
    <cellStyle name="Normal 2 3 2 2 2 2 2 4 2 2 3 2" xfId="16511"/>
    <cellStyle name="Normal 2 3 2 2 2 2 2 4 2 2 3 2 2" xfId="48245"/>
    <cellStyle name="Normal 2 3 2 2 2 2 2 4 2 2 3 2 2 2" xfId="51839"/>
    <cellStyle name="Normal 2 3 2 2 2 2 2 4 2 2 3 3" xfId="30013"/>
    <cellStyle name="Normal 2 3 2 2 2 2 2 4 2 2 4" xfId="26383"/>
    <cellStyle name="Normal 2 3 2 2 2 2 2 4 2 2 4 2" xfId="38323"/>
    <cellStyle name="Normal 2 3 2 2 2 2 2 4 2 3" xfId="4889"/>
    <cellStyle name="Normal 2 3 2 2 2 2 2 4 2 3 2" xfId="16105"/>
    <cellStyle name="Normal 2 3 2 2 2 2 2 4 2 3 2 2" xfId="18463"/>
    <cellStyle name="Normal 2 3 2 2 2 2 2 4 2 3 2 2 2" xfId="51437"/>
    <cellStyle name="Normal 2 3 2 2 2 2 2 4 2 3 2 2 2 2" xfId="53789"/>
    <cellStyle name="Normal 2 3 2 2 2 2 2 4 2 3 2 3" xfId="31964"/>
    <cellStyle name="Normal 2 3 2 2 2 2 2 4 2 3 3" xfId="29611"/>
    <cellStyle name="Normal 2 3 2 2 2 2 2 4 2 3 3 2" xfId="40326"/>
    <cellStyle name="Normal 2 3 2 2 2 2 2 4 2 4" xfId="10092"/>
    <cellStyle name="Normal 2 3 2 2 2 2 2 4 2 4 2" xfId="37920"/>
    <cellStyle name="Normal 2 3 2 2 2 2 2 4 2 4 2 2" xfId="45456"/>
    <cellStyle name="Normal 2 3 2 2 2 2 2 4 2 5" xfId="23579"/>
    <cellStyle name="Normal 2 3 2 2 2 2 2 4 3" xfId="4477"/>
    <cellStyle name="Normal 2 3 2 2 2 2 2 4 3 2" xfId="6113"/>
    <cellStyle name="Normal 2 3 2 2 2 2 2 4 3 2 2" xfId="18067"/>
    <cellStyle name="Normal 2 3 2 2 2 2 2 4 3 2 2 2" xfId="19675"/>
    <cellStyle name="Normal 2 3 2 2 2 2 2 4 3 2 2 2 2" xfId="53393"/>
    <cellStyle name="Normal 2 3 2 2 2 2 2 4 3 2 2 2 2 2" xfId="55001"/>
    <cellStyle name="Normal 2 3 2 2 2 2 2 4 3 2 2 3" xfId="33176"/>
    <cellStyle name="Normal 2 3 2 2 2 2 2 4 3 2 3" xfId="31568"/>
    <cellStyle name="Normal 2 3 2 2 2 2 2 4 3 2 3 2" xfId="41546"/>
    <cellStyle name="Normal 2 3 2 2 2 2 2 4 3 3" xfId="11339"/>
    <cellStyle name="Normal 2 3 2 2 2 2 2 4 3 3 2" xfId="39919"/>
    <cellStyle name="Normal 2 3 2 2 2 2 2 4 3 3 2 2" xfId="46692"/>
    <cellStyle name="Normal 2 3 2 2 2 2 2 4 3 4" xfId="24829"/>
    <cellStyle name="Normal 2 3 2 2 2 2 2 4 4" xfId="9682"/>
    <cellStyle name="Normal 2 3 2 2 2 2 2 4 4 2" xfId="14497"/>
    <cellStyle name="Normal 2 3 2 2 2 2 2 4 4 2 2" xfId="45060"/>
    <cellStyle name="Normal 2 3 2 2 2 2 2 4 4 2 2 2" xfId="49839"/>
    <cellStyle name="Normal 2 3 2 2 2 2 2 4 4 3" xfId="28008"/>
    <cellStyle name="Normal 2 3 2 2 2 2 2 4 5" xfId="23183"/>
    <cellStyle name="Normal 2 3 2 2 2 2 2 4 5 2" xfId="36307"/>
    <cellStyle name="Normal 2 3 2 2 2 2 2 5" xfId="1584"/>
    <cellStyle name="Normal 2 3 2 2 2 2 2 5 2" xfId="5684"/>
    <cellStyle name="Normal 2 3 2 2 2 2 2 5 2 2" xfId="6856"/>
    <cellStyle name="Normal 2 3 2 2 2 2 2 5 2 2 2" xfId="19256"/>
    <cellStyle name="Normal 2 3 2 2 2 2 2 5 2 2 2 2" xfId="20409"/>
    <cellStyle name="Normal 2 3 2 2 2 2 2 5 2 2 2 2 2" xfId="54582"/>
    <cellStyle name="Normal 2 3 2 2 2 2 2 5 2 2 2 2 2 2" xfId="55735"/>
    <cellStyle name="Normal 2 3 2 2 2 2 2 5 2 2 2 3" xfId="33911"/>
    <cellStyle name="Normal 2 3 2 2 2 2 2 5 2 2 3" xfId="32757"/>
    <cellStyle name="Normal 2 3 2 2 2 2 2 5 2 2 3 2" xfId="42284"/>
    <cellStyle name="Normal 2 3 2 2 2 2 2 5 2 3" xfId="12080"/>
    <cellStyle name="Normal 2 3 2 2 2 2 2 5 2 3 2" xfId="41120"/>
    <cellStyle name="Normal 2 3 2 2 2 2 2 5 2 3 2 2" xfId="47427"/>
    <cellStyle name="Normal 2 3 2 2 2 2 2 5 2 4" xfId="25565"/>
    <cellStyle name="Normal 2 3 2 2 2 2 2 5 3" xfId="10902"/>
    <cellStyle name="Normal 2 3 2 2 2 2 2 5 3 2" xfId="15260"/>
    <cellStyle name="Normal 2 3 2 2 2 2 2 5 3 2 2" xfId="46264"/>
    <cellStyle name="Normal 2 3 2 2 2 2 2 5 3 2 2 2" xfId="50597"/>
    <cellStyle name="Normal 2 3 2 2 2 2 2 5 3 3" xfId="28771"/>
    <cellStyle name="Normal 2 3 2 2 2 2 2 5 4" xfId="24395"/>
    <cellStyle name="Normal 2 3 2 2 2 2 2 5 4 2" xfId="37072"/>
    <cellStyle name="Normal 2 3 2 2 2 2 2 6" xfId="3585"/>
    <cellStyle name="Normal 2 3 2 2 2 2 2 6 2" xfId="14068"/>
    <cellStyle name="Normal 2 3 2 2 2 2 2 6 2 2" xfId="17221"/>
    <cellStyle name="Normal 2 3 2 2 2 2 2 6 2 2 2" xfId="49414"/>
    <cellStyle name="Normal 2 3 2 2 2 2 2 6 2 2 2 2" xfId="52548"/>
    <cellStyle name="Normal 2 3 2 2 2 2 2 6 2 3" xfId="30722"/>
    <cellStyle name="Normal 2 3 2 2 2 2 2 6 3" xfId="27567"/>
    <cellStyle name="Normal 2 3 2 2 2 2 2 6 3 2" xfId="39042"/>
    <cellStyle name="Normal 2 3 2 2 2 2 2 7" xfId="8776"/>
    <cellStyle name="Normal 2 3 2 2 2 2 2 7 2" xfId="35880"/>
    <cellStyle name="Normal 2 3 2 2 2 2 2 7 2 2" xfId="44189"/>
    <cellStyle name="Normal 2 3 2 2 2 2 2 8" xfId="22293"/>
    <cellStyle name="Normal 2 3 2 2 2 2 3" xfId="474"/>
    <cellStyle name="Normal 2 3 2 2 2 2 3 2" xfId="562"/>
    <cellStyle name="Normal 2 3 2 2 2 2 3 2 2" xfId="1289"/>
    <cellStyle name="Normal 2 3 2 2 2 2 3 2 2 2" xfId="1360"/>
    <cellStyle name="Normal 2 3 2 2 2 2 3 2 2 2 2" xfId="3307"/>
    <cellStyle name="Normal 2 3 2 2 2 2 3 2 2 2 2 2" xfId="3378"/>
    <cellStyle name="Normal 2 3 2 2 2 2 3 2 2 2 2 2 2" xfId="8522"/>
    <cellStyle name="Normal 2 3 2 2 2 2 3 2 2 2 2 2 2 2" xfId="8593"/>
    <cellStyle name="Normal 2 3 2 2 2 2 3 2 2 2 2 2 2 2 2" xfId="22074"/>
    <cellStyle name="Normal 2 3 2 2 2 2 3 2 2 2 2 2 2 2 2 2" xfId="22145"/>
    <cellStyle name="Normal 2 3 2 2 2 2 3 2 2 2 2 2 2 2 2 2 2" xfId="57400"/>
    <cellStyle name="Normal 2 3 2 2 2 2 3 2 2 2 2 2 2 2 2 2 2 2" xfId="57471"/>
    <cellStyle name="Normal 2 3 2 2 2 2 3 2 2 2 2 2 2 2 2 3" xfId="35648"/>
    <cellStyle name="Normal 2 3 2 2 2 2 3 2 2 2 2 2 2 2 3" xfId="35577"/>
    <cellStyle name="Normal 2 3 2 2 2 2 3 2 2 2 2 2 2 2 3 2" xfId="44020"/>
    <cellStyle name="Normal 2 3 2 2 2 2 3 2 2 2 2 2 2 3" xfId="13818"/>
    <cellStyle name="Normal 2 3 2 2 2 2 3 2 2 2 2 2 2 3 2" xfId="43949"/>
    <cellStyle name="Normal 2 3 2 2 2 2 3 2 2 2 2 2 2 3 2 2" xfId="49164"/>
    <cellStyle name="Normal 2 3 2 2 2 2 3 2 2 2 2 2 2 4" xfId="27303"/>
    <cellStyle name="Normal 2 3 2 2 2 2 3 2 2 2 2 2 3" xfId="13747"/>
    <cellStyle name="Normal 2 3 2 2 2 2 3 2 2 2 2 2 3 2" xfId="17035"/>
    <cellStyle name="Normal 2 3 2 2 2 2 3 2 2 2 2 2 3 2 2" xfId="49093"/>
    <cellStyle name="Normal 2 3 2 2 2 2 3 2 2 2 2 2 3 2 2 2" xfId="52363"/>
    <cellStyle name="Normal 2 3 2 2 2 2 3 2 2 2 2 2 3 3" xfId="30537"/>
    <cellStyle name="Normal 2 3 2 2 2 2 3 2 2 2 2 2 4" xfId="27232"/>
    <cellStyle name="Normal 2 3 2 2 2 2 3 2 2 2 2 2 4 2" xfId="38847"/>
    <cellStyle name="Normal 2 3 2 2 2 2 3 2 2 2 2 3" xfId="5415"/>
    <cellStyle name="Normal 2 3 2 2 2 2 3 2 2 2 2 3 2" xfId="16964"/>
    <cellStyle name="Normal 2 3 2 2 2 2 3 2 2 2 2 3 2 2" xfId="18988"/>
    <cellStyle name="Normal 2 3 2 2 2 2 3 2 2 2 2 3 2 2 2" xfId="52292"/>
    <cellStyle name="Normal 2 3 2 2 2 2 3 2 2 2 2 3 2 2 2 2" xfId="54314"/>
    <cellStyle name="Normal 2 3 2 2 2 2 3 2 2 2 2 3 2 3" xfId="32489"/>
    <cellStyle name="Normal 2 3 2 2 2 2 3 2 2 2 2 3 3" xfId="30466"/>
    <cellStyle name="Normal 2 3 2 2 2 2 3 2 2 2 2 3 3 2" xfId="40852"/>
    <cellStyle name="Normal 2 3 2 2 2 2 3 2 2 2 2 4" xfId="10618"/>
    <cellStyle name="Normal 2 3 2 2 2 2 3 2 2 2 2 4 2" xfId="38776"/>
    <cellStyle name="Normal 2 3 2 2 2 2 3 2 2 2 2 4 2 2" xfId="45981"/>
    <cellStyle name="Normal 2 3 2 2 2 2 3 2 2 2 2 5" xfId="24104"/>
    <cellStyle name="Normal 2 3 2 2 2 2 3 2 2 2 3" xfId="5344"/>
    <cellStyle name="Normal 2 3 2 2 2 2 3 2 2 2 3 2" xfId="6668"/>
    <cellStyle name="Normal 2 3 2 2 2 2 3 2 2 2 3 2 2" xfId="18917"/>
    <cellStyle name="Normal 2 3 2 2 2 2 3 2 2 2 3 2 2 2" xfId="20221"/>
    <cellStyle name="Normal 2 3 2 2 2 2 3 2 2 2 3 2 2 2 2" xfId="54243"/>
    <cellStyle name="Normal 2 3 2 2 2 2 3 2 2 2 3 2 2 2 2 2" xfId="55547"/>
    <cellStyle name="Normal 2 3 2 2 2 2 3 2 2 2 3 2 2 3" xfId="33723"/>
    <cellStyle name="Normal 2 3 2 2 2 2 3 2 2 2 3 2 3" xfId="32418"/>
    <cellStyle name="Normal 2 3 2 2 2 2 3 2 2 2 3 2 3 2" xfId="42096"/>
    <cellStyle name="Normal 2 3 2 2 2 2 3 2 2 2 3 3" xfId="11891"/>
    <cellStyle name="Normal 2 3 2 2 2 2 3 2 2 2 3 3 2" xfId="40781"/>
    <cellStyle name="Normal 2 3 2 2 2 2 3 2 2 2 3 3 2 2" xfId="47239"/>
    <cellStyle name="Normal 2 3 2 2 2 2 3 2 2 2 3 4" xfId="25376"/>
    <cellStyle name="Normal 2 3 2 2 2 2 3 2 2 2 4" xfId="10547"/>
    <cellStyle name="Normal 2 3 2 2 2 2 3 2 2 2 4 2" xfId="15049"/>
    <cellStyle name="Normal 2 3 2 2 2 2 3 2 2 2 4 2 2" xfId="45910"/>
    <cellStyle name="Normal 2 3 2 2 2 2 3 2 2 2 4 2 2 2" xfId="50388"/>
    <cellStyle name="Normal 2 3 2 2 2 2 3 2 2 2 4 3" xfId="28562"/>
    <cellStyle name="Normal 2 3 2 2 2 2 3 2 2 2 5" xfId="24033"/>
    <cellStyle name="Normal 2 3 2 2 2 2 3 2 2 2 5 2" xfId="36857"/>
    <cellStyle name="Normal 2 3 2 2 2 2 3 2 2 3" xfId="2167"/>
    <cellStyle name="Normal 2 3 2 2 2 2 3 2 2 3 2" xfId="6597"/>
    <cellStyle name="Normal 2 3 2 2 2 2 3 2 2 3 2 2" xfId="7401"/>
    <cellStyle name="Normal 2 3 2 2 2 2 3 2 2 3 2 2 2" xfId="20150"/>
    <cellStyle name="Normal 2 3 2 2 2 2 3 2 2 3 2 2 2 2" xfId="20953"/>
    <cellStyle name="Normal 2 3 2 2 2 2 3 2 2 3 2 2 2 2 2" xfId="55476"/>
    <cellStyle name="Normal 2 3 2 2 2 2 3 2 2 3 2 2 2 2 2 2" xfId="56279"/>
    <cellStyle name="Normal 2 3 2 2 2 2 3 2 2 3 2 2 2 3" xfId="34456"/>
    <cellStyle name="Normal 2 3 2 2 2 2 3 2 2 3 2 2 3" xfId="33652"/>
    <cellStyle name="Normal 2 3 2 2 2 2 3 2 2 3 2 2 3 2" xfId="42828"/>
    <cellStyle name="Normal 2 3 2 2 2 2 3 2 2 3 2 3" xfId="12626"/>
    <cellStyle name="Normal 2 3 2 2 2 2 3 2 2 3 2 3 2" xfId="42025"/>
    <cellStyle name="Normal 2 3 2 2 2 2 3 2 2 3 2 3 2 2" xfId="47972"/>
    <cellStyle name="Normal 2 3 2 2 2 2 3 2 2 3 2 4" xfId="26110"/>
    <cellStyle name="Normal 2 3 2 2 2 2 3 2 2 3 3" xfId="11820"/>
    <cellStyle name="Normal 2 3 2 2 2 2 3 2 2 3 3 2" xfId="15831"/>
    <cellStyle name="Normal 2 3 2 2 2 2 3 2 2 3 3 2 2" xfId="47168"/>
    <cellStyle name="Normal 2 3 2 2 2 2 3 2 2 3 3 2 2 2" xfId="51163"/>
    <cellStyle name="Normal 2 3 2 2 2 2 3 2 2 3 3 3" xfId="29337"/>
    <cellStyle name="Normal 2 3 2 2 2 2 3 2 2 3 4" xfId="25305"/>
    <cellStyle name="Normal 2 3 2 2 2 2 3 2 2 3 4 2" xfId="37645"/>
    <cellStyle name="Normal 2 3 2 2 2 2 3 2 2 4" xfId="4183"/>
    <cellStyle name="Normal 2 3 2 2 2 2 3 2 2 4 2" xfId="14978"/>
    <cellStyle name="Normal 2 3 2 2 2 2 3 2 2 4 2 2" xfId="17776"/>
    <cellStyle name="Normal 2 3 2 2 2 2 3 2 2 4 2 2 2" xfId="50317"/>
    <cellStyle name="Normal 2 3 2 2 2 2 3 2 2 4 2 2 2 2" xfId="53103"/>
    <cellStyle name="Normal 2 3 2 2 2 2 3 2 2 4 2 3" xfId="31278"/>
    <cellStyle name="Normal 2 3 2 2 2 2 3 2 2 4 3" xfId="28491"/>
    <cellStyle name="Normal 2 3 2 2 2 2 3 2 2 4 3 2" xfId="39626"/>
    <cellStyle name="Normal 2 3 2 2 2 2 3 2 2 5" xfId="9374"/>
    <cellStyle name="Normal 2 3 2 2 2 2 3 2 2 5 2" xfId="36786"/>
    <cellStyle name="Normal 2 3 2 2 2 2 3 2 2 5 2 2" xfId="44756"/>
    <cellStyle name="Normal 2 3 2 2 2 2 3 2 2 6" xfId="22870"/>
    <cellStyle name="Normal 2 3 2 2 2 2 3 2 3" xfId="2095"/>
    <cellStyle name="Normal 2 3 2 2 2 2 3 2 3 2" xfId="2653"/>
    <cellStyle name="Normal 2 3 2 2 2 2 3 2 3 2 2" xfId="7329"/>
    <cellStyle name="Normal 2 3 2 2 2 2 3 2 3 2 2 2" xfId="7872"/>
    <cellStyle name="Normal 2 3 2 2 2 2 3 2 3 2 2 2 2" xfId="20881"/>
    <cellStyle name="Normal 2 3 2 2 2 2 3 2 3 2 2 2 2 2" xfId="21424"/>
    <cellStyle name="Normal 2 3 2 2 2 2 3 2 3 2 2 2 2 2 2" xfId="56207"/>
    <cellStyle name="Normal 2 3 2 2 2 2 3 2 3 2 2 2 2 2 2 2" xfId="56750"/>
    <cellStyle name="Normal 2 3 2 2 2 2 3 2 3 2 2 2 2 3" xfId="34927"/>
    <cellStyle name="Normal 2 3 2 2 2 2 3 2 3 2 2 2 3" xfId="34384"/>
    <cellStyle name="Normal 2 3 2 2 2 2 3 2 3 2 2 2 3 2" xfId="43299"/>
    <cellStyle name="Normal 2 3 2 2 2 2 3 2 3 2 2 3" xfId="13097"/>
    <cellStyle name="Normal 2 3 2 2 2 2 3 2 3 2 2 3 2" xfId="42756"/>
    <cellStyle name="Normal 2 3 2 2 2 2 3 2 3 2 2 3 2 2" xfId="48443"/>
    <cellStyle name="Normal 2 3 2 2 2 2 3 2 3 2 2 4" xfId="26581"/>
    <cellStyle name="Normal 2 3 2 2 2 2 3 2 3 2 3" xfId="12554"/>
    <cellStyle name="Normal 2 3 2 2 2 2 3 2 3 2 3 2" xfId="16312"/>
    <cellStyle name="Normal 2 3 2 2 2 2 3 2 3 2 3 2 2" xfId="47900"/>
    <cellStyle name="Normal 2 3 2 2 2 2 3 2 3 2 3 2 2 2" xfId="51642"/>
    <cellStyle name="Normal 2 3 2 2 2 2 3 2 3 2 3 3" xfId="29816"/>
    <cellStyle name="Normal 2 3 2 2 2 2 3 2 3 2 4" xfId="26038"/>
    <cellStyle name="Normal 2 3 2 2 2 2 3 2 3 2 4 2" xfId="38126"/>
    <cellStyle name="Normal 2 3 2 2 2 2 3 2 3 3" xfId="4688"/>
    <cellStyle name="Normal 2 3 2 2 2 2 3 2 3 3 2" xfId="15759"/>
    <cellStyle name="Normal 2 3 2 2 2 2 3 2 3 3 2 2" xfId="18266"/>
    <cellStyle name="Normal 2 3 2 2 2 2 3 2 3 3 2 2 2" xfId="51091"/>
    <cellStyle name="Normal 2 3 2 2 2 2 3 2 3 3 2 2 2 2" xfId="53592"/>
    <cellStyle name="Normal 2 3 2 2 2 2 3 2 3 3 2 3" xfId="31767"/>
    <cellStyle name="Normal 2 3 2 2 2 2 3 2 3 3 3" xfId="29265"/>
    <cellStyle name="Normal 2 3 2 2 2 2 3 2 3 3 3 2" xfId="40127"/>
    <cellStyle name="Normal 2 3 2 2 2 2 3 2 3 4" xfId="9891"/>
    <cellStyle name="Normal 2 3 2 2 2 2 3 2 3 4 2" xfId="37573"/>
    <cellStyle name="Normal 2 3 2 2 2 2 3 2 3 4 2 2" xfId="45259"/>
    <cellStyle name="Normal 2 3 2 2 2 2 3 2 3 5" xfId="23382"/>
    <cellStyle name="Normal 2 3 2 2 2 2 3 2 4" xfId="4111"/>
    <cellStyle name="Normal 2 3 2 2 2 2 3 2 4 2" xfId="5894"/>
    <cellStyle name="Normal 2 3 2 2 2 2 3 2 4 2 2" xfId="17704"/>
    <cellStyle name="Normal 2 3 2 2 2 2 3 2 4 2 2 2" xfId="19461"/>
    <cellStyle name="Normal 2 3 2 2 2 2 3 2 4 2 2 2 2" xfId="53031"/>
    <cellStyle name="Normal 2 3 2 2 2 2 3 2 4 2 2 2 2 2" xfId="54787"/>
    <cellStyle name="Normal 2 3 2 2 2 2 3 2 4 2 2 3" xfId="32962"/>
    <cellStyle name="Normal 2 3 2 2 2 2 3 2 4 2 3" xfId="31206"/>
    <cellStyle name="Normal 2 3 2 2 2 2 3 2 4 2 3 2" xfId="41328"/>
    <cellStyle name="Normal 2 3 2 2 2 2 3 2 4 3" xfId="11119"/>
    <cellStyle name="Normal 2 3 2 2 2 2 3 2 4 3 2" xfId="39554"/>
    <cellStyle name="Normal 2 3 2 2 2 2 3 2 4 3 2 2" xfId="46477"/>
    <cellStyle name="Normal 2 3 2 2 2 2 3 2 4 4" xfId="24611"/>
    <cellStyle name="Normal 2 3 2 2 2 2 3 2 5" xfId="9302"/>
    <cellStyle name="Normal 2 3 2 2 2 2 3 2 5 2" xfId="14278"/>
    <cellStyle name="Normal 2 3 2 2 2 2 3 2 5 2 2" xfId="44684"/>
    <cellStyle name="Normal 2 3 2 2 2 2 3 2 5 2 2 2" xfId="49623"/>
    <cellStyle name="Normal 2 3 2 2 2 2 3 2 5 3" xfId="27787"/>
    <cellStyle name="Normal 2 3 2 2 2 2 3 2 6" xfId="22798"/>
    <cellStyle name="Normal 2 3 2 2 2 2 3 2 6 2" xfId="36090"/>
    <cellStyle name="Normal 2 3 2 2 2 2 3 3" xfId="890"/>
    <cellStyle name="Normal 2 3 2 2 2 2 3 3 2" xfId="2573"/>
    <cellStyle name="Normal 2 3 2 2 2 2 3 3 2 2" xfId="2930"/>
    <cellStyle name="Normal 2 3 2 2 2 2 3 3 2 2 2" xfId="7794"/>
    <cellStyle name="Normal 2 3 2 2 2 2 3 3 2 2 2 2" xfId="8145"/>
    <cellStyle name="Normal 2 3 2 2 2 2 3 3 2 2 2 2 2" xfId="21346"/>
    <cellStyle name="Normal 2 3 2 2 2 2 3 3 2 2 2 2 2 2" xfId="21697"/>
    <cellStyle name="Normal 2 3 2 2 2 2 3 3 2 2 2 2 2 2 2" xfId="56672"/>
    <cellStyle name="Normal 2 3 2 2 2 2 3 3 2 2 2 2 2 2 2 2" xfId="57023"/>
    <cellStyle name="Normal 2 3 2 2 2 2 3 3 2 2 2 2 2 3" xfId="35200"/>
    <cellStyle name="Normal 2 3 2 2 2 2 3 3 2 2 2 2 3" xfId="34849"/>
    <cellStyle name="Normal 2 3 2 2 2 2 3 3 2 2 2 2 3 2" xfId="43572"/>
    <cellStyle name="Normal 2 3 2 2 2 2 3 3 2 2 2 3" xfId="13370"/>
    <cellStyle name="Normal 2 3 2 2 2 2 3 3 2 2 2 3 2" xfId="43221"/>
    <cellStyle name="Normal 2 3 2 2 2 2 3 3 2 2 2 3 2 2" xfId="48716"/>
    <cellStyle name="Normal 2 3 2 2 2 2 3 3 2 2 2 4" xfId="26855"/>
    <cellStyle name="Normal 2 3 2 2 2 2 3 3 2 2 3" xfId="13019"/>
    <cellStyle name="Normal 2 3 2 2 2 2 3 3 2 2 3 2" xfId="16587"/>
    <cellStyle name="Normal 2 3 2 2 2 2 3 3 2 2 3 2 2" xfId="48365"/>
    <cellStyle name="Normal 2 3 2 2 2 2 3 3 2 2 3 2 2 2" xfId="51915"/>
    <cellStyle name="Normal 2 3 2 2 2 2 3 3 2 2 3 3" xfId="30089"/>
    <cellStyle name="Normal 2 3 2 2 2 2 3 3 2 2 4" xfId="26503"/>
    <cellStyle name="Normal 2 3 2 2 2 2 3 3 2 2 4 2" xfId="38399"/>
    <cellStyle name="Normal 2 3 2 2 2 2 3 3 2 3" xfId="4966"/>
    <cellStyle name="Normal 2 3 2 2 2 2 3 3 2 3 2" xfId="16232"/>
    <cellStyle name="Normal 2 3 2 2 2 2 3 3 2 3 2 2" xfId="18539"/>
    <cellStyle name="Normal 2 3 2 2 2 2 3 3 2 3 2 2 2" xfId="51562"/>
    <cellStyle name="Normal 2 3 2 2 2 2 3 3 2 3 2 2 2 2" xfId="53865"/>
    <cellStyle name="Normal 2 3 2 2 2 2 3 3 2 3 2 3" xfId="32040"/>
    <cellStyle name="Normal 2 3 2 2 2 2 3 3 2 3 3" xfId="29736"/>
    <cellStyle name="Normal 2 3 2 2 2 2 3 3 2 3 3 2" xfId="40403"/>
    <cellStyle name="Normal 2 3 2 2 2 2 3 3 2 4" xfId="10169"/>
    <cellStyle name="Normal 2 3 2 2 2 2 3 3 2 4 2" xfId="38046"/>
    <cellStyle name="Normal 2 3 2 2 2 2 3 3 2 4 2 2" xfId="45532"/>
    <cellStyle name="Normal 2 3 2 2 2 2 3 3 2 5" xfId="23655"/>
    <cellStyle name="Normal 2 3 2 2 2 2 3 3 3" xfId="4606"/>
    <cellStyle name="Normal 2 3 2 2 2 2 3 3 3 2" xfId="6201"/>
    <cellStyle name="Normal 2 3 2 2 2 2 3 3 3 2 2" xfId="18187"/>
    <cellStyle name="Normal 2 3 2 2 2 2 3 3 3 2 2 2" xfId="19760"/>
    <cellStyle name="Normal 2 3 2 2 2 2 3 3 3 2 2 2 2" xfId="53513"/>
    <cellStyle name="Normal 2 3 2 2 2 2 3 3 3 2 2 2 2 2" xfId="55086"/>
    <cellStyle name="Normal 2 3 2 2 2 2 3 3 3 2 2 3" xfId="33262"/>
    <cellStyle name="Normal 2 3 2 2 2 2 3 3 3 2 3" xfId="31688"/>
    <cellStyle name="Normal 2 3 2 2 2 2 3 3 3 2 3 2" xfId="41631"/>
    <cellStyle name="Normal 2 3 2 2 2 2 3 3 3 3" xfId="11426"/>
    <cellStyle name="Normal 2 3 2 2 2 2 3 3 3 3 2" xfId="40045"/>
    <cellStyle name="Normal 2 3 2 2 2 2 3 3 3 3 2 2" xfId="46777"/>
    <cellStyle name="Normal 2 3 2 2 2 2 3 3 3 4" xfId="24914"/>
    <cellStyle name="Normal 2 3 2 2 2 2 3 3 4" xfId="9810"/>
    <cellStyle name="Normal 2 3 2 2 2 2 3 3 4 2" xfId="14586"/>
    <cellStyle name="Normal 2 3 2 2 2 2 3 3 4 2 2" xfId="45180"/>
    <cellStyle name="Normal 2 3 2 2 2 2 3 3 4 2 2 2" xfId="49925"/>
    <cellStyle name="Normal 2 3 2 2 2 2 3 3 4 3" xfId="28096"/>
    <cellStyle name="Normal 2 3 2 2 2 2 3 3 5" xfId="23303"/>
    <cellStyle name="Normal 2 3 2 2 2 2 3 3 5 2" xfId="36394"/>
    <cellStyle name="Normal 2 3 2 2 2 2 3 4" xfId="1686"/>
    <cellStyle name="Normal 2 3 2 2 2 2 3 4 2" xfId="5812"/>
    <cellStyle name="Normal 2 3 2 2 2 2 3 4 2 2" xfId="6941"/>
    <cellStyle name="Normal 2 3 2 2 2 2 3 4 2 2 2" xfId="19380"/>
    <cellStyle name="Normal 2 3 2 2 2 2 3 4 2 2 2 2" xfId="20494"/>
    <cellStyle name="Normal 2 3 2 2 2 2 3 4 2 2 2 2 2" xfId="54706"/>
    <cellStyle name="Normal 2 3 2 2 2 2 3 4 2 2 2 2 2 2" xfId="55820"/>
    <cellStyle name="Normal 2 3 2 2 2 2 3 4 2 2 2 3" xfId="33996"/>
    <cellStyle name="Normal 2 3 2 2 2 2 3 4 2 2 3" xfId="32881"/>
    <cellStyle name="Normal 2 3 2 2 2 2 3 4 2 2 3 2" xfId="42369"/>
    <cellStyle name="Normal 2 3 2 2 2 2 3 4 2 3" xfId="12165"/>
    <cellStyle name="Normal 2 3 2 2 2 2 3 4 2 3 2" xfId="41247"/>
    <cellStyle name="Normal 2 3 2 2 2 2 3 4 2 3 2 2" xfId="47512"/>
    <cellStyle name="Normal 2 3 2 2 2 2 3 4 2 4" xfId="25650"/>
    <cellStyle name="Normal 2 3 2 2 2 2 3 4 3" xfId="11034"/>
    <cellStyle name="Normal 2 3 2 2 2 2 3 4 3 2" xfId="15358"/>
    <cellStyle name="Normal 2 3 2 2 2 2 3 4 3 2 2" xfId="46393"/>
    <cellStyle name="Normal 2 3 2 2 2 2 3 4 3 2 2 2" xfId="50692"/>
    <cellStyle name="Normal 2 3 2 2 2 2 3 4 3 3" xfId="28866"/>
    <cellStyle name="Normal 2 3 2 2 2 2 3 4 4" xfId="24528"/>
    <cellStyle name="Normal 2 3 2 2 2 2 3 4 4 2" xfId="37169"/>
    <cellStyle name="Normal 2 3 2 2 2 2 3 5" xfId="3691"/>
    <cellStyle name="Normal 2 3 2 2 2 2 3 5 2" xfId="14195"/>
    <cellStyle name="Normal 2 3 2 2 2 2 3 5 2 2" xfId="17309"/>
    <cellStyle name="Normal 2 3 2 2 2 2 3 5 2 2 2" xfId="49540"/>
    <cellStyle name="Normal 2 3 2 2 2 2 3 5 2 2 2 2" xfId="52636"/>
    <cellStyle name="Normal 2 3 2 2 2 2 3 5 2 3" xfId="30810"/>
    <cellStyle name="Normal 2 3 2 2 2 2 3 5 3" xfId="27701"/>
    <cellStyle name="Normal 2 3 2 2 2 2 3 5 3 2" xfId="39142"/>
    <cellStyle name="Normal 2 3 2 2 2 2 3 6" xfId="8880"/>
    <cellStyle name="Normal 2 3 2 2 2 2 3 6 2" xfId="36007"/>
    <cellStyle name="Normal 2 3 2 2 2 2 3 6 2 2" xfId="44281"/>
    <cellStyle name="Normal 2 3 2 2 2 2 3 7" xfId="22389"/>
    <cellStyle name="Normal 2 3 2 2 2 2 4" xfId="795"/>
    <cellStyle name="Normal 2 3 2 2 2 2 4 2" xfId="1058"/>
    <cellStyle name="Normal 2 3 2 2 2 2 4 2 2" xfId="2851"/>
    <cellStyle name="Normal 2 3 2 2 2 2 4 2 2 2" xfId="3094"/>
    <cellStyle name="Normal 2 3 2 2 2 2 4 2 2 2 2" xfId="8067"/>
    <cellStyle name="Normal 2 3 2 2 2 2 4 2 2 2 2 2" xfId="8309"/>
    <cellStyle name="Normal 2 3 2 2 2 2 4 2 2 2 2 2 2" xfId="21619"/>
    <cellStyle name="Normal 2 3 2 2 2 2 4 2 2 2 2 2 2 2" xfId="21861"/>
    <cellStyle name="Normal 2 3 2 2 2 2 4 2 2 2 2 2 2 2 2" xfId="56945"/>
    <cellStyle name="Normal 2 3 2 2 2 2 4 2 2 2 2 2 2 2 2 2" xfId="57187"/>
    <cellStyle name="Normal 2 3 2 2 2 2 4 2 2 2 2 2 2 3" xfId="35364"/>
    <cellStyle name="Normal 2 3 2 2 2 2 4 2 2 2 2 2 3" xfId="35122"/>
    <cellStyle name="Normal 2 3 2 2 2 2 4 2 2 2 2 2 3 2" xfId="43736"/>
    <cellStyle name="Normal 2 3 2 2 2 2 4 2 2 2 2 3" xfId="13534"/>
    <cellStyle name="Normal 2 3 2 2 2 2 4 2 2 2 2 3 2" xfId="43494"/>
    <cellStyle name="Normal 2 3 2 2 2 2 4 2 2 2 2 3 2 2" xfId="48880"/>
    <cellStyle name="Normal 2 3 2 2 2 2 4 2 2 2 2 4" xfId="27019"/>
    <cellStyle name="Normal 2 3 2 2 2 2 4 2 2 2 3" xfId="13292"/>
    <cellStyle name="Normal 2 3 2 2 2 2 4 2 2 2 3 2" xfId="16751"/>
    <cellStyle name="Normal 2 3 2 2 2 2 4 2 2 2 3 2 2" xfId="48638"/>
    <cellStyle name="Normal 2 3 2 2 2 2 4 2 2 2 3 2 2 2" xfId="52079"/>
    <cellStyle name="Normal 2 3 2 2 2 2 4 2 2 2 3 3" xfId="30253"/>
    <cellStyle name="Normal 2 3 2 2 2 2 4 2 2 2 4" xfId="26776"/>
    <cellStyle name="Normal 2 3 2 2 2 2 4 2 2 2 4 2" xfId="38563"/>
    <cellStyle name="Normal 2 3 2 2 2 2 4 2 2 3" xfId="5131"/>
    <cellStyle name="Normal 2 3 2 2 2 2 4 2 2 3 2" xfId="16509"/>
    <cellStyle name="Normal 2 3 2 2 2 2 4 2 2 3 2 2" xfId="18704"/>
    <cellStyle name="Normal 2 3 2 2 2 2 4 2 2 3 2 2 2" xfId="51837"/>
    <cellStyle name="Normal 2 3 2 2 2 2 4 2 2 3 2 2 2 2" xfId="54030"/>
    <cellStyle name="Normal 2 3 2 2 2 2 4 2 2 3 2 3" xfId="32205"/>
    <cellStyle name="Normal 2 3 2 2 2 2 4 2 2 3 3" xfId="30011"/>
    <cellStyle name="Normal 2 3 2 2 2 2 4 2 2 3 3 2" xfId="40568"/>
    <cellStyle name="Normal 2 3 2 2 2 2 4 2 2 4" xfId="10334"/>
    <cellStyle name="Normal 2 3 2 2 2 2 4 2 2 4 2" xfId="38321"/>
    <cellStyle name="Normal 2 3 2 2 2 2 4 2 2 4 2 2" xfId="45697"/>
    <cellStyle name="Normal 2 3 2 2 2 2 4 2 2 5" xfId="23820"/>
    <cellStyle name="Normal 2 3 2 2 2 2 4 2 3" xfId="4887"/>
    <cellStyle name="Normal 2 3 2 2 2 2 4 2 3 2" xfId="6368"/>
    <cellStyle name="Normal 2 3 2 2 2 2 4 2 3 2 2" xfId="18461"/>
    <cellStyle name="Normal 2 3 2 2 2 2 4 2 3 2 2 2" xfId="19925"/>
    <cellStyle name="Normal 2 3 2 2 2 2 4 2 3 2 2 2 2" xfId="53787"/>
    <cellStyle name="Normal 2 3 2 2 2 2 4 2 3 2 2 2 2 2" xfId="55251"/>
    <cellStyle name="Normal 2 3 2 2 2 2 4 2 3 2 2 3" xfId="33427"/>
    <cellStyle name="Normal 2 3 2 2 2 2 4 2 3 2 3" xfId="31962"/>
    <cellStyle name="Normal 2 3 2 2 2 2 4 2 3 2 3 2" xfId="41797"/>
    <cellStyle name="Normal 2 3 2 2 2 2 4 2 3 3" xfId="11594"/>
    <cellStyle name="Normal 2 3 2 2 2 2 4 2 3 3 2" xfId="40324"/>
    <cellStyle name="Normal 2 3 2 2 2 2 4 2 3 3 2 2" xfId="46943"/>
    <cellStyle name="Normal 2 3 2 2 2 2 4 2 3 4" xfId="25080"/>
    <cellStyle name="Normal 2 3 2 2 2 2 4 2 4" xfId="10090"/>
    <cellStyle name="Normal 2 3 2 2 2 2 4 2 4 2" xfId="14751"/>
    <cellStyle name="Normal 2 3 2 2 2 2 4 2 4 2 2" xfId="45454"/>
    <cellStyle name="Normal 2 3 2 2 2 2 4 2 4 2 2 2" xfId="50090"/>
    <cellStyle name="Normal 2 3 2 2 2 2 4 2 4 3" xfId="28263"/>
    <cellStyle name="Normal 2 3 2 2 2 2 4 2 5" xfId="23577"/>
    <cellStyle name="Normal 2 3 2 2 2 2 4 2 5 2" xfId="36559"/>
    <cellStyle name="Normal 2 3 2 2 2 2 4 3" xfId="1866"/>
    <cellStyle name="Normal 2 3 2 2 2 2 4 3 2" xfId="6111"/>
    <cellStyle name="Normal 2 3 2 2 2 2 4 3 2 2" xfId="7116"/>
    <cellStyle name="Normal 2 3 2 2 2 2 4 3 2 2 2" xfId="19673"/>
    <cellStyle name="Normal 2 3 2 2 2 2 4 3 2 2 2 2" xfId="20668"/>
    <cellStyle name="Normal 2 3 2 2 2 2 4 3 2 2 2 2 2" xfId="54999"/>
    <cellStyle name="Normal 2 3 2 2 2 2 4 3 2 2 2 2 2 2" xfId="55994"/>
    <cellStyle name="Normal 2 3 2 2 2 2 4 3 2 2 2 3" xfId="34171"/>
    <cellStyle name="Normal 2 3 2 2 2 2 4 3 2 2 3" xfId="33174"/>
    <cellStyle name="Normal 2 3 2 2 2 2 4 3 2 2 3 2" xfId="42543"/>
    <cellStyle name="Normal 2 3 2 2 2 2 4 3 2 3" xfId="12341"/>
    <cellStyle name="Normal 2 3 2 2 2 2 4 3 2 3 2" xfId="41544"/>
    <cellStyle name="Normal 2 3 2 2 2 2 4 3 2 3 2 2" xfId="47687"/>
    <cellStyle name="Normal 2 3 2 2 2 2 4 3 2 4" xfId="25825"/>
    <cellStyle name="Normal 2 3 2 2 2 2 4 3 3" xfId="11337"/>
    <cellStyle name="Normal 2 3 2 2 2 2 4 3 3 2" xfId="15537"/>
    <cellStyle name="Normal 2 3 2 2 2 2 4 3 3 2 2" xfId="46690"/>
    <cellStyle name="Normal 2 3 2 2 2 2 4 3 3 2 2 2" xfId="50869"/>
    <cellStyle name="Normal 2 3 2 2 2 2 4 3 3 3" xfId="29043"/>
    <cellStyle name="Normal 2 3 2 2 2 2 4 3 4" xfId="24827"/>
    <cellStyle name="Normal 2 3 2 2 2 2 4 3 4 2" xfId="37347"/>
    <cellStyle name="Normal 2 3 2 2 2 2 4 4" xfId="3880"/>
    <cellStyle name="Normal 2 3 2 2 2 2 4 4 2" xfId="14495"/>
    <cellStyle name="Normal 2 3 2 2 2 2 4 4 2 2" xfId="17491"/>
    <cellStyle name="Normal 2 3 2 2 2 2 4 4 2 2 2" xfId="49837"/>
    <cellStyle name="Normal 2 3 2 2 2 2 4 4 2 2 2 2" xfId="52818"/>
    <cellStyle name="Normal 2 3 2 2 2 2 4 4 2 3" xfId="30993"/>
    <cellStyle name="Normal 2 3 2 2 2 2 4 4 3" xfId="28006"/>
    <cellStyle name="Normal 2 3 2 2 2 2 4 4 3 2" xfId="39328"/>
    <cellStyle name="Normal 2 3 2 2 2 2 4 5" xfId="9074"/>
    <cellStyle name="Normal 2 3 2 2 2 2 4 5 2" xfId="36305"/>
    <cellStyle name="Normal 2 3 2 2 2 2 4 5 2 2" xfId="44470"/>
    <cellStyle name="Normal 2 3 2 2 2 2 4 6" xfId="22582"/>
    <cellStyle name="Normal 2 3 2 2 2 2 5" xfId="1582"/>
    <cellStyle name="Normal 2 3 2 2 2 2 5 2" xfId="2321"/>
    <cellStyle name="Normal 2 3 2 2 2 2 5 2 2" xfId="6854"/>
    <cellStyle name="Normal 2 3 2 2 2 2 5 2 2 2" xfId="7555"/>
    <cellStyle name="Normal 2 3 2 2 2 2 5 2 2 2 2" xfId="20407"/>
    <cellStyle name="Normal 2 3 2 2 2 2 5 2 2 2 2 2" xfId="21107"/>
    <cellStyle name="Normal 2 3 2 2 2 2 5 2 2 2 2 2 2" xfId="55733"/>
    <cellStyle name="Normal 2 3 2 2 2 2 5 2 2 2 2 2 2 2" xfId="56433"/>
    <cellStyle name="Normal 2 3 2 2 2 2 5 2 2 2 2 3" xfId="34610"/>
    <cellStyle name="Normal 2 3 2 2 2 2 5 2 2 2 3" xfId="33909"/>
    <cellStyle name="Normal 2 3 2 2 2 2 5 2 2 2 3 2" xfId="42982"/>
    <cellStyle name="Normal 2 3 2 2 2 2 5 2 2 3" xfId="12780"/>
    <cellStyle name="Normal 2 3 2 2 2 2 5 2 2 3 2" xfId="42282"/>
    <cellStyle name="Normal 2 3 2 2 2 2 5 2 2 3 2 2" xfId="48126"/>
    <cellStyle name="Normal 2 3 2 2 2 2 5 2 2 4" xfId="26264"/>
    <cellStyle name="Normal 2 3 2 2 2 2 5 2 3" xfId="12078"/>
    <cellStyle name="Normal 2 3 2 2 2 2 5 2 3 2" xfId="15985"/>
    <cellStyle name="Normal 2 3 2 2 2 2 5 2 3 2 2" xfId="47425"/>
    <cellStyle name="Normal 2 3 2 2 2 2 5 2 3 2 2 2" xfId="51317"/>
    <cellStyle name="Normal 2 3 2 2 2 2 5 2 3 3" xfId="29491"/>
    <cellStyle name="Normal 2 3 2 2 2 2 5 2 4" xfId="25563"/>
    <cellStyle name="Normal 2 3 2 2 2 2 5 2 4 2" xfId="37799"/>
    <cellStyle name="Normal 2 3 2 2 2 2 5 3" xfId="4350"/>
    <cellStyle name="Normal 2 3 2 2 2 2 5 3 2" xfId="15258"/>
    <cellStyle name="Normal 2 3 2 2 2 2 5 3 2 2" xfId="17943"/>
    <cellStyle name="Normal 2 3 2 2 2 2 5 3 2 2 2" xfId="50595"/>
    <cellStyle name="Normal 2 3 2 2 2 2 5 3 2 2 2 2" xfId="53270"/>
    <cellStyle name="Normal 2 3 2 2 2 2 5 3 2 3" xfId="31445"/>
    <cellStyle name="Normal 2 3 2 2 2 2 5 3 3" xfId="28769"/>
    <cellStyle name="Normal 2 3 2 2 2 2 5 3 3 2" xfId="39793"/>
    <cellStyle name="Normal 2 3 2 2 2 2 5 4" xfId="9549"/>
    <cellStyle name="Normal 2 3 2 2 2 2 5 4 2" xfId="37070"/>
    <cellStyle name="Normal 2 3 2 2 2 2 5 4 2 2" xfId="44931"/>
    <cellStyle name="Normal 2 3 2 2 2 2 5 5" xfId="23050"/>
    <cellStyle name="Normal 2 3 2 2 2 2 6" xfId="3583"/>
    <cellStyle name="Normal 2 3 2 2 2 2 6 2" xfId="5561"/>
    <cellStyle name="Normal 2 3 2 2 2 2 6 2 2" xfId="17219"/>
    <cellStyle name="Normal 2 3 2 2 2 2 6 2 2 2" xfId="19134"/>
    <cellStyle name="Normal 2 3 2 2 2 2 6 2 2 2 2" xfId="52546"/>
    <cellStyle name="Normal 2 3 2 2 2 2 6 2 2 2 2 2" xfId="54460"/>
    <cellStyle name="Normal 2 3 2 2 2 2 6 2 2 3" xfId="32635"/>
    <cellStyle name="Normal 2 3 2 2 2 2 6 2 3" xfId="30720"/>
    <cellStyle name="Normal 2 3 2 2 2 2 6 2 3 2" xfId="40998"/>
    <cellStyle name="Normal 2 3 2 2 2 2 6 3" xfId="10771"/>
    <cellStyle name="Normal 2 3 2 2 2 2 6 3 2" xfId="39040"/>
    <cellStyle name="Normal 2 3 2 2 2 2 6 3 2 2" xfId="46133"/>
    <cellStyle name="Normal 2 3 2 2 2 2 6 4" xfId="24259"/>
    <cellStyle name="Normal 2 3 2 2 2 2 7" xfId="8774"/>
    <cellStyle name="Normal 2 3 2 2 2 2 7 2" xfId="13946"/>
    <cellStyle name="Normal 2 3 2 2 2 2 7 2 2" xfId="44187"/>
    <cellStyle name="Normal 2 3 2 2 2 2 7 2 2 2" xfId="49292"/>
    <cellStyle name="Normal 2 3 2 2 2 2 7 3" xfId="27435"/>
    <cellStyle name="Normal 2 3 2 2 2 2 8" xfId="22291"/>
    <cellStyle name="Normal 2 3 2 2 2 2 8 2" xfId="35758"/>
    <cellStyle name="Normal 2 3 2 2 2 3" xfId="254"/>
    <cellStyle name="Normal 2 3 2 2 2 3 2" xfId="560"/>
    <cellStyle name="Normal 2 3 2 2 2 3 2 2" xfId="600"/>
    <cellStyle name="Normal 2 3 2 2 2 3 2 2 2" xfId="1358"/>
    <cellStyle name="Normal 2 3 2 2 2 3 2 2 2 2" xfId="1396"/>
    <cellStyle name="Normal 2 3 2 2 2 3 2 2 2 2 2" xfId="3376"/>
    <cellStyle name="Normal 2 3 2 2 2 3 2 2 2 2 2 2" xfId="3414"/>
    <cellStyle name="Normal 2 3 2 2 2 3 2 2 2 2 2 2 2" xfId="8591"/>
    <cellStyle name="Normal 2 3 2 2 2 3 2 2 2 2 2 2 2 2" xfId="8629"/>
    <cellStyle name="Normal 2 3 2 2 2 3 2 2 2 2 2 2 2 2 2" xfId="22143"/>
    <cellStyle name="Normal 2 3 2 2 2 3 2 2 2 2 2 2 2 2 2 2" xfId="22181"/>
    <cellStyle name="Normal 2 3 2 2 2 3 2 2 2 2 2 2 2 2 2 2 2" xfId="57469"/>
    <cellStyle name="Normal 2 3 2 2 2 3 2 2 2 2 2 2 2 2 2 2 2 2" xfId="57507"/>
    <cellStyle name="Normal 2 3 2 2 2 3 2 2 2 2 2 2 2 2 2 3" xfId="35684"/>
    <cellStyle name="Normal 2 3 2 2 2 3 2 2 2 2 2 2 2 2 3" xfId="35646"/>
    <cellStyle name="Normal 2 3 2 2 2 3 2 2 2 2 2 2 2 2 3 2" xfId="44056"/>
    <cellStyle name="Normal 2 3 2 2 2 3 2 2 2 2 2 2 2 3" xfId="13854"/>
    <cellStyle name="Normal 2 3 2 2 2 3 2 2 2 2 2 2 2 3 2" xfId="44018"/>
    <cellStyle name="Normal 2 3 2 2 2 3 2 2 2 2 2 2 2 3 2 2" xfId="49200"/>
    <cellStyle name="Normal 2 3 2 2 2 3 2 2 2 2 2 2 2 4" xfId="27339"/>
    <cellStyle name="Normal 2 3 2 2 2 3 2 2 2 2 2 2 3" xfId="13816"/>
    <cellStyle name="Normal 2 3 2 2 2 3 2 2 2 2 2 2 3 2" xfId="17071"/>
    <cellStyle name="Normal 2 3 2 2 2 3 2 2 2 2 2 2 3 2 2" xfId="49162"/>
    <cellStyle name="Normal 2 3 2 2 2 3 2 2 2 2 2 2 3 2 2 2" xfId="52399"/>
    <cellStyle name="Normal 2 3 2 2 2 3 2 2 2 2 2 2 3 3" xfId="30573"/>
    <cellStyle name="Normal 2 3 2 2 2 3 2 2 2 2 2 2 4" xfId="27301"/>
    <cellStyle name="Normal 2 3 2 2 2 3 2 2 2 2 2 2 4 2" xfId="38883"/>
    <cellStyle name="Normal 2 3 2 2 2 3 2 2 2 2 2 3" xfId="5451"/>
    <cellStyle name="Normal 2 3 2 2 2 3 2 2 2 2 2 3 2" xfId="17033"/>
    <cellStyle name="Normal 2 3 2 2 2 3 2 2 2 2 2 3 2 2" xfId="19024"/>
    <cellStyle name="Normal 2 3 2 2 2 3 2 2 2 2 2 3 2 2 2" xfId="52361"/>
    <cellStyle name="Normal 2 3 2 2 2 3 2 2 2 2 2 3 2 2 2 2" xfId="54350"/>
    <cellStyle name="Normal 2 3 2 2 2 3 2 2 2 2 2 3 2 3" xfId="32525"/>
    <cellStyle name="Normal 2 3 2 2 2 3 2 2 2 2 2 3 3" xfId="30535"/>
    <cellStyle name="Normal 2 3 2 2 2 3 2 2 2 2 2 3 3 2" xfId="40888"/>
    <cellStyle name="Normal 2 3 2 2 2 3 2 2 2 2 2 4" xfId="10654"/>
    <cellStyle name="Normal 2 3 2 2 2 3 2 2 2 2 2 4 2" xfId="38845"/>
    <cellStyle name="Normal 2 3 2 2 2 3 2 2 2 2 2 4 2 2" xfId="46017"/>
    <cellStyle name="Normal 2 3 2 2 2 3 2 2 2 2 2 5" xfId="24140"/>
    <cellStyle name="Normal 2 3 2 2 2 3 2 2 2 2 3" xfId="5413"/>
    <cellStyle name="Normal 2 3 2 2 2 3 2 2 2 2 3 2" xfId="6704"/>
    <cellStyle name="Normal 2 3 2 2 2 3 2 2 2 2 3 2 2" xfId="18986"/>
    <cellStyle name="Normal 2 3 2 2 2 3 2 2 2 2 3 2 2 2" xfId="20257"/>
    <cellStyle name="Normal 2 3 2 2 2 3 2 2 2 2 3 2 2 2 2" xfId="54312"/>
    <cellStyle name="Normal 2 3 2 2 2 3 2 2 2 2 3 2 2 2 2 2" xfId="55583"/>
    <cellStyle name="Normal 2 3 2 2 2 3 2 2 2 2 3 2 2 3" xfId="33759"/>
    <cellStyle name="Normal 2 3 2 2 2 3 2 2 2 2 3 2 3" xfId="32487"/>
    <cellStyle name="Normal 2 3 2 2 2 3 2 2 2 2 3 2 3 2" xfId="42132"/>
    <cellStyle name="Normal 2 3 2 2 2 3 2 2 2 2 3 3" xfId="11927"/>
    <cellStyle name="Normal 2 3 2 2 2 3 2 2 2 2 3 3 2" xfId="40850"/>
    <cellStyle name="Normal 2 3 2 2 2 3 2 2 2 2 3 3 2 2" xfId="47275"/>
    <cellStyle name="Normal 2 3 2 2 2 3 2 2 2 2 3 4" xfId="25412"/>
    <cellStyle name="Normal 2 3 2 2 2 3 2 2 2 2 4" xfId="10616"/>
    <cellStyle name="Normal 2 3 2 2 2 3 2 2 2 2 4 2" xfId="15085"/>
    <cellStyle name="Normal 2 3 2 2 2 3 2 2 2 2 4 2 2" xfId="45979"/>
    <cellStyle name="Normal 2 3 2 2 2 3 2 2 2 2 4 2 2 2" xfId="50424"/>
    <cellStyle name="Normal 2 3 2 2 2 3 2 2 2 2 4 3" xfId="28598"/>
    <cellStyle name="Normal 2 3 2 2 2 3 2 2 2 2 5" xfId="24102"/>
    <cellStyle name="Normal 2 3 2 2 2 3 2 2 2 2 5 2" xfId="36893"/>
    <cellStyle name="Normal 2 3 2 2 2 3 2 2 2 3" xfId="2203"/>
    <cellStyle name="Normal 2 3 2 2 2 3 2 2 2 3 2" xfId="6666"/>
    <cellStyle name="Normal 2 3 2 2 2 3 2 2 2 3 2 2" xfId="7437"/>
    <cellStyle name="Normal 2 3 2 2 2 3 2 2 2 3 2 2 2" xfId="20219"/>
    <cellStyle name="Normal 2 3 2 2 2 3 2 2 2 3 2 2 2 2" xfId="20989"/>
    <cellStyle name="Normal 2 3 2 2 2 3 2 2 2 3 2 2 2 2 2" xfId="55545"/>
    <cellStyle name="Normal 2 3 2 2 2 3 2 2 2 3 2 2 2 2 2 2" xfId="56315"/>
    <cellStyle name="Normal 2 3 2 2 2 3 2 2 2 3 2 2 2 3" xfId="34492"/>
    <cellStyle name="Normal 2 3 2 2 2 3 2 2 2 3 2 2 3" xfId="33721"/>
    <cellStyle name="Normal 2 3 2 2 2 3 2 2 2 3 2 2 3 2" xfId="42864"/>
    <cellStyle name="Normal 2 3 2 2 2 3 2 2 2 3 2 3" xfId="12662"/>
    <cellStyle name="Normal 2 3 2 2 2 3 2 2 2 3 2 3 2" xfId="42094"/>
    <cellStyle name="Normal 2 3 2 2 2 3 2 2 2 3 2 3 2 2" xfId="48008"/>
    <cellStyle name="Normal 2 3 2 2 2 3 2 2 2 3 2 4" xfId="26146"/>
    <cellStyle name="Normal 2 3 2 2 2 3 2 2 2 3 3" xfId="11889"/>
    <cellStyle name="Normal 2 3 2 2 2 3 2 2 2 3 3 2" xfId="15867"/>
    <cellStyle name="Normal 2 3 2 2 2 3 2 2 2 3 3 2 2" xfId="47237"/>
    <cellStyle name="Normal 2 3 2 2 2 3 2 2 2 3 3 2 2 2" xfId="51199"/>
    <cellStyle name="Normal 2 3 2 2 2 3 2 2 2 3 3 3" xfId="29373"/>
    <cellStyle name="Normal 2 3 2 2 2 3 2 2 2 3 4" xfId="25374"/>
    <cellStyle name="Normal 2 3 2 2 2 3 2 2 2 3 4 2" xfId="37681"/>
    <cellStyle name="Normal 2 3 2 2 2 3 2 2 2 4" xfId="4219"/>
    <cellStyle name="Normal 2 3 2 2 2 3 2 2 2 4 2" xfId="15047"/>
    <cellStyle name="Normal 2 3 2 2 2 3 2 2 2 4 2 2" xfId="17812"/>
    <cellStyle name="Normal 2 3 2 2 2 3 2 2 2 4 2 2 2" xfId="50386"/>
    <cellStyle name="Normal 2 3 2 2 2 3 2 2 2 4 2 2 2 2" xfId="53139"/>
    <cellStyle name="Normal 2 3 2 2 2 3 2 2 2 4 2 3" xfId="31314"/>
    <cellStyle name="Normal 2 3 2 2 2 3 2 2 2 4 3" xfId="28560"/>
    <cellStyle name="Normal 2 3 2 2 2 3 2 2 2 4 3 2" xfId="39662"/>
    <cellStyle name="Normal 2 3 2 2 2 3 2 2 2 5" xfId="9410"/>
    <cellStyle name="Normal 2 3 2 2 2 3 2 2 2 5 2" xfId="36855"/>
    <cellStyle name="Normal 2 3 2 2 2 3 2 2 2 5 2 2" xfId="44792"/>
    <cellStyle name="Normal 2 3 2 2 2 3 2 2 2 6" xfId="22906"/>
    <cellStyle name="Normal 2 3 2 2 2 3 2 2 3" xfId="2165"/>
    <cellStyle name="Normal 2 3 2 2 2 3 2 2 3 2" xfId="2690"/>
    <cellStyle name="Normal 2 3 2 2 2 3 2 2 3 2 2" xfId="7399"/>
    <cellStyle name="Normal 2 3 2 2 2 3 2 2 3 2 2 2" xfId="7909"/>
    <cellStyle name="Normal 2 3 2 2 2 3 2 2 3 2 2 2 2" xfId="20951"/>
    <cellStyle name="Normal 2 3 2 2 2 3 2 2 3 2 2 2 2 2" xfId="21461"/>
    <cellStyle name="Normal 2 3 2 2 2 3 2 2 3 2 2 2 2 2 2" xfId="56277"/>
    <cellStyle name="Normal 2 3 2 2 2 3 2 2 3 2 2 2 2 2 2 2" xfId="56787"/>
    <cellStyle name="Normal 2 3 2 2 2 3 2 2 3 2 2 2 2 3" xfId="34964"/>
    <cellStyle name="Normal 2 3 2 2 2 3 2 2 3 2 2 2 3" xfId="34454"/>
    <cellStyle name="Normal 2 3 2 2 2 3 2 2 3 2 2 2 3 2" xfId="43336"/>
    <cellStyle name="Normal 2 3 2 2 2 3 2 2 3 2 2 3" xfId="13134"/>
    <cellStyle name="Normal 2 3 2 2 2 3 2 2 3 2 2 3 2" xfId="42826"/>
    <cellStyle name="Normal 2 3 2 2 2 3 2 2 3 2 2 3 2 2" xfId="48480"/>
    <cellStyle name="Normal 2 3 2 2 2 3 2 2 3 2 2 4" xfId="26618"/>
    <cellStyle name="Normal 2 3 2 2 2 3 2 2 3 2 3" xfId="12624"/>
    <cellStyle name="Normal 2 3 2 2 2 3 2 2 3 2 3 2" xfId="16349"/>
    <cellStyle name="Normal 2 3 2 2 2 3 2 2 3 2 3 2 2" xfId="47970"/>
    <cellStyle name="Normal 2 3 2 2 2 3 2 2 3 2 3 2 2 2" xfId="51679"/>
    <cellStyle name="Normal 2 3 2 2 2 3 2 2 3 2 3 3" xfId="29853"/>
    <cellStyle name="Normal 2 3 2 2 2 3 2 2 3 2 4" xfId="26108"/>
    <cellStyle name="Normal 2 3 2 2 2 3 2 2 3 2 4 2" xfId="38163"/>
    <cellStyle name="Normal 2 3 2 2 2 3 2 2 3 3" xfId="4726"/>
    <cellStyle name="Normal 2 3 2 2 2 3 2 2 3 3 2" xfId="15829"/>
    <cellStyle name="Normal 2 3 2 2 2 3 2 2 3 3 2 2" xfId="18303"/>
    <cellStyle name="Normal 2 3 2 2 2 3 2 2 3 3 2 2 2" xfId="51161"/>
    <cellStyle name="Normal 2 3 2 2 2 3 2 2 3 3 2 2 2 2" xfId="53629"/>
    <cellStyle name="Normal 2 3 2 2 2 3 2 2 3 3 2 3" xfId="31804"/>
    <cellStyle name="Normal 2 3 2 2 2 3 2 2 3 3 3" xfId="29335"/>
    <cellStyle name="Normal 2 3 2 2 2 3 2 2 3 3 3 2" xfId="40164"/>
    <cellStyle name="Normal 2 3 2 2 2 3 2 2 3 4" xfId="9929"/>
    <cellStyle name="Normal 2 3 2 2 2 3 2 2 3 4 2" xfId="37643"/>
    <cellStyle name="Normal 2 3 2 2 2 3 2 2 3 4 2 2" xfId="45296"/>
    <cellStyle name="Normal 2 3 2 2 2 3 2 2 3 5" xfId="23419"/>
    <cellStyle name="Normal 2 3 2 2 2 3 2 2 4" xfId="4181"/>
    <cellStyle name="Normal 2 3 2 2 2 3 2 2 4 2" xfId="5931"/>
    <cellStyle name="Normal 2 3 2 2 2 3 2 2 4 2 2" xfId="17774"/>
    <cellStyle name="Normal 2 3 2 2 2 3 2 2 4 2 2 2" xfId="19498"/>
    <cellStyle name="Normal 2 3 2 2 2 3 2 2 4 2 2 2 2" xfId="53101"/>
    <cellStyle name="Normal 2 3 2 2 2 3 2 2 4 2 2 2 2 2" xfId="54824"/>
    <cellStyle name="Normal 2 3 2 2 2 3 2 2 4 2 2 3" xfId="32999"/>
    <cellStyle name="Normal 2 3 2 2 2 3 2 2 4 2 3" xfId="31276"/>
    <cellStyle name="Normal 2 3 2 2 2 3 2 2 4 2 3 2" xfId="41365"/>
    <cellStyle name="Normal 2 3 2 2 2 3 2 2 4 3" xfId="11156"/>
    <cellStyle name="Normal 2 3 2 2 2 3 2 2 4 3 2" xfId="39624"/>
    <cellStyle name="Normal 2 3 2 2 2 3 2 2 4 3 2 2" xfId="46514"/>
    <cellStyle name="Normal 2 3 2 2 2 3 2 2 4 4" xfId="24649"/>
    <cellStyle name="Normal 2 3 2 2 2 3 2 2 5" xfId="9372"/>
    <cellStyle name="Normal 2 3 2 2 2 3 2 2 5 2" xfId="14315"/>
    <cellStyle name="Normal 2 3 2 2 2 3 2 2 5 2 2" xfId="44754"/>
    <cellStyle name="Normal 2 3 2 2 2 3 2 2 5 2 2 2" xfId="49660"/>
    <cellStyle name="Normal 2 3 2 2 2 3 2 2 5 3" xfId="27825"/>
    <cellStyle name="Normal 2 3 2 2 2 3 2 2 6" xfId="22868"/>
    <cellStyle name="Normal 2 3 2 2 2 3 2 2 6 2" xfId="36127"/>
    <cellStyle name="Normal 2 3 2 2 2 3 2 3" xfId="928"/>
    <cellStyle name="Normal 2 3 2 2 2 3 2 3 2" xfId="2651"/>
    <cellStyle name="Normal 2 3 2 2 2 3 2 3 2 2" xfId="2966"/>
    <cellStyle name="Normal 2 3 2 2 2 3 2 3 2 2 2" xfId="7870"/>
    <cellStyle name="Normal 2 3 2 2 2 3 2 3 2 2 2 2" xfId="8181"/>
    <cellStyle name="Normal 2 3 2 2 2 3 2 3 2 2 2 2 2" xfId="21422"/>
    <cellStyle name="Normal 2 3 2 2 2 3 2 3 2 2 2 2 2 2" xfId="21733"/>
    <cellStyle name="Normal 2 3 2 2 2 3 2 3 2 2 2 2 2 2 2" xfId="56748"/>
    <cellStyle name="Normal 2 3 2 2 2 3 2 3 2 2 2 2 2 2 2 2" xfId="57059"/>
    <cellStyle name="Normal 2 3 2 2 2 3 2 3 2 2 2 2 2 3" xfId="35236"/>
    <cellStyle name="Normal 2 3 2 2 2 3 2 3 2 2 2 2 3" xfId="34925"/>
    <cellStyle name="Normal 2 3 2 2 2 3 2 3 2 2 2 2 3 2" xfId="43608"/>
    <cellStyle name="Normal 2 3 2 2 2 3 2 3 2 2 2 3" xfId="13406"/>
    <cellStyle name="Normal 2 3 2 2 2 3 2 3 2 2 2 3 2" xfId="43297"/>
    <cellStyle name="Normal 2 3 2 2 2 3 2 3 2 2 2 3 2 2" xfId="48752"/>
    <cellStyle name="Normal 2 3 2 2 2 3 2 3 2 2 2 4" xfId="26891"/>
    <cellStyle name="Normal 2 3 2 2 2 3 2 3 2 2 3" xfId="13095"/>
    <cellStyle name="Normal 2 3 2 2 2 3 2 3 2 2 3 2" xfId="16623"/>
    <cellStyle name="Normal 2 3 2 2 2 3 2 3 2 2 3 2 2" xfId="48441"/>
    <cellStyle name="Normal 2 3 2 2 2 3 2 3 2 2 3 2 2 2" xfId="51951"/>
    <cellStyle name="Normal 2 3 2 2 2 3 2 3 2 2 3 3" xfId="30125"/>
    <cellStyle name="Normal 2 3 2 2 2 3 2 3 2 2 4" xfId="26579"/>
    <cellStyle name="Normal 2 3 2 2 2 3 2 3 2 2 4 2" xfId="38435"/>
    <cellStyle name="Normal 2 3 2 2 2 3 2 3 2 3" xfId="5002"/>
    <cellStyle name="Normal 2 3 2 2 2 3 2 3 2 3 2" xfId="16310"/>
    <cellStyle name="Normal 2 3 2 2 2 3 2 3 2 3 2 2" xfId="18575"/>
    <cellStyle name="Normal 2 3 2 2 2 3 2 3 2 3 2 2 2" xfId="51640"/>
    <cellStyle name="Normal 2 3 2 2 2 3 2 3 2 3 2 2 2 2" xfId="53901"/>
    <cellStyle name="Normal 2 3 2 2 2 3 2 3 2 3 2 3" xfId="32076"/>
    <cellStyle name="Normal 2 3 2 2 2 3 2 3 2 3 3" xfId="29814"/>
    <cellStyle name="Normal 2 3 2 2 2 3 2 3 2 3 3 2" xfId="40439"/>
    <cellStyle name="Normal 2 3 2 2 2 3 2 3 2 4" xfId="10205"/>
    <cellStyle name="Normal 2 3 2 2 2 3 2 3 2 4 2" xfId="38124"/>
    <cellStyle name="Normal 2 3 2 2 2 3 2 3 2 4 2 2" xfId="45568"/>
    <cellStyle name="Normal 2 3 2 2 2 3 2 3 2 5" xfId="23691"/>
    <cellStyle name="Normal 2 3 2 2 2 3 2 3 3" xfId="4686"/>
    <cellStyle name="Normal 2 3 2 2 2 3 2 3 3 2" xfId="6239"/>
    <cellStyle name="Normal 2 3 2 2 2 3 2 3 3 2 2" xfId="18264"/>
    <cellStyle name="Normal 2 3 2 2 2 3 2 3 3 2 2 2" xfId="19796"/>
    <cellStyle name="Normal 2 3 2 2 2 3 2 3 3 2 2 2 2" xfId="53590"/>
    <cellStyle name="Normal 2 3 2 2 2 3 2 3 3 2 2 2 2 2" xfId="55122"/>
    <cellStyle name="Normal 2 3 2 2 2 3 2 3 3 2 2 3" xfId="33298"/>
    <cellStyle name="Normal 2 3 2 2 2 3 2 3 3 2 3" xfId="31765"/>
    <cellStyle name="Normal 2 3 2 2 2 3 2 3 3 2 3 2" xfId="41668"/>
    <cellStyle name="Normal 2 3 2 2 2 3 2 3 3 3" xfId="11464"/>
    <cellStyle name="Normal 2 3 2 2 2 3 2 3 3 3 2" xfId="40125"/>
    <cellStyle name="Normal 2 3 2 2 2 3 2 3 3 3 2 2" xfId="46813"/>
    <cellStyle name="Normal 2 3 2 2 2 3 2 3 3 4" xfId="24950"/>
    <cellStyle name="Normal 2 3 2 2 2 3 2 3 4" xfId="9889"/>
    <cellStyle name="Normal 2 3 2 2 2 3 2 3 4 2" xfId="14622"/>
    <cellStyle name="Normal 2 3 2 2 2 3 2 3 4 2 2" xfId="45257"/>
    <cellStyle name="Normal 2 3 2 2 2 3 2 3 4 2 2 2" xfId="49961"/>
    <cellStyle name="Normal 2 3 2 2 2 3 2 3 4 3" xfId="28133"/>
    <cellStyle name="Normal 2 3 2 2 2 3 2 3 5" xfId="23380"/>
    <cellStyle name="Normal 2 3 2 2 2 3 2 3 5 2" xfId="36430"/>
    <cellStyle name="Normal 2 3 2 2 2 3 2 4" xfId="1724"/>
    <cellStyle name="Normal 2 3 2 2 2 3 2 4 2" xfId="5892"/>
    <cellStyle name="Normal 2 3 2 2 2 3 2 4 2 2" xfId="6977"/>
    <cellStyle name="Normal 2 3 2 2 2 3 2 4 2 2 2" xfId="19459"/>
    <cellStyle name="Normal 2 3 2 2 2 3 2 4 2 2 2 2" xfId="20530"/>
    <cellStyle name="Normal 2 3 2 2 2 3 2 4 2 2 2 2 2" xfId="54785"/>
    <cellStyle name="Normal 2 3 2 2 2 3 2 4 2 2 2 2 2 2" xfId="55856"/>
    <cellStyle name="Normal 2 3 2 2 2 3 2 4 2 2 2 3" xfId="34032"/>
    <cellStyle name="Normal 2 3 2 2 2 3 2 4 2 2 3" xfId="32960"/>
    <cellStyle name="Normal 2 3 2 2 2 3 2 4 2 2 3 2" xfId="42405"/>
    <cellStyle name="Normal 2 3 2 2 2 3 2 4 2 3" xfId="12201"/>
    <cellStyle name="Normal 2 3 2 2 2 3 2 4 2 3 2" xfId="41326"/>
    <cellStyle name="Normal 2 3 2 2 2 3 2 4 2 3 2 2" xfId="47548"/>
    <cellStyle name="Normal 2 3 2 2 2 3 2 4 2 4" xfId="25686"/>
    <cellStyle name="Normal 2 3 2 2 2 3 2 4 3" xfId="11117"/>
    <cellStyle name="Normal 2 3 2 2 2 3 2 4 3 2" xfId="15396"/>
    <cellStyle name="Normal 2 3 2 2 2 3 2 4 3 2 2" xfId="46475"/>
    <cellStyle name="Normal 2 3 2 2 2 3 2 4 3 2 2 2" xfId="50729"/>
    <cellStyle name="Normal 2 3 2 2 2 3 2 4 3 3" xfId="28903"/>
    <cellStyle name="Normal 2 3 2 2 2 3 2 4 4" xfId="24609"/>
    <cellStyle name="Normal 2 3 2 2 2 3 2 4 4 2" xfId="37206"/>
    <cellStyle name="Normal 2 3 2 2 2 3 2 5" xfId="3729"/>
    <cellStyle name="Normal 2 3 2 2 2 3 2 5 2" xfId="14276"/>
    <cellStyle name="Normal 2 3 2 2 2 3 2 5 2 2" xfId="17345"/>
    <cellStyle name="Normal 2 3 2 2 2 3 2 5 2 2 2" xfId="49621"/>
    <cellStyle name="Normal 2 3 2 2 2 3 2 5 2 2 2 2" xfId="52672"/>
    <cellStyle name="Normal 2 3 2 2 2 3 2 5 2 3" xfId="30846"/>
    <cellStyle name="Normal 2 3 2 2 2 3 2 5 3" xfId="27785"/>
    <cellStyle name="Normal 2 3 2 2 2 3 2 5 3 2" xfId="39180"/>
    <cellStyle name="Normal 2 3 2 2 2 3 2 6" xfId="8919"/>
    <cellStyle name="Normal 2 3 2 2 2 3 2 6 2" xfId="36088"/>
    <cellStyle name="Normal 2 3 2 2 2 3 2 6 2 2" xfId="44318"/>
    <cellStyle name="Normal 2 3 2 2 2 3 2 7" xfId="22426"/>
    <cellStyle name="Normal 2 3 2 2 2 3 3" xfId="888"/>
    <cellStyle name="Normal 2 3 2 2 2 3 3 2" xfId="1120"/>
    <cellStyle name="Normal 2 3 2 2 2 3 3 2 2" xfId="2928"/>
    <cellStyle name="Normal 2 3 2 2 2 3 3 2 2 2" xfId="3145"/>
    <cellStyle name="Normal 2 3 2 2 2 3 3 2 2 2 2" xfId="8143"/>
    <cellStyle name="Normal 2 3 2 2 2 3 3 2 2 2 2 2" xfId="8360"/>
    <cellStyle name="Normal 2 3 2 2 2 3 3 2 2 2 2 2 2" xfId="21695"/>
    <cellStyle name="Normal 2 3 2 2 2 3 3 2 2 2 2 2 2 2" xfId="21912"/>
    <cellStyle name="Normal 2 3 2 2 2 3 3 2 2 2 2 2 2 2 2" xfId="57021"/>
    <cellStyle name="Normal 2 3 2 2 2 3 3 2 2 2 2 2 2 2 2 2" xfId="57238"/>
    <cellStyle name="Normal 2 3 2 2 2 3 3 2 2 2 2 2 2 3" xfId="35415"/>
    <cellStyle name="Normal 2 3 2 2 2 3 3 2 2 2 2 2 3" xfId="35198"/>
    <cellStyle name="Normal 2 3 2 2 2 3 3 2 2 2 2 2 3 2" xfId="43787"/>
    <cellStyle name="Normal 2 3 2 2 2 3 3 2 2 2 2 3" xfId="13585"/>
    <cellStyle name="Normal 2 3 2 2 2 3 3 2 2 2 2 3 2" xfId="43570"/>
    <cellStyle name="Normal 2 3 2 2 2 3 3 2 2 2 2 3 2 2" xfId="48931"/>
    <cellStyle name="Normal 2 3 2 2 2 3 3 2 2 2 2 4" xfId="27070"/>
    <cellStyle name="Normal 2 3 2 2 2 3 3 2 2 2 3" xfId="13368"/>
    <cellStyle name="Normal 2 3 2 2 2 3 3 2 2 2 3 2" xfId="16802"/>
    <cellStyle name="Normal 2 3 2 2 2 3 3 2 2 2 3 2 2" xfId="48714"/>
    <cellStyle name="Normal 2 3 2 2 2 3 3 2 2 2 3 2 2 2" xfId="52130"/>
    <cellStyle name="Normal 2 3 2 2 2 3 3 2 2 2 3 3" xfId="30304"/>
    <cellStyle name="Normal 2 3 2 2 2 3 3 2 2 2 4" xfId="26853"/>
    <cellStyle name="Normal 2 3 2 2 2 3 3 2 2 2 4 2" xfId="38614"/>
    <cellStyle name="Normal 2 3 2 2 2 3 3 2 2 3" xfId="5182"/>
    <cellStyle name="Normal 2 3 2 2 2 3 3 2 2 3 2" xfId="16585"/>
    <cellStyle name="Normal 2 3 2 2 2 3 3 2 2 3 2 2" xfId="18755"/>
    <cellStyle name="Normal 2 3 2 2 2 3 3 2 2 3 2 2 2" xfId="51913"/>
    <cellStyle name="Normal 2 3 2 2 2 3 3 2 2 3 2 2 2 2" xfId="54081"/>
    <cellStyle name="Normal 2 3 2 2 2 3 3 2 2 3 2 3" xfId="32256"/>
    <cellStyle name="Normal 2 3 2 2 2 3 3 2 2 3 3" xfId="30087"/>
    <cellStyle name="Normal 2 3 2 2 2 3 3 2 2 3 3 2" xfId="40619"/>
    <cellStyle name="Normal 2 3 2 2 2 3 3 2 2 4" xfId="10385"/>
    <cellStyle name="Normal 2 3 2 2 2 3 3 2 2 4 2" xfId="38397"/>
    <cellStyle name="Normal 2 3 2 2 2 3 3 2 2 4 2 2" xfId="45748"/>
    <cellStyle name="Normal 2 3 2 2 2 3 3 2 2 5" xfId="23871"/>
    <cellStyle name="Normal 2 3 2 2 2 3 3 2 3" xfId="4964"/>
    <cellStyle name="Normal 2 3 2 2 2 3 3 2 3 2" xfId="6428"/>
    <cellStyle name="Normal 2 3 2 2 2 3 3 2 3 2 2" xfId="18537"/>
    <cellStyle name="Normal 2 3 2 2 2 3 3 2 3 2 2 2" xfId="19983"/>
    <cellStyle name="Normal 2 3 2 2 2 3 3 2 3 2 2 2 2" xfId="53863"/>
    <cellStyle name="Normal 2 3 2 2 2 3 3 2 3 2 2 2 2 2" xfId="55309"/>
    <cellStyle name="Normal 2 3 2 2 2 3 3 2 3 2 2 3" xfId="33485"/>
    <cellStyle name="Normal 2 3 2 2 2 3 3 2 3 2 3" xfId="32038"/>
    <cellStyle name="Normal 2 3 2 2 2 3 3 2 3 2 3 2" xfId="41856"/>
    <cellStyle name="Normal 2 3 2 2 2 3 3 2 3 3" xfId="11652"/>
    <cellStyle name="Normal 2 3 2 2 2 3 3 2 3 3 2" xfId="40401"/>
    <cellStyle name="Normal 2 3 2 2 2 3 3 2 3 3 2 2" xfId="47001"/>
    <cellStyle name="Normal 2 3 2 2 2 3 3 2 3 4" xfId="25138"/>
    <cellStyle name="Normal 2 3 2 2 2 3 3 2 4" xfId="10167"/>
    <cellStyle name="Normal 2 3 2 2 2 3 3 2 4 2" xfId="14811"/>
    <cellStyle name="Normal 2 3 2 2 2 3 3 2 4 2 2" xfId="45530"/>
    <cellStyle name="Normal 2 3 2 2 2 3 3 2 4 2 2 2" xfId="50150"/>
    <cellStyle name="Normal 2 3 2 2 2 3 3 2 4 3" xfId="28323"/>
    <cellStyle name="Normal 2 3 2 2 2 3 3 2 5" xfId="23653"/>
    <cellStyle name="Normal 2 3 2 2 2 3 3 2 5 2" xfId="36619"/>
    <cellStyle name="Normal 2 3 2 2 2 3 3 3" xfId="1928"/>
    <cellStyle name="Normal 2 3 2 2 2 3 3 3 2" xfId="6199"/>
    <cellStyle name="Normal 2 3 2 2 2 3 3 3 2 2" xfId="7167"/>
    <cellStyle name="Normal 2 3 2 2 2 3 3 3 2 2 2" xfId="19758"/>
    <cellStyle name="Normal 2 3 2 2 2 3 3 3 2 2 2 2" xfId="20719"/>
    <cellStyle name="Normal 2 3 2 2 2 3 3 3 2 2 2 2 2" xfId="55084"/>
    <cellStyle name="Normal 2 3 2 2 2 3 3 3 2 2 2 2 2 2" xfId="56045"/>
    <cellStyle name="Normal 2 3 2 2 2 3 3 3 2 2 2 3" xfId="34222"/>
    <cellStyle name="Normal 2 3 2 2 2 3 3 3 2 2 3" xfId="33260"/>
    <cellStyle name="Normal 2 3 2 2 2 3 3 3 2 2 3 2" xfId="42594"/>
    <cellStyle name="Normal 2 3 2 2 2 3 3 3 2 3" xfId="12392"/>
    <cellStyle name="Normal 2 3 2 2 2 3 3 3 2 3 2" xfId="41629"/>
    <cellStyle name="Normal 2 3 2 2 2 3 3 3 2 3 2 2" xfId="47738"/>
    <cellStyle name="Normal 2 3 2 2 2 3 3 3 2 4" xfId="25876"/>
    <cellStyle name="Normal 2 3 2 2 2 3 3 3 3" xfId="11424"/>
    <cellStyle name="Normal 2 3 2 2 2 3 3 3 3 2" xfId="15593"/>
    <cellStyle name="Normal 2 3 2 2 2 3 3 3 3 2 2" xfId="46775"/>
    <cellStyle name="Normal 2 3 2 2 2 3 3 3 3 2 2 2" xfId="50925"/>
    <cellStyle name="Normal 2 3 2 2 2 3 3 3 3 3" xfId="29099"/>
    <cellStyle name="Normal 2 3 2 2 2 3 3 3 4" xfId="24912"/>
    <cellStyle name="Normal 2 3 2 2 2 3 3 3 4 2" xfId="37406"/>
    <cellStyle name="Normal 2 3 2 2 2 3 3 4" xfId="3942"/>
    <cellStyle name="Normal 2 3 2 2 2 3 3 4 2" xfId="14584"/>
    <cellStyle name="Normal 2 3 2 2 2 3 3 4 2 2" xfId="17542"/>
    <cellStyle name="Normal 2 3 2 2 2 3 3 4 2 2 2" xfId="49923"/>
    <cellStyle name="Normal 2 3 2 2 2 3 3 4 2 2 2 2" xfId="52869"/>
    <cellStyle name="Normal 2 3 2 2 2 3 3 4 2 3" xfId="31044"/>
    <cellStyle name="Normal 2 3 2 2 2 3 3 4 3" xfId="28094"/>
    <cellStyle name="Normal 2 3 2 2 2 3 3 4 3 2" xfId="39386"/>
    <cellStyle name="Normal 2 3 2 2 2 3 3 5" xfId="9134"/>
    <cellStyle name="Normal 2 3 2 2 2 3 3 5 2" xfId="36392"/>
    <cellStyle name="Normal 2 3 2 2 2 3 3 5 2 2" xfId="44522"/>
    <cellStyle name="Normal 2 3 2 2 2 3 3 6" xfId="22636"/>
    <cellStyle name="Normal 2 3 2 2 2 3 4" xfId="1684"/>
    <cellStyle name="Normal 2 3 2 2 2 3 4 2" xfId="2376"/>
    <cellStyle name="Normal 2 3 2 2 2 3 4 2 2" xfId="6939"/>
    <cellStyle name="Normal 2 3 2 2 2 3 4 2 2 2" xfId="7609"/>
    <cellStyle name="Normal 2 3 2 2 2 3 4 2 2 2 2" xfId="20492"/>
    <cellStyle name="Normal 2 3 2 2 2 3 4 2 2 2 2 2" xfId="21161"/>
    <cellStyle name="Normal 2 3 2 2 2 3 4 2 2 2 2 2 2" xfId="55818"/>
    <cellStyle name="Normal 2 3 2 2 2 3 4 2 2 2 2 2 2 2" xfId="56487"/>
    <cellStyle name="Normal 2 3 2 2 2 3 4 2 2 2 2 3" xfId="34664"/>
    <cellStyle name="Normal 2 3 2 2 2 3 4 2 2 2 3" xfId="33994"/>
    <cellStyle name="Normal 2 3 2 2 2 3 4 2 2 2 3 2" xfId="43036"/>
    <cellStyle name="Normal 2 3 2 2 2 3 4 2 2 3" xfId="12834"/>
    <cellStyle name="Normal 2 3 2 2 2 3 4 2 2 3 2" xfId="42367"/>
    <cellStyle name="Normal 2 3 2 2 2 3 4 2 2 3 2 2" xfId="48180"/>
    <cellStyle name="Normal 2 3 2 2 2 3 4 2 2 4" xfId="26318"/>
    <cellStyle name="Normal 2 3 2 2 2 3 4 2 3" xfId="12163"/>
    <cellStyle name="Normal 2 3 2 2 2 3 4 2 3 2" xfId="16039"/>
    <cellStyle name="Normal 2 3 2 2 2 3 4 2 3 2 2" xfId="47510"/>
    <cellStyle name="Normal 2 3 2 2 2 3 4 2 3 2 2 2" xfId="51371"/>
    <cellStyle name="Normal 2 3 2 2 2 3 4 2 3 3" xfId="29545"/>
    <cellStyle name="Normal 2 3 2 2 2 3 4 2 4" xfId="25648"/>
    <cellStyle name="Normal 2 3 2 2 2 3 4 2 4 2" xfId="37854"/>
    <cellStyle name="Normal 2 3 2 2 2 3 4 3" xfId="4410"/>
    <cellStyle name="Normal 2 3 2 2 2 3 4 3 2" xfId="15356"/>
    <cellStyle name="Normal 2 3 2 2 2 3 4 3 2 2" xfId="18001"/>
    <cellStyle name="Normal 2 3 2 2 2 3 4 3 2 2 2" xfId="50690"/>
    <cellStyle name="Normal 2 3 2 2 2 3 4 3 2 2 2 2" xfId="53327"/>
    <cellStyle name="Normal 2 3 2 2 2 3 4 3 2 3" xfId="31502"/>
    <cellStyle name="Normal 2 3 2 2 2 3 4 3 3" xfId="28864"/>
    <cellStyle name="Normal 2 3 2 2 2 3 4 3 3 2" xfId="39852"/>
    <cellStyle name="Normal 2 3 2 2 2 3 4 4" xfId="9613"/>
    <cellStyle name="Normal 2 3 2 2 2 3 4 4 2" xfId="37167"/>
    <cellStyle name="Normal 2 3 2 2 2 3 4 4 2 2" xfId="44993"/>
    <cellStyle name="Normal 2 3 2 2 2 3 4 5" xfId="23114"/>
    <cellStyle name="Normal 2 3 2 2 2 3 5" xfId="3689"/>
    <cellStyle name="Normal 2 3 2 2 2 3 5 2" xfId="5617"/>
    <cellStyle name="Normal 2 3 2 2 2 3 5 2 2" xfId="17307"/>
    <cellStyle name="Normal 2 3 2 2 2 3 5 2 2 2" xfId="19189"/>
    <cellStyle name="Normal 2 3 2 2 2 3 5 2 2 2 2" xfId="52634"/>
    <cellStyle name="Normal 2 3 2 2 2 3 5 2 2 2 2 2" xfId="54515"/>
    <cellStyle name="Normal 2 3 2 2 2 3 5 2 2 3" xfId="32690"/>
    <cellStyle name="Normal 2 3 2 2 2 3 5 2 3" xfId="30808"/>
    <cellStyle name="Normal 2 3 2 2 2 3 5 2 3 2" xfId="41053"/>
    <cellStyle name="Normal 2 3 2 2 2 3 5 3" xfId="10833"/>
    <cellStyle name="Normal 2 3 2 2 2 3 5 3 2" xfId="39140"/>
    <cellStyle name="Normal 2 3 2 2 2 3 5 3 2 2" xfId="46195"/>
    <cellStyle name="Normal 2 3 2 2 2 3 5 4" xfId="24325"/>
    <cellStyle name="Normal 2 3 2 2 2 3 6" xfId="8878"/>
    <cellStyle name="Normal 2 3 2 2 2 3 6 2" xfId="14001"/>
    <cellStyle name="Normal 2 3 2 2 2 3 6 2 2" xfId="44279"/>
    <cellStyle name="Normal 2 3 2 2 2 3 6 2 2 2" xfId="49347"/>
    <cellStyle name="Normal 2 3 2 2 2 3 6 3" xfId="27495"/>
    <cellStyle name="Normal 2 3 2 2 2 3 7" xfId="22387"/>
    <cellStyle name="Normal 2 3 2 2 2 3 7 2" xfId="35813"/>
    <cellStyle name="Normal 2 3 2 2 2 4" xfId="395"/>
    <cellStyle name="Normal 2 3 2 2 2 4 2" xfId="1056"/>
    <cellStyle name="Normal 2 3 2 2 2 4 2 2" xfId="1226"/>
    <cellStyle name="Normal 2 3 2 2 2 4 2 2 2" xfId="3092"/>
    <cellStyle name="Normal 2 3 2 2 2 4 2 2 2 2" xfId="3244"/>
    <cellStyle name="Normal 2 3 2 2 2 4 2 2 2 2 2" xfId="8307"/>
    <cellStyle name="Normal 2 3 2 2 2 4 2 2 2 2 2 2" xfId="8459"/>
    <cellStyle name="Normal 2 3 2 2 2 4 2 2 2 2 2 2 2" xfId="21859"/>
    <cellStyle name="Normal 2 3 2 2 2 4 2 2 2 2 2 2 2 2" xfId="22011"/>
    <cellStyle name="Normal 2 3 2 2 2 4 2 2 2 2 2 2 2 2 2" xfId="57185"/>
    <cellStyle name="Normal 2 3 2 2 2 4 2 2 2 2 2 2 2 2 2 2" xfId="57337"/>
    <cellStyle name="Normal 2 3 2 2 2 4 2 2 2 2 2 2 2 3" xfId="35514"/>
    <cellStyle name="Normal 2 3 2 2 2 4 2 2 2 2 2 2 3" xfId="35362"/>
    <cellStyle name="Normal 2 3 2 2 2 4 2 2 2 2 2 2 3 2" xfId="43886"/>
    <cellStyle name="Normal 2 3 2 2 2 4 2 2 2 2 2 3" xfId="13684"/>
    <cellStyle name="Normal 2 3 2 2 2 4 2 2 2 2 2 3 2" xfId="43734"/>
    <cellStyle name="Normal 2 3 2 2 2 4 2 2 2 2 2 3 2 2" xfId="49030"/>
    <cellStyle name="Normal 2 3 2 2 2 4 2 2 2 2 2 4" xfId="27169"/>
    <cellStyle name="Normal 2 3 2 2 2 4 2 2 2 2 3" xfId="13532"/>
    <cellStyle name="Normal 2 3 2 2 2 4 2 2 2 2 3 2" xfId="16901"/>
    <cellStyle name="Normal 2 3 2 2 2 4 2 2 2 2 3 2 2" xfId="48878"/>
    <cellStyle name="Normal 2 3 2 2 2 4 2 2 2 2 3 2 2 2" xfId="52229"/>
    <cellStyle name="Normal 2 3 2 2 2 4 2 2 2 2 3 3" xfId="30403"/>
    <cellStyle name="Normal 2 3 2 2 2 4 2 2 2 2 4" xfId="27017"/>
    <cellStyle name="Normal 2 3 2 2 2 4 2 2 2 2 4 2" xfId="38713"/>
    <cellStyle name="Normal 2 3 2 2 2 4 2 2 2 3" xfId="5281"/>
    <cellStyle name="Normal 2 3 2 2 2 4 2 2 2 3 2" xfId="16749"/>
    <cellStyle name="Normal 2 3 2 2 2 4 2 2 2 3 2 2" xfId="18854"/>
    <cellStyle name="Normal 2 3 2 2 2 4 2 2 2 3 2 2 2" xfId="52077"/>
    <cellStyle name="Normal 2 3 2 2 2 4 2 2 2 3 2 2 2 2" xfId="54180"/>
    <cellStyle name="Normal 2 3 2 2 2 4 2 2 2 3 2 3" xfId="32355"/>
    <cellStyle name="Normal 2 3 2 2 2 4 2 2 2 3 3" xfId="30251"/>
    <cellStyle name="Normal 2 3 2 2 2 4 2 2 2 3 3 2" xfId="40718"/>
    <cellStyle name="Normal 2 3 2 2 2 4 2 2 2 4" xfId="10484"/>
    <cellStyle name="Normal 2 3 2 2 2 4 2 2 2 4 2" xfId="38561"/>
    <cellStyle name="Normal 2 3 2 2 2 4 2 2 2 4 2 2" xfId="45847"/>
    <cellStyle name="Normal 2 3 2 2 2 4 2 2 2 5" xfId="23970"/>
    <cellStyle name="Normal 2 3 2 2 2 4 2 2 3" xfId="5129"/>
    <cellStyle name="Normal 2 3 2 2 2 4 2 2 3 2" xfId="6534"/>
    <cellStyle name="Normal 2 3 2 2 2 4 2 2 3 2 2" xfId="18702"/>
    <cellStyle name="Normal 2 3 2 2 2 4 2 2 3 2 2 2" xfId="20087"/>
    <cellStyle name="Normal 2 3 2 2 2 4 2 2 3 2 2 2 2" xfId="54028"/>
    <cellStyle name="Normal 2 3 2 2 2 4 2 2 3 2 2 2 2 2" xfId="55413"/>
    <cellStyle name="Normal 2 3 2 2 2 4 2 2 3 2 2 3" xfId="33589"/>
    <cellStyle name="Normal 2 3 2 2 2 4 2 2 3 2 3" xfId="32203"/>
    <cellStyle name="Normal 2 3 2 2 2 4 2 2 3 2 3 2" xfId="41962"/>
    <cellStyle name="Normal 2 3 2 2 2 4 2 2 3 3" xfId="11757"/>
    <cellStyle name="Normal 2 3 2 2 2 4 2 2 3 3 2" xfId="40566"/>
    <cellStyle name="Normal 2 3 2 2 2 4 2 2 3 3 2 2" xfId="47105"/>
    <cellStyle name="Normal 2 3 2 2 2 4 2 2 3 4" xfId="25242"/>
    <cellStyle name="Normal 2 3 2 2 2 4 2 2 4" xfId="10332"/>
    <cellStyle name="Normal 2 3 2 2 2 4 2 2 4 2" xfId="14915"/>
    <cellStyle name="Normal 2 3 2 2 2 4 2 2 4 2 2" xfId="45695"/>
    <cellStyle name="Normal 2 3 2 2 2 4 2 2 4 2 2 2" xfId="50254"/>
    <cellStyle name="Normal 2 3 2 2 2 4 2 2 4 3" xfId="28428"/>
    <cellStyle name="Normal 2 3 2 2 2 4 2 2 5" xfId="23818"/>
    <cellStyle name="Normal 2 3 2 2 2 4 2 2 5 2" xfId="36723"/>
    <cellStyle name="Normal 2 3 2 2 2 4 2 3" xfId="2032"/>
    <cellStyle name="Normal 2 3 2 2 2 4 2 3 2" xfId="6366"/>
    <cellStyle name="Normal 2 3 2 2 2 4 2 3 2 2" xfId="7266"/>
    <cellStyle name="Normal 2 3 2 2 2 4 2 3 2 2 2" xfId="19923"/>
    <cellStyle name="Normal 2 3 2 2 2 4 2 3 2 2 2 2" xfId="20818"/>
    <cellStyle name="Normal 2 3 2 2 2 4 2 3 2 2 2 2 2" xfId="55249"/>
    <cellStyle name="Normal 2 3 2 2 2 4 2 3 2 2 2 2 2 2" xfId="56144"/>
    <cellStyle name="Normal 2 3 2 2 2 4 2 3 2 2 2 3" xfId="34321"/>
    <cellStyle name="Normal 2 3 2 2 2 4 2 3 2 2 3" xfId="33425"/>
    <cellStyle name="Normal 2 3 2 2 2 4 2 3 2 2 3 2" xfId="42693"/>
    <cellStyle name="Normal 2 3 2 2 2 4 2 3 2 3" xfId="12491"/>
    <cellStyle name="Normal 2 3 2 2 2 4 2 3 2 3 2" xfId="41795"/>
    <cellStyle name="Normal 2 3 2 2 2 4 2 3 2 3 2 2" xfId="47837"/>
    <cellStyle name="Normal 2 3 2 2 2 4 2 3 2 4" xfId="25975"/>
    <cellStyle name="Normal 2 3 2 2 2 4 2 3 3" xfId="11592"/>
    <cellStyle name="Normal 2 3 2 2 2 4 2 3 3 2" xfId="15696"/>
    <cellStyle name="Normal 2 3 2 2 2 4 2 3 3 2 2" xfId="46941"/>
    <cellStyle name="Normal 2 3 2 2 2 4 2 3 3 2 2 2" xfId="51028"/>
    <cellStyle name="Normal 2 3 2 2 2 4 2 3 3 3" xfId="29202"/>
    <cellStyle name="Normal 2 3 2 2 2 4 2 3 4" xfId="25078"/>
    <cellStyle name="Normal 2 3 2 2 2 4 2 3 4 2" xfId="37510"/>
    <cellStyle name="Normal 2 3 2 2 2 4 2 4" xfId="4048"/>
    <cellStyle name="Normal 2 3 2 2 2 4 2 4 2" xfId="14749"/>
    <cellStyle name="Normal 2 3 2 2 2 4 2 4 2 2" xfId="17641"/>
    <cellStyle name="Normal 2 3 2 2 2 4 2 4 2 2 2" xfId="50088"/>
    <cellStyle name="Normal 2 3 2 2 2 4 2 4 2 2 2 2" xfId="52968"/>
    <cellStyle name="Normal 2 3 2 2 2 4 2 4 2 3" xfId="31143"/>
    <cellStyle name="Normal 2 3 2 2 2 4 2 4 3" xfId="28261"/>
    <cellStyle name="Normal 2 3 2 2 2 4 2 4 3 2" xfId="39491"/>
    <cellStyle name="Normal 2 3 2 2 2 4 2 5" xfId="9239"/>
    <cellStyle name="Normal 2 3 2 2 2 4 2 5 2" xfId="36557"/>
    <cellStyle name="Normal 2 3 2 2 2 4 2 5 2 2" xfId="44621"/>
    <cellStyle name="Normal 2 3 2 2 2 4 2 6" xfId="22735"/>
    <cellStyle name="Normal 2 3 2 2 2 4 3" xfId="1864"/>
    <cellStyle name="Normal 2 3 2 2 2 4 3 2" xfId="2497"/>
    <cellStyle name="Normal 2 3 2 2 2 4 3 2 2" xfId="7114"/>
    <cellStyle name="Normal 2 3 2 2 2 4 3 2 2 2" xfId="7722"/>
    <cellStyle name="Normal 2 3 2 2 2 4 3 2 2 2 2" xfId="20666"/>
    <cellStyle name="Normal 2 3 2 2 2 4 3 2 2 2 2 2" xfId="21274"/>
    <cellStyle name="Normal 2 3 2 2 2 4 3 2 2 2 2 2 2" xfId="55992"/>
    <cellStyle name="Normal 2 3 2 2 2 4 3 2 2 2 2 2 2 2" xfId="56600"/>
    <cellStyle name="Normal 2 3 2 2 2 4 3 2 2 2 2 3" xfId="34777"/>
    <cellStyle name="Normal 2 3 2 2 2 4 3 2 2 2 3" xfId="34169"/>
    <cellStyle name="Normal 2 3 2 2 2 4 3 2 2 2 3 2" xfId="43149"/>
    <cellStyle name="Normal 2 3 2 2 2 4 3 2 2 3" xfId="12947"/>
    <cellStyle name="Normal 2 3 2 2 2 4 3 2 2 3 2" xfId="42541"/>
    <cellStyle name="Normal 2 3 2 2 2 4 3 2 2 3 2 2" xfId="48293"/>
    <cellStyle name="Normal 2 3 2 2 2 4 3 2 2 4" xfId="26431"/>
    <cellStyle name="Normal 2 3 2 2 2 4 3 2 3" xfId="12339"/>
    <cellStyle name="Normal 2 3 2 2 2 4 3 2 3 2" xfId="16158"/>
    <cellStyle name="Normal 2 3 2 2 2 4 3 2 3 2 2" xfId="47685"/>
    <cellStyle name="Normal 2 3 2 2 2 4 3 2 3 2 2 2" xfId="51489"/>
    <cellStyle name="Normal 2 3 2 2 2 4 3 2 3 3" xfId="29663"/>
    <cellStyle name="Normal 2 3 2 2 2 4 3 2 4" xfId="25823"/>
    <cellStyle name="Normal 2 3 2 2 2 4 3 2 4 2" xfId="37972"/>
    <cellStyle name="Normal 2 3 2 2 2 4 3 3" xfId="4532"/>
    <cellStyle name="Normal 2 3 2 2 2 4 3 3 2" xfId="15535"/>
    <cellStyle name="Normal 2 3 2 2 2 4 3 3 2 2" xfId="18115"/>
    <cellStyle name="Normal 2 3 2 2 2 4 3 3 2 2 2" xfId="50867"/>
    <cellStyle name="Normal 2 3 2 2 2 4 3 3 2 2 2 2" xfId="53441"/>
    <cellStyle name="Normal 2 3 2 2 2 4 3 3 2 3" xfId="31616"/>
    <cellStyle name="Normal 2 3 2 2 2 4 3 3 3" xfId="29041"/>
    <cellStyle name="Normal 2 3 2 2 2 4 3 3 3 2" xfId="39973"/>
    <cellStyle name="Normal 2 3 2 2 2 4 3 4" xfId="9735"/>
    <cellStyle name="Normal 2 3 2 2 2 4 3 4 2" xfId="37345"/>
    <cellStyle name="Normal 2 3 2 2 2 4 3 4 2 2" xfId="45108"/>
    <cellStyle name="Normal 2 3 2 2 2 4 3 5" xfId="23231"/>
    <cellStyle name="Normal 2 3 2 2 2 4 4" xfId="3878"/>
    <cellStyle name="Normal 2 3 2 2 2 4 4 2" xfId="5738"/>
    <cellStyle name="Normal 2 3 2 2 2 4 4 2 2" xfId="17489"/>
    <cellStyle name="Normal 2 3 2 2 2 4 4 2 2 2" xfId="19307"/>
    <cellStyle name="Normal 2 3 2 2 2 4 4 2 2 2 2" xfId="52816"/>
    <cellStyle name="Normal 2 3 2 2 2 4 4 2 2 2 2 2" xfId="54633"/>
    <cellStyle name="Normal 2 3 2 2 2 4 4 2 2 3" xfId="32808"/>
    <cellStyle name="Normal 2 3 2 2 2 4 4 2 3" xfId="30991"/>
    <cellStyle name="Normal 2 3 2 2 2 4 4 2 3 2" xfId="41173"/>
    <cellStyle name="Normal 2 3 2 2 2 4 4 3" xfId="10959"/>
    <cellStyle name="Normal 2 3 2 2 2 4 4 3 2" xfId="39326"/>
    <cellStyle name="Normal 2 3 2 2 2 4 4 3 2 2" xfId="46318"/>
    <cellStyle name="Normal 2 3 2 2 2 4 4 4" xfId="24452"/>
    <cellStyle name="Normal 2 3 2 2 2 4 5" xfId="9072"/>
    <cellStyle name="Normal 2 3 2 2 2 4 5 2" xfId="14122"/>
    <cellStyle name="Normal 2 3 2 2 2 4 5 2 2" xfId="44468"/>
    <cellStyle name="Normal 2 3 2 2 2 4 5 2 2 2" xfId="49467"/>
    <cellStyle name="Normal 2 3 2 2 2 4 5 3" xfId="27624"/>
    <cellStyle name="Normal 2 3 2 2 2 4 6" xfId="22580"/>
    <cellStyle name="Normal 2 3 2 2 2 4 6 2" xfId="35933"/>
    <cellStyle name="Normal 2 3 2 2 2 5" xfId="709"/>
    <cellStyle name="Normal 2 3 2 2 2 5 2" xfId="2319"/>
    <cellStyle name="Normal 2 3 2 2 2 5 2 2" xfId="2781"/>
    <cellStyle name="Normal 2 3 2 2 2 5 2 2 2" xfId="7553"/>
    <cellStyle name="Normal 2 3 2 2 2 5 2 2 2 2" xfId="7998"/>
    <cellStyle name="Normal 2 3 2 2 2 5 2 2 2 2 2" xfId="21105"/>
    <cellStyle name="Normal 2 3 2 2 2 5 2 2 2 2 2 2" xfId="21550"/>
    <cellStyle name="Normal 2 3 2 2 2 5 2 2 2 2 2 2 2" xfId="56431"/>
    <cellStyle name="Normal 2 3 2 2 2 5 2 2 2 2 2 2 2 2" xfId="56876"/>
    <cellStyle name="Normal 2 3 2 2 2 5 2 2 2 2 2 3" xfId="35053"/>
    <cellStyle name="Normal 2 3 2 2 2 5 2 2 2 2 3" xfId="34608"/>
    <cellStyle name="Normal 2 3 2 2 2 5 2 2 2 2 3 2" xfId="43425"/>
    <cellStyle name="Normal 2 3 2 2 2 5 2 2 2 3" xfId="13223"/>
    <cellStyle name="Normal 2 3 2 2 2 5 2 2 2 3 2" xfId="42980"/>
    <cellStyle name="Normal 2 3 2 2 2 5 2 2 2 3 2 2" xfId="48569"/>
    <cellStyle name="Normal 2 3 2 2 2 5 2 2 2 4" xfId="26707"/>
    <cellStyle name="Normal 2 3 2 2 2 5 2 2 3" xfId="12778"/>
    <cellStyle name="Normal 2 3 2 2 2 5 2 2 3 2" xfId="16440"/>
    <cellStyle name="Normal 2 3 2 2 2 5 2 2 3 2 2" xfId="48124"/>
    <cellStyle name="Normal 2 3 2 2 2 5 2 2 3 2 2 2" xfId="51768"/>
    <cellStyle name="Normal 2 3 2 2 2 5 2 2 3 3" xfId="29942"/>
    <cellStyle name="Normal 2 3 2 2 2 5 2 2 4" xfId="26262"/>
    <cellStyle name="Normal 2 3 2 2 2 5 2 2 4 2" xfId="38252"/>
    <cellStyle name="Normal 2 3 2 2 2 5 2 3" xfId="4817"/>
    <cellStyle name="Normal 2 3 2 2 2 5 2 3 2" xfId="15983"/>
    <cellStyle name="Normal 2 3 2 2 2 5 2 3 2 2" xfId="18392"/>
    <cellStyle name="Normal 2 3 2 2 2 5 2 3 2 2 2" xfId="51315"/>
    <cellStyle name="Normal 2 3 2 2 2 5 2 3 2 2 2 2" xfId="53718"/>
    <cellStyle name="Normal 2 3 2 2 2 5 2 3 2 3" xfId="31893"/>
    <cellStyle name="Normal 2 3 2 2 2 5 2 3 3" xfId="29489"/>
    <cellStyle name="Normal 2 3 2 2 2 5 2 3 3 2" xfId="40254"/>
    <cellStyle name="Normal 2 3 2 2 2 5 2 4" xfId="10020"/>
    <cellStyle name="Normal 2 3 2 2 2 5 2 4 2" xfId="37797"/>
    <cellStyle name="Normal 2 3 2 2 2 5 2 4 2 2" xfId="45385"/>
    <cellStyle name="Normal 2 3 2 2 2 5 2 5" xfId="23508"/>
    <cellStyle name="Normal 2 3 2 2 2 5 3" xfId="4348"/>
    <cellStyle name="Normal 2 3 2 2 2 5 3 2" xfId="6034"/>
    <cellStyle name="Normal 2 3 2 2 2 5 3 2 2" xfId="17941"/>
    <cellStyle name="Normal 2 3 2 2 2 5 3 2 2 2" xfId="19598"/>
    <cellStyle name="Normal 2 3 2 2 2 5 3 2 2 2 2" xfId="53268"/>
    <cellStyle name="Normal 2 3 2 2 2 5 3 2 2 2 2 2" xfId="54924"/>
    <cellStyle name="Normal 2 3 2 2 2 5 3 2 2 3" xfId="33099"/>
    <cellStyle name="Normal 2 3 2 2 2 5 3 2 3" xfId="31443"/>
    <cellStyle name="Normal 2 3 2 2 2 5 3 2 3 2" xfId="41468"/>
    <cellStyle name="Normal 2 3 2 2 2 5 3 3" xfId="11259"/>
    <cellStyle name="Normal 2 3 2 2 2 5 3 3 2" xfId="39791"/>
    <cellStyle name="Normal 2 3 2 2 2 5 3 3 2 2" xfId="46614"/>
    <cellStyle name="Normal 2 3 2 2 2 5 3 4" xfId="24751"/>
    <cellStyle name="Normal 2 3 2 2 2 5 4" xfId="9547"/>
    <cellStyle name="Normal 2 3 2 2 2 5 4 2" xfId="14417"/>
    <cellStyle name="Normal 2 3 2 2 2 5 4 2 2" xfId="44929"/>
    <cellStyle name="Normal 2 3 2 2 2 5 4 2 2 2" xfId="49762"/>
    <cellStyle name="Normal 2 3 2 2 2 5 4 3" xfId="27930"/>
    <cellStyle name="Normal 2 3 2 2 2 5 5" xfId="23048"/>
    <cellStyle name="Normal 2 3 2 2 2 5 5 2" xfId="36230"/>
    <cellStyle name="Normal 2 3 2 2 2 6" xfId="1488"/>
    <cellStyle name="Normal 2 3 2 2 2 6 2" xfId="5559"/>
    <cellStyle name="Normal 2 3 2 2 2 6 2 2" xfId="6779"/>
    <cellStyle name="Normal 2 3 2 2 2 6 2 2 2" xfId="19132"/>
    <cellStyle name="Normal 2 3 2 2 2 6 2 2 2 2" xfId="20332"/>
    <cellStyle name="Normal 2 3 2 2 2 6 2 2 2 2 2" xfId="54458"/>
    <cellStyle name="Normal 2 3 2 2 2 6 2 2 2 2 2 2" xfId="55658"/>
    <cellStyle name="Normal 2 3 2 2 2 6 2 2 2 3" xfId="33834"/>
    <cellStyle name="Normal 2 3 2 2 2 6 2 2 3" xfId="32633"/>
    <cellStyle name="Normal 2 3 2 2 2 6 2 2 3 2" xfId="42207"/>
    <cellStyle name="Normal 2 3 2 2 2 6 2 3" xfId="12002"/>
    <cellStyle name="Normal 2 3 2 2 2 6 2 3 2" xfId="40996"/>
    <cellStyle name="Normal 2 3 2 2 2 6 2 3 2 2" xfId="47350"/>
    <cellStyle name="Normal 2 3 2 2 2 6 2 4" xfId="25487"/>
    <cellStyle name="Normal 2 3 2 2 2 6 3" xfId="10769"/>
    <cellStyle name="Normal 2 3 2 2 2 6 3 2" xfId="15172"/>
    <cellStyle name="Normal 2 3 2 2 2 6 3 2 2" xfId="46131"/>
    <cellStyle name="Normal 2 3 2 2 2 6 3 2 2 2" xfId="50510"/>
    <cellStyle name="Normal 2 3 2 2 2 6 3 3" xfId="28684"/>
    <cellStyle name="Normal 2 3 2 2 2 6 4" xfId="24257"/>
    <cellStyle name="Normal 2 3 2 2 2 6 4 2" xfId="36982"/>
    <cellStyle name="Normal 2 3 2 2 2 7" xfId="3487"/>
    <cellStyle name="Normal 2 3 2 2 2 7 2" xfId="13944"/>
    <cellStyle name="Normal 2 3 2 2 2 7 2 2" xfId="17141"/>
    <cellStyle name="Normal 2 3 2 2 2 7 2 2 2" xfId="49290"/>
    <cellStyle name="Normal 2 3 2 2 2 7 2 2 2 2" xfId="52469"/>
    <cellStyle name="Normal 2 3 2 2 2 7 2 3" xfId="30643"/>
    <cellStyle name="Normal 2 3 2 2 2 7 3" xfId="27433"/>
    <cellStyle name="Normal 2 3 2 2 2 7 3 2" xfId="38954"/>
    <cellStyle name="Normal 2 3 2 2 2 8" xfId="1919"/>
    <cellStyle name="Normal 2 3 2 2 2 8 2" xfId="35756"/>
    <cellStyle name="Normal 2 3 2 2 2 8 2 2" xfId="37398"/>
    <cellStyle name="Normal 2 3 2 2 2 9" xfId="14457"/>
    <cellStyle name="Normal 2 3 2 2 3" xfId="251"/>
    <cellStyle name="Normal 2 3 2 2 3 2" xfId="275"/>
    <cellStyle name="Normal 2 3 2 2 3 2 2" xfId="597"/>
    <cellStyle name="Normal 2 3 2 2 3 2 2 2" xfId="619"/>
    <cellStyle name="Normal 2 3 2 2 3 2 2 2 2" xfId="1393"/>
    <cellStyle name="Normal 2 3 2 2 3 2 2 2 2 2" xfId="1415"/>
    <cellStyle name="Normal 2 3 2 2 3 2 2 2 2 2 2" xfId="3411"/>
    <cellStyle name="Normal 2 3 2 2 3 2 2 2 2 2 2 2" xfId="3433"/>
    <cellStyle name="Normal 2 3 2 2 3 2 2 2 2 2 2 2 2" xfId="8626"/>
    <cellStyle name="Normal 2 3 2 2 3 2 2 2 2 2 2 2 2 2" xfId="8648"/>
    <cellStyle name="Normal 2 3 2 2 3 2 2 2 2 2 2 2 2 2 2" xfId="22178"/>
    <cellStyle name="Normal 2 3 2 2 3 2 2 2 2 2 2 2 2 2 2 2" xfId="22200"/>
    <cellStyle name="Normal 2 3 2 2 3 2 2 2 2 2 2 2 2 2 2 2 2" xfId="57504"/>
    <cellStyle name="Normal 2 3 2 2 3 2 2 2 2 2 2 2 2 2 2 2 2 2" xfId="57526"/>
    <cellStyle name="Normal 2 3 2 2 3 2 2 2 2 2 2 2 2 2 2 3" xfId="35703"/>
    <cellStyle name="Normal 2 3 2 2 3 2 2 2 2 2 2 2 2 2 3" xfId="35681"/>
    <cellStyle name="Normal 2 3 2 2 3 2 2 2 2 2 2 2 2 2 3 2" xfId="44075"/>
    <cellStyle name="Normal 2 3 2 2 3 2 2 2 2 2 2 2 2 3" xfId="13873"/>
    <cellStyle name="Normal 2 3 2 2 3 2 2 2 2 2 2 2 2 3 2" xfId="44053"/>
    <cellStyle name="Normal 2 3 2 2 3 2 2 2 2 2 2 2 2 3 2 2" xfId="49219"/>
    <cellStyle name="Normal 2 3 2 2 3 2 2 2 2 2 2 2 2 4" xfId="27358"/>
    <cellStyle name="Normal 2 3 2 2 3 2 2 2 2 2 2 2 3" xfId="13851"/>
    <cellStyle name="Normal 2 3 2 2 3 2 2 2 2 2 2 2 3 2" xfId="17090"/>
    <cellStyle name="Normal 2 3 2 2 3 2 2 2 2 2 2 2 3 2 2" xfId="49197"/>
    <cellStyle name="Normal 2 3 2 2 3 2 2 2 2 2 2 2 3 2 2 2" xfId="52418"/>
    <cellStyle name="Normal 2 3 2 2 3 2 2 2 2 2 2 2 3 3" xfId="30592"/>
    <cellStyle name="Normal 2 3 2 2 3 2 2 2 2 2 2 2 4" xfId="27336"/>
    <cellStyle name="Normal 2 3 2 2 3 2 2 2 2 2 2 2 4 2" xfId="38902"/>
    <cellStyle name="Normal 2 3 2 2 3 2 2 2 2 2 2 3" xfId="5470"/>
    <cellStyle name="Normal 2 3 2 2 3 2 2 2 2 2 2 3 2" xfId="17068"/>
    <cellStyle name="Normal 2 3 2 2 3 2 2 2 2 2 2 3 2 2" xfId="19043"/>
    <cellStyle name="Normal 2 3 2 2 3 2 2 2 2 2 2 3 2 2 2" xfId="52396"/>
    <cellStyle name="Normal 2 3 2 2 3 2 2 2 2 2 2 3 2 2 2 2" xfId="54369"/>
    <cellStyle name="Normal 2 3 2 2 3 2 2 2 2 2 2 3 2 3" xfId="32544"/>
    <cellStyle name="Normal 2 3 2 2 3 2 2 2 2 2 2 3 3" xfId="30570"/>
    <cellStyle name="Normal 2 3 2 2 3 2 2 2 2 2 2 3 3 2" xfId="40907"/>
    <cellStyle name="Normal 2 3 2 2 3 2 2 2 2 2 2 4" xfId="10673"/>
    <cellStyle name="Normal 2 3 2 2 3 2 2 2 2 2 2 4 2" xfId="38880"/>
    <cellStyle name="Normal 2 3 2 2 3 2 2 2 2 2 2 4 2 2" xfId="46036"/>
    <cellStyle name="Normal 2 3 2 2 3 2 2 2 2 2 2 5" xfId="24159"/>
    <cellStyle name="Normal 2 3 2 2 3 2 2 2 2 2 3" xfId="5448"/>
    <cellStyle name="Normal 2 3 2 2 3 2 2 2 2 2 3 2" xfId="6723"/>
    <cellStyle name="Normal 2 3 2 2 3 2 2 2 2 2 3 2 2" xfId="19021"/>
    <cellStyle name="Normal 2 3 2 2 3 2 2 2 2 2 3 2 2 2" xfId="20276"/>
    <cellStyle name="Normal 2 3 2 2 3 2 2 2 2 2 3 2 2 2 2" xfId="54347"/>
    <cellStyle name="Normal 2 3 2 2 3 2 2 2 2 2 3 2 2 2 2 2" xfId="55602"/>
    <cellStyle name="Normal 2 3 2 2 3 2 2 2 2 2 3 2 2 3" xfId="33778"/>
    <cellStyle name="Normal 2 3 2 2 3 2 2 2 2 2 3 2 3" xfId="32522"/>
    <cellStyle name="Normal 2 3 2 2 3 2 2 2 2 2 3 2 3 2" xfId="42151"/>
    <cellStyle name="Normal 2 3 2 2 3 2 2 2 2 2 3 3" xfId="11946"/>
    <cellStyle name="Normal 2 3 2 2 3 2 2 2 2 2 3 3 2" xfId="40885"/>
    <cellStyle name="Normal 2 3 2 2 3 2 2 2 2 2 3 3 2 2" xfId="47294"/>
    <cellStyle name="Normal 2 3 2 2 3 2 2 2 2 2 3 4" xfId="25431"/>
    <cellStyle name="Normal 2 3 2 2 3 2 2 2 2 2 4" xfId="10651"/>
    <cellStyle name="Normal 2 3 2 2 3 2 2 2 2 2 4 2" xfId="15104"/>
    <cellStyle name="Normal 2 3 2 2 3 2 2 2 2 2 4 2 2" xfId="46014"/>
    <cellStyle name="Normal 2 3 2 2 3 2 2 2 2 2 4 2 2 2" xfId="50443"/>
    <cellStyle name="Normal 2 3 2 2 3 2 2 2 2 2 4 3" xfId="28617"/>
    <cellStyle name="Normal 2 3 2 2 3 2 2 2 2 2 5" xfId="24137"/>
    <cellStyle name="Normal 2 3 2 2 3 2 2 2 2 2 5 2" xfId="36912"/>
    <cellStyle name="Normal 2 3 2 2 3 2 2 2 2 3" xfId="2222"/>
    <cellStyle name="Normal 2 3 2 2 3 2 2 2 2 3 2" xfId="6701"/>
    <cellStyle name="Normal 2 3 2 2 3 2 2 2 2 3 2 2" xfId="7456"/>
    <cellStyle name="Normal 2 3 2 2 3 2 2 2 2 3 2 2 2" xfId="20254"/>
    <cellStyle name="Normal 2 3 2 2 3 2 2 2 2 3 2 2 2 2" xfId="21008"/>
    <cellStyle name="Normal 2 3 2 2 3 2 2 2 2 3 2 2 2 2 2" xfId="55580"/>
    <cellStyle name="Normal 2 3 2 2 3 2 2 2 2 3 2 2 2 2 2 2" xfId="56334"/>
    <cellStyle name="Normal 2 3 2 2 3 2 2 2 2 3 2 2 2 3" xfId="34511"/>
    <cellStyle name="Normal 2 3 2 2 3 2 2 2 2 3 2 2 3" xfId="33756"/>
    <cellStyle name="Normal 2 3 2 2 3 2 2 2 2 3 2 2 3 2" xfId="42883"/>
    <cellStyle name="Normal 2 3 2 2 3 2 2 2 2 3 2 3" xfId="12681"/>
    <cellStyle name="Normal 2 3 2 2 3 2 2 2 2 3 2 3 2" xfId="42129"/>
    <cellStyle name="Normal 2 3 2 2 3 2 2 2 2 3 2 3 2 2" xfId="48027"/>
    <cellStyle name="Normal 2 3 2 2 3 2 2 2 2 3 2 4" xfId="26165"/>
    <cellStyle name="Normal 2 3 2 2 3 2 2 2 2 3 3" xfId="11924"/>
    <cellStyle name="Normal 2 3 2 2 3 2 2 2 2 3 3 2" xfId="15886"/>
    <cellStyle name="Normal 2 3 2 2 3 2 2 2 2 3 3 2 2" xfId="47272"/>
    <cellStyle name="Normal 2 3 2 2 3 2 2 2 2 3 3 2 2 2" xfId="51218"/>
    <cellStyle name="Normal 2 3 2 2 3 2 2 2 2 3 3 3" xfId="29392"/>
    <cellStyle name="Normal 2 3 2 2 3 2 2 2 2 3 4" xfId="25409"/>
    <cellStyle name="Normal 2 3 2 2 3 2 2 2 2 3 4 2" xfId="37700"/>
    <cellStyle name="Normal 2 3 2 2 3 2 2 2 2 4" xfId="4238"/>
    <cellStyle name="Normal 2 3 2 2 3 2 2 2 2 4 2" xfId="15082"/>
    <cellStyle name="Normal 2 3 2 2 3 2 2 2 2 4 2 2" xfId="17831"/>
    <cellStyle name="Normal 2 3 2 2 3 2 2 2 2 4 2 2 2" xfId="50421"/>
    <cellStyle name="Normal 2 3 2 2 3 2 2 2 2 4 2 2 2 2" xfId="53158"/>
    <cellStyle name="Normal 2 3 2 2 3 2 2 2 2 4 2 3" xfId="31333"/>
    <cellStyle name="Normal 2 3 2 2 3 2 2 2 2 4 3" xfId="28595"/>
    <cellStyle name="Normal 2 3 2 2 3 2 2 2 2 4 3 2" xfId="39681"/>
    <cellStyle name="Normal 2 3 2 2 3 2 2 2 2 5" xfId="9429"/>
    <cellStyle name="Normal 2 3 2 2 3 2 2 2 2 5 2" xfId="36890"/>
    <cellStyle name="Normal 2 3 2 2 3 2 2 2 2 5 2 2" xfId="44811"/>
    <cellStyle name="Normal 2 3 2 2 3 2 2 2 2 6" xfId="22925"/>
    <cellStyle name="Normal 2 3 2 2 3 2 2 2 3" xfId="2200"/>
    <cellStyle name="Normal 2 3 2 2 3 2 2 2 3 2" xfId="2709"/>
    <cellStyle name="Normal 2 3 2 2 3 2 2 2 3 2 2" xfId="7434"/>
    <cellStyle name="Normal 2 3 2 2 3 2 2 2 3 2 2 2" xfId="7928"/>
    <cellStyle name="Normal 2 3 2 2 3 2 2 2 3 2 2 2 2" xfId="20986"/>
    <cellStyle name="Normal 2 3 2 2 3 2 2 2 3 2 2 2 2 2" xfId="21480"/>
    <cellStyle name="Normal 2 3 2 2 3 2 2 2 3 2 2 2 2 2 2" xfId="56312"/>
    <cellStyle name="Normal 2 3 2 2 3 2 2 2 3 2 2 2 2 2 2 2" xfId="56806"/>
    <cellStyle name="Normal 2 3 2 2 3 2 2 2 3 2 2 2 2 3" xfId="34983"/>
    <cellStyle name="Normal 2 3 2 2 3 2 2 2 3 2 2 2 3" xfId="34489"/>
    <cellStyle name="Normal 2 3 2 2 3 2 2 2 3 2 2 2 3 2" xfId="43355"/>
    <cellStyle name="Normal 2 3 2 2 3 2 2 2 3 2 2 3" xfId="13153"/>
    <cellStyle name="Normal 2 3 2 2 3 2 2 2 3 2 2 3 2" xfId="42861"/>
    <cellStyle name="Normal 2 3 2 2 3 2 2 2 3 2 2 3 2 2" xfId="48499"/>
    <cellStyle name="Normal 2 3 2 2 3 2 2 2 3 2 2 4" xfId="26637"/>
    <cellStyle name="Normal 2 3 2 2 3 2 2 2 3 2 3" xfId="12659"/>
    <cellStyle name="Normal 2 3 2 2 3 2 2 2 3 2 3 2" xfId="16368"/>
    <cellStyle name="Normal 2 3 2 2 3 2 2 2 3 2 3 2 2" xfId="48005"/>
    <cellStyle name="Normal 2 3 2 2 3 2 2 2 3 2 3 2 2 2" xfId="51698"/>
    <cellStyle name="Normal 2 3 2 2 3 2 2 2 3 2 3 3" xfId="29872"/>
    <cellStyle name="Normal 2 3 2 2 3 2 2 2 3 2 4" xfId="26143"/>
    <cellStyle name="Normal 2 3 2 2 3 2 2 2 3 2 4 2" xfId="38182"/>
    <cellStyle name="Normal 2 3 2 2 3 2 2 2 3 3" xfId="4745"/>
    <cellStyle name="Normal 2 3 2 2 3 2 2 2 3 3 2" xfId="15864"/>
    <cellStyle name="Normal 2 3 2 2 3 2 2 2 3 3 2 2" xfId="18322"/>
    <cellStyle name="Normal 2 3 2 2 3 2 2 2 3 3 2 2 2" xfId="51196"/>
    <cellStyle name="Normal 2 3 2 2 3 2 2 2 3 3 2 2 2 2" xfId="53648"/>
    <cellStyle name="Normal 2 3 2 2 3 2 2 2 3 3 2 3" xfId="31823"/>
    <cellStyle name="Normal 2 3 2 2 3 2 2 2 3 3 3" xfId="29370"/>
    <cellStyle name="Normal 2 3 2 2 3 2 2 2 3 3 3 2" xfId="40183"/>
    <cellStyle name="Normal 2 3 2 2 3 2 2 2 3 4" xfId="9948"/>
    <cellStyle name="Normal 2 3 2 2 3 2 2 2 3 4 2" xfId="37678"/>
    <cellStyle name="Normal 2 3 2 2 3 2 2 2 3 4 2 2" xfId="45315"/>
    <cellStyle name="Normal 2 3 2 2 3 2 2 2 3 5" xfId="23438"/>
    <cellStyle name="Normal 2 3 2 2 3 2 2 2 4" xfId="4216"/>
    <cellStyle name="Normal 2 3 2 2 3 2 2 2 4 2" xfId="5950"/>
    <cellStyle name="Normal 2 3 2 2 3 2 2 2 4 2 2" xfId="17809"/>
    <cellStyle name="Normal 2 3 2 2 3 2 2 2 4 2 2 2" xfId="19517"/>
    <cellStyle name="Normal 2 3 2 2 3 2 2 2 4 2 2 2 2" xfId="53136"/>
    <cellStyle name="Normal 2 3 2 2 3 2 2 2 4 2 2 2 2 2" xfId="54843"/>
    <cellStyle name="Normal 2 3 2 2 3 2 2 2 4 2 2 3" xfId="33018"/>
    <cellStyle name="Normal 2 3 2 2 3 2 2 2 4 2 3" xfId="31311"/>
    <cellStyle name="Normal 2 3 2 2 3 2 2 2 4 2 3 2" xfId="41384"/>
    <cellStyle name="Normal 2 3 2 2 3 2 2 2 4 3" xfId="11175"/>
    <cellStyle name="Normal 2 3 2 2 3 2 2 2 4 3 2" xfId="39659"/>
    <cellStyle name="Normal 2 3 2 2 3 2 2 2 4 3 2 2" xfId="46533"/>
    <cellStyle name="Normal 2 3 2 2 3 2 2 2 4 4" xfId="24668"/>
    <cellStyle name="Normal 2 3 2 2 3 2 2 2 5" xfId="9407"/>
    <cellStyle name="Normal 2 3 2 2 3 2 2 2 5 2" xfId="14334"/>
    <cellStyle name="Normal 2 3 2 2 3 2 2 2 5 2 2" xfId="44789"/>
    <cellStyle name="Normal 2 3 2 2 3 2 2 2 5 2 2 2" xfId="49679"/>
    <cellStyle name="Normal 2 3 2 2 3 2 2 2 5 3" xfId="27844"/>
    <cellStyle name="Normal 2 3 2 2 3 2 2 2 6" xfId="22903"/>
    <cellStyle name="Normal 2 3 2 2 3 2 2 2 6 2" xfId="36146"/>
    <cellStyle name="Normal 2 3 2 2 3 2 2 3" xfId="947"/>
    <cellStyle name="Normal 2 3 2 2 3 2 2 3 2" xfId="2687"/>
    <cellStyle name="Normal 2 3 2 2 3 2 2 3 2 2" xfId="2985"/>
    <cellStyle name="Normal 2 3 2 2 3 2 2 3 2 2 2" xfId="7906"/>
    <cellStyle name="Normal 2 3 2 2 3 2 2 3 2 2 2 2" xfId="8200"/>
    <cellStyle name="Normal 2 3 2 2 3 2 2 3 2 2 2 2 2" xfId="21458"/>
    <cellStyle name="Normal 2 3 2 2 3 2 2 3 2 2 2 2 2 2" xfId="21752"/>
    <cellStyle name="Normal 2 3 2 2 3 2 2 3 2 2 2 2 2 2 2" xfId="56784"/>
    <cellStyle name="Normal 2 3 2 2 3 2 2 3 2 2 2 2 2 2 2 2" xfId="57078"/>
    <cellStyle name="Normal 2 3 2 2 3 2 2 3 2 2 2 2 2 3" xfId="35255"/>
    <cellStyle name="Normal 2 3 2 2 3 2 2 3 2 2 2 2 3" xfId="34961"/>
    <cellStyle name="Normal 2 3 2 2 3 2 2 3 2 2 2 2 3 2" xfId="43627"/>
    <cellStyle name="Normal 2 3 2 2 3 2 2 3 2 2 2 3" xfId="13425"/>
    <cellStyle name="Normal 2 3 2 2 3 2 2 3 2 2 2 3 2" xfId="43333"/>
    <cellStyle name="Normal 2 3 2 2 3 2 2 3 2 2 2 3 2 2" xfId="48771"/>
    <cellStyle name="Normal 2 3 2 2 3 2 2 3 2 2 2 4" xfId="26910"/>
    <cellStyle name="Normal 2 3 2 2 3 2 2 3 2 2 3" xfId="13131"/>
    <cellStyle name="Normal 2 3 2 2 3 2 2 3 2 2 3 2" xfId="16642"/>
    <cellStyle name="Normal 2 3 2 2 3 2 2 3 2 2 3 2 2" xfId="48477"/>
    <cellStyle name="Normal 2 3 2 2 3 2 2 3 2 2 3 2 2 2" xfId="51970"/>
    <cellStyle name="Normal 2 3 2 2 3 2 2 3 2 2 3 3" xfId="30144"/>
    <cellStyle name="Normal 2 3 2 2 3 2 2 3 2 2 4" xfId="26615"/>
    <cellStyle name="Normal 2 3 2 2 3 2 2 3 2 2 4 2" xfId="38454"/>
    <cellStyle name="Normal 2 3 2 2 3 2 2 3 2 3" xfId="5021"/>
    <cellStyle name="Normal 2 3 2 2 3 2 2 3 2 3 2" xfId="16346"/>
    <cellStyle name="Normal 2 3 2 2 3 2 2 3 2 3 2 2" xfId="18594"/>
    <cellStyle name="Normal 2 3 2 2 3 2 2 3 2 3 2 2 2" xfId="51676"/>
    <cellStyle name="Normal 2 3 2 2 3 2 2 3 2 3 2 2 2 2" xfId="53920"/>
    <cellStyle name="Normal 2 3 2 2 3 2 2 3 2 3 2 3" xfId="32095"/>
    <cellStyle name="Normal 2 3 2 2 3 2 2 3 2 3 3" xfId="29850"/>
    <cellStyle name="Normal 2 3 2 2 3 2 2 3 2 3 3 2" xfId="40458"/>
    <cellStyle name="Normal 2 3 2 2 3 2 2 3 2 4" xfId="10224"/>
    <cellStyle name="Normal 2 3 2 2 3 2 2 3 2 4 2" xfId="38160"/>
    <cellStyle name="Normal 2 3 2 2 3 2 2 3 2 4 2 2" xfId="45587"/>
    <cellStyle name="Normal 2 3 2 2 3 2 2 3 2 5" xfId="23710"/>
    <cellStyle name="Normal 2 3 2 2 3 2 2 3 3" xfId="4723"/>
    <cellStyle name="Normal 2 3 2 2 3 2 2 3 3 2" xfId="6258"/>
    <cellStyle name="Normal 2 3 2 2 3 2 2 3 3 2 2" xfId="18300"/>
    <cellStyle name="Normal 2 3 2 2 3 2 2 3 3 2 2 2" xfId="19815"/>
    <cellStyle name="Normal 2 3 2 2 3 2 2 3 3 2 2 2 2" xfId="53626"/>
    <cellStyle name="Normal 2 3 2 2 3 2 2 3 3 2 2 2 2 2" xfId="55141"/>
    <cellStyle name="Normal 2 3 2 2 3 2 2 3 3 2 2 3" xfId="33317"/>
    <cellStyle name="Normal 2 3 2 2 3 2 2 3 3 2 3" xfId="31801"/>
    <cellStyle name="Normal 2 3 2 2 3 2 2 3 3 2 3 2" xfId="41687"/>
    <cellStyle name="Normal 2 3 2 2 3 2 2 3 3 3" xfId="11483"/>
    <cellStyle name="Normal 2 3 2 2 3 2 2 3 3 3 2" xfId="40161"/>
    <cellStyle name="Normal 2 3 2 2 3 2 2 3 3 3 2 2" xfId="46832"/>
    <cellStyle name="Normal 2 3 2 2 3 2 2 3 3 4" xfId="24969"/>
    <cellStyle name="Normal 2 3 2 2 3 2 2 3 4" xfId="9926"/>
    <cellStyle name="Normal 2 3 2 2 3 2 2 3 4 2" xfId="14641"/>
    <cellStyle name="Normal 2 3 2 2 3 2 2 3 4 2 2" xfId="45293"/>
    <cellStyle name="Normal 2 3 2 2 3 2 2 3 4 2 2 2" xfId="49980"/>
    <cellStyle name="Normal 2 3 2 2 3 2 2 3 4 3" xfId="28152"/>
    <cellStyle name="Normal 2 3 2 2 3 2 2 3 5" xfId="23416"/>
    <cellStyle name="Normal 2 3 2 2 3 2 2 3 5 2" xfId="36449"/>
    <cellStyle name="Normal 2 3 2 2 3 2 2 4" xfId="1743"/>
    <cellStyle name="Normal 2 3 2 2 3 2 2 4 2" xfId="5928"/>
    <cellStyle name="Normal 2 3 2 2 3 2 2 4 2 2" xfId="6996"/>
    <cellStyle name="Normal 2 3 2 2 3 2 2 4 2 2 2" xfId="19495"/>
    <cellStyle name="Normal 2 3 2 2 3 2 2 4 2 2 2 2" xfId="20549"/>
    <cellStyle name="Normal 2 3 2 2 3 2 2 4 2 2 2 2 2" xfId="54821"/>
    <cellStyle name="Normal 2 3 2 2 3 2 2 4 2 2 2 2 2 2" xfId="55875"/>
    <cellStyle name="Normal 2 3 2 2 3 2 2 4 2 2 2 3" xfId="34051"/>
    <cellStyle name="Normal 2 3 2 2 3 2 2 4 2 2 3" xfId="32996"/>
    <cellStyle name="Normal 2 3 2 2 3 2 2 4 2 2 3 2" xfId="42424"/>
    <cellStyle name="Normal 2 3 2 2 3 2 2 4 2 3" xfId="12220"/>
    <cellStyle name="Normal 2 3 2 2 3 2 2 4 2 3 2" xfId="41362"/>
    <cellStyle name="Normal 2 3 2 2 3 2 2 4 2 3 2 2" xfId="47567"/>
    <cellStyle name="Normal 2 3 2 2 3 2 2 4 2 4" xfId="25705"/>
    <cellStyle name="Normal 2 3 2 2 3 2 2 4 3" xfId="11153"/>
    <cellStyle name="Normal 2 3 2 2 3 2 2 4 3 2" xfId="15415"/>
    <cellStyle name="Normal 2 3 2 2 3 2 2 4 3 2 2" xfId="46511"/>
    <cellStyle name="Normal 2 3 2 2 3 2 2 4 3 2 2 2" xfId="50748"/>
    <cellStyle name="Normal 2 3 2 2 3 2 2 4 3 3" xfId="28922"/>
    <cellStyle name="Normal 2 3 2 2 3 2 2 4 4" xfId="24646"/>
    <cellStyle name="Normal 2 3 2 2 3 2 2 4 4 2" xfId="37225"/>
    <cellStyle name="Normal 2 3 2 2 3 2 2 5" xfId="3749"/>
    <cellStyle name="Normal 2 3 2 2 3 2 2 5 2" xfId="14312"/>
    <cellStyle name="Normal 2 3 2 2 3 2 2 5 2 2" xfId="17365"/>
    <cellStyle name="Normal 2 3 2 2 3 2 2 5 2 2 2" xfId="49657"/>
    <cellStyle name="Normal 2 3 2 2 3 2 2 5 2 2 2 2" xfId="52692"/>
    <cellStyle name="Normal 2 3 2 2 3 2 2 5 2 3" xfId="30866"/>
    <cellStyle name="Normal 2 3 2 2 3 2 2 5 3" xfId="27822"/>
    <cellStyle name="Normal 2 3 2 2 3 2 2 5 3 2" xfId="39200"/>
    <cellStyle name="Normal 2 3 2 2 3 2 2 6" xfId="8939"/>
    <cellStyle name="Normal 2 3 2 2 3 2 2 6 2" xfId="36124"/>
    <cellStyle name="Normal 2 3 2 2 3 2 2 6 2 2" xfId="44338"/>
    <cellStyle name="Normal 2 3 2 2 3 2 2 7" xfId="22446"/>
    <cellStyle name="Normal 2 3 2 2 3 2 3" xfId="925"/>
    <cellStyle name="Normal 2 3 2 2 3 2 3 2" xfId="1140"/>
    <cellStyle name="Normal 2 3 2 2 3 2 3 2 2" xfId="2963"/>
    <cellStyle name="Normal 2 3 2 2 3 2 3 2 2 2" xfId="3165"/>
    <cellStyle name="Normal 2 3 2 2 3 2 3 2 2 2 2" xfId="8178"/>
    <cellStyle name="Normal 2 3 2 2 3 2 3 2 2 2 2 2" xfId="8380"/>
    <cellStyle name="Normal 2 3 2 2 3 2 3 2 2 2 2 2 2" xfId="21730"/>
    <cellStyle name="Normal 2 3 2 2 3 2 3 2 2 2 2 2 2 2" xfId="21932"/>
    <cellStyle name="Normal 2 3 2 2 3 2 3 2 2 2 2 2 2 2 2" xfId="57056"/>
    <cellStyle name="Normal 2 3 2 2 3 2 3 2 2 2 2 2 2 2 2 2" xfId="57258"/>
    <cellStyle name="Normal 2 3 2 2 3 2 3 2 2 2 2 2 2 3" xfId="35435"/>
    <cellStyle name="Normal 2 3 2 2 3 2 3 2 2 2 2 2 3" xfId="35233"/>
    <cellStyle name="Normal 2 3 2 2 3 2 3 2 2 2 2 2 3 2" xfId="43807"/>
    <cellStyle name="Normal 2 3 2 2 3 2 3 2 2 2 2 3" xfId="13605"/>
    <cellStyle name="Normal 2 3 2 2 3 2 3 2 2 2 2 3 2" xfId="43605"/>
    <cellStyle name="Normal 2 3 2 2 3 2 3 2 2 2 2 3 2 2" xfId="48951"/>
    <cellStyle name="Normal 2 3 2 2 3 2 3 2 2 2 2 4" xfId="27090"/>
    <cellStyle name="Normal 2 3 2 2 3 2 3 2 2 2 3" xfId="13403"/>
    <cellStyle name="Normal 2 3 2 2 3 2 3 2 2 2 3 2" xfId="16822"/>
    <cellStyle name="Normal 2 3 2 2 3 2 3 2 2 2 3 2 2" xfId="48749"/>
    <cellStyle name="Normal 2 3 2 2 3 2 3 2 2 2 3 2 2 2" xfId="52150"/>
    <cellStyle name="Normal 2 3 2 2 3 2 3 2 2 2 3 3" xfId="30324"/>
    <cellStyle name="Normal 2 3 2 2 3 2 3 2 2 2 4" xfId="26888"/>
    <cellStyle name="Normal 2 3 2 2 3 2 3 2 2 2 4 2" xfId="38634"/>
    <cellStyle name="Normal 2 3 2 2 3 2 3 2 2 3" xfId="5202"/>
    <cellStyle name="Normal 2 3 2 2 3 2 3 2 2 3 2" xfId="16620"/>
    <cellStyle name="Normal 2 3 2 2 3 2 3 2 2 3 2 2" xfId="18775"/>
    <cellStyle name="Normal 2 3 2 2 3 2 3 2 2 3 2 2 2" xfId="51948"/>
    <cellStyle name="Normal 2 3 2 2 3 2 3 2 2 3 2 2 2 2" xfId="54101"/>
    <cellStyle name="Normal 2 3 2 2 3 2 3 2 2 3 2 3" xfId="32276"/>
    <cellStyle name="Normal 2 3 2 2 3 2 3 2 2 3 3" xfId="30122"/>
    <cellStyle name="Normal 2 3 2 2 3 2 3 2 2 3 3 2" xfId="40639"/>
    <cellStyle name="Normal 2 3 2 2 3 2 3 2 2 4" xfId="10405"/>
    <cellStyle name="Normal 2 3 2 2 3 2 3 2 2 4 2" xfId="38432"/>
    <cellStyle name="Normal 2 3 2 2 3 2 3 2 2 4 2 2" xfId="45768"/>
    <cellStyle name="Normal 2 3 2 2 3 2 3 2 2 5" xfId="23891"/>
    <cellStyle name="Normal 2 3 2 2 3 2 3 2 3" xfId="4999"/>
    <cellStyle name="Normal 2 3 2 2 3 2 3 2 3 2" xfId="6448"/>
    <cellStyle name="Normal 2 3 2 2 3 2 3 2 3 2 2" xfId="18572"/>
    <cellStyle name="Normal 2 3 2 2 3 2 3 2 3 2 2 2" xfId="20003"/>
    <cellStyle name="Normal 2 3 2 2 3 2 3 2 3 2 2 2 2" xfId="53898"/>
    <cellStyle name="Normal 2 3 2 2 3 2 3 2 3 2 2 2 2 2" xfId="55329"/>
    <cellStyle name="Normal 2 3 2 2 3 2 3 2 3 2 2 3" xfId="33505"/>
    <cellStyle name="Normal 2 3 2 2 3 2 3 2 3 2 3" xfId="32073"/>
    <cellStyle name="Normal 2 3 2 2 3 2 3 2 3 2 3 2" xfId="41876"/>
    <cellStyle name="Normal 2 3 2 2 3 2 3 2 3 3" xfId="11672"/>
    <cellStyle name="Normal 2 3 2 2 3 2 3 2 3 3 2" xfId="40436"/>
    <cellStyle name="Normal 2 3 2 2 3 2 3 2 3 3 2 2" xfId="47021"/>
    <cellStyle name="Normal 2 3 2 2 3 2 3 2 3 4" xfId="25158"/>
    <cellStyle name="Normal 2 3 2 2 3 2 3 2 4" xfId="10202"/>
    <cellStyle name="Normal 2 3 2 2 3 2 3 2 4 2" xfId="14831"/>
    <cellStyle name="Normal 2 3 2 2 3 2 3 2 4 2 2" xfId="45565"/>
    <cellStyle name="Normal 2 3 2 2 3 2 3 2 4 2 2 2" xfId="50170"/>
    <cellStyle name="Normal 2 3 2 2 3 2 3 2 4 3" xfId="28343"/>
    <cellStyle name="Normal 2 3 2 2 3 2 3 2 5" xfId="23688"/>
    <cellStyle name="Normal 2 3 2 2 3 2 3 2 5 2" xfId="36639"/>
    <cellStyle name="Normal 2 3 2 2 3 2 3 3" xfId="1948"/>
    <cellStyle name="Normal 2 3 2 2 3 2 3 3 2" xfId="6236"/>
    <cellStyle name="Normal 2 3 2 2 3 2 3 3 2 2" xfId="7187"/>
    <cellStyle name="Normal 2 3 2 2 3 2 3 3 2 2 2" xfId="19793"/>
    <cellStyle name="Normal 2 3 2 2 3 2 3 3 2 2 2 2" xfId="20739"/>
    <cellStyle name="Normal 2 3 2 2 3 2 3 3 2 2 2 2 2" xfId="55119"/>
    <cellStyle name="Normal 2 3 2 2 3 2 3 3 2 2 2 2 2 2" xfId="56065"/>
    <cellStyle name="Normal 2 3 2 2 3 2 3 3 2 2 2 3" xfId="34242"/>
    <cellStyle name="Normal 2 3 2 2 3 2 3 3 2 2 3" xfId="33295"/>
    <cellStyle name="Normal 2 3 2 2 3 2 3 3 2 2 3 2" xfId="42614"/>
    <cellStyle name="Normal 2 3 2 2 3 2 3 3 2 3" xfId="12412"/>
    <cellStyle name="Normal 2 3 2 2 3 2 3 3 2 3 2" xfId="41665"/>
    <cellStyle name="Normal 2 3 2 2 3 2 3 3 2 3 2 2" xfId="47758"/>
    <cellStyle name="Normal 2 3 2 2 3 2 3 3 2 4" xfId="25896"/>
    <cellStyle name="Normal 2 3 2 2 3 2 3 3 3" xfId="11461"/>
    <cellStyle name="Normal 2 3 2 2 3 2 3 3 3 2" xfId="15613"/>
    <cellStyle name="Normal 2 3 2 2 3 2 3 3 3 2 2" xfId="46810"/>
    <cellStyle name="Normal 2 3 2 2 3 2 3 3 3 2 2 2" xfId="50945"/>
    <cellStyle name="Normal 2 3 2 2 3 2 3 3 3 3" xfId="29119"/>
    <cellStyle name="Normal 2 3 2 2 3 2 3 3 4" xfId="24947"/>
    <cellStyle name="Normal 2 3 2 2 3 2 3 3 4 2" xfId="37426"/>
    <cellStyle name="Normal 2 3 2 2 3 2 3 4" xfId="3962"/>
    <cellStyle name="Normal 2 3 2 2 3 2 3 4 2" xfId="14619"/>
    <cellStyle name="Normal 2 3 2 2 3 2 3 4 2 2" xfId="17562"/>
    <cellStyle name="Normal 2 3 2 2 3 2 3 4 2 2 2" xfId="49958"/>
    <cellStyle name="Normal 2 3 2 2 3 2 3 4 2 2 2 2" xfId="52889"/>
    <cellStyle name="Normal 2 3 2 2 3 2 3 4 2 3" xfId="31064"/>
    <cellStyle name="Normal 2 3 2 2 3 2 3 4 3" xfId="28130"/>
    <cellStyle name="Normal 2 3 2 2 3 2 3 4 3 2" xfId="39406"/>
    <cellStyle name="Normal 2 3 2 2 3 2 3 5" xfId="9155"/>
    <cellStyle name="Normal 2 3 2 2 3 2 3 5 2" xfId="36427"/>
    <cellStyle name="Normal 2 3 2 2 3 2 3 5 2 2" xfId="44542"/>
    <cellStyle name="Normal 2 3 2 2 3 2 3 6" xfId="22656"/>
    <cellStyle name="Normal 2 3 2 2 3 2 4" xfId="1721"/>
    <cellStyle name="Normal 2 3 2 2 3 2 4 2" xfId="2396"/>
    <cellStyle name="Normal 2 3 2 2 3 2 4 2 2" xfId="6974"/>
    <cellStyle name="Normal 2 3 2 2 3 2 4 2 2 2" xfId="7629"/>
    <cellStyle name="Normal 2 3 2 2 3 2 4 2 2 2 2" xfId="20527"/>
    <cellStyle name="Normal 2 3 2 2 3 2 4 2 2 2 2 2" xfId="21181"/>
    <cellStyle name="Normal 2 3 2 2 3 2 4 2 2 2 2 2 2" xfId="55853"/>
    <cellStyle name="Normal 2 3 2 2 3 2 4 2 2 2 2 2 2 2" xfId="56507"/>
    <cellStyle name="Normal 2 3 2 2 3 2 4 2 2 2 2 3" xfId="34684"/>
    <cellStyle name="Normal 2 3 2 2 3 2 4 2 2 2 3" xfId="34029"/>
    <cellStyle name="Normal 2 3 2 2 3 2 4 2 2 2 3 2" xfId="43056"/>
    <cellStyle name="Normal 2 3 2 2 3 2 4 2 2 3" xfId="12854"/>
    <cellStyle name="Normal 2 3 2 2 3 2 4 2 2 3 2" xfId="42402"/>
    <cellStyle name="Normal 2 3 2 2 3 2 4 2 2 3 2 2" xfId="48200"/>
    <cellStyle name="Normal 2 3 2 2 3 2 4 2 2 4" xfId="26338"/>
    <cellStyle name="Normal 2 3 2 2 3 2 4 2 3" xfId="12198"/>
    <cellStyle name="Normal 2 3 2 2 3 2 4 2 3 2" xfId="16059"/>
    <cellStyle name="Normal 2 3 2 2 3 2 4 2 3 2 2" xfId="47545"/>
    <cellStyle name="Normal 2 3 2 2 3 2 4 2 3 2 2 2" xfId="51391"/>
    <cellStyle name="Normal 2 3 2 2 3 2 4 2 3 3" xfId="29565"/>
    <cellStyle name="Normal 2 3 2 2 3 2 4 2 4" xfId="25683"/>
    <cellStyle name="Normal 2 3 2 2 3 2 4 2 4 2" xfId="37874"/>
    <cellStyle name="Normal 2 3 2 2 3 2 4 3" xfId="4431"/>
    <cellStyle name="Normal 2 3 2 2 3 2 4 3 2" xfId="15393"/>
    <cellStyle name="Normal 2 3 2 2 3 2 4 3 2 2" xfId="18022"/>
    <cellStyle name="Normal 2 3 2 2 3 2 4 3 2 2 2" xfId="50726"/>
    <cellStyle name="Normal 2 3 2 2 3 2 4 3 2 2 2 2" xfId="53348"/>
    <cellStyle name="Normal 2 3 2 2 3 2 4 3 2 3" xfId="31523"/>
    <cellStyle name="Normal 2 3 2 2 3 2 4 3 3" xfId="28900"/>
    <cellStyle name="Normal 2 3 2 2 3 2 4 3 3 2" xfId="39873"/>
    <cellStyle name="Normal 2 3 2 2 3 2 4 4" xfId="9634"/>
    <cellStyle name="Normal 2 3 2 2 3 2 4 4 2" xfId="37203"/>
    <cellStyle name="Normal 2 3 2 2 3 2 4 4 2 2" xfId="45014"/>
    <cellStyle name="Normal 2 3 2 2 3 2 4 5" xfId="23135"/>
    <cellStyle name="Normal 2 3 2 2 3 2 5" xfId="3726"/>
    <cellStyle name="Normal 2 3 2 2 3 2 5 2" xfId="5637"/>
    <cellStyle name="Normal 2 3 2 2 3 2 5 2 2" xfId="17342"/>
    <cellStyle name="Normal 2 3 2 2 3 2 5 2 2 2" xfId="19209"/>
    <cellStyle name="Normal 2 3 2 2 3 2 5 2 2 2 2" xfId="52669"/>
    <cellStyle name="Normal 2 3 2 2 3 2 5 2 2 2 2 2" xfId="54535"/>
    <cellStyle name="Normal 2 3 2 2 3 2 5 2 2 3" xfId="32710"/>
    <cellStyle name="Normal 2 3 2 2 3 2 5 2 3" xfId="30843"/>
    <cellStyle name="Normal 2 3 2 2 3 2 5 2 3 2" xfId="41073"/>
    <cellStyle name="Normal 2 3 2 2 3 2 5 3" xfId="10853"/>
    <cellStyle name="Normal 2 3 2 2 3 2 5 3 2" xfId="39177"/>
    <cellStyle name="Normal 2 3 2 2 3 2 5 3 2 2" xfId="46215"/>
    <cellStyle name="Normal 2 3 2 2 3 2 5 4" xfId="24345"/>
    <cellStyle name="Normal 2 3 2 2 3 2 6" xfId="8916"/>
    <cellStyle name="Normal 2 3 2 2 3 2 6 2" xfId="14021"/>
    <cellStyle name="Normal 2 3 2 2 3 2 6 2 2" xfId="44315"/>
    <cellStyle name="Normal 2 3 2 2 3 2 6 2 2 2" xfId="49367"/>
    <cellStyle name="Normal 2 3 2 2 3 2 6 3" xfId="27516"/>
    <cellStyle name="Normal 2 3 2 2 3 2 7" xfId="22423"/>
    <cellStyle name="Normal 2 3 2 2 3 2 7 2" xfId="35833"/>
    <cellStyle name="Normal 2 3 2 2 3 3" xfId="421"/>
    <cellStyle name="Normal 2 3 2 2 3 3 2" xfId="1117"/>
    <cellStyle name="Normal 2 3 2 2 3 3 2 2" xfId="1250"/>
    <cellStyle name="Normal 2 3 2 2 3 3 2 2 2" xfId="3142"/>
    <cellStyle name="Normal 2 3 2 2 3 3 2 2 2 2" xfId="3268"/>
    <cellStyle name="Normal 2 3 2 2 3 3 2 2 2 2 2" xfId="8357"/>
    <cellStyle name="Normal 2 3 2 2 3 3 2 2 2 2 2 2" xfId="8483"/>
    <cellStyle name="Normal 2 3 2 2 3 3 2 2 2 2 2 2 2" xfId="21909"/>
    <cellStyle name="Normal 2 3 2 2 3 3 2 2 2 2 2 2 2 2" xfId="22035"/>
    <cellStyle name="Normal 2 3 2 2 3 3 2 2 2 2 2 2 2 2 2" xfId="57235"/>
    <cellStyle name="Normal 2 3 2 2 3 3 2 2 2 2 2 2 2 2 2 2" xfId="57361"/>
    <cellStyle name="Normal 2 3 2 2 3 3 2 2 2 2 2 2 2 3" xfId="35538"/>
    <cellStyle name="Normal 2 3 2 2 3 3 2 2 2 2 2 2 3" xfId="35412"/>
    <cellStyle name="Normal 2 3 2 2 3 3 2 2 2 2 2 2 3 2" xfId="43910"/>
    <cellStyle name="Normal 2 3 2 2 3 3 2 2 2 2 2 3" xfId="13708"/>
    <cellStyle name="Normal 2 3 2 2 3 3 2 2 2 2 2 3 2" xfId="43784"/>
    <cellStyle name="Normal 2 3 2 2 3 3 2 2 2 2 2 3 2 2" xfId="49054"/>
    <cellStyle name="Normal 2 3 2 2 3 3 2 2 2 2 2 4" xfId="27193"/>
    <cellStyle name="Normal 2 3 2 2 3 3 2 2 2 2 3" xfId="13582"/>
    <cellStyle name="Normal 2 3 2 2 3 3 2 2 2 2 3 2" xfId="16925"/>
    <cellStyle name="Normal 2 3 2 2 3 3 2 2 2 2 3 2 2" xfId="48928"/>
    <cellStyle name="Normal 2 3 2 2 3 3 2 2 2 2 3 2 2 2" xfId="52253"/>
    <cellStyle name="Normal 2 3 2 2 3 3 2 2 2 2 3 3" xfId="30427"/>
    <cellStyle name="Normal 2 3 2 2 3 3 2 2 2 2 4" xfId="27067"/>
    <cellStyle name="Normal 2 3 2 2 3 3 2 2 2 2 4 2" xfId="38737"/>
    <cellStyle name="Normal 2 3 2 2 3 3 2 2 2 3" xfId="5305"/>
    <cellStyle name="Normal 2 3 2 2 3 3 2 2 2 3 2" xfId="16799"/>
    <cellStyle name="Normal 2 3 2 2 3 3 2 2 2 3 2 2" xfId="18878"/>
    <cellStyle name="Normal 2 3 2 2 3 3 2 2 2 3 2 2 2" xfId="52127"/>
    <cellStyle name="Normal 2 3 2 2 3 3 2 2 2 3 2 2 2 2" xfId="54204"/>
    <cellStyle name="Normal 2 3 2 2 3 3 2 2 2 3 2 3" xfId="32379"/>
    <cellStyle name="Normal 2 3 2 2 3 3 2 2 2 3 3" xfId="30301"/>
    <cellStyle name="Normal 2 3 2 2 3 3 2 2 2 3 3 2" xfId="40742"/>
    <cellStyle name="Normal 2 3 2 2 3 3 2 2 2 4" xfId="10508"/>
    <cellStyle name="Normal 2 3 2 2 3 3 2 2 2 4 2" xfId="38611"/>
    <cellStyle name="Normal 2 3 2 2 3 3 2 2 2 4 2 2" xfId="45871"/>
    <cellStyle name="Normal 2 3 2 2 3 3 2 2 2 5" xfId="23994"/>
    <cellStyle name="Normal 2 3 2 2 3 3 2 2 3" xfId="5179"/>
    <cellStyle name="Normal 2 3 2 2 3 3 2 2 3 2" xfId="6558"/>
    <cellStyle name="Normal 2 3 2 2 3 3 2 2 3 2 2" xfId="18752"/>
    <cellStyle name="Normal 2 3 2 2 3 3 2 2 3 2 2 2" xfId="20111"/>
    <cellStyle name="Normal 2 3 2 2 3 3 2 2 3 2 2 2 2" xfId="54078"/>
    <cellStyle name="Normal 2 3 2 2 3 3 2 2 3 2 2 2 2 2" xfId="55437"/>
    <cellStyle name="Normal 2 3 2 2 3 3 2 2 3 2 2 3" xfId="33613"/>
    <cellStyle name="Normal 2 3 2 2 3 3 2 2 3 2 3" xfId="32253"/>
    <cellStyle name="Normal 2 3 2 2 3 3 2 2 3 2 3 2" xfId="41986"/>
    <cellStyle name="Normal 2 3 2 2 3 3 2 2 3 3" xfId="11781"/>
    <cellStyle name="Normal 2 3 2 2 3 3 2 2 3 3 2" xfId="40616"/>
    <cellStyle name="Normal 2 3 2 2 3 3 2 2 3 3 2 2" xfId="47129"/>
    <cellStyle name="Normal 2 3 2 2 3 3 2 2 3 4" xfId="25266"/>
    <cellStyle name="Normal 2 3 2 2 3 3 2 2 4" xfId="10382"/>
    <cellStyle name="Normal 2 3 2 2 3 3 2 2 4 2" xfId="14939"/>
    <cellStyle name="Normal 2 3 2 2 3 3 2 2 4 2 2" xfId="45745"/>
    <cellStyle name="Normal 2 3 2 2 3 3 2 2 4 2 2 2" xfId="50278"/>
    <cellStyle name="Normal 2 3 2 2 3 3 2 2 4 3" xfId="28452"/>
    <cellStyle name="Normal 2 3 2 2 3 3 2 2 5" xfId="23868"/>
    <cellStyle name="Normal 2 3 2 2 3 3 2 2 5 2" xfId="36747"/>
    <cellStyle name="Normal 2 3 2 2 3 3 2 3" xfId="2056"/>
    <cellStyle name="Normal 2 3 2 2 3 3 2 3 2" xfId="6425"/>
    <cellStyle name="Normal 2 3 2 2 3 3 2 3 2 2" xfId="7290"/>
    <cellStyle name="Normal 2 3 2 2 3 3 2 3 2 2 2" xfId="19980"/>
    <cellStyle name="Normal 2 3 2 2 3 3 2 3 2 2 2 2" xfId="20842"/>
    <cellStyle name="Normal 2 3 2 2 3 3 2 3 2 2 2 2 2" xfId="55306"/>
    <cellStyle name="Normal 2 3 2 2 3 3 2 3 2 2 2 2 2 2" xfId="56168"/>
    <cellStyle name="Normal 2 3 2 2 3 3 2 3 2 2 2 3" xfId="34345"/>
    <cellStyle name="Normal 2 3 2 2 3 3 2 3 2 2 3" xfId="33482"/>
    <cellStyle name="Normal 2 3 2 2 3 3 2 3 2 2 3 2" xfId="42717"/>
    <cellStyle name="Normal 2 3 2 2 3 3 2 3 2 3" xfId="12515"/>
    <cellStyle name="Normal 2 3 2 2 3 3 2 3 2 3 2" xfId="41853"/>
    <cellStyle name="Normal 2 3 2 2 3 3 2 3 2 3 2 2" xfId="47861"/>
    <cellStyle name="Normal 2 3 2 2 3 3 2 3 2 4" xfId="25999"/>
    <cellStyle name="Normal 2 3 2 2 3 3 2 3 3" xfId="11649"/>
    <cellStyle name="Normal 2 3 2 2 3 3 2 3 3 2" xfId="15720"/>
    <cellStyle name="Normal 2 3 2 2 3 3 2 3 3 2 2" xfId="46998"/>
    <cellStyle name="Normal 2 3 2 2 3 3 2 3 3 2 2 2" xfId="51052"/>
    <cellStyle name="Normal 2 3 2 2 3 3 2 3 3 3" xfId="29226"/>
    <cellStyle name="Normal 2 3 2 2 3 3 2 3 4" xfId="25135"/>
    <cellStyle name="Normal 2 3 2 2 3 3 2 3 4 2" xfId="37534"/>
    <cellStyle name="Normal 2 3 2 2 3 3 2 4" xfId="4072"/>
    <cellStyle name="Normal 2 3 2 2 3 3 2 4 2" xfId="14808"/>
    <cellStyle name="Normal 2 3 2 2 3 3 2 4 2 2" xfId="17665"/>
    <cellStyle name="Normal 2 3 2 2 3 3 2 4 2 2 2" xfId="50147"/>
    <cellStyle name="Normal 2 3 2 2 3 3 2 4 2 2 2 2" xfId="52992"/>
    <cellStyle name="Normal 2 3 2 2 3 3 2 4 2 3" xfId="31167"/>
    <cellStyle name="Normal 2 3 2 2 3 3 2 4 3" xfId="28320"/>
    <cellStyle name="Normal 2 3 2 2 3 3 2 4 3 2" xfId="39515"/>
    <cellStyle name="Normal 2 3 2 2 3 3 2 5" xfId="9263"/>
    <cellStyle name="Normal 2 3 2 2 3 3 2 5 2" xfId="36616"/>
    <cellStyle name="Normal 2 3 2 2 3 3 2 5 2 2" xfId="44645"/>
    <cellStyle name="Normal 2 3 2 2 3 3 2 6" xfId="22759"/>
    <cellStyle name="Normal 2 3 2 2 3 3 3" xfId="1925"/>
    <cellStyle name="Normal 2 3 2 2 3 3 3 2" xfId="2523"/>
    <cellStyle name="Normal 2 3 2 2 3 3 3 2 2" xfId="7164"/>
    <cellStyle name="Normal 2 3 2 2 3 3 3 2 2 2" xfId="7748"/>
    <cellStyle name="Normal 2 3 2 2 3 3 3 2 2 2 2" xfId="20716"/>
    <cellStyle name="Normal 2 3 2 2 3 3 3 2 2 2 2 2" xfId="21300"/>
    <cellStyle name="Normal 2 3 2 2 3 3 3 2 2 2 2 2 2" xfId="56042"/>
    <cellStyle name="Normal 2 3 2 2 3 3 3 2 2 2 2 2 2 2" xfId="56626"/>
    <cellStyle name="Normal 2 3 2 2 3 3 3 2 2 2 2 3" xfId="34803"/>
    <cellStyle name="Normal 2 3 2 2 3 3 3 2 2 2 3" xfId="34219"/>
    <cellStyle name="Normal 2 3 2 2 3 3 3 2 2 2 3 2" xfId="43175"/>
    <cellStyle name="Normal 2 3 2 2 3 3 3 2 2 3" xfId="12973"/>
    <cellStyle name="Normal 2 3 2 2 3 3 3 2 2 3 2" xfId="42591"/>
    <cellStyle name="Normal 2 3 2 2 3 3 3 2 2 3 2 2" xfId="48319"/>
    <cellStyle name="Normal 2 3 2 2 3 3 3 2 2 4" xfId="26457"/>
    <cellStyle name="Normal 2 3 2 2 3 3 3 2 3" xfId="12389"/>
    <cellStyle name="Normal 2 3 2 2 3 3 3 2 3 2" xfId="16184"/>
    <cellStyle name="Normal 2 3 2 2 3 3 3 2 3 2 2" xfId="47735"/>
    <cellStyle name="Normal 2 3 2 2 3 3 3 2 3 2 2 2" xfId="51515"/>
    <cellStyle name="Normal 2 3 2 2 3 3 3 2 3 3" xfId="29689"/>
    <cellStyle name="Normal 2 3 2 2 3 3 3 2 4" xfId="25873"/>
    <cellStyle name="Normal 2 3 2 2 3 3 3 2 4 2" xfId="37998"/>
    <cellStyle name="Normal 2 3 2 2 3 3 3 3" xfId="4558"/>
    <cellStyle name="Normal 2 3 2 2 3 3 3 3 2" xfId="15590"/>
    <cellStyle name="Normal 2 3 2 2 3 3 3 3 2 2" xfId="18141"/>
    <cellStyle name="Normal 2 3 2 2 3 3 3 3 2 2 2" xfId="50922"/>
    <cellStyle name="Normal 2 3 2 2 3 3 3 3 2 2 2 2" xfId="53467"/>
    <cellStyle name="Normal 2 3 2 2 3 3 3 3 2 3" xfId="31642"/>
    <cellStyle name="Normal 2 3 2 2 3 3 3 3 3" xfId="29096"/>
    <cellStyle name="Normal 2 3 2 2 3 3 3 3 3 2" xfId="39999"/>
    <cellStyle name="Normal 2 3 2 2 3 3 3 4" xfId="9761"/>
    <cellStyle name="Normal 2 3 2 2 3 3 3 4 2" xfId="37403"/>
    <cellStyle name="Normal 2 3 2 2 3 3 3 4 2 2" xfId="45134"/>
    <cellStyle name="Normal 2 3 2 2 3 3 3 5" xfId="23257"/>
    <cellStyle name="Normal 2 3 2 2 3 3 4" xfId="3939"/>
    <cellStyle name="Normal 2 3 2 2 3 3 4 2" xfId="5764"/>
    <cellStyle name="Normal 2 3 2 2 3 3 4 2 2" xfId="17539"/>
    <cellStyle name="Normal 2 3 2 2 3 3 4 2 2 2" xfId="19333"/>
    <cellStyle name="Normal 2 3 2 2 3 3 4 2 2 2 2" xfId="52866"/>
    <cellStyle name="Normal 2 3 2 2 3 3 4 2 2 2 2 2" xfId="54659"/>
    <cellStyle name="Normal 2 3 2 2 3 3 4 2 2 3" xfId="32834"/>
    <cellStyle name="Normal 2 3 2 2 3 3 4 2 3" xfId="31041"/>
    <cellStyle name="Normal 2 3 2 2 3 3 4 2 3 2" xfId="41199"/>
    <cellStyle name="Normal 2 3 2 2 3 3 4 3" xfId="10985"/>
    <cellStyle name="Normal 2 3 2 2 3 3 4 3 2" xfId="39383"/>
    <cellStyle name="Normal 2 3 2 2 3 3 4 3 2 2" xfId="46344"/>
    <cellStyle name="Normal 2 3 2 2 3 3 4 4" xfId="24478"/>
    <cellStyle name="Normal 2 3 2 2 3 3 5" xfId="9131"/>
    <cellStyle name="Normal 2 3 2 2 3 3 5 2" xfId="14148"/>
    <cellStyle name="Normal 2 3 2 2 3 3 5 2 2" xfId="44519"/>
    <cellStyle name="Normal 2 3 2 2 3 3 5 2 2 2" xfId="49493"/>
    <cellStyle name="Normal 2 3 2 2 3 3 5 3" xfId="27650"/>
    <cellStyle name="Normal 2 3 2 2 3 3 6" xfId="22633"/>
    <cellStyle name="Normal 2 3 2 2 3 3 6 2" xfId="35959"/>
    <cellStyle name="Normal 2 3 2 2 3 4" xfId="742"/>
    <cellStyle name="Normal 2 3 2 2 3 4 2" xfId="2373"/>
    <cellStyle name="Normal 2 3 2 2 3 4 2 2" xfId="2812"/>
    <cellStyle name="Normal 2 3 2 2 3 4 2 2 2" xfId="7606"/>
    <cellStyle name="Normal 2 3 2 2 3 4 2 2 2 2" xfId="8028"/>
    <cellStyle name="Normal 2 3 2 2 3 4 2 2 2 2 2" xfId="21158"/>
    <cellStyle name="Normal 2 3 2 2 3 4 2 2 2 2 2 2" xfId="21580"/>
    <cellStyle name="Normal 2 3 2 2 3 4 2 2 2 2 2 2 2" xfId="56484"/>
    <cellStyle name="Normal 2 3 2 2 3 4 2 2 2 2 2 2 2 2" xfId="56906"/>
    <cellStyle name="Normal 2 3 2 2 3 4 2 2 2 2 2 3" xfId="35083"/>
    <cellStyle name="Normal 2 3 2 2 3 4 2 2 2 2 3" xfId="34661"/>
    <cellStyle name="Normal 2 3 2 2 3 4 2 2 2 2 3 2" xfId="43455"/>
    <cellStyle name="Normal 2 3 2 2 3 4 2 2 2 3" xfId="13253"/>
    <cellStyle name="Normal 2 3 2 2 3 4 2 2 2 3 2" xfId="43033"/>
    <cellStyle name="Normal 2 3 2 2 3 4 2 2 2 3 2 2" xfId="48599"/>
    <cellStyle name="Normal 2 3 2 2 3 4 2 2 2 4" xfId="26737"/>
    <cellStyle name="Normal 2 3 2 2 3 4 2 2 3" xfId="12831"/>
    <cellStyle name="Normal 2 3 2 2 3 4 2 2 3 2" xfId="16470"/>
    <cellStyle name="Normal 2 3 2 2 3 4 2 2 3 2 2" xfId="48177"/>
    <cellStyle name="Normal 2 3 2 2 3 4 2 2 3 2 2 2" xfId="51798"/>
    <cellStyle name="Normal 2 3 2 2 3 4 2 2 3 3" xfId="29972"/>
    <cellStyle name="Normal 2 3 2 2 3 4 2 2 4" xfId="26315"/>
    <cellStyle name="Normal 2 3 2 2 3 4 2 2 4 2" xfId="38282"/>
    <cellStyle name="Normal 2 3 2 2 3 4 2 3" xfId="4848"/>
    <cellStyle name="Normal 2 3 2 2 3 4 2 3 2" xfId="16036"/>
    <cellStyle name="Normal 2 3 2 2 3 4 2 3 2 2" xfId="18422"/>
    <cellStyle name="Normal 2 3 2 2 3 4 2 3 2 2 2" xfId="51368"/>
    <cellStyle name="Normal 2 3 2 2 3 4 2 3 2 2 2 2" xfId="53748"/>
    <cellStyle name="Normal 2 3 2 2 3 4 2 3 2 3" xfId="31923"/>
    <cellStyle name="Normal 2 3 2 2 3 4 2 3 3" xfId="29542"/>
    <cellStyle name="Normal 2 3 2 2 3 4 2 3 3 2" xfId="40285"/>
    <cellStyle name="Normal 2 3 2 2 3 4 2 4" xfId="10051"/>
    <cellStyle name="Normal 2 3 2 2 3 4 2 4 2" xfId="37851"/>
    <cellStyle name="Normal 2 3 2 2 3 4 2 4 2 2" xfId="45415"/>
    <cellStyle name="Normal 2 3 2 2 3 4 2 5" xfId="23538"/>
    <cellStyle name="Normal 2 3 2 2 3 4 3" xfId="4407"/>
    <cellStyle name="Normal 2 3 2 2 3 4 3 2" xfId="6064"/>
    <cellStyle name="Normal 2 3 2 2 3 4 3 2 2" xfId="17998"/>
    <cellStyle name="Normal 2 3 2 2 3 4 3 2 2 2" xfId="19628"/>
    <cellStyle name="Normal 2 3 2 2 3 4 3 2 2 2 2" xfId="53324"/>
    <cellStyle name="Normal 2 3 2 2 3 4 3 2 2 2 2 2" xfId="54954"/>
    <cellStyle name="Normal 2 3 2 2 3 4 3 2 2 3" xfId="33129"/>
    <cellStyle name="Normal 2 3 2 2 3 4 3 2 3" xfId="31499"/>
    <cellStyle name="Normal 2 3 2 2 3 4 3 2 3 2" xfId="41498"/>
    <cellStyle name="Normal 2 3 2 2 3 4 3 3" xfId="11290"/>
    <cellStyle name="Normal 2 3 2 2 3 4 3 3 2" xfId="39849"/>
    <cellStyle name="Normal 2 3 2 2 3 4 3 3 2 2" xfId="46645"/>
    <cellStyle name="Normal 2 3 2 2 3 4 3 4" xfId="24782"/>
    <cellStyle name="Normal 2 3 2 2 3 4 4" xfId="9610"/>
    <cellStyle name="Normal 2 3 2 2 3 4 4 2" xfId="14448"/>
    <cellStyle name="Normal 2 3 2 2 3 4 4 2 2" xfId="44990"/>
    <cellStyle name="Normal 2 3 2 2 3 4 4 2 2 2" xfId="49792"/>
    <cellStyle name="Normal 2 3 2 2 3 4 4 3" xfId="27960"/>
    <cellStyle name="Normal 2 3 2 2 3 4 5" xfId="23111"/>
    <cellStyle name="Normal 2 3 2 2 3 4 5 2" xfId="36260"/>
    <cellStyle name="Normal 2 3 2 2 3 5" xfId="1527"/>
    <cellStyle name="Normal 2 3 2 2 3 5 2" xfId="5614"/>
    <cellStyle name="Normal 2 3 2 2 3 5 2 2" xfId="6814"/>
    <cellStyle name="Normal 2 3 2 2 3 5 2 2 2" xfId="19186"/>
    <cellStyle name="Normal 2 3 2 2 3 5 2 2 2 2" xfId="20367"/>
    <cellStyle name="Normal 2 3 2 2 3 5 2 2 2 2 2" xfId="54512"/>
    <cellStyle name="Normal 2 3 2 2 3 5 2 2 2 2 2 2" xfId="55693"/>
    <cellStyle name="Normal 2 3 2 2 3 5 2 2 2 3" xfId="33869"/>
    <cellStyle name="Normal 2 3 2 2 3 5 2 2 3" xfId="32687"/>
    <cellStyle name="Normal 2 3 2 2 3 5 2 2 3 2" xfId="42242"/>
    <cellStyle name="Normal 2 3 2 2 3 5 2 3" xfId="12038"/>
    <cellStyle name="Normal 2 3 2 2 3 5 2 3 2" xfId="41050"/>
    <cellStyle name="Normal 2 3 2 2 3 5 2 3 2 2" xfId="47385"/>
    <cellStyle name="Normal 2 3 2 2 3 5 2 4" xfId="25523"/>
    <cellStyle name="Normal 2 3 2 2 3 5 3" xfId="10830"/>
    <cellStyle name="Normal 2 3 2 2 3 5 3 2" xfId="15207"/>
    <cellStyle name="Normal 2 3 2 2 3 5 3 2 2" xfId="46192"/>
    <cellStyle name="Normal 2 3 2 2 3 5 3 2 2 2" xfId="50545"/>
    <cellStyle name="Normal 2 3 2 2 3 5 3 3" xfId="28719"/>
    <cellStyle name="Normal 2 3 2 2 3 5 4" xfId="24322"/>
    <cellStyle name="Normal 2 3 2 2 3 5 4 2" xfId="37017"/>
    <cellStyle name="Normal 2 3 2 2 3 6" xfId="3528"/>
    <cellStyle name="Normal 2 3 2 2 3 6 2" xfId="13998"/>
    <cellStyle name="Normal 2 3 2 2 3 6 2 2" xfId="17179"/>
    <cellStyle name="Normal 2 3 2 2 3 6 2 2 2" xfId="49344"/>
    <cellStyle name="Normal 2 3 2 2 3 6 2 2 2 2" xfId="52506"/>
    <cellStyle name="Normal 2 3 2 2 3 6 2 3" xfId="30680"/>
    <cellStyle name="Normal 2 3 2 2 3 6 3" xfId="27492"/>
    <cellStyle name="Normal 2 3 2 2 3 6 3 2" xfId="38992"/>
    <cellStyle name="Normal 2 3 2 2 3 7" xfId="8722"/>
    <cellStyle name="Normal 2 3 2 2 3 7 2" xfId="35810"/>
    <cellStyle name="Normal 2 3 2 2 3 7 2 2" xfId="44147"/>
    <cellStyle name="Normal 2 3 2 2 3 8" xfId="22251"/>
    <cellStyle name="Normal 2 3 2 2 4" xfId="392"/>
    <cellStyle name="Normal 2 3 2 2 4 2" xfId="493"/>
    <cellStyle name="Normal 2 3 2 2 4 2 2" xfId="1223"/>
    <cellStyle name="Normal 2 3 2 2 4 2 2 2" xfId="1306"/>
    <cellStyle name="Normal 2 3 2 2 4 2 2 2 2" xfId="3241"/>
    <cellStyle name="Normal 2 3 2 2 4 2 2 2 2 2" xfId="3324"/>
    <cellStyle name="Normal 2 3 2 2 4 2 2 2 2 2 2" xfId="8456"/>
    <cellStyle name="Normal 2 3 2 2 4 2 2 2 2 2 2 2" xfId="8539"/>
    <cellStyle name="Normal 2 3 2 2 4 2 2 2 2 2 2 2 2" xfId="22008"/>
    <cellStyle name="Normal 2 3 2 2 4 2 2 2 2 2 2 2 2 2" xfId="22091"/>
    <cellStyle name="Normal 2 3 2 2 4 2 2 2 2 2 2 2 2 2 2" xfId="57334"/>
    <cellStyle name="Normal 2 3 2 2 4 2 2 2 2 2 2 2 2 2 2 2" xfId="57417"/>
    <cellStyle name="Normal 2 3 2 2 4 2 2 2 2 2 2 2 2 3" xfId="35594"/>
    <cellStyle name="Normal 2 3 2 2 4 2 2 2 2 2 2 2 3" xfId="35511"/>
    <cellStyle name="Normal 2 3 2 2 4 2 2 2 2 2 2 2 3 2" xfId="43966"/>
    <cellStyle name="Normal 2 3 2 2 4 2 2 2 2 2 2 3" xfId="13764"/>
    <cellStyle name="Normal 2 3 2 2 4 2 2 2 2 2 2 3 2" xfId="43883"/>
    <cellStyle name="Normal 2 3 2 2 4 2 2 2 2 2 2 3 2 2" xfId="49110"/>
    <cellStyle name="Normal 2 3 2 2 4 2 2 2 2 2 2 4" xfId="27249"/>
    <cellStyle name="Normal 2 3 2 2 4 2 2 2 2 2 3" xfId="13681"/>
    <cellStyle name="Normal 2 3 2 2 4 2 2 2 2 2 3 2" xfId="16981"/>
    <cellStyle name="Normal 2 3 2 2 4 2 2 2 2 2 3 2 2" xfId="49027"/>
    <cellStyle name="Normal 2 3 2 2 4 2 2 2 2 2 3 2 2 2" xfId="52309"/>
    <cellStyle name="Normal 2 3 2 2 4 2 2 2 2 2 3 3" xfId="30483"/>
    <cellStyle name="Normal 2 3 2 2 4 2 2 2 2 2 4" xfId="27166"/>
    <cellStyle name="Normal 2 3 2 2 4 2 2 2 2 2 4 2" xfId="38793"/>
    <cellStyle name="Normal 2 3 2 2 4 2 2 2 2 3" xfId="5361"/>
    <cellStyle name="Normal 2 3 2 2 4 2 2 2 2 3 2" xfId="16898"/>
    <cellStyle name="Normal 2 3 2 2 4 2 2 2 2 3 2 2" xfId="18934"/>
    <cellStyle name="Normal 2 3 2 2 4 2 2 2 2 3 2 2 2" xfId="52226"/>
    <cellStyle name="Normal 2 3 2 2 4 2 2 2 2 3 2 2 2 2" xfId="54260"/>
    <cellStyle name="Normal 2 3 2 2 4 2 2 2 2 3 2 3" xfId="32435"/>
    <cellStyle name="Normal 2 3 2 2 4 2 2 2 2 3 3" xfId="30400"/>
    <cellStyle name="Normal 2 3 2 2 4 2 2 2 2 3 3 2" xfId="40798"/>
    <cellStyle name="Normal 2 3 2 2 4 2 2 2 2 4" xfId="10564"/>
    <cellStyle name="Normal 2 3 2 2 4 2 2 2 2 4 2" xfId="38710"/>
    <cellStyle name="Normal 2 3 2 2 4 2 2 2 2 4 2 2" xfId="45927"/>
    <cellStyle name="Normal 2 3 2 2 4 2 2 2 2 5" xfId="24050"/>
    <cellStyle name="Normal 2 3 2 2 4 2 2 2 3" xfId="5278"/>
    <cellStyle name="Normal 2 3 2 2 4 2 2 2 3 2" xfId="6614"/>
    <cellStyle name="Normal 2 3 2 2 4 2 2 2 3 2 2" xfId="18851"/>
    <cellStyle name="Normal 2 3 2 2 4 2 2 2 3 2 2 2" xfId="20167"/>
    <cellStyle name="Normal 2 3 2 2 4 2 2 2 3 2 2 2 2" xfId="54177"/>
    <cellStyle name="Normal 2 3 2 2 4 2 2 2 3 2 2 2 2 2" xfId="55493"/>
    <cellStyle name="Normal 2 3 2 2 4 2 2 2 3 2 2 3" xfId="33669"/>
    <cellStyle name="Normal 2 3 2 2 4 2 2 2 3 2 3" xfId="32352"/>
    <cellStyle name="Normal 2 3 2 2 4 2 2 2 3 2 3 2" xfId="42042"/>
    <cellStyle name="Normal 2 3 2 2 4 2 2 2 3 3" xfId="11837"/>
    <cellStyle name="Normal 2 3 2 2 4 2 2 2 3 3 2" xfId="40715"/>
    <cellStyle name="Normal 2 3 2 2 4 2 2 2 3 3 2 2" xfId="47185"/>
    <cellStyle name="Normal 2 3 2 2 4 2 2 2 3 4" xfId="25322"/>
    <cellStyle name="Normal 2 3 2 2 4 2 2 2 4" xfId="10481"/>
    <cellStyle name="Normal 2 3 2 2 4 2 2 2 4 2" xfId="14995"/>
    <cellStyle name="Normal 2 3 2 2 4 2 2 2 4 2 2" xfId="45844"/>
    <cellStyle name="Normal 2 3 2 2 4 2 2 2 4 2 2 2" xfId="50334"/>
    <cellStyle name="Normal 2 3 2 2 4 2 2 2 4 3" xfId="28508"/>
    <cellStyle name="Normal 2 3 2 2 4 2 2 2 5" xfId="23967"/>
    <cellStyle name="Normal 2 3 2 2 4 2 2 2 5 2" xfId="36803"/>
    <cellStyle name="Normal 2 3 2 2 4 2 2 3" xfId="2113"/>
    <cellStyle name="Normal 2 3 2 2 4 2 2 3 2" xfId="6531"/>
    <cellStyle name="Normal 2 3 2 2 4 2 2 3 2 2" xfId="7347"/>
    <cellStyle name="Normal 2 3 2 2 4 2 2 3 2 2 2" xfId="20084"/>
    <cellStyle name="Normal 2 3 2 2 4 2 2 3 2 2 2 2" xfId="20899"/>
    <cellStyle name="Normal 2 3 2 2 4 2 2 3 2 2 2 2 2" xfId="55410"/>
    <cellStyle name="Normal 2 3 2 2 4 2 2 3 2 2 2 2 2 2" xfId="56225"/>
    <cellStyle name="Normal 2 3 2 2 4 2 2 3 2 2 2 3" xfId="34402"/>
    <cellStyle name="Normal 2 3 2 2 4 2 2 3 2 2 3" xfId="33586"/>
    <cellStyle name="Normal 2 3 2 2 4 2 2 3 2 2 3 2" xfId="42774"/>
    <cellStyle name="Normal 2 3 2 2 4 2 2 3 2 3" xfId="12572"/>
    <cellStyle name="Normal 2 3 2 2 4 2 2 3 2 3 2" xfId="41959"/>
    <cellStyle name="Normal 2 3 2 2 4 2 2 3 2 3 2 2" xfId="47918"/>
    <cellStyle name="Normal 2 3 2 2 4 2 2 3 2 4" xfId="26056"/>
    <cellStyle name="Normal 2 3 2 2 4 2 2 3 3" xfId="11754"/>
    <cellStyle name="Normal 2 3 2 2 4 2 2 3 3 2" xfId="15777"/>
    <cellStyle name="Normal 2 3 2 2 4 2 2 3 3 2 2" xfId="47102"/>
    <cellStyle name="Normal 2 3 2 2 4 2 2 3 3 2 2 2" xfId="51109"/>
    <cellStyle name="Normal 2 3 2 2 4 2 2 3 3 3" xfId="29283"/>
    <cellStyle name="Normal 2 3 2 2 4 2 2 3 4" xfId="25239"/>
    <cellStyle name="Normal 2 3 2 2 4 2 2 3 4 2" xfId="37591"/>
    <cellStyle name="Normal 2 3 2 2 4 2 2 4" xfId="4129"/>
    <cellStyle name="Normal 2 3 2 2 4 2 2 4 2" xfId="14912"/>
    <cellStyle name="Normal 2 3 2 2 4 2 2 4 2 2" xfId="17722"/>
    <cellStyle name="Normal 2 3 2 2 4 2 2 4 2 2 2" xfId="50251"/>
    <cellStyle name="Normal 2 3 2 2 4 2 2 4 2 2 2 2" xfId="53049"/>
    <cellStyle name="Normal 2 3 2 2 4 2 2 4 2 3" xfId="31224"/>
    <cellStyle name="Normal 2 3 2 2 4 2 2 4 3" xfId="28425"/>
    <cellStyle name="Normal 2 3 2 2 4 2 2 4 3 2" xfId="39572"/>
    <cellStyle name="Normal 2 3 2 2 4 2 2 5" xfId="9320"/>
    <cellStyle name="Normal 2 3 2 2 4 2 2 5 2" xfId="36720"/>
    <cellStyle name="Normal 2 3 2 2 4 2 2 5 2 2" xfId="44702"/>
    <cellStyle name="Normal 2 3 2 2 4 2 2 6" xfId="22816"/>
    <cellStyle name="Normal 2 3 2 2 4 2 3" xfId="2029"/>
    <cellStyle name="Normal 2 3 2 2 4 2 3 2" xfId="2590"/>
    <cellStyle name="Normal 2 3 2 2 4 2 3 2 2" xfId="7263"/>
    <cellStyle name="Normal 2 3 2 2 4 2 3 2 2 2" xfId="7811"/>
    <cellStyle name="Normal 2 3 2 2 4 2 3 2 2 2 2" xfId="20815"/>
    <cellStyle name="Normal 2 3 2 2 4 2 3 2 2 2 2 2" xfId="21363"/>
    <cellStyle name="Normal 2 3 2 2 4 2 3 2 2 2 2 2 2" xfId="56141"/>
    <cellStyle name="Normal 2 3 2 2 4 2 3 2 2 2 2 2 2 2" xfId="56689"/>
    <cellStyle name="Normal 2 3 2 2 4 2 3 2 2 2 2 3" xfId="34866"/>
    <cellStyle name="Normal 2 3 2 2 4 2 3 2 2 2 3" xfId="34318"/>
    <cellStyle name="Normal 2 3 2 2 4 2 3 2 2 2 3 2" xfId="43238"/>
    <cellStyle name="Normal 2 3 2 2 4 2 3 2 2 3" xfId="13036"/>
    <cellStyle name="Normal 2 3 2 2 4 2 3 2 2 3 2" xfId="42690"/>
    <cellStyle name="Normal 2 3 2 2 4 2 3 2 2 3 2 2" xfId="48382"/>
    <cellStyle name="Normal 2 3 2 2 4 2 3 2 2 4" xfId="26520"/>
    <cellStyle name="Normal 2 3 2 2 4 2 3 2 3" xfId="12488"/>
    <cellStyle name="Normal 2 3 2 2 4 2 3 2 3 2" xfId="16249"/>
    <cellStyle name="Normal 2 3 2 2 4 2 3 2 3 2 2" xfId="47834"/>
    <cellStyle name="Normal 2 3 2 2 4 2 3 2 3 2 2 2" xfId="51579"/>
    <cellStyle name="Normal 2 3 2 2 4 2 3 2 3 3" xfId="29753"/>
    <cellStyle name="Normal 2 3 2 2 4 2 3 2 4" xfId="25972"/>
    <cellStyle name="Normal 2 3 2 2 4 2 3 2 4 2" xfId="38063"/>
    <cellStyle name="Normal 2 3 2 2 4 2 3 3" xfId="4624"/>
    <cellStyle name="Normal 2 3 2 2 4 2 3 3 2" xfId="15693"/>
    <cellStyle name="Normal 2 3 2 2 4 2 3 3 2 2" xfId="18205"/>
    <cellStyle name="Normal 2 3 2 2 4 2 3 3 2 2 2" xfId="51025"/>
    <cellStyle name="Normal 2 3 2 2 4 2 3 3 2 2 2 2" xfId="53531"/>
    <cellStyle name="Normal 2 3 2 2 4 2 3 3 2 3" xfId="31706"/>
    <cellStyle name="Normal 2 3 2 2 4 2 3 3 3" xfId="29199"/>
    <cellStyle name="Normal 2 3 2 2 4 2 3 3 3 2" xfId="40063"/>
    <cellStyle name="Normal 2 3 2 2 4 2 3 4" xfId="9828"/>
    <cellStyle name="Normal 2 3 2 2 4 2 3 4 2" xfId="37507"/>
    <cellStyle name="Normal 2 3 2 2 4 2 3 4 2 2" xfId="45198"/>
    <cellStyle name="Normal 2 3 2 2 4 2 3 5" xfId="23321"/>
    <cellStyle name="Normal 2 3 2 2 4 2 4" xfId="4045"/>
    <cellStyle name="Normal 2 3 2 2 4 2 4 2" xfId="5829"/>
    <cellStyle name="Normal 2 3 2 2 4 2 4 2 2" xfId="17638"/>
    <cellStyle name="Normal 2 3 2 2 4 2 4 2 2 2" xfId="19397"/>
    <cellStyle name="Normal 2 3 2 2 4 2 4 2 2 2 2" xfId="52965"/>
    <cellStyle name="Normal 2 3 2 2 4 2 4 2 2 2 2 2" xfId="54723"/>
    <cellStyle name="Normal 2 3 2 2 4 2 4 2 2 3" xfId="32898"/>
    <cellStyle name="Normal 2 3 2 2 4 2 4 2 3" xfId="31140"/>
    <cellStyle name="Normal 2 3 2 2 4 2 4 2 3 2" xfId="41264"/>
    <cellStyle name="Normal 2 3 2 2 4 2 4 3" xfId="11052"/>
    <cellStyle name="Normal 2 3 2 2 4 2 4 3 2" xfId="39488"/>
    <cellStyle name="Normal 2 3 2 2 4 2 4 3 2 2" xfId="46411"/>
    <cellStyle name="Normal 2 3 2 2 4 2 4 4" xfId="24546"/>
    <cellStyle name="Normal 2 3 2 2 4 2 5" xfId="9236"/>
    <cellStyle name="Normal 2 3 2 2 4 2 5 2" xfId="14213"/>
    <cellStyle name="Normal 2 3 2 2 4 2 5 2 2" xfId="44618"/>
    <cellStyle name="Normal 2 3 2 2 4 2 5 2 2 2" xfId="49558"/>
    <cellStyle name="Normal 2 3 2 2 4 2 5 3" xfId="27720"/>
    <cellStyle name="Normal 2 3 2 2 4 2 6" xfId="22732"/>
    <cellStyle name="Normal 2 3 2 2 4 2 6 2" xfId="36025"/>
    <cellStyle name="Normal 2 3 2 2 4 3" xfId="819"/>
    <cellStyle name="Normal 2 3 2 2 4 3 2" xfId="2494"/>
    <cellStyle name="Normal 2 3 2 2 4 3 2 2" xfId="2873"/>
    <cellStyle name="Normal 2 3 2 2 4 3 2 2 2" xfId="7719"/>
    <cellStyle name="Normal 2 3 2 2 4 3 2 2 2 2" xfId="8089"/>
    <cellStyle name="Normal 2 3 2 2 4 3 2 2 2 2 2" xfId="21271"/>
    <cellStyle name="Normal 2 3 2 2 4 3 2 2 2 2 2 2" xfId="21641"/>
    <cellStyle name="Normal 2 3 2 2 4 3 2 2 2 2 2 2 2" xfId="56597"/>
    <cellStyle name="Normal 2 3 2 2 4 3 2 2 2 2 2 2 2 2" xfId="56967"/>
    <cellStyle name="Normal 2 3 2 2 4 3 2 2 2 2 2 3" xfId="35144"/>
    <cellStyle name="Normal 2 3 2 2 4 3 2 2 2 2 3" xfId="34774"/>
    <cellStyle name="Normal 2 3 2 2 4 3 2 2 2 2 3 2" xfId="43516"/>
    <cellStyle name="Normal 2 3 2 2 4 3 2 2 2 3" xfId="13314"/>
    <cellStyle name="Normal 2 3 2 2 4 3 2 2 2 3 2" xfId="43146"/>
    <cellStyle name="Normal 2 3 2 2 4 3 2 2 2 3 2 2" xfId="48660"/>
    <cellStyle name="Normal 2 3 2 2 4 3 2 2 2 4" xfId="26798"/>
    <cellStyle name="Normal 2 3 2 2 4 3 2 2 3" xfId="12944"/>
    <cellStyle name="Normal 2 3 2 2 4 3 2 2 3 2" xfId="16531"/>
    <cellStyle name="Normal 2 3 2 2 4 3 2 2 3 2 2" xfId="48290"/>
    <cellStyle name="Normal 2 3 2 2 4 3 2 2 3 2 2 2" xfId="51859"/>
    <cellStyle name="Normal 2 3 2 2 4 3 2 2 3 3" xfId="30033"/>
    <cellStyle name="Normal 2 3 2 2 4 3 2 2 4" xfId="26428"/>
    <cellStyle name="Normal 2 3 2 2 4 3 2 2 4 2" xfId="38343"/>
    <cellStyle name="Normal 2 3 2 2 4 3 2 3" xfId="4909"/>
    <cellStyle name="Normal 2 3 2 2 4 3 2 3 2" xfId="16155"/>
    <cellStyle name="Normal 2 3 2 2 4 3 2 3 2 2" xfId="18483"/>
    <cellStyle name="Normal 2 3 2 2 4 3 2 3 2 2 2" xfId="51486"/>
    <cellStyle name="Normal 2 3 2 2 4 3 2 3 2 2 2 2" xfId="53809"/>
    <cellStyle name="Normal 2 3 2 2 4 3 2 3 2 3" xfId="31984"/>
    <cellStyle name="Normal 2 3 2 2 4 3 2 3 3" xfId="29660"/>
    <cellStyle name="Normal 2 3 2 2 4 3 2 3 3 2" xfId="40346"/>
    <cellStyle name="Normal 2 3 2 2 4 3 2 4" xfId="10112"/>
    <cellStyle name="Normal 2 3 2 2 4 3 2 4 2" xfId="37969"/>
    <cellStyle name="Normal 2 3 2 2 4 3 2 4 2 2" xfId="45476"/>
    <cellStyle name="Normal 2 3 2 2 4 3 2 5" xfId="23599"/>
    <cellStyle name="Normal 2 3 2 2 4 3 3" xfId="4529"/>
    <cellStyle name="Normal 2 3 2 2 4 3 3 2" xfId="6134"/>
    <cellStyle name="Normal 2 3 2 2 4 3 3 2 2" xfId="18112"/>
    <cellStyle name="Normal 2 3 2 2 4 3 3 2 2 2" xfId="19695"/>
    <cellStyle name="Normal 2 3 2 2 4 3 3 2 2 2 2" xfId="53438"/>
    <cellStyle name="Normal 2 3 2 2 4 3 3 2 2 2 2 2" xfId="55021"/>
    <cellStyle name="Normal 2 3 2 2 4 3 3 2 2 3" xfId="33196"/>
    <cellStyle name="Normal 2 3 2 2 4 3 3 2 3" xfId="31613"/>
    <cellStyle name="Normal 2 3 2 2 4 3 3 2 3 2" xfId="41566"/>
    <cellStyle name="Normal 2 3 2 2 4 3 3 3" xfId="11360"/>
    <cellStyle name="Normal 2 3 2 2 4 3 3 3 2" xfId="39970"/>
    <cellStyle name="Normal 2 3 2 2 4 3 3 3 2 2" xfId="46712"/>
    <cellStyle name="Normal 2 3 2 2 4 3 3 4" xfId="24849"/>
    <cellStyle name="Normal 2 3 2 2 4 3 4" xfId="9732"/>
    <cellStyle name="Normal 2 3 2 2 4 3 4 2" xfId="14517"/>
    <cellStyle name="Normal 2 3 2 2 4 3 4 2 2" xfId="45105"/>
    <cellStyle name="Normal 2 3 2 2 4 3 4 2 2 2" xfId="49859"/>
    <cellStyle name="Normal 2 3 2 2 4 3 4 3" xfId="28029"/>
    <cellStyle name="Normal 2 3 2 2 4 3 5" xfId="23228"/>
    <cellStyle name="Normal 2 3 2 2 4 3 5 2" xfId="36327"/>
    <cellStyle name="Normal 2 3 2 2 4 4" xfId="1609"/>
    <cellStyle name="Normal 2 3 2 2 4 4 2" xfId="5735"/>
    <cellStyle name="Normal 2 3 2 2 4 4 2 2" xfId="6879"/>
    <cellStyle name="Normal 2 3 2 2 4 4 2 2 2" xfId="19304"/>
    <cellStyle name="Normal 2 3 2 2 4 4 2 2 2 2" xfId="20432"/>
    <cellStyle name="Normal 2 3 2 2 4 4 2 2 2 2 2" xfId="54630"/>
    <cellStyle name="Normal 2 3 2 2 4 4 2 2 2 2 2 2" xfId="55758"/>
    <cellStyle name="Normal 2 3 2 2 4 4 2 2 2 3" xfId="33934"/>
    <cellStyle name="Normal 2 3 2 2 4 4 2 2 3" xfId="32805"/>
    <cellStyle name="Normal 2 3 2 2 4 4 2 2 3 2" xfId="42307"/>
    <cellStyle name="Normal 2 3 2 2 4 4 2 3" xfId="12103"/>
    <cellStyle name="Normal 2 3 2 2 4 4 2 3 2" xfId="41170"/>
    <cellStyle name="Normal 2 3 2 2 4 4 2 3 2 2" xfId="47450"/>
    <cellStyle name="Normal 2 3 2 2 4 4 2 4" xfId="25588"/>
    <cellStyle name="Normal 2 3 2 2 4 4 3" xfId="10956"/>
    <cellStyle name="Normal 2 3 2 2 4 4 3 2" xfId="15285"/>
    <cellStyle name="Normal 2 3 2 2 4 4 3 2 2" xfId="46315"/>
    <cellStyle name="Normal 2 3 2 2 4 4 3 2 2 2" xfId="50620"/>
    <cellStyle name="Normal 2 3 2 2 4 4 3 3" xfId="28794"/>
    <cellStyle name="Normal 2 3 2 2 4 4 4" xfId="24449"/>
    <cellStyle name="Normal 2 3 2 2 4 4 4 2" xfId="37095"/>
    <cellStyle name="Normal 2 3 2 2 4 5" xfId="3612"/>
    <cellStyle name="Normal 2 3 2 2 4 5 2" xfId="14119"/>
    <cellStyle name="Normal 2 3 2 2 4 5 2 2" xfId="17247"/>
    <cellStyle name="Normal 2 3 2 2 4 5 2 2 2" xfId="49464"/>
    <cellStyle name="Normal 2 3 2 2 4 5 2 2 2 2" xfId="52574"/>
    <cellStyle name="Normal 2 3 2 2 4 5 2 3" xfId="30748"/>
    <cellStyle name="Normal 2 3 2 2 4 5 3" xfId="27621"/>
    <cellStyle name="Normal 2 3 2 2 4 5 3 2" xfId="39068"/>
    <cellStyle name="Normal 2 3 2 2 4 6" xfId="8806"/>
    <cellStyle name="Normal 2 3 2 2 4 6 2" xfId="35930"/>
    <cellStyle name="Normal 2 3 2 2 4 6 2 2" xfId="44217"/>
    <cellStyle name="Normal 2 3 2 2 4 7" xfId="22323"/>
    <cellStyle name="Normal 2 3 2 2 5" xfId="706"/>
    <cellStyle name="Normal 2 3 2 2 5 2" xfId="999"/>
    <cellStyle name="Normal 2 3 2 2 5 2 2" xfId="2778"/>
    <cellStyle name="Normal 2 3 2 2 5 2 2 2" xfId="3036"/>
    <cellStyle name="Normal 2 3 2 2 5 2 2 2 2" xfId="7995"/>
    <cellStyle name="Normal 2 3 2 2 5 2 2 2 2 2" xfId="8251"/>
    <cellStyle name="Normal 2 3 2 2 5 2 2 2 2 2 2" xfId="21547"/>
    <cellStyle name="Normal 2 3 2 2 5 2 2 2 2 2 2 2" xfId="21803"/>
    <cellStyle name="Normal 2 3 2 2 5 2 2 2 2 2 2 2 2" xfId="56873"/>
    <cellStyle name="Normal 2 3 2 2 5 2 2 2 2 2 2 2 2 2" xfId="57129"/>
    <cellStyle name="Normal 2 3 2 2 5 2 2 2 2 2 2 3" xfId="35306"/>
    <cellStyle name="Normal 2 3 2 2 5 2 2 2 2 2 3" xfId="35050"/>
    <cellStyle name="Normal 2 3 2 2 5 2 2 2 2 2 3 2" xfId="43678"/>
    <cellStyle name="Normal 2 3 2 2 5 2 2 2 2 3" xfId="13476"/>
    <cellStyle name="Normal 2 3 2 2 5 2 2 2 2 3 2" xfId="43422"/>
    <cellStyle name="Normal 2 3 2 2 5 2 2 2 2 3 2 2" xfId="48822"/>
    <cellStyle name="Normal 2 3 2 2 5 2 2 2 2 4" xfId="26961"/>
    <cellStyle name="Normal 2 3 2 2 5 2 2 2 3" xfId="13220"/>
    <cellStyle name="Normal 2 3 2 2 5 2 2 2 3 2" xfId="16693"/>
    <cellStyle name="Normal 2 3 2 2 5 2 2 2 3 2 2" xfId="48566"/>
    <cellStyle name="Normal 2 3 2 2 5 2 2 2 3 2 2 2" xfId="52021"/>
    <cellStyle name="Normal 2 3 2 2 5 2 2 2 3 3" xfId="30195"/>
    <cellStyle name="Normal 2 3 2 2 5 2 2 2 4" xfId="26704"/>
    <cellStyle name="Normal 2 3 2 2 5 2 2 2 4 2" xfId="38505"/>
    <cellStyle name="Normal 2 3 2 2 5 2 2 3" xfId="5073"/>
    <cellStyle name="Normal 2 3 2 2 5 2 2 3 2" xfId="16437"/>
    <cellStyle name="Normal 2 3 2 2 5 2 2 3 2 2" xfId="18646"/>
    <cellStyle name="Normal 2 3 2 2 5 2 2 3 2 2 2" xfId="51765"/>
    <cellStyle name="Normal 2 3 2 2 5 2 2 3 2 2 2 2" xfId="53972"/>
    <cellStyle name="Normal 2 3 2 2 5 2 2 3 2 3" xfId="32147"/>
    <cellStyle name="Normal 2 3 2 2 5 2 2 3 3" xfId="29939"/>
    <cellStyle name="Normal 2 3 2 2 5 2 2 3 3 2" xfId="40510"/>
    <cellStyle name="Normal 2 3 2 2 5 2 2 4" xfId="10276"/>
    <cellStyle name="Normal 2 3 2 2 5 2 2 4 2" xfId="38249"/>
    <cellStyle name="Normal 2 3 2 2 5 2 2 4 2 2" xfId="45639"/>
    <cellStyle name="Normal 2 3 2 2 5 2 2 5" xfId="23762"/>
    <cellStyle name="Normal 2 3 2 2 5 2 3" xfId="4814"/>
    <cellStyle name="Normal 2 3 2 2 5 2 3 2" xfId="6309"/>
    <cellStyle name="Normal 2 3 2 2 5 2 3 2 2" xfId="18389"/>
    <cellStyle name="Normal 2 3 2 2 5 2 3 2 2 2" xfId="19866"/>
    <cellStyle name="Normal 2 3 2 2 5 2 3 2 2 2 2" xfId="53715"/>
    <cellStyle name="Normal 2 3 2 2 5 2 3 2 2 2 2 2" xfId="55192"/>
    <cellStyle name="Normal 2 3 2 2 5 2 3 2 2 3" xfId="33368"/>
    <cellStyle name="Normal 2 3 2 2 5 2 3 2 3" xfId="31890"/>
    <cellStyle name="Normal 2 3 2 2 5 2 3 2 3 2" xfId="41738"/>
    <cellStyle name="Normal 2 3 2 2 5 2 3 3" xfId="11535"/>
    <cellStyle name="Normal 2 3 2 2 5 2 3 3 2" xfId="40251"/>
    <cellStyle name="Normal 2 3 2 2 5 2 3 3 2 2" xfId="46884"/>
    <cellStyle name="Normal 2 3 2 2 5 2 3 4" xfId="25021"/>
    <cellStyle name="Normal 2 3 2 2 5 2 4" xfId="10017"/>
    <cellStyle name="Normal 2 3 2 2 5 2 4 2" xfId="14692"/>
    <cellStyle name="Normal 2 3 2 2 5 2 4 2 2" xfId="45382"/>
    <cellStyle name="Normal 2 3 2 2 5 2 4 2 2 2" xfId="50031"/>
    <cellStyle name="Normal 2 3 2 2 5 2 4 3" xfId="28204"/>
    <cellStyle name="Normal 2 3 2 2 5 2 5" xfId="23505"/>
    <cellStyle name="Normal 2 3 2 2 5 2 5 2" xfId="36500"/>
    <cellStyle name="Normal 2 3 2 2 5 3" xfId="1796"/>
    <cellStyle name="Normal 2 3 2 2 5 3 2" xfId="6031"/>
    <cellStyle name="Normal 2 3 2 2 5 3 2 2" xfId="7048"/>
    <cellStyle name="Normal 2 3 2 2 5 3 2 2 2" xfId="19595"/>
    <cellStyle name="Normal 2 3 2 2 5 3 2 2 2 2" xfId="20601"/>
    <cellStyle name="Normal 2 3 2 2 5 3 2 2 2 2 2" xfId="54921"/>
    <cellStyle name="Normal 2 3 2 2 5 3 2 2 2 2 2 2" xfId="55927"/>
    <cellStyle name="Normal 2 3 2 2 5 3 2 2 2 3" xfId="34103"/>
    <cellStyle name="Normal 2 3 2 2 5 3 2 2 3" xfId="33096"/>
    <cellStyle name="Normal 2 3 2 2 5 3 2 2 3 2" xfId="42476"/>
    <cellStyle name="Normal 2 3 2 2 5 3 2 3" xfId="12272"/>
    <cellStyle name="Normal 2 3 2 2 5 3 2 3 2" xfId="41465"/>
    <cellStyle name="Normal 2 3 2 2 5 3 2 3 2 2" xfId="47619"/>
    <cellStyle name="Normal 2 3 2 2 5 3 2 4" xfId="25757"/>
    <cellStyle name="Normal 2 3 2 2 5 3 3" xfId="11256"/>
    <cellStyle name="Normal 2 3 2 2 5 3 3 2" xfId="15468"/>
    <cellStyle name="Normal 2 3 2 2 5 3 3 2 2" xfId="46611"/>
    <cellStyle name="Normal 2 3 2 2 5 3 3 2 2 2" xfId="50801"/>
    <cellStyle name="Normal 2 3 2 2 5 3 3 3" xfId="28975"/>
    <cellStyle name="Normal 2 3 2 2 5 3 4" xfId="24748"/>
    <cellStyle name="Normal 2 3 2 2 5 3 4 2" xfId="37278"/>
    <cellStyle name="Normal 2 3 2 2 5 4" xfId="3803"/>
    <cellStyle name="Normal 2 3 2 2 5 4 2" xfId="14414"/>
    <cellStyle name="Normal 2 3 2 2 5 4 2 2" xfId="17418"/>
    <cellStyle name="Normal 2 3 2 2 5 4 2 2 2" xfId="49759"/>
    <cellStyle name="Normal 2 3 2 2 5 4 2 2 2 2" xfId="52745"/>
    <cellStyle name="Normal 2 3 2 2 5 4 2 3" xfId="30919"/>
    <cellStyle name="Normal 2 3 2 2 5 4 3" xfId="27927"/>
    <cellStyle name="Normal 2 3 2 2 5 4 3 2" xfId="39253"/>
    <cellStyle name="Normal 2 3 2 2 5 5" xfId="8993"/>
    <cellStyle name="Normal 2 3 2 2 5 5 2" xfId="36227"/>
    <cellStyle name="Normal 2 3 2 2 5 5 2 2" xfId="44391"/>
    <cellStyle name="Normal 2 3 2 2 5 6" xfId="22499"/>
    <cellStyle name="Normal 2 3 2 2 6" xfId="1485"/>
    <cellStyle name="Normal 2 3 2 2 6 2" xfId="1593"/>
    <cellStyle name="Normal 2 3 2 2 6 2 2" xfId="6776"/>
    <cellStyle name="Normal 2 3 2 2 6 2 2 2" xfId="6865"/>
    <cellStyle name="Normal 2 3 2 2 6 2 2 2 2" xfId="20329"/>
    <cellStyle name="Normal 2 3 2 2 6 2 2 2 2 2" xfId="20418"/>
    <cellStyle name="Normal 2 3 2 2 6 2 2 2 2 2 2" xfId="55655"/>
    <cellStyle name="Normal 2 3 2 2 6 2 2 2 2 2 2 2" xfId="55744"/>
    <cellStyle name="Normal 2 3 2 2 6 2 2 2 2 3" xfId="33920"/>
    <cellStyle name="Normal 2 3 2 2 6 2 2 2 3" xfId="33831"/>
    <cellStyle name="Normal 2 3 2 2 6 2 2 2 3 2" xfId="42293"/>
    <cellStyle name="Normal 2 3 2 2 6 2 2 3" xfId="12089"/>
    <cellStyle name="Normal 2 3 2 2 6 2 2 3 2" xfId="42204"/>
    <cellStyle name="Normal 2 3 2 2 6 2 2 3 2 2" xfId="47436"/>
    <cellStyle name="Normal 2 3 2 2 6 2 2 4" xfId="25574"/>
    <cellStyle name="Normal 2 3 2 2 6 2 3" xfId="11999"/>
    <cellStyle name="Normal 2 3 2 2 6 2 3 2" xfId="15269"/>
    <cellStyle name="Normal 2 3 2 2 6 2 3 2 2" xfId="47347"/>
    <cellStyle name="Normal 2 3 2 2 6 2 3 2 2 2" xfId="50606"/>
    <cellStyle name="Normal 2 3 2 2 6 2 3 3" xfId="28780"/>
    <cellStyle name="Normal 2 3 2 2 6 2 4" xfId="25484"/>
    <cellStyle name="Normal 2 3 2 2 6 2 4 2" xfId="37081"/>
    <cellStyle name="Normal 2 3 2 2 6 3" xfId="3594"/>
    <cellStyle name="Normal 2 3 2 2 6 3 2" xfId="15169"/>
    <cellStyle name="Normal 2 3 2 2 6 3 2 2" xfId="17230"/>
    <cellStyle name="Normal 2 3 2 2 6 3 2 2 2" xfId="50507"/>
    <cellStyle name="Normal 2 3 2 2 6 3 2 2 2 2" xfId="52557"/>
    <cellStyle name="Normal 2 3 2 2 6 3 2 3" xfId="30731"/>
    <cellStyle name="Normal 2 3 2 2 6 3 3" xfId="28681"/>
    <cellStyle name="Normal 2 3 2 2 6 3 3 2" xfId="39051"/>
    <cellStyle name="Normal 2 3 2 2 6 4" xfId="8785"/>
    <cellStyle name="Normal 2 3 2 2 6 4 2" xfId="36979"/>
    <cellStyle name="Normal 2 3 2 2 6 4 2 2" xfId="44198"/>
    <cellStyle name="Normal 2 3 2 2 6 5" xfId="22302"/>
    <cellStyle name="Normal 2 3 2 2 7" xfId="3484"/>
    <cellStyle name="Normal 2 3 2 2 7 2" xfId="1953"/>
    <cellStyle name="Normal 2 3 2 2 7 2 2" xfId="17138"/>
    <cellStyle name="Normal 2 3 2 2 7 2 2 2" xfId="15618"/>
    <cellStyle name="Normal 2 3 2 2 7 2 2 2 2" xfId="52466"/>
    <cellStyle name="Normal 2 3 2 2 7 2 2 2 2 2" xfId="50950"/>
    <cellStyle name="Normal 2 3 2 2 7 2 2 3" xfId="29124"/>
    <cellStyle name="Normal 2 3 2 2 7 2 3" xfId="30640"/>
    <cellStyle name="Normal 2 3 2 2 7 2 3 2" xfId="37431"/>
    <cellStyle name="Normal 2 3 2 2 7 3" xfId="3480"/>
    <cellStyle name="Normal 2 3 2 2 7 3 2" xfId="38951"/>
    <cellStyle name="Normal 2 3 2 2 7 3 2 2" xfId="38948"/>
    <cellStyle name="Normal 2 3 2 2 7 4" xfId="8888"/>
    <cellStyle name="Normal 2 3 2 2 8" xfId="3933"/>
    <cellStyle name="Normal 2 3 2 2 8 2" xfId="9488"/>
    <cellStyle name="Normal 2 3 2 2 8 2 2" xfId="39377"/>
    <cellStyle name="Normal 2 3 2 2 8 2 2 2" xfId="44870"/>
    <cellStyle name="Normal 2 3 2 2 8 3" xfId="22985"/>
    <cellStyle name="Normal 2 3 2 2 9" xfId="8716"/>
    <cellStyle name="Normal 2 3 2 2 9 2" xfId="24410"/>
    <cellStyle name="Normal 2 3 2 3" xfId="127"/>
    <cellStyle name="Normal 2 3 2 3 2" xfId="273"/>
    <cellStyle name="Normal 2 3 2 3 2 2" xfId="307"/>
    <cellStyle name="Normal 2 3 2 3 2 2 2" xfId="617"/>
    <cellStyle name="Normal 2 3 2 3 2 2 2 2" xfId="636"/>
    <cellStyle name="Normal 2 3 2 3 2 2 2 2 2" xfId="1413"/>
    <cellStyle name="Normal 2 3 2 3 2 2 2 2 2 2" xfId="1432"/>
    <cellStyle name="Normal 2 3 2 3 2 2 2 2 2 2 2" xfId="3431"/>
    <cellStyle name="Normal 2 3 2 3 2 2 2 2 2 2 2 2" xfId="3450"/>
    <cellStyle name="Normal 2 3 2 3 2 2 2 2 2 2 2 2 2" xfId="8646"/>
    <cellStyle name="Normal 2 3 2 3 2 2 2 2 2 2 2 2 2 2" xfId="8665"/>
    <cellStyle name="Normal 2 3 2 3 2 2 2 2 2 2 2 2 2 2 2" xfId="22198"/>
    <cellStyle name="Normal 2 3 2 3 2 2 2 2 2 2 2 2 2 2 2 2" xfId="22217"/>
    <cellStyle name="Normal 2 3 2 3 2 2 2 2 2 2 2 2 2 2 2 2 2" xfId="57524"/>
    <cellStyle name="Normal 2 3 2 3 2 2 2 2 2 2 2 2 2 2 2 2 2 2" xfId="57543"/>
    <cellStyle name="Normal 2 3 2 3 2 2 2 2 2 2 2 2 2 2 2 3" xfId="35720"/>
    <cellStyle name="Normal 2 3 2 3 2 2 2 2 2 2 2 2 2 2 3" xfId="35701"/>
    <cellStyle name="Normal 2 3 2 3 2 2 2 2 2 2 2 2 2 2 3 2" xfId="44092"/>
    <cellStyle name="Normal 2 3 2 3 2 2 2 2 2 2 2 2 2 3" xfId="13890"/>
    <cellStyle name="Normal 2 3 2 3 2 2 2 2 2 2 2 2 2 3 2" xfId="44073"/>
    <cellStyle name="Normal 2 3 2 3 2 2 2 2 2 2 2 2 2 3 2 2" xfId="49236"/>
    <cellStyle name="Normal 2 3 2 3 2 2 2 2 2 2 2 2 2 4" xfId="27375"/>
    <cellStyle name="Normal 2 3 2 3 2 2 2 2 2 2 2 2 3" xfId="13871"/>
    <cellStyle name="Normal 2 3 2 3 2 2 2 2 2 2 2 2 3 2" xfId="17107"/>
    <cellStyle name="Normal 2 3 2 3 2 2 2 2 2 2 2 2 3 2 2" xfId="49217"/>
    <cellStyle name="Normal 2 3 2 3 2 2 2 2 2 2 2 2 3 2 2 2" xfId="52435"/>
    <cellStyle name="Normal 2 3 2 3 2 2 2 2 2 2 2 2 3 3" xfId="30609"/>
    <cellStyle name="Normal 2 3 2 3 2 2 2 2 2 2 2 2 4" xfId="27356"/>
    <cellStyle name="Normal 2 3 2 3 2 2 2 2 2 2 2 2 4 2" xfId="38919"/>
    <cellStyle name="Normal 2 3 2 3 2 2 2 2 2 2 2 3" xfId="5487"/>
    <cellStyle name="Normal 2 3 2 3 2 2 2 2 2 2 2 3 2" xfId="17088"/>
    <cellStyle name="Normal 2 3 2 3 2 2 2 2 2 2 2 3 2 2" xfId="19060"/>
    <cellStyle name="Normal 2 3 2 3 2 2 2 2 2 2 2 3 2 2 2" xfId="52416"/>
    <cellStyle name="Normal 2 3 2 3 2 2 2 2 2 2 2 3 2 2 2 2" xfId="54386"/>
    <cellStyle name="Normal 2 3 2 3 2 2 2 2 2 2 2 3 2 3" xfId="32561"/>
    <cellStyle name="Normal 2 3 2 3 2 2 2 2 2 2 2 3 3" xfId="30590"/>
    <cellStyle name="Normal 2 3 2 3 2 2 2 2 2 2 2 3 3 2" xfId="40924"/>
    <cellStyle name="Normal 2 3 2 3 2 2 2 2 2 2 2 4" xfId="10690"/>
    <cellStyle name="Normal 2 3 2 3 2 2 2 2 2 2 2 4 2" xfId="38900"/>
    <cellStyle name="Normal 2 3 2 3 2 2 2 2 2 2 2 4 2 2" xfId="46053"/>
    <cellStyle name="Normal 2 3 2 3 2 2 2 2 2 2 2 5" xfId="24176"/>
    <cellStyle name="Normal 2 3 2 3 2 2 2 2 2 2 3" xfId="5468"/>
    <cellStyle name="Normal 2 3 2 3 2 2 2 2 2 2 3 2" xfId="6740"/>
    <cellStyle name="Normal 2 3 2 3 2 2 2 2 2 2 3 2 2" xfId="19041"/>
    <cellStyle name="Normal 2 3 2 3 2 2 2 2 2 2 3 2 2 2" xfId="20293"/>
    <cellStyle name="Normal 2 3 2 3 2 2 2 2 2 2 3 2 2 2 2" xfId="54367"/>
    <cellStyle name="Normal 2 3 2 3 2 2 2 2 2 2 3 2 2 2 2 2" xfId="55619"/>
    <cellStyle name="Normal 2 3 2 3 2 2 2 2 2 2 3 2 2 3" xfId="33795"/>
    <cellStyle name="Normal 2 3 2 3 2 2 2 2 2 2 3 2 3" xfId="32542"/>
    <cellStyle name="Normal 2 3 2 3 2 2 2 2 2 2 3 2 3 2" xfId="42168"/>
    <cellStyle name="Normal 2 3 2 3 2 2 2 2 2 2 3 3" xfId="11963"/>
    <cellStyle name="Normal 2 3 2 3 2 2 2 2 2 2 3 3 2" xfId="40905"/>
    <cellStyle name="Normal 2 3 2 3 2 2 2 2 2 2 3 3 2 2" xfId="47311"/>
    <cellStyle name="Normal 2 3 2 3 2 2 2 2 2 2 3 4" xfId="25448"/>
    <cellStyle name="Normal 2 3 2 3 2 2 2 2 2 2 4" xfId="10671"/>
    <cellStyle name="Normal 2 3 2 3 2 2 2 2 2 2 4 2" xfId="15121"/>
    <cellStyle name="Normal 2 3 2 3 2 2 2 2 2 2 4 2 2" xfId="46034"/>
    <cellStyle name="Normal 2 3 2 3 2 2 2 2 2 2 4 2 2 2" xfId="50460"/>
    <cellStyle name="Normal 2 3 2 3 2 2 2 2 2 2 4 3" xfId="28634"/>
    <cellStyle name="Normal 2 3 2 3 2 2 2 2 2 2 5" xfId="24157"/>
    <cellStyle name="Normal 2 3 2 3 2 2 2 2 2 2 5 2" xfId="36929"/>
    <cellStyle name="Normal 2 3 2 3 2 2 2 2 2 3" xfId="2239"/>
    <cellStyle name="Normal 2 3 2 3 2 2 2 2 2 3 2" xfId="6721"/>
    <cellStyle name="Normal 2 3 2 3 2 2 2 2 2 3 2 2" xfId="7473"/>
    <cellStyle name="Normal 2 3 2 3 2 2 2 2 2 3 2 2 2" xfId="20274"/>
    <cellStyle name="Normal 2 3 2 3 2 2 2 2 2 3 2 2 2 2" xfId="21025"/>
    <cellStyle name="Normal 2 3 2 3 2 2 2 2 2 3 2 2 2 2 2" xfId="55600"/>
    <cellStyle name="Normal 2 3 2 3 2 2 2 2 2 3 2 2 2 2 2 2" xfId="56351"/>
    <cellStyle name="Normal 2 3 2 3 2 2 2 2 2 3 2 2 2 3" xfId="34528"/>
    <cellStyle name="Normal 2 3 2 3 2 2 2 2 2 3 2 2 3" xfId="33776"/>
    <cellStyle name="Normal 2 3 2 3 2 2 2 2 2 3 2 2 3 2" xfId="42900"/>
    <cellStyle name="Normal 2 3 2 3 2 2 2 2 2 3 2 3" xfId="12698"/>
    <cellStyle name="Normal 2 3 2 3 2 2 2 2 2 3 2 3 2" xfId="42149"/>
    <cellStyle name="Normal 2 3 2 3 2 2 2 2 2 3 2 3 2 2" xfId="48044"/>
    <cellStyle name="Normal 2 3 2 3 2 2 2 2 2 3 2 4" xfId="26182"/>
    <cellStyle name="Normal 2 3 2 3 2 2 2 2 2 3 3" xfId="11944"/>
    <cellStyle name="Normal 2 3 2 3 2 2 2 2 2 3 3 2" xfId="15903"/>
    <cellStyle name="Normal 2 3 2 3 2 2 2 2 2 3 3 2 2" xfId="47292"/>
    <cellStyle name="Normal 2 3 2 3 2 2 2 2 2 3 3 2 2 2" xfId="51235"/>
    <cellStyle name="Normal 2 3 2 3 2 2 2 2 2 3 3 3" xfId="29409"/>
    <cellStyle name="Normal 2 3 2 3 2 2 2 2 2 3 4" xfId="25429"/>
    <cellStyle name="Normal 2 3 2 3 2 2 2 2 2 3 4 2" xfId="37717"/>
    <cellStyle name="Normal 2 3 2 3 2 2 2 2 2 4" xfId="4255"/>
    <cellStyle name="Normal 2 3 2 3 2 2 2 2 2 4 2" xfId="15102"/>
    <cellStyle name="Normal 2 3 2 3 2 2 2 2 2 4 2 2" xfId="17848"/>
    <cellStyle name="Normal 2 3 2 3 2 2 2 2 2 4 2 2 2" xfId="50441"/>
    <cellStyle name="Normal 2 3 2 3 2 2 2 2 2 4 2 2 2 2" xfId="53175"/>
    <cellStyle name="Normal 2 3 2 3 2 2 2 2 2 4 2 3" xfId="31350"/>
    <cellStyle name="Normal 2 3 2 3 2 2 2 2 2 4 3" xfId="28615"/>
    <cellStyle name="Normal 2 3 2 3 2 2 2 2 2 4 3 2" xfId="39698"/>
    <cellStyle name="Normal 2 3 2 3 2 2 2 2 2 5" xfId="9446"/>
    <cellStyle name="Normal 2 3 2 3 2 2 2 2 2 5 2" xfId="36910"/>
    <cellStyle name="Normal 2 3 2 3 2 2 2 2 2 5 2 2" xfId="44828"/>
    <cellStyle name="Normal 2 3 2 3 2 2 2 2 2 6" xfId="22942"/>
    <cellStyle name="Normal 2 3 2 3 2 2 2 2 3" xfId="2220"/>
    <cellStyle name="Normal 2 3 2 3 2 2 2 2 3 2" xfId="2726"/>
    <cellStyle name="Normal 2 3 2 3 2 2 2 2 3 2 2" xfId="7454"/>
    <cellStyle name="Normal 2 3 2 3 2 2 2 2 3 2 2 2" xfId="7945"/>
    <cellStyle name="Normal 2 3 2 3 2 2 2 2 3 2 2 2 2" xfId="21006"/>
    <cellStyle name="Normal 2 3 2 3 2 2 2 2 3 2 2 2 2 2" xfId="21497"/>
    <cellStyle name="Normal 2 3 2 3 2 2 2 2 3 2 2 2 2 2 2" xfId="56332"/>
    <cellStyle name="Normal 2 3 2 3 2 2 2 2 3 2 2 2 2 2 2 2" xfId="56823"/>
    <cellStyle name="Normal 2 3 2 3 2 2 2 2 3 2 2 2 2 3" xfId="35000"/>
    <cellStyle name="Normal 2 3 2 3 2 2 2 2 3 2 2 2 3" xfId="34509"/>
    <cellStyle name="Normal 2 3 2 3 2 2 2 2 3 2 2 2 3 2" xfId="43372"/>
    <cellStyle name="Normal 2 3 2 3 2 2 2 2 3 2 2 3" xfId="13170"/>
    <cellStyle name="Normal 2 3 2 3 2 2 2 2 3 2 2 3 2" xfId="42881"/>
    <cellStyle name="Normal 2 3 2 3 2 2 2 2 3 2 2 3 2 2" xfId="48516"/>
    <cellStyle name="Normal 2 3 2 3 2 2 2 2 3 2 2 4" xfId="26654"/>
    <cellStyle name="Normal 2 3 2 3 2 2 2 2 3 2 3" xfId="12679"/>
    <cellStyle name="Normal 2 3 2 3 2 2 2 2 3 2 3 2" xfId="16385"/>
    <cellStyle name="Normal 2 3 2 3 2 2 2 2 3 2 3 2 2" xfId="48025"/>
    <cellStyle name="Normal 2 3 2 3 2 2 2 2 3 2 3 2 2 2" xfId="51715"/>
    <cellStyle name="Normal 2 3 2 3 2 2 2 2 3 2 3 3" xfId="29889"/>
    <cellStyle name="Normal 2 3 2 3 2 2 2 2 3 2 4" xfId="26163"/>
    <cellStyle name="Normal 2 3 2 3 2 2 2 2 3 2 4 2" xfId="38199"/>
    <cellStyle name="Normal 2 3 2 3 2 2 2 2 3 3" xfId="4762"/>
    <cellStyle name="Normal 2 3 2 3 2 2 2 2 3 3 2" xfId="15884"/>
    <cellStyle name="Normal 2 3 2 3 2 2 2 2 3 3 2 2" xfId="18339"/>
    <cellStyle name="Normal 2 3 2 3 2 2 2 2 3 3 2 2 2" xfId="51216"/>
    <cellStyle name="Normal 2 3 2 3 2 2 2 2 3 3 2 2 2 2" xfId="53665"/>
    <cellStyle name="Normal 2 3 2 3 2 2 2 2 3 3 2 3" xfId="31840"/>
    <cellStyle name="Normal 2 3 2 3 2 2 2 2 3 3 3" xfId="29390"/>
    <cellStyle name="Normal 2 3 2 3 2 2 2 2 3 3 3 2" xfId="40200"/>
    <cellStyle name="Normal 2 3 2 3 2 2 2 2 3 4" xfId="9965"/>
    <cellStyle name="Normal 2 3 2 3 2 2 2 2 3 4 2" xfId="37698"/>
    <cellStyle name="Normal 2 3 2 3 2 2 2 2 3 4 2 2" xfId="45332"/>
    <cellStyle name="Normal 2 3 2 3 2 2 2 2 3 5" xfId="23455"/>
    <cellStyle name="Normal 2 3 2 3 2 2 2 2 4" xfId="4236"/>
    <cellStyle name="Normal 2 3 2 3 2 2 2 2 4 2" xfId="5967"/>
    <cellStyle name="Normal 2 3 2 3 2 2 2 2 4 2 2" xfId="17829"/>
    <cellStyle name="Normal 2 3 2 3 2 2 2 2 4 2 2 2" xfId="19534"/>
    <cellStyle name="Normal 2 3 2 3 2 2 2 2 4 2 2 2 2" xfId="53156"/>
    <cellStyle name="Normal 2 3 2 3 2 2 2 2 4 2 2 2 2 2" xfId="54860"/>
    <cellStyle name="Normal 2 3 2 3 2 2 2 2 4 2 2 3" xfId="33035"/>
    <cellStyle name="Normal 2 3 2 3 2 2 2 2 4 2 3" xfId="31331"/>
    <cellStyle name="Normal 2 3 2 3 2 2 2 2 4 2 3 2" xfId="41401"/>
    <cellStyle name="Normal 2 3 2 3 2 2 2 2 4 3" xfId="11192"/>
    <cellStyle name="Normal 2 3 2 3 2 2 2 2 4 3 2" xfId="39679"/>
    <cellStyle name="Normal 2 3 2 3 2 2 2 2 4 3 2 2" xfId="46550"/>
    <cellStyle name="Normal 2 3 2 3 2 2 2 2 4 4" xfId="24685"/>
    <cellStyle name="Normal 2 3 2 3 2 2 2 2 5" xfId="9427"/>
    <cellStyle name="Normal 2 3 2 3 2 2 2 2 5 2" xfId="14351"/>
    <cellStyle name="Normal 2 3 2 3 2 2 2 2 5 2 2" xfId="44809"/>
    <cellStyle name="Normal 2 3 2 3 2 2 2 2 5 2 2 2" xfId="49696"/>
    <cellStyle name="Normal 2 3 2 3 2 2 2 2 5 3" xfId="27861"/>
    <cellStyle name="Normal 2 3 2 3 2 2 2 2 6" xfId="22923"/>
    <cellStyle name="Normal 2 3 2 3 2 2 2 2 6 2" xfId="36163"/>
    <cellStyle name="Normal 2 3 2 3 2 2 2 3" xfId="964"/>
    <cellStyle name="Normal 2 3 2 3 2 2 2 3 2" xfId="2707"/>
    <cellStyle name="Normal 2 3 2 3 2 2 2 3 2 2" xfId="3002"/>
    <cellStyle name="Normal 2 3 2 3 2 2 2 3 2 2 2" xfId="7926"/>
    <cellStyle name="Normal 2 3 2 3 2 2 2 3 2 2 2 2" xfId="8217"/>
    <cellStyle name="Normal 2 3 2 3 2 2 2 3 2 2 2 2 2" xfId="21478"/>
    <cellStyle name="Normal 2 3 2 3 2 2 2 3 2 2 2 2 2 2" xfId="21769"/>
    <cellStyle name="Normal 2 3 2 3 2 2 2 3 2 2 2 2 2 2 2" xfId="56804"/>
    <cellStyle name="Normal 2 3 2 3 2 2 2 3 2 2 2 2 2 2 2 2" xfId="57095"/>
    <cellStyle name="Normal 2 3 2 3 2 2 2 3 2 2 2 2 2 3" xfId="35272"/>
    <cellStyle name="Normal 2 3 2 3 2 2 2 3 2 2 2 2 3" xfId="34981"/>
    <cellStyle name="Normal 2 3 2 3 2 2 2 3 2 2 2 2 3 2" xfId="43644"/>
    <cellStyle name="Normal 2 3 2 3 2 2 2 3 2 2 2 3" xfId="13442"/>
    <cellStyle name="Normal 2 3 2 3 2 2 2 3 2 2 2 3 2" xfId="43353"/>
    <cellStyle name="Normal 2 3 2 3 2 2 2 3 2 2 2 3 2 2" xfId="48788"/>
    <cellStyle name="Normal 2 3 2 3 2 2 2 3 2 2 2 4" xfId="26927"/>
    <cellStyle name="Normal 2 3 2 3 2 2 2 3 2 2 3" xfId="13151"/>
    <cellStyle name="Normal 2 3 2 3 2 2 2 3 2 2 3 2" xfId="16659"/>
    <cellStyle name="Normal 2 3 2 3 2 2 2 3 2 2 3 2 2" xfId="48497"/>
    <cellStyle name="Normal 2 3 2 3 2 2 2 3 2 2 3 2 2 2" xfId="51987"/>
    <cellStyle name="Normal 2 3 2 3 2 2 2 3 2 2 3 3" xfId="30161"/>
    <cellStyle name="Normal 2 3 2 3 2 2 2 3 2 2 4" xfId="26635"/>
    <cellStyle name="Normal 2 3 2 3 2 2 2 3 2 2 4 2" xfId="38471"/>
    <cellStyle name="Normal 2 3 2 3 2 2 2 3 2 3" xfId="5038"/>
    <cellStyle name="Normal 2 3 2 3 2 2 2 3 2 3 2" xfId="16366"/>
    <cellStyle name="Normal 2 3 2 3 2 2 2 3 2 3 2 2" xfId="18611"/>
    <cellStyle name="Normal 2 3 2 3 2 2 2 3 2 3 2 2 2" xfId="51696"/>
    <cellStyle name="Normal 2 3 2 3 2 2 2 3 2 3 2 2 2 2" xfId="53937"/>
    <cellStyle name="Normal 2 3 2 3 2 2 2 3 2 3 2 3" xfId="32112"/>
    <cellStyle name="Normal 2 3 2 3 2 2 2 3 2 3 3" xfId="29870"/>
    <cellStyle name="Normal 2 3 2 3 2 2 2 3 2 3 3 2" xfId="40475"/>
    <cellStyle name="Normal 2 3 2 3 2 2 2 3 2 4" xfId="10241"/>
    <cellStyle name="Normal 2 3 2 3 2 2 2 3 2 4 2" xfId="38180"/>
    <cellStyle name="Normal 2 3 2 3 2 2 2 3 2 4 2 2" xfId="45604"/>
    <cellStyle name="Normal 2 3 2 3 2 2 2 3 2 5" xfId="23727"/>
    <cellStyle name="Normal 2 3 2 3 2 2 2 3 3" xfId="4743"/>
    <cellStyle name="Normal 2 3 2 3 2 2 2 3 3 2" xfId="6275"/>
    <cellStyle name="Normal 2 3 2 3 2 2 2 3 3 2 2" xfId="18320"/>
    <cellStyle name="Normal 2 3 2 3 2 2 2 3 3 2 2 2" xfId="19832"/>
    <cellStyle name="Normal 2 3 2 3 2 2 2 3 3 2 2 2 2" xfId="53646"/>
    <cellStyle name="Normal 2 3 2 3 2 2 2 3 3 2 2 2 2 2" xfId="55158"/>
    <cellStyle name="Normal 2 3 2 3 2 2 2 3 3 2 2 3" xfId="33334"/>
    <cellStyle name="Normal 2 3 2 3 2 2 2 3 3 2 3" xfId="31821"/>
    <cellStyle name="Normal 2 3 2 3 2 2 2 3 3 2 3 2" xfId="41704"/>
    <cellStyle name="Normal 2 3 2 3 2 2 2 3 3 3" xfId="11500"/>
    <cellStyle name="Normal 2 3 2 3 2 2 2 3 3 3 2" xfId="40181"/>
    <cellStyle name="Normal 2 3 2 3 2 2 2 3 3 3 2 2" xfId="46849"/>
    <cellStyle name="Normal 2 3 2 3 2 2 2 3 3 4" xfId="24986"/>
    <cellStyle name="Normal 2 3 2 3 2 2 2 3 4" xfId="9946"/>
    <cellStyle name="Normal 2 3 2 3 2 2 2 3 4 2" xfId="14658"/>
    <cellStyle name="Normal 2 3 2 3 2 2 2 3 4 2 2" xfId="45313"/>
    <cellStyle name="Normal 2 3 2 3 2 2 2 3 4 2 2 2" xfId="49997"/>
    <cellStyle name="Normal 2 3 2 3 2 2 2 3 4 3" xfId="28169"/>
    <cellStyle name="Normal 2 3 2 3 2 2 2 3 5" xfId="23436"/>
    <cellStyle name="Normal 2 3 2 3 2 2 2 3 5 2" xfId="36466"/>
    <cellStyle name="Normal 2 3 2 3 2 2 2 4" xfId="1760"/>
    <cellStyle name="Normal 2 3 2 3 2 2 2 4 2" xfId="5948"/>
    <cellStyle name="Normal 2 3 2 3 2 2 2 4 2 2" xfId="7013"/>
    <cellStyle name="Normal 2 3 2 3 2 2 2 4 2 2 2" xfId="19515"/>
    <cellStyle name="Normal 2 3 2 3 2 2 2 4 2 2 2 2" xfId="20566"/>
    <cellStyle name="Normal 2 3 2 3 2 2 2 4 2 2 2 2 2" xfId="54841"/>
    <cellStyle name="Normal 2 3 2 3 2 2 2 4 2 2 2 2 2 2" xfId="55892"/>
    <cellStyle name="Normal 2 3 2 3 2 2 2 4 2 2 2 3" xfId="34068"/>
    <cellStyle name="Normal 2 3 2 3 2 2 2 4 2 2 3" xfId="33016"/>
    <cellStyle name="Normal 2 3 2 3 2 2 2 4 2 2 3 2" xfId="42441"/>
    <cellStyle name="Normal 2 3 2 3 2 2 2 4 2 3" xfId="12237"/>
    <cellStyle name="Normal 2 3 2 3 2 2 2 4 2 3 2" xfId="41382"/>
    <cellStyle name="Normal 2 3 2 3 2 2 2 4 2 3 2 2" xfId="47584"/>
    <cellStyle name="Normal 2 3 2 3 2 2 2 4 2 4" xfId="25722"/>
    <cellStyle name="Normal 2 3 2 3 2 2 2 4 3" xfId="11173"/>
    <cellStyle name="Normal 2 3 2 3 2 2 2 4 3 2" xfId="15432"/>
    <cellStyle name="Normal 2 3 2 3 2 2 2 4 3 2 2" xfId="46531"/>
    <cellStyle name="Normal 2 3 2 3 2 2 2 4 3 2 2 2" xfId="50765"/>
    <cellStyle name="Normal 2 3 2 3 2 2 2 4 3 3" xfId="28939"/>
    <cellStyle name="Normal 2 3 2 3 2 2 2 4 4" xfId="24666"/>
    <cellStyle name="Normal 2 3 2 3 2 2 2 4 4 2" xfId="37242"/>
    <cellStyle name="Normal 2 3 2 3 2 2 2 5" xfId="3766"/>
    <cellStyle name="Normal 2 3 2 3 2 2 2 5 2" xfId="14332"/>
    <cellStyle name="Normal 2 3 2 3 2 2 2 5 2 2" xfId="17382"/>
    <cellStyle name="Normal 2 3 2 3 2 2 2 5 2 2 2" xfId="49677"/>
    <cellStyle name="Normal 2 3 2 3 2 2 2 5 2 2 2 2" xfId="52709"/>
    <cellStyle name="Normal 2 3 2 3 2 2 2 5 2 3" xfId="30883"/>
    <cellStyle name="Normal 2 3 2 3 2 2 2 5 3" xfId="27842"/>
    <cellStyle name="Normal 2 3 2 3 2 2 2 5 3 2" xfId="39217"/>
    <cellStyle name="Normal 2 3 2 3 2 2 2 6" xfId="8956"/>
    <cellStyle name="Normal 2 3 2 3 2 2 2 6 2" xfId="36144"/>
    <cellStyle name="Normal 2 3 2 3 2 2 2 6 2 2" xfId="44355"/>
    <cellStyle name="Normal 2 3 2 3 2 2 2 7" xfId="22463"/>
    <cellStyle name="Normal 2 3 2 3 2 2 3" xfId="945"/>
    <cellStyle name="Normal 2 3 2 3 2 2 3 2" xfId="1168"/>
    <cellStyle name="Normal 2 3 2 3 2 2 3 2 2" xfId="2983"/>
    <cellStyle name="Normal 2 3 2 3 2 2 3 2 2 2" xfId="3188"/>
    <cellStyle name="Normal 2 3 2 3 2 2 3 2 2 2 2" xfId="8198"/>
    <cellStyle name="Normal 2 3 2 3 2 2 3 2 2 2 2 2" xfId="8403"/>
    <cellStyle name="Normal 2 3 2 3 2 2 3 2 2 2 2 2 2" xfId="21750"/>
    <cellStyle name="Normal 2 3 2 3 2 2 3 2 2 2 2 2 2 2" xfId="21955"/>
    <cellStyle name="Normal 2 3 2 3 2 2 3 2 2 2 2 2 2 2 2" xfId="57076"/>
    <cellStyle name="Normal 2 3 2 3 2 2 3 2 2 2 2 2 2 2 2 2" xfId="57281"/>
    <cellStyle name="Normal 2 3 2 3 2 2 3 2 2 2 2 2 2 3" xfId="35458"/>
    <cellStyle name="Normal 2 3 2 3 2 2 3 2 2 2 2 2 3" xfId="35253"/>
    <cellStyle name="Normal 2 3 2 3 2 2 3 2 2 2 2 2 3 2" xfId="43830"/>
    <cellStyle name="Normal 2 3 2 3 2 2 3 2 2 2 2 3" xfId="13628"/>
    <cellStyle name="Normal 2 3 2 3 2 2 3 2 2 2 2 3 2" xfId="43625"/>
    <cellStyle name="Normal 2 3 2 3 2 2 3 2 2 2 2 3 2 2" xfId="48974"/>
    <cellStyle name="Normal 2 3 2 3 2 2 3 2 2 2 2 4" xfId="27113"/>
    <cellStyle name="Normal 2 3 2 3 2 2 3 2 2 2 3" xfId="13423"/>
    <cellStyle name="Normal 2 3 2 3 2 2 3 2 2 2 3 2" xfId="16845"/>
    <cellStyle name="Normal 2 3 2 3 2 2 3 2 2 2 3 2 2" xfId="48769"/>
    <cellStyle name="Normal 2 3 2 3 2 2 3 2 2 2 3 2 2 2" xfId="52173"/>
    <cellStyle name="Normal 2 3 2 3 2 2 3 2 2 2 3 3" xfId="30347"/>
    <cellStyle name="Normal 2 3 2 3 2 2 3 2 2 2 4" xfId="26908"/>
    <cellStyle name="Normal 2 3 2 3 2 2 3 2 2 2 4 2" xfId="38657"/>
    <cellStyle name="Normal 2 3 2 3 2 2 3 2 2 3" xfId="5225"/>
    <cellStyle name="Normal 2 3 2 3 2 2 3 2 2 3 2" xfId="16640"/>
    <cellStyle name="Normal 2 3 2 3 2 2 3 2 2 3 2 2" xfId="18798"/>
    <cellStyle name="Normal 2 3 2 3 2 2 3 2 2 3 2 2 2" xfId="51968"/>
    <cellStyle name="Normal 2 3 2 3 2 2 3 2 2 3 2 2 2 2" xfId="54124"/>
    <cellStyle name="Normal 2 3 2 3 2 2 3 2 2 3 2 3" xfId="32299"/>
    <cellStyle name="Normal 2 3 2 3 2 2 3 2 2 3 3" xfId="30142"/>
    <cellStyle name="Normal 2 3 2 3 2 2 3 2 2 3 3 2" xfId="40662"/>
    <cellStyle name="Normal 2 3 2 3 2 2 3 2 2 4" xfId="10428"/>
    <cellStyle name="Normal 2 3 2 3 2 2 3 2 2 4 2" xfId="38452"/>
    <cellStyle name="Normal 2 3 2 3 2 2 3 2 2 4 2 2" xfId="45791"/>
    <cellStyle name="Normal 2 3 2 3 2 2 3 2 2 5" xfId="23914"/>
    <cellStyle name="Normal 2 3 2 3 2 2 3 2 3" xfId="5019"/>
    <cellStyle name="Normal 2 3 2 3 2 2 3 2 3 2" xfId="6476"/>
    <cellStyle name="Normal 2 3 2 3 2 2 3 2 3 2 2" xfId="18592"/>
    <cellStyle name="Normal 2 3 2 3 2 2 3 2 3 2 2 2" xfId="20030"/>
    <cellStyle name="Normal 2 3 2 3 2 2 3 2 3 2 2 2 2" xfId="53918"/>
    <cellStyle name="Normal 2 3 2 3 2 2 3 2 3 2 2 2 2 2" xfId="55356"/>
    <cellStyle name="Normal 2 3 2 3 2 2 3 2 3 2 2 3" xfId="33532"/>
    <cellStyle name="Normal 2 3 2 3 2 2 3 2 3 2 3" xfId="32093"/>
    <cellStyle name="Normal 2 3 2 3 2 2 3 2 3 2 3 2" xfId="41904"/>
    <cellStyle name="Normal 2 3 2 3 2 2 3 2 3 3" xfId="11700"/>
    <cellStyle name="Normal 2 3 2 3 2 2 3 2 3 3 2" xfId="40456"/>
    <cellStyle name="Normal 2 3 2 3 2 2 3 2 3 3 2 2" xfId="47048"/>
    <cellStyle name="Normal 2 3 2 3 2 2 3 2 3 4" xfId="25185"/>
    <cellStyle name="Normal 2 3 2 3 2 2 3 2 4" xfId="10222"/>
    <cellStyle name="Normal 2 3 2 3 2 2 3 2 4 2" xfId="14858"/>
    <cellStyle name="Normal 2 3 2 3 2 2 3 2 4 2 2" xfId="45585"/>
    <cellStyle name="Normal 2 3 2 3 2 2 3 2 4 2 2 2" xfId="50197"/>
    <cellStyle name="Normal 2 3 2 3 2 2 3 2 4 3" xfId="28371"/>
    <cellStyle name="Normal 2 3 2 3 2 2 3 2 5" xfId="23708"/>
    <cellStyle name="Normal 2 3 2 3 2 2 3 2 5 2" xfId="36666"/>
    <cellStyle name="Normal 2 3 2 3 2 2 3 3" xfId="1976"/>
    <cellStyle name="Normal 2 3 2 3 2 2 3 3 2" xfId="6256"/>
    <cellStyle name="Normal 2 3 2 3 2 2 3 3 2 2" xfId="7210"/>
    <cellStyle name="Normal 2 3 2 3 2 2 3 3 2 2 2" xfId="19813"/>
    <cellStyle name="Normal 2 3 2 3 2 2 3 3 2 2 2 2" xfId="20762"/>
    <cellStyle name="Normal 2 3 2 3 2 2 3 3 2 2 2 2 2" xfId="55139"/>
    <cellStyle name="Normal 2 3 2 3 2 2 3 3 2 2 2 2 2 2" xfId="56088"/>
    <cellStyle name="Normal 2 3 2 3 2 2 3 3 2 2 2 3" xfId="34265"/>
    <cellStyle name="Normal 2 3 2 3 2 2 3 3 2 2 3" xfId="33315"/>
    <cellStyle name="Normal 2 3 2 3 2 2 3 3 2 2 3 2" xfId="42637"/>
    <cellStyle name="Normal 2 3 2 3 2 2 3 3 2 3" xfId="12435"/>
    <cellStyle name="Normal 2 3 2 3 2 2 3 3 2 3 2" xfId="41685"/>
    <cellStyle name="Normal 2 3 2 3 2 2 3 3 2 3 2 2" xfId="47781"/>
    <cellStyle name="Normal 2 3 2 3 2 2 3 3 2 4" xfId="25919"/>
    <cellStyle name="Normal 2 3 2 3 2 2 3 3 3" xfId="11481"/>
    <cellStyle name="Normal 2 3 2 3 2 2 3 3 3 2" xfId="15640"/>
    <cellStyle name="Normal 2 3 2 3 2 2 3 3 3 2 2" xfId="46830"/>
    <cellStyle name="Normal 2 3 2 3 2 2 3 3 3 2 2 2" xfId="50972"/>
    <cellStyle name="Normal 2 3 2 3 2 2 3 3 3 3" xfId="29146"/>
    <cellStyle name="Normal 2 3 2 3 2 2 3 3 4" xfId="24967"/>
    <cellStyle name="Normal 2 3 2 3 2 2 3 3 4 2" xfId="37454"/>
    <cellStyle name="Normal 2 3 2 3 2 2 3 4" xfId="3990"/>
    <cellStyle name="Normal 2 3 2 3 2 2 3 4 2" xfId="14639"/>
    <cellStyle name="Normal 2 3 2 3 2 2 3 4 2 2" xfId="17585"/>
    <cellStyle name="Normal 2 3 2 3 2 2 3 4 2 2 2" xfId="49978"/>
    <cellStyle name="Normal 2 3 2 3 2 2 3 4 2 2 2 2" xfId="52912"/>
    <cellStyle name="Normal 2 3 2 3 2 2 3 4 2 3" xfId="31087"/>
    <cellStyle name="Normal 2 3 2 3 2 2 3 4 3" xfId="28150"/>
    <cellStyle name="Normal 2 3 2 3 2 2 3 4 3 2" xfId="39434"/>
    <cellStyle name="Normal 2 3 2 3 2 2 3 5" xfId="9182"/>
    <cellStyle name="Normal 2 3 2 3 2 2 3 5 2" xfId="36447"/>
    <cellStyle name="Normal 2 3 2 3 2 2 3 5 2 2" xfId="44565"/>
    <cellStyle name="Normal 2 3 2 3 2 2 3 6" xfId="22679"/>
    <cellStyle name="Normal 2 3 2 3 2 2 4" xfId="1741"/>
    <cellStyle name="Normal 2 3 2 3 2 2 4 2" xfId="2421"/>
    <cellStyle name="Normal 2 3 2 3 2 2 4 2 2" xfId="6994"/>
    <cellStyle name="Normal 2 3 2 3 2 2 4 2 2 2" xfId="7653"/>
    <cellStyle name="Normal 2 3 2 3 2 2 4 2 2 2 2" xfId="20547"/>
    <cellStyle name="Normal 2 3 2 3 2 2 4 2 2 2 2 2" xfId="21205"/>
    <cellStyle name="Normal 2 3 2 3 2 2 4 2 2 2 2 2 2" xfId="55873"/>
    <cellStyle name="Normal 2 3 2 3 2 2 4 2 2 2 2 2 2 2" xfId="56531"/>
    <cellStyle name="Normal 2 3 2 3 2 2 4 2 2 2 2 3" xfId="34708"/>
    <cellStyle name="Normal 2 3 2 3 2 2 4 2 2 2 3" xfId="34049"/>
    <cellStyle name="Normal 2 3 2 3 2 2 4 2 2 2 3 2" xfId="43080"/>
    <cellStyle name="Normal 2 3 2 3 2 2 4 2 2 3" xfId="12878"/>
    <cellStyle name="Normal 2 3 2 3 2 2 4 2 2 3 2" xfId="42422"/>
    <cellStyle name="Normal 2 3 2 3 2 2 4 2 2 3 2 2" xfId="48224"/>
    <cellStyle name="Normal 2 3 2 3 2 2 4 2 2 4" xfId="26362"/>
    <cellStyle name="Normal 2 3 2 3 2 2 4 2 3" xfId="12218"/>
    <cellStyle name="Normal 2 3 2 3 2 2 4 2 3 2" xfId="16084"/>
    <cellStyle name="Normal 2 3 2 3 2 2 4 2 3 2 2" xfId="47565"/>
    <cellStyle name="Normal 2 3 2 3 2 2 4 2 3 2 2 2" xfId="51416"/>
    <cellStyle name="Normal 2 3 2 3 2 2 4 2 3 3" xfId="29590"/>
    <cellStyle name="Normal 2 3 2 3 2 2 4 2 4" xfId="25703"/>
    <cellStyle name="Normal 2 3 2 3 2 2 4 2 4 2" xfId="37899"/>
    <cellStyle name="Normal 2 3 2 3 2 2 4 3" xfId="4456"/>
    <cellStyle name="Normal 2 3 2 3 2 2 4 3 2" xfId="15413"/>
    <cellStyle name="Normal 2 3 2 3 2 2 4 3 2 2" xfId="18046"/>
    <cellStyle name="Normal 2 3 2 3 2 2 4 3 2 2 2" xfId="50746"/>
    <cellStyle name="Normal 2 3 2 3 2 2 4 3 2 2 2 2" xfId="53372"/>
    <cellStyle name="Normal 2 3 2 3 2 2 4 3 2 3" xfId="31547"/>
    <cellStyle name="Normal 2 3 2 3 2 2 4 3 3" xfId="28920"/>
    <cellStyle name="Normal 2 3 2 3 2 2 4 3 3 2" xfId="39898"/>
    <cellStyle name="Normal 2 3 2 3 2 2 4 4" xfId="9661"/>
    <cellStyle name="Normal 2 3 2 3 2 2 4 4 2" xfId="37223"/>
    <cellStyle name="Normal 2 3 2 3 2 2 4 4 2 2" xfId="45039"/>
    <cellStyle name="Normal 2 3 2 3 2 2 4 5" xfId="23162"/>
    <cellStyle name="Normal 2 3 2 3 2 2 5" xfId="3747"/>
    <cellStyle name="Normal 2 3 2 3 2 2 5 2" xfId="5663"/>
    <cellStyle name="Normal 2 3 2 3 2 2 5 2 2" xfId="17363"/>
    <cellStyle name="Normal 2 3 2 3 2 2 5 2 2 2" xfId="19235"/>
    <cellStyle name="Normal 2 3 2 3 2 2 5 2 2 2 2" xfId="52690"/>
    <cellStyle name="Normal 2 3 2 3 2 2 5 2 2 2 2 2" xfId="54561"/>
    <cellStyle name="Normal 2 3 2 3 2 2 5 2 2 3" xfId="32736"/>
    <cellStyle name="Normal 2 3 2 3 2 2 5 2 3" xfId="30864"/>
    <cellStyle name="Normal 2 3 2 3 2 2 5 2 3 2" xfId="41099"/>
    <cellStyle name="Normal 2 3 2 3 2 2 5 3" xfId="10881"/>
    <cellStyle name="Normal 2 3 2 3 2 2 5 3 2" xfId="39198"/>
    <cellStyle name="Normal 2 3 2 3 2 2 5 3 2 2" xfId="46243"/>
    <cellStyle name="Normal 2 3 2 3 2 2 5 4" xfId="24374"/>
    <cellStyle name="Normal 2 3 2 3 2 2 6" xfId="8937"/>
    <cellStyle name="Normal 2 3 2 3 2 2 6 2" xfId="14047"/>
    <cellStyle name="Normal 2 3 2 3 2 2 6 2 2" xfId="44336"/>
    <cellStyle name="Normal 2 3 2 3 2 2 6 2 2 2" xfId="49393"/>
    <cellStyle name="Normal 2 3 2 3 2 2 6 3" xfId="27546"/>
    <cellStyle name="Normal 2 3 2 3 2 2 7" xfId="22444"/>
    <cellStyle name="Normal 2 3 2 3 2 2 7 2" xfId="35859"/>
    <cellStyle name="Normal 2 3 2 3 2 3" xfId="452"/>
    <cellStyle name="Normal 2 3 2 3 2 3 2" xfId="1138"/>
    <cellStyle name="Normal 2 3 2 3 2 3 2 2" xfId="1267"/>
    <cellStyle name="Normal 2 3 2 3 2 3 2 2 2" xfId="3163"/>
    <cellStyle name="Normal 2 3 2 3 2 3 2 2 2 2" xfId="3285"/>
    <cellStyle name="Normal 2 3 2 3 2 3 2 2 2 2 2" xfId="8378"/>
    <cellStyle name="Normal 2 3 2 3 2 3 2 2 2 2 2 2" xfId="8500"/>
    <cellStyle name="Normal 2 3 2 3 2 3 2 2 2 2 2 2 2" xfId="21930"/>
    <cellStyle name="Normal 2 3 2 3 2 3 2 2 2 2 2 2 2 2" xfId="22052"/>
    <cellStyle name="Normal 2 3 2 3 2 3 2 2 2 2 2 2 2 2 2" xfId="57256"/>
    <cellStyle name="Normal 2 3 2 3 2 3 2 2 2 2 2 2 2 2 2 2" xfId="57378"/>
    <cellStyle name="Normal 2 3 2 3 2 3 2 2 2 2 2 2 2 3" xfId="35555"/>
    <cellStyle name="Normal 2 3 2 3 2 3 2 2 2 2 2 2 3" xfId="35433"/>
    <cellStyle name="Normal 2 3 2 3 2 3 2 2 2 2 2 2 3 2" xfId="43927"/>
    <cellStyle name="Normal 2 3 2 3 2 3 2 2 2 2 2 3" xfId="13725"/>
    <cellStyle name="Normal 2 3 2 3 2 3 2 2 2 2 2 3 2" xfId="43805"/>
    <cellStyle name="Normal 2 3 2 3 2 3 2 2 2 2 2 3 2 2" xfId="49071"/>
    <cellStyle name="Normal 2 3 2 3 2 3 2 2 2 2 2 4" xfId="27210"/>
    <cellStyle name="Normal 2 3 2 3 2 3 2 2 2 2 3" xfId="13603"/>
    <cellStyle name="Normal 2 3 2 3 2 3 2 2 2 2 3 2" xfId="16942"/>
    <cellStyle name="Normal 2 3 2 3 2 3 2 2 2 2 3 2 2" xfId="48949"/>
    <cellStyle name="Normal 2 3 2 3 2 3 2 2 2 2 3 2 2 2" xfId="52270"/>
    <cellStyle name="Normal 2 3 2 3 2 3 2 2 2 2 3 3" xfId="30444"/>
    <cellStyle name="Normal 2 3 2 3 2 3 2 2 2 2 4" xfId="27088"/>
    <cellStyle name="Normal 2 3 2 3 2 3 2 2 2 2 4 2" xfId="38754"/>
    <cellStyle name="Normal 2 3 2 3 2 3 2 2 2 3" xfId="5322"/>
    <cellStyle name="Normal 2 3 2 3 2 3 2 2 2 3 2" xfId="16820"/>
    <cellStyle name="Normal 2 3 2 3 2 3 2 2 2 3 2 2" xfId="18895"/>
    <cellStyle name="Normal 2 3 2 3 2 3 2 2 2 3 2 2 2" xfId="52148"/>
    <cellStyle name="Normal 2 3 2 3 2 3 2 2 2 3 2 2 2 2" xfId="54221"/>
    <cellStyle name="Normal 2 3 2 3 2 3 2 2 2 3 2 3" xfId="32396"/>
    <cellStyle name="Normal 2 3 2 3 2 3 2 2 2 3 3" xfId="30322"/>
    <cellStyle name="Normal 2 3 2 3 2 3 2 2 2 3 3 2" xfId="40759"/>
    <cellStyle name="Normal 2 3 2 3 2 3 2 2 2 4" xfId="10525"/>
    <cellStyle name="Normal 2 3 2 3 2 3 2 2 2 4 2" xfId="38632"/>
    <cellStyle name="Normal 2 3 2 3 2 3 2 2 2 4 2 2" xfId="45888"/>
    <cellStyle name="Normal 2 3 2 3 2 3 2 2 2 5" xfId="24011"/>
    <cellStyle name="Normal 2 3 2 3 2 3 2 2 3" xfId="5200"/>
    <cellStyle name="Normal 2 3 2 3 2 3 2 2 3 2" xfId="6575"/>
    <cellStyle name="Normal 2 3 2 3 2 3 2 2 3 2 2" xfId="18773"/>
    <cellStyle name="Normal 2 3 2 3 2 3 2 2 3 2 2 2" xfId="20128"/>
    <cellStyle name="Normal 2 3 2 3 2 3 2 2 3 2 2 2 2" xfId="54099"/>
    <cellStyle name="Normal 2 3 2 3 2 3 2 2 3 2 2 2 2 2" xfId="55454"/>
    <cellStyle name="Normal 2 3 2 3 2 3 2 2 3 2 2 3" xfId="33630"/>
    <cellStyle name="Normal 2 3 2 3 2 3 2 2 3 2 3" xfId="32274"/>
    <cellStyle name="Normal 2 3 2 3 2 3 2 2 3 2 3 2" xfId="42003"/>
    <cellStyle name="Normal 2 3 2 3 2 3 2 2 3 3" xfId="11798"/>
    <cellStyle name="Normal 2 3 2 3 2 3 2 2 3 3 2" xfId="40637"/>
    <cellStyle name="Normal 2 3 2 3 2 3 2 2 3 3 2 2" xfId="47146"/>
    <cellStyle name="Normal 2 3 2 3 2 3 2 2 3 4" xfId="25283"/>
    <cellStyle name="Normal 2 3 2 3 2 3 2 2 4" xfId="10403"/>
    <cellStyle name="Normal 2 3 2 3 2 3 2 2 4 2" xfId="14956"/>
    <cellStyle name="Normal 2 3 2 3 2 3 2 2 4 2 2" xfId="45766"/>
    <cellStyle name="Normal 2 3 2 3 2 3 2 2 4 2 2 2" xfId="50295"/>
    <cellStyle name="Normal 2 3 2 3 2 3 2 2 4 3" xfId="28469"/>
    <cellStyle name="Normal 2 3 2 3 2 3 2 2 5" xfId="23889"/>
    <cellStyle name="Normal 2 3 2 3 2 3 2 2 5 2" xfId="36764"/>
    <cellStyle name="Normal 2 3 2 3 2 3 2 3" xfId="2073"/>
    <cellStyle name="Normal 2 3 2 3 2 3 2 3 2" xfId="6446"/>
    <cellStyle name="Normal 2 3 2 3 2 3 2 3 2 2" xfId="7307"/>
    <cellStyle name="Normal 2 3 2 3 2 3 2 3 2 2 2" xfId="20001"/>
    <cellStyle name="Normal 2 3 2 3 2 3 2 3 2 2 2 2" xfId="20859"/>
    <cellStyle name="Normal 2 3 2 3 2 3 2 3 2 2 2 2 2" xfId="55327"/>
    <cellStyle name="Normal 2 3 2 3 2 3 2 3 2 2 2 2 2 2" xfId="56185"/>
    <cellStyle name="Normal 2 3 2 3 2 3 2 3 2 2 2 3" xfId="34362"/>
    <cellStyle name="Normal 2 3 2 3 2 3 2 3 2 2 3" xfId="33503"/>
    <cellStyle name="Normal 2 3 2 3 2 3 2 3 2 2 3 2" xfId="42734"/>
    <cellStyle name="Normal 2 3 2 3 2 3 2 3 2 3" xfId="12532"/>
    <cellStyle name="Normal 2 3 2 3 2 3 2 3 2 3 2" xfId="41874"/>
    <cellStyle name="Normal 2 3 2 3 2 3 2 3 2 3 2 2" xfId="47878"/>
    <cellStyle name="Normal 2 3 2 3 2 3 2 3 2 4" xfId="26016"/>
    <cellStyle name="Normal 2 3 2 3 2 3 2 3 3" xfId="11670"/>
    <cellStyle name="Normal 2 3 2 3 2 3 2 3 3 2" xfId="15737"/>
    <cellStyle name="Normal 2 3 2 3 2 3 2 3 3 2 2" xfId="47019"/>
    <cellStyle name="Normal 2 3 2 3 2 3 2 3 3 2 2 2" xfId="51069"/>
    <cellStyle name="Normal 2 3 2 3 2 3 2 3 3 3" xfId="29243"/>
    <cellStyle name="Normal 2 3 2 3 2 3 2 3 4" xfId="25156"/>
    <cellStyle name="Normal 2 3 2 3 2 3 2 3 4 2" xfId="37551"/>
    <cellStyle name="Normal 2 3 2 3 2 3 2 4" xfId="4089"/>
    <cellStyle name="Normal 2 3 2 3 2 3 2 4 2" xfId="14829"/>
    <cellStyle name="Normal 2 3 2 3 2 3 2 4 2 2" xfId="17682"/>
    <cellStyle name="Normal 2 3 2 3 2 3 2 4 2 2 2" xfId="50168"/>
    <cellStyle name="Normal 2 3 2 3 2 3 2 4 2 2 2 2" xfId="53009"/>
    <cellStyle name="Normal 2 3 2 3 2 3 2 4 2 3" xfId="31184"/>
    <cellStyle name="Normal 2 3 2 3 2 3 2 4 3" xfId="28341"/>
    <cellStyle name="Normal 2 3 2 3 2 3 2 4 3 2" xfId="39532"/>
    <cellStyle name="Normal 2 3 2 3 2 3 2 5" xfId="9280"/>
    <cellStyle name="Normal 2 3 2 3 2 3 2 5 2" xfId="36637"/>
    <cellStyle name="Normal 2 3 2 3 2 3 2 5 2 2" xfId="44662"/>
    <cellStyle name="Normal 2 3 2 3 2 3 2 6" xfId="22776"/>
    <cellStyle name="Normal 2 3 2 3 2 3 3" xfId="1946"/>
    <cellStyle name="Normal 2 3 2 3 2 3 3 2" xfId="2551"/>
    <cellStyle name="Normal 2 3 2 3 2 3 3 2 2" xfId="7185"/>
    <cellStyle name="Normal 2 3 2 3 2 3 3 2 2 2" xfId="7772"/>
    <cellStyle name="Normal 2 3 2 3 2 3 3 2 2 2 2" xfId="20737"/>
    <cellStyle name="Normal 2 3 2 3 2 3 3 2 2 2 2 2" xfId="21324"/>
    <cellStyle name="Normal 2 3 2 3 2 3 3 2 2 2 2 2 2" xfId="56063"/>
    <cellStyle name="Normal 2 3 2 3 2 3 3 2 2 2 2 2 2 2" xfId="56650"/>
    <cellStyle name="Normal 2 3 2 3 2 3 3 2 2 2 2 3" xfId="34827"/>
    <cellStyle name="Normal 2 3 2 3 2 3 3 2 2 2 3" xfId="34240"/>
    <cellStyle name="Normal 2 3 2 3 2 3 3 2 2 2 3 2" xfId="43199"/>
    <cellStyle name="Normal 2 3 2 3 2 3 3 2 2 3" xfId="12997"/>
    <cellStyle name="Normal 2 3 2 3 2 3 3 2 2 3 2" xfId="42612"/>
    <cellStyle name="Normal 2 3 2 3 2 3 3 2 2 3 2 2" xfId="48343"/>
    <cellStyle name="Normal 2 3 2 3 2 3 3 2 2 4" xfId="26481"/>
    <cellStyle name="Normal 2 3 2 3 2 3 3 2 3" xfId="12410"/>
    <cellStyle name="Normal 2 3 2 3 2 3 3 2 3 2" xfId="16210"/>
    <cellStyle name="Normal 2 3 2 3 2 3 3 2 3 2 2" xfId="47756"/>
    <cellStyle name="Normal 2 3 2 3 2 3 3 2 3 2 2 2" xfId="51540"/>
    <cellStyle name="Normal 2 3 2 3 2 3 3 2 3 3" xfId="29714"/>
    <cellStyle name="Normal 2 3 2 3 2 3 3 2 4" xfId="25894"/>
    <cellStyle name="Normal 2 3 2 3 2 3 3 2 4 2" xfId="38024"/>
    <cellStyle name="Normal 2 3 2 3 2 3 3 3" xfId="4584"/>
    <cellStyle name="Normal 2 3 2 3 2 3 3 3 2" xfId="15611"/>
    <cellStyle name="Normal 2 3 2 3 2 3 3 3 2 2" xfId="18165"/>
    <cellStyle name="Normal 2 3 2 3 2 3 3 3 2 2 2" xfId="50943"/>
    <cellStyle name="Normal 2 3 2 3 2 3 3 3 2 2 2 2" xfId="53491"/>
    <cellStyle name="Normal 2 3 2 3 2 3 3 3 2 3" xfId="31666"/>
    <cellStyle name="Normal 2 3 2 3 2 3 3 3 3" xfId="29117"/>
    <cellStyle name="Normal 2 3 2 3 2 3 3 3 3 2" xfId="40023"/>
    <cellStyle name="Normal 2 3 2 3 2 3 3 4" xfId="9788"/>
    <cellStyle name="Normal 2 3 2 3 2 3 3 4 2" xfId="37424"/>
    <cellStyle name="Normal 2 3 2 3 2 3 3 4 2 2" xfId="45158"/>
    <cellStyle name="Normal 2 3 2 3 2 3 3 5" xfId="23281"/>
    <cellStyle name="Normal 2 3 2 3 2 3 4" xfId="3960"/>
    <cellStyle name="Normal 2 3 2 3 2 3 4 2" xfId="5790"/>
    <cellStyle name="Normal 2 3 2 3 2 3 4 2 2" xfId="17560"/>
    <cellStyle name="Normal 2 3 2 3 2 3 4 2 2 2" xfId="19358"/>
    <cellStyle name="Normal 2 3 2 3 2 3 4 2 2 2 2" xfId="52887"/>
    <cellStyle name="Normal 2 3 2 3 2 3 4 2 2 2 2 2" xfId="54684"/>
    <cellStyle name="Normal 2 3 2 3 2 3 4 2 2 3" xfId="32859"/>
    <cellStyle name="Normal 2 3 2 3 2 3 4 2 3" xfId="31062"/>
    <cellStyle name="Normal 2 3 2 3 2 3 4 2 3 2" xfId="41225"/>
    <cellStyle name="Normal 2 3 2 3 2 3 4 3" xfId="11012"/>
    <cellStyle name="Normal 2 3 2 3 2 3 4 3 2" xfId="39404"/>
    <cellStyle name="Normal 2 3 2 3 2 3 4 3 2 2" xfId="46371"/>
    <cellStyle name="Normal 2 3 2 3 2 3 4 4" xfId="24506"/>
    <cellStyle name="Normal 2 3 2 3 2 3 5" xfId="9153"/>
    <cellStyle name="Normal 2 3 2 3 2 3 5 2" xfId="14173"/>
    <cellStyle name="Normal 2 3 2 3 2 3 5 2 2" xfId="44540"/>
    <cellStyle name="Normal 2 3 2 3 2 3 5 2 2 2" xfId="49518"/>
    <cellStyle name="Normal 2 3 2 3 2 3 5 3" xfId="27679"/>
    <cellStyle name="Normal 2 3 2 3 2 3 6" xfId="22654"/>
    <cellStyle name="Normal 2 3 2 3 2 3 6 2" xfId="35985"/>
    <cellStyle name="Normal 2 3 2 3 2 4" xfId="773"/>
    <cellStyle name="Normal 2 3 2 3 2 4 2" xfId="2394"/>
    <cellStyle name="Normal 2 3 2 3 2 4 2 2" xfId="2829"/>
    <cellStyle name="Normal 2 3 2 3 2 4 2 2 2" xfId="7627"/>
    <cellStyle name="Normal 2 3 2 3 2 4 2 2 2 2" xfId="8045"/>
    <cellStyle name="Normal 2 3 2 3 2 4 2 2 2 2 2" xfId="21179"/>
    <cellStyle name="Normal 2 3 2 3 2 4 2 2 2 2 2 2" xfId="21597"/>
    <cellStyle name="Normal 2 3 2 3 2 4 2 2 2 2 2 2 2" xfId="56505"/>
    <cellStyle name="Normal 2 3 2 3 2 4 2 2 2 2 2 2 2 2" xfId="56923"/>
    <cellStyle name="Normal 2 3 2 3 2 4 2 2 2 2 2 3" xfId="35100"/>
    <cellStyle name="Normal 2 3 2 3 2 4 2 2 2 2 3" xfId="34682"/>
    <cellStyle name="Normal 2 3 2 3 2 4 2 2 2 2 3 2" xfId="43472"/>
    <cellStyle name="Normal 2 3 2 3 2 4 2 2 2 3" xfId="13270"/>
    <cellStyle name="Normal 2 3 2 3 2 4 2 2 2 3 2" xfId="43054"/>
    <cellStyle name="Normal 2 3 2 3 2 4 2 2 2 3 2 2" xfId="48616"/>
    <cellStyle name="Normal 2 3 2 3 2 4 2 2 2 4" xfId="26754"/>
    <cellStyle name="Normal 2 3 2 3 2 4 2 2 3" xfId="12852"/>
    <cellStyle name="Normal 2 3 2 3 2 4 2 2 3 2" xfId="16487"/>
    <cellStyle name="Normal 2 3 2 3 2 4 2 2 3 2 2" xfId="48198"/>
    <cellStyle name="Normal 2 3 2 3 2 4 2 2 3 2 2 2" xfId="51815"/>
    <cellStyle name="Normal 2 3 2 3 2 4 2 2 3 3" xfId="29989"/>
    <cellStyle name="Normal 2 3 2 3 2 4 2 2 4" xfId="26336"/>
    <cellStyle name="Normal 2 3 2 3 2 4 2 2 4 2" xfId="38299"/>
    <cellStyle name="Normal 2 3 2 3 2 4 2 3" xfId="4865"/>
    <cellStyle name="Normal 2 3 2 3 2 4 2 3 2" xfId="16057"/>
    <cellStyle name="Normal 2 3 2 3 2 4 2 3 2 2" xfId="18439"/>
    <cellStyle name="Normal 2 3 2 3 2 4 2 3 2 2 2" xfId="51389"/>
    <cellStyle name="Normal 2 3 2 3 2 4 2 3 2 2 2 2" xfId="53765"/>
    <cellStyle name="Normal 2 3 2 3 2 4 2 3 2 3" xfId="31940"/>
    <cellStyle name="Normal 2 3 2 3 2 4 2 3 3" xfId="29563"/>
    <cellStyle name="Normal 2 3 2 3 2 4 2 3 3 2" xfId="40302"/>
    <cellStyle name="Normal 2 3 2 3 2 4 2 4" xfId="10068"/>
    <cellStyle name="Normal 2 3 2 3 2 4 2 4 2" xfId="37872"/>
    <cellStyle name="Normal 2 3 2 3 2 4 2 4 2 2" xfId="45432"/>
    <cellStyle name="Normal 2 3 2 3 2 4 2 5" xfId="23555"/>
    <cellStyle name="Normal 2 3 2 3 2 4 3" xfId="4429"/>
    <cellStyle name="Normal 2 3 2 3 2 4 3 2" xfId="6089"/>
    <cellStyle name="Normal 2 3 2 3 2 4 3 2 2" xfId="18020"/>
    <cellStyle name="Normal 2 3 2 3 2 4 3 2 2 2" xfId="19651"/>
    <cellStyle name="Normal 2 3 2 3 2 4 3 2 2 2 2" xfId="53346"/>
    <cellStyle name="Normal 2 3 2 3 2 4 3 2 2 2 2 2" xfId="54977"/>
    <cellStyle name="Normal 2 3 2 3 2 4 3 2 2 3" xfId="33152"/>
    <cellStyle name="Normal 2 3 2 3 2 4 3 2 3" xfId="31521"/>
    <cellStyle name="Normal 2 3 2 3 2 4 3 2 3 2" xfId="41522"/>
    <cellStyle name="Normal 2 3 2 3 2 4 3 3" xfId="11315"/>
    <cellStyle name="Normal 2 3 2 3 2 4 3 3 2" xfId="39871"/>
    <cellStyle name="Normal 2 3 2 3 2 4 3 3 2 2" xfId="46668"/>
    <cellStyle name="Normal 2 3 2 3 2 4 3 4" xfId="24805"/>
    <cellStyle name="Normal 2 3 2 3 2 4 4" xfId="9632"/>
    <cellStyle name="Normal 2 3 2 3 2 4 4 2" xfId="14473"/>
    <cellStyle name="Normal 2 3 2 3 2 4 4 2 2" xfId="45012"/>
    <cellStyle name="Normal 2 3 2 3 2 4 4 2 2 2" xfId="49815"/>
    <cellStyle name="Normal 2 3 2 3 2 4 4 3" xfId="27984"/>
    <cellStyle name="Normal 2 3 2 3 2 4 5" xfId="23133"/>
    <cellStyle name="Normal 2 3 2 3 2 4 5 2" xfId="36283"/>
    <cellStyle name="Normal 2 3 2 3 2 5" xfId="1559"/>
    <cellStyle name="Normal 2 3 2 3 2 5 2" xfId="5635"/>
    <cellStyle name="Normal 2 3 2 3 2 5 2 2" xfId="6831"/>
    <cellStyle name="Normal 2 3 2 3 2 5 2 2 2" xfId="19207"/>
    <cellStyle name="Normal 2 3 2 3 2 5 2 2 2 2" xfId="20384"/>
    <cellStyle name="Normal 2 3 2 3 2 5 2 2 2 2 2" xfId="54533"/>
    <cellStyle name="Normal 2 3 2 3 2 5 2 2 2 2 2 2" xfId="55710"/>
    <cellStyle name="Normal 2 3 2 3 2 5 2 2 2 3" xfId="33886"/>
    <cellStyle name="Normal 2 3 2 3 2 5 2 2 3" xfId="32708"/>
    <cellStyle name="Normal 2 3 2 3 2 5 2 2 3 2" xfId="42259"/>
    <cellStyle name="Normal 2 3 2 3 2 5 2 3" xfId="12055"/>
    <cellStyle name="Normal 2 3 2 3 2 5 2 3 2" xfId="41071"/>
    <cellStyle name="Normal 2 3 2 3 2 5 2 3 2 2" xfId="47402"/>
    <cellStyle name="Normal 2 3 2 3 2 5 2 4" xfId="25540"/>
    <cellStyle name="Normal 2 3 2 3 2 5 3" xfId="10851"/>
    <cellStyle name="Normal 2 3 2 3 2 5 3 2" xfId="15235"/>
    <cellStyle name="Normal 2 3 2 3 2 5 3 2 2" xfId="46213"/>
    <cellStyle name="Normal 2 3 2 3 2 5 3 2 2 2" xfId="50572"/>
    <cellStyle name="Normal 2 3 2 3 2 5 3 3" xfId="28746"/>
    <cellStyle name="Normal 2 3 2 3 2 5 4" xfId="24343"/>
    <cellStyle name="Normal 2 3 2 3 2 5 4 2" xfId="37047"/>
    <cellStyle name="Normal 2 3 2 3 2 6" xfId="3560"/>
    <cellStyle name="Normal 2 3 2 3 2 6 2" xfId="14019"/>
    <cellStyle name="Normal 2 3 2 3 2 6 2 2" xfId="17196"/>
    <cellStyle name="Normal 2 3 2 3 2 6 2 2 2" xfId="49365"/>
    <cellStyle name="Normal 2 3 2 3 2 6 2 2 2 2" xfId="52523"/>
    <cellStyle name="Normal 2 3 2 3 2 6 2 3" xfId="30697"/>
    <cellStyle name="Normal 2 3 2 3 2 6 3" xfId="27514"/>
    <cellStyle name="Normal 2 3 2 3 2 6 3 2" xfId="39017"/>
    <cellStyle name="Normal 2 3 2 3 2 7" xfId="8751"/>
    <cellStyle name="Normal 2 3 2 3 2 7 2" xfId="35831"/>
    <cellStyle name="Normal 2 3 2 3 2 7 2 2" xfId="44164"/>
    <cellStyle name="Normal 2 3 2 3 2 8" xfId="22268"/>
    <cellStyle name="Normal 2 3 2 3 3" xfId="419"/>
    <cellStyle name="Normal 2 3 2 3 3 2" xfId="516"/>
    <cellStyle name="Normal 2 3 2 3 3 2 2" xfId="1248"/>
    <cellStyle name="Normal 2 3 2 3 3 2 2 2" xfId="1326"/>
    <cellStyle name="Normal 2 3 2 3 3 2 2 2 2" xfId="3266"/>
    <cellStyle name="Normal 2 3 2 3 3 2 2 2 2 2" xfId="3344"/>
    <cellStyle name="Normal 2 3 2 3 3 2 2 2 2 2 2" xfId="8481"/>
    <cellStyle name="Normal 2 3 2 3 3 2 2 2 2 2 2 2" xfId="8559"/>
    <cellStyle name="Normal 2 3 2 3 3 2 2 2 2 2 2 2 2" xfId="22033"/>
    <cellStyle name="Normal 2 3 2 3 3 2 2 2 2 2 2 2 2 2" xfId="22111"/>
    <cellStyle name="Normal 2 3 2 3 3 2 2 2 2 2 2 2 2 2 2" xfId="57359"/>
    <cellStyle name="Normal 2 3 2 3 3 2 2 2 2 2 2 2 2 2 2 2" xfId="57437"/>
    <cellStyle name="Normal 2 3 2 3 3 2 2 2 2 2 2 2 2 3" xfId="35614"/>
    <cellStyle name="Normal 2 3 2 3 3 2 2 2 2 2 2 2 3" xfId="35536"/>
    <cellStyle name="Normal 2 3 2 3 3 2 2 2 2 2 2 2 3 2" xfId="43986"/>
    <cellStyle name="Normal 2 3 2 3 3 2 2 2 2 2 2 3" xfId="13784"/>
    <cellStyle name="Normal 2 3 2 3 3 2 2 2 2 2 2 3 2" xfId="43908"/>
    <cellStyle name="Normal 2 3 2 3 3 2 2 2 2 2 2 3 2 2" xfId="49130"/>
    <cellStyle name="Normal 2 3 2 3 3 2 2 2 2 2 2 4" xfId="27269"/>
    <cellStyle name="Normal 2 3 2 3 3 2 2 2 2 2 3" xfId="13706"/>
    <cellStyle name="Normal 2 3 2 3 3 2 2 2 2 2 3 2" xfId="17001"/>
    <cellStyle name="Normal 2 3 2 3 3 2 2 2 2 2 3 2 2" xfId="49052"/>
    <cellStyle name="Normal 2 3 2 3 3 2 2 2 2 2 3 2 2 2" xfId="52329"/>
    <cellStyle name="Normal 2 3 2 3 3 2 2 2 2 2 3 3" xfId="30503"/>
    <cellStyle name="Normal 2 3 2 3 3 2 2 2 2 2 4" xfId="27191"/>
    <cellStyle name="Normal 2 3 2 3 3 2 2 2 2 2 4 2" xfId="38813"/>
    <cellStyle name="Normal 2 3 2 3 3 2 2 2 2 3" xfId="5381"/>
    <cellStyle name="Normal 2 3 2 3 3 2 2 2 2 3 2" xfId="16923"/>
    <cellStyle name="Normal 2 3 2 3 3 2 2 2 2 3 2 2" xfId="18954"/>
    <cellStyle name="Normal 2 3 2 3 3 2 2 2 2 3 2 2 2" xfId="52251"/>
    <cellStyle name="Normal 2 3 2 3 3 2 2 2 2 3 2 2 2 2" xfId="54280"/>
    <cellStyle name="Normal 2 3 2 3 3 2 2 2 2 3 2 3" xfId="32455"/>
    <cellStyle name="Normal 2 3 2 3 3 2 2 2 2 3 3" xfId="30425"/>
    <cellStyle name="Normal 2 3 2 3 3 2 2 2 2 3 3 2" xfId="40818"/>
    <cellStyle name="Normal 2 3 2 3 3 2 2 2 2 4" xfId="10584"/>
    <cellStyle name="Normal 2 3 2 3 3 2 2 2 2 4 2" xfId="38735"/>
    <cellStyle name="Normal 2 3 2 3 3 2 2 2 2 4 2 2" xfId="45947"/>
    <cellStyle name="Normal 2 3 2 3 3 2 2 2 2 5" xfId="24070"/>
    <cellStyle name="Normal 2 3 2 3 3 2 2 2 3" xfId="5303"/>
    <cellStyle name="Normal 2 3 2 3 3 2 2 2 3 2" xfId="6634"/>
    <cellStyle name="Normal 2 3 2 3 3 2 2 2 3 2 2" xfId="18876"/>
    <cellStyle name="Normal 2 3 2 3 3 2 2 2 3 2 2 2" xfId="20187"/>
    <cellStyle name="Normal 2 3 2 3 3 2 2 2 3 2 2 2 2" xfId="54202"/>
    <cellStyle name="Normal 2 3 2 3 3 2 2 2 3 2 2 2 2 2" xfId="55513"/>
    <cellStyle name="Normal 2 3 2 3 3 2 2 2 3 2 2 3" xfId="33689"/>
    <cellStyle name="Normal 2 3 2 3 3 2 2 2 3 2 3" xfId="32377"/>
    <cellStyle name="Normal 2 3 2 3 3 2 2 2 3 2 3 2" xfId="42062"/>
    <cellStyle name="Normal 2 3 2 3 3 2 2 2 3 3" xfId="11857"/>
    <cellStyle name="Normal 2 3 2 3 3 2 2 2 3 3 2" xfId="40740"/>
    <cellStyle name="Normal 2 3 2 3 3 2 2 2 3 3 2 2" xfId="47205"/>
    <cellStyle name="Normal 2 3 2 3 3 2 2 2 3 4" xfId="25342"/>
    <cellStyle name="Normal 2 3 2 3 3 2 2 2 4" xfId="10506"/>
    <cellStyle name="Normal 2 3 2 3 3 2 2 2 4 2" xfId="15015"/>
    <cellStyle name="Normal 2 3 2 3 3 2 2 2 4 2 2" xfId="45869"/>
    <cellStyle name="Normal 2 3 2 3 3 2 2 2 4 2 2 2" xfId="50354"/>
    <cellStyle name="Normal 2 3 2 3 3 2 2 2 4 3" xfId="28528"/>
    <cellStyle name="Normal 2 3 2 3 3 2 2 2 5" xfId="23992"/>
    <cellStyle name="Normal 2 3 2 3 3 2 2 2 5 2" xfId="36823"/>
    <cellStyle name="Normal 2 3 2 3 3 2 2 3" xfId="2133"/>
    <cellStyle name="Normal 2 3 2 3 3 2 2 3 2" xfId="6556"/>
    <cellStyle name="Normal 2 3 2 3 3 2 2 3 2 2" xfId="7367"/>
    <cellStyle name="Normal 2 3 2 3 3 2 2 3 2 2 2" xfId="20109"/>
    <cellStyle name="Normal 2 3 2 3 3 2 2 3 2 2 2 2" xfId="20919"/>
    <cellStyle name="Normal 2 3 2 3 3 2 2 3 2 2 2 2 2" xfId="55435"/>
    <cellStyle name="Normal 2 3 2 3 3 2 2 3 2 2 2 2 2 2" xfId="56245"/>
    <cellStyle name="Normal 2 3 2 3 3 2 2 3 2 2 2 3" xfId="34422"/>
    <cellStyle name="Normal 2 3 2 3 3 2 2 3 2 2 3" xfId="33611"/>
    <cellStyle name="Normal 2 3 2 3 3 2 2 3 2 2 3 2" xfId="42794"/>
    <cellStyle name="Normal 2 3 2 3 3 2 2 3 2 3" xfId="12592"/>
    <cellStyle name="Normal 2 3 2 3 3 2 2 3 2 3 2" xfId="41984"/>
    <cellStyle name="Normal 2 3 2 3 3 2 2 3 2 3 2 2" xfId="47938"/>
    <cellStyle name="Normal 2 3 2 3 3 2 2 3 2 4" xfId="26076"/>
    <cellStyle name="Normal 2 3 2 3 3 2 2 3 3" xfId="11779"/>
    <cellStyle name="Normal 2 3 2 3 3 2 2 3 3 2" xfId="15797"/>
    <cellStyle name="Normal 2 3 2 3 3 2 2 3 3 2 2" xfId="47127"/>
    <cellStyle name="Normal 2 3 2 3 3 2 2 3 3 2 2 2" xfId="51129"/>
    <cellStyle name="Normal 2 3 2 3 3 2 2 3 3 3" xfId="29303"/>
    <cellStyle name="Normal 2 3 2 3 3 2 2 3 4" xfId="25264"/>
    <cellStyle name="Normal 2 3 2 3 3 2 2 3 4 2" xfId="37611"/>
    <cellStyle name="Normal 2 3 2 3 3 2 2 4" xfId="4149"/>
    <cellStyle name="Normal 2 3 2 3 3 2 2 4 2" xfId="14937"/>
    <cellStyle name="Normal 2 3 2 3 3 2 2 4 2 2" xfId="17742"/>
    <cellStyle name="Normal 2 3 2 3 3 2 2 4 2 2 2" xfId="50276"/>
    <cellStyle name="Normal 2 3 2 3 3 2 2 4 2 2 2 2" xfId="53069"/>
    <cellStyle name="Normal 2 3 2 3 3 2 2 4 2 3" xfId="31244"/>
    <cellStyle name="Normal 2 3 2 3 3 2 2 4 3" xfId="28450"/>
    <cellStyle name="Normal 2 3 2 3 3 2 2 4 3 2" xfId="39592"/>
    <cellStyle name="Normal 2 3 2 3 3 2 2 5" xfId="9340"/>
    <cellStyle name="Normal 2 3 2 3 3 2 2 5 2" xfId="36745"/>
    <cellStyle name="Normal 2 3 2 3 3 2 2 5 2 2" xfId="44722"/>
    <cellStyle name="Normal 2 3 2 3 3 2 2 6" xfId="22836"/>
    <cellStyle name="Normal 2 3 2 3 3 2 3" xfId="2054"/>
    <cellStyle name="Normal 2 3 2 3 3 2 3 2" xfId="2612"/>
    <cellStyle name="Normal 2 3 2 3 3 2 3 2 2" xfId="7288"/>
    <cellStyle name="Normal 2 3 2 3 3 2 3 2 2 2" xfId="7832"/>
    <cellStyle name="Normal 2 3 2 3 3 2 3 2 2 2 2" xfId="20840"/>
    <cellStyle name="Normal 2 3 2 3 3 2 3 2 2 2 2 2" xfId="21384"/>
    <cellStyle name="Normal 2 3 2 3 3 2 3 2 2 2 2 2 2" xfId="56166"/>
    <cellStyle name="Normal 2 3 2 3 3 2 3 2 2 2 2 2 2 2" xfId="56710"/>
    <cellStyle name="Normal 2 3 2 3 3 2 3 2 2 2 2 3" xfId="34887"/>
    <cellStyle name="Normal 2 3 2 3 3 2 3 2 2 2 3" xfId="34343"/>
    <cellStyle name="Normal 2 3 2 3 3 2 3 2 2 2 3 2" xfId="43259"/>
    <cellStyle name="Normal 2 3 2 3 3 2 3 2 2 3" xfId="13057"/>
    <cellStyle name="Normal 2 3 2 3 3 2 3 2 2 3 2" xfId="42715"/>
    <cellStyle name="Normal 2 3 2 3 3 2 3 2 2 3 2 2" xfId="48403"/>
    <cellStyle name="Normal 2 3 2 3 3 2 3 2 2 4" xfId="26541"/>
    <cellStyle name="Normal 2 3 2 3 3 2 3 2 3" xfId="12513"/>
    <cellStyle name="Normal 2 3 2 3 3 2 3 2 3 2" xfId="16271"/>
    <cellStyle name="Normal 2 3 2 3 3 2 3 2 3 2 2" xfId="47859"/>
    <cellStyle name="Normal 2 3 2 3 3 2 3 2 3 2 2 2" xfId="51601"/>
    <cellStyle name="Normal 2 3 2 3 3 2 3 2 3 3" xfId="29775"/>
    <cellStyle name="Normal 2 3 2 3 3 2 3 2 4" xfId="25997"/>
    <cellStyle name="Normal 2 3 2 3 3 2 3 2 4 2" xfId="38085"/>
    <cellStyle name="Normal 2 3 2 3 3 2 3 3" xfId="4646"/>
    <cellStyle name="Normal 2 3 2 3 3 2 3 3 2" xfId="15718"/>
    <cellStyle name="Normal 2 3 2 3 3 2 3 3 2 2" xfId="18226"/>
    <cellStyle name="Normal 2 3 2 3 3 2 3 3 2 2 2" xfId="51050"/>
    <cellStyle name="Normal 2 3 2 3 3 2 3 3 2 2 2 2" xfId="53552"/>
    <cellStyle name="Normal 2 3 2 3 3 2 3 3 2 3" xfId="31727"/>
    <cellStyle name="Normal 2 3 2 3 3 2 3 3 3" xfId="29224"/>
    <cellStyle name="Normal 2 3 2 3 3 2 3 3 3 2" xfId="40085"/>
    <cellStyle name="Normal 2 3 2 3 3 2 3 4" xfId="9849"/>
    <cellStyle name="Normal 2 3 2 3 3 2 3 4 2" xfId="37532"/>
    <cellStyle name="Normal 2 3 2 3 3 2 3 4 2 2" xfId="45219"/>
    <cellStyle name="Normal 2 3 2 3 3 2 3 5" xfId="23342"/>
    <cellStyle name="Normal 2 3 2 3 3 2 4" xfId="4070"/>
    <cellStyle name="Normal 2 3 2 3 3 2 4 2" xfId="5851"/>
    <cellStyle name="Normal 2 3 2 3 3 2 4 2 2" xfId="17663"/>
    <cellStyle name="Normal 2 3 2 3 3 2 4 2 2 2" xfId="19419"/>
    <cellStyle name="Normal 2 3 2 3 3 2 4 2 2 2 2" xfId="52990"/>
    <cellStyle name="Normal 2 3 2 3 3 2 4 2 2 2 2 2" xfId="54745"/>
    <cellStyle name="Normal 2 3 2 3 3 2 4 2 2 3" xfId="32920"/>
    <cellStyle name="Normal 2 3 2 3 3 2 4 2 3" xfId="31165"/>
    <cellStyle name="Normal 2 3 2 3 3 2 4 2 3 2" xfId="41286"/>
    <cellStyle name="Normal 2 3 2 3 3 2 4 3" xfId="11074"/>
    <cellStyle name="Normal 2 3 2 3 3 2 4 3 2" xfId="39513"/>
    <cellStyle name="Normal 2 3 2 3 3 2 4 3 2 2" xfId="46433"/>
    <cellStyle name="Normal 2 3 2 3 3 2 4 4" xfId="24568"/>
    <cellStyle name="Normal 2 3 2 3 3 2 5" xfId="9261"/>
    <cellStyle name="Normal 2 3 2 3 3 2 5 2" xfId="14235"/>
    <cellStyle name="Normal 2 3 2 3 3 2 5 2 2" xfId="44643"/>
    <cellStyle name="Normal 2 3 2 3 3 2 5 2 2 2" xfId="49580"/>
    <cellStyle name="Normal 2 3 2 3 3 2 5 3" xfId="27742"/>
    <cellStyle name="Normal 2 3 2 3 3 2 6" xfId="22757"/>
    <cellStyle name="Normal 2 3 2 3 3 2 6 2" xfId="36047"/>
    <cellStyle name="Normal 2 3 2 3 3 3" xfId="844"/>
    <cellStyle name="Normal 2 3 2 3 3 3 2" xfId="2521"/>
    <cellStyle name="Normal 2 3 2 3 3 3 2 2" xfId="2896"/>
    <cellStyle name="Normal 2 3 2 3 3 3 2 2 2" xfId="7746"/>
    <cellStyle name="Normal 2 3 2 3 3 3 2 2 2 2" xfId="8111"/>
    <cellStyle name="Normal 2 3 2 3 3 3 2 2 2 2 2" xfId="21298"/>
    <cellStyle name="Normal 2 3 2 3 3 3 2 2 2 2 2 2" xfId="21663"/>
    <cellStyle name="Normal 2 3 2 3 3 3 2 2 2 2 2 2 2" xfId="56624"/>
    <cellStyle name="Normal 2 3 2 3 3 3 2 2 2 2 2 2 2 2" xfId="56989"/>
    <cellStyle name="Normal 2 3 2 3 3 3 2 2 2 2 2 3" xfId="35166"/>
    <cellStyle name="Normal 2 3 2 3 3 3 2 2 2 2 3" xfId="34801"/>
    <cellStyle name="Normal 2 3 2 3 3 3 2 2 2 2 3 2" xfId="43538"/>
    <cellStyle name="Normal 2 3 2 3 3 3 2 2 2 3" xfId="13336"/>
    <cellStyle name="Normal 2 3 2 3 3 3 2 2 2 3 2" xfId="43173"/>
    <cellStyle name="Normal 2 3 2 3 3 3 2 2 2 3 2 2" xfId="48682"/>
    <cellStyle name="Normal 2 3 2 3 3 3 2 2 2 4" xfId="26821"/>
    <cellStyle name="Normal 2 3 2 3 3 3 2 2 3" xfId="12971"/>
    <cellStyle name="Normal 2 3 2 3 3 3 2 2 3 2" xfId="16553"/>
    <cellStyle name="Normal 2 3 2 3 3 3 2 2 3 2 2" xfId="48317"/>
    <cellStyle name="Normal 2 3 2 3 3 3 2 2 3 2 2 2" xfId="51881"/>
    <cellStyle name="Normal 2 3 2 3 3 3 2 2 3 3" xfId="30055"/>
    <cellStyle name="Normal 2 3 2 3 3 3 2 2 4" xfId="26455"/>
    <cellStyle name="Normal 2 3 2 3 3 3 2 2 4 2" xfId="38365"/>
    <cellStyle name="Normal 2 3 2 3 3 3 2 3" xfId="4932"/>
    <cellStyle name="Normal 2 3 2 3 3 3 2 3 2" xfId="16182"/>
    <cellStyle name="Normal 2 3 2 3 3 3 2 3 2 2" xfId="18505"/>
    <cellStyle name="Normal 2 3 2 3 3 3 2 3 2 2 2" xfId="51513"/>
    <cellStyle name="Normal 2 3 2 3 3 3 2 3 2 2 2 2" xfId="53831"/>
    <cellStyle name="Normal 2 3 2 3 3 3 2 3 2 3" xfId="32006"/>
    <cellStyle name="Normal 2 3 2 3 3 3 2 3 3" xfId="29687"/>
    <cellStyle name="Normal 2 3 2 3 3 3 2 3 3 2" xfId="40369"/>
    <cellStyle name="Normal 2 3 2 3 3 3 2 4" xfId="10135"/>
    <cellStyle name="Normal 2 3 2 3 3 3 2 4 2" xfId="37996"/>
    <cellStyle name="Normal 2 3 2 3 3 3 2 4 2 2" xfId="45498"/>
    <cellStyle name="Normal 2 3 2 3 3 3 2 5" xfId="23621"/>
    <cellStyle name="Normal 2 3 2 3 3 3 3" xfId="4556"/>
    <cellStyle name="Normal 2 3 2 3 3 3 3 2" xfId="6159"/>
    <cellStyle name="Normal 2 3 2 3 3 3 3 2 2" xfId="18139"/>
    <cellStyle name="Normal 2 3 2 3 3 3 3 2 2 2" xfId="19719"/>
    <cellStyle name="Normal 2 3 2 3 3 3 3 2 2 2 2" xfId="53465"/>
    <cellStyle name="Normal 2 3 2 3 3 3 3 2 2 2 2 2" xfId="55045"/>
    <cellStyle name="Normal 2 3 2 3 3 3 3 2 2 3" xfId="33221"/>
    <cellStyle name="Normal 2 3 2 3 3 3 3 2 3" xfId="31640"/>
    <cellStyle name="Normal 2 3 2 3 3 3 3 2 3 2" xfId="41590"/>
    <cellStyle name="Normal 2 3 2 3 3 3 3 3" xfId="11385"/>
    <cellStyle name="Normal 2 3 2 3 3 3 3 3 2" xfId="39997"/>
    <cellStyle name="Normal 2 3 2 3 3 3 3 3 2 2" xfId="46736"/>
    <cellStyle name="Normal 2 3 2 3 3 3 3 4" xfId="24873"/>
    <cellStyle name="Normal 2 3 2 3 3 3 4" xfId="9759"/>
    <cellStyle name="Normal 2 3 2 3 3 3 4 2" xfId="14542"/>
    <cellStyle name="Normal 2 3 2 3 3 3 4 2 2" xfId="45132"/>
    <cellStyle name="Normal 2 3 2 3 3 3 4 2 2 2" xfId="49883"/>
    <cellStyle name="Normal 2 3 2 3 3 3 4 3" xfId="28053"/>
    <cellStyle name="Normal 2 3 2 3 3 3 5" xfId="23255"/>
    <cellStyle name="Normal 2 3 2 3 3 3 5 2" xfId="36352"/>
    <cellStyle name="Normal 2 3 2 3 3 4" xfId="1639"/>
    <cellStyle name="Normal 2 3 2 3 3 4 2" xfId="5762"/>
    <cellStyle name="Normal 2 3 2 3 3 4 2 2" xfId="6905"/>
    <cellStyle name="Normal 2 3 2 3 3 4 2 2 2" xfId="19331"/>
    <cellStyle name="Normal 2 3 2 3 3 4 2 2 2 2" xfId="20458"/>
    <cellStyle name="Normal 2 3 2 3 3 4 2 2 2 2 2" xfId="54657"/>
    <cellStyle name="Normal 2 3 2 3 3 4 2 2 2 2 2 2" xfId="55784"/>
    <cellStyle name="Normal 2 3 2 3 3 4 2 2 2 3" xfId="33960"/>
    <cellStyle name="Normal 2 3 2 3 3 4 2 2 3" xfId="32832"/>
    <cellStyle name="Normal 2 3 2 3 3 4 2 2 3 2" xfId="42333"/>
    <cellStyle name="Normal 2 3 2 3 3 4 2 3" xfId="12129"/>
    <cellStyle name="Normal 2 3 2 3 3 4 2 3 2" xfId="41197"/>
    <cellStyle name="Normal 2 3 2 3 3 4 2 3 2 2" xfId="47476"/>
    <cellStyle name="Normal 2 3 2 3 3 4 2 4" xfId="25614"/>
    <cellStyle name="Normal 2 3 2 3 3 4 3" xfId="10983"/>
    <cellStyle name="Normal 2 3 2 3 3 4 3 2" xfId="15313"/>
    <cellStyle name="Normal 2 3 2 3 3 4 3 2 2" xfId="46342"/>
    <cellStyle name="Normal 2 3 2 3 3 4 3 2 2 2" xfId="50648"/>
    <cellStyle name="Normal 2 3 2 3 3 4 3 3" xfId="28822"/>
    <cellStyle name="Normal 2 3 2 3 3 4 4" xfId="24476"/>
    <cellStyle name="Normal 2 3 2 3 3 4 4 2" xfId="37124"/>
    <cellStyle name="Normal 2 3 2 3 3 5" xfId="3643"/>
    <cellStyle name="Normal 2 3 2 3 3 5 2" xfId="14146"/>
    <cellStyle name="Normal 2 3 2 3 3 5 2 2" xfId="17273"/>
    <cellStyle name="Normal 2 3 2 3 3 5 2 2 2" xfId="49491"/>
    <cellStyle name="Normal 2 3 2 3 3 5 2 2 2 2" xfId="52600"/>
    <cellStyle name="Normal 2 3 2 3 3 5 2 3" xfId="30774"/>
    <cellStyle name="Normal 2 3 2 3 3 5 3" xfId="27648"/>
    <cellStyle name="Normal 2 3 2 3 3 5 3 2" xfId="39098"/>
    <cellStyle name="Normal 2 3 2 3 3 6" xfId="8838"/>
    <cellStyle name="Normal 2 3 2 3 3 6 2" xfId="35957"/>
    <cellStyle name="Normal 2 3 2 3 3 6 2 2" xfId="44245"/>
    <cellStyle name="Normal 2 3 2 3 3 7" xfId="22353"/>
    <cellStyle name="Normal 2 3 2 3 4" xfId="740"/>
    <cellStyle name="Normal 2 3 2 3 4 2" xfId="1019"/>
    <cellStyle name="Normal 2 3 2 3 4 2 2" xfId="2810"/>
    <cellStyle name="Normal 2 3 2 3 4 2 2 2" xfId="3056"/>
    <cellStyle name="Normal 2 3 2 3 4 2 2 2 2" xfId="8026"/>
    <cellStyle name="Normal 2 3 2 3 4 2 2 2 2 2" xfId="8271"/>
    <cellStyle name="Normal 2 3 2 3 4 2 2 2 2 2 2" xfId="21578"/>
    <cellStyle name="Normal 2 3 2 3 4 2 2 2 2 2 2 2" xfId="21823"/>
    <cellStyle name="Normal 2 3 2 3 4 2 2 2 2 2 2 2 2" xfId="56904"/>
    <cellStyle name="Normal 2 3 2 3 4 2 2 2 2 2 2 2 2 2" xfId="57149"/>
    <cellStyle name="Normal 2 3 2 3 4 2 2 2 2 2 2 3" xfId="35326"/>
    <cellStyle name="Normal 2 3 2 3 4 2 2 2 2 2 3" xfId="35081"/>
    <cellStyle name="Normal 2 3 2 3 4 2 2 2 2 2 3 2" xfId="43698"/>
    <cellStyle name="Normal 2 3 2 3 4 2 2 2 2 3" xfId="13496"/>
    <cellStyle name="Normal 2 3 2 3 4 2 2 2 2 3 2" xfId="43453"/>
    <cellStyle name="Normal 2 3 2 3 4 2 2 2 2 3 2 2" xfId="48842"/>
    <cellStyle name="Normal 2 3 2 3 4 2 2 2 2 4" xfId="26981"/>
    <cellStyle name="Normal 2 3 2 3 4 2 2 2 3" xfId="13251"/>
    <cellStyle name="Normal 2 3 2 3 4 2 2 2 3 2" xfId="16713"/>
    <cellStyle name="Normal 2 3 2 3 4 2 2 2 3 2 2" xfId="48597"/>
    <cellStyle name="Normal 2 3 2 3 4 2 2 2 3 2 2 2" xfId="52041"/>
    <cellStyle name="Normal 2 3 2 3 4 2 2 2 3 3" xfId="30215"/>
    <cellStyle name="Normal 2 3 2 3 4 2 2 2 4" xfId="26735"/>
    <cellStyle name="Normal 2 3 2 3 4 2 2 2 4 2" xfId="38525"/>
    <cellStyle name="Normal 2 3 2 3 4 2 2 3" xfId="5093"/>
    <cellStyle name="Normal 2 3 2 3 4 2 2 3 2" xfId="16468"/>
    <cellStyle name="Normal 2 3 2 3 4 2 2 3 2 2" xfId="18666"/>
    <cellStyle name="Normal 2 3 2 3 4 2 2 3 2 2 2" xfId="51796"/>
    <cellStyle name="Normal 2 3 2 3 4 2 2 3 2 2 2 2" xfId="53992"/>
    <cellStyle name="Normal 2 3 2 3 4 2 2 3 2 3" xfId="32167"/>
    <cellStyle name="Normal 2 3 2 3 4 2 2 3 3" xfId="29970"/>
    <cellStyle name="Normal 2 3 2 3 4 2 2 3 3 2" xfId="40530"/>
    <cellStyle name="Normal 2 3 2 3 4 2 2 4" xfId="10296"/>
    <cellStyle name="Normal 2 3 2 3 4 2 2 4 2" xfId="38280"/>
    <cellStyle name="Normal 2 3 2 3 4 2 2 4 2 2" xfId="45659"/>
    <cellStyle name="Normal 2 3 2 3 4 2 2 5" xfId="23782"/>
    <cellStyle name="Normal 2 3 2 3 4 2 3" xfId="4846"/>
    <cellStyle name="Normal 2 3 2 3 4 2 3 2" xfId="6329"/>
    <cellStyle name="Normal 2 3 2 3 4 2 3 2 2" xfId="18420"/>
    <cellStyle name="Normal 2 3 2 3 4 2 3 2 2 2" xfId="19886"/>
    <cellStyle name="Normal 2 3 2 3 4 2 3 2 2 2 2" xfId="53746"/>
    <cellStyle name="Normal 2 3 2 3 4 2 3 2 2 2 2 2" xfId="55212"/>
    <cellStyle name="Normal 2 3 2 3 4 2 3 2 2 3" xfId="33388"/>
    <cellStyle name="Normal 2 3 2 3 4 2 3 2 3" xfId="31921"/>
    <cellStyle name="Normal 2 3 2 3 4 2 3 2 3 2" xfId="41758"/>
    <cellStyle name="Normal 2 3 2 3 4 2 3 3" xfId="11555"/>
    <cellStyle name="Normal 2 3 2 3 4 2 3 3 2" xfId="40283"/>
    <cellStyle name="Normal 2 3 2 3 4 2 3 3 2 2" xfId="46904"/>
    <cellStyle name="Normal 2 3 2 3 4 2 3 4" xfId="25041"/>
    <cellStyle name="Normal 2 3 2 3 4 2 4" xfId="10049"/>
    <cellStyle name="Normal 2 3 2 3 4 2 4 2" xfId="14712"/>
    <cellStyle name="Normal 2 3 2 3 4 2 4 2 2" xfId="45413"/>
    <cellStyle name="Normal 2 3 2 3 4 2 4 2 2 2" xfId="50051"/>
    <cellStyle name="Normal 2 3 2 3 4 2 4 3" xfId="28224"/>
    <cellStyle name="Normal 2 3 2 3 4 2 5" xfId="23536"/>
    <cellStyle name="Normal 2 3 2 3 4 2 5 2" xfId="36520"/>
    <cellStyle name="Normal 2 3 2 3 4 3" xfId="1822"/>
    <cellStyle name="Normal 2 3 2 3 4 3 2" xfId="6062"/>
    <cellStyle name="Normal 2 3 2 3 4 3 2 2" xfId="7074"/>
    <cellStyle name="Normal 2 3 2 3 4 3 2 2 2" xfId="19626"/>
    <cellStyle name="Normal 2 3 2 3 4 3 2 2 2 2" xfId="20627"/>
    <cellStyle name="Normal 2 3 2 3 4 3 2 2 2 2 2" xfId="54952"/>
    <cellStyle name="Normal 2 3 2 3 4 3 2 2 2 2 2 2" xfId="55953"/>
    <cellStyle name="Normal 2 3 2 3 4 3 2 2 2 3" xfId="34129"/>
    <cellStyle name="Normal 2 3 2 3 4 3 2 2 3" xfId="33127"/>
    <cellStyle name="Normal 2 3 2 3 4 3 2 2 3 2" xfId="42502"/>
    <cellStyle name="Normal 2 3 2 3 4 3 2 3" xfId="12298"/>
    <cellStyle name="Normal 2 3 2 3 4 3 2 3 2" xfId="41496"/>
    <cellStyle name="Normal 2 3 2 3 4 3 2 3 2 2" xfId="47645"/>
    <cellStyle name="Normal 2 3 2 3 4 3 2 4" xfId="25783"/>
    <cellStyle name="Normal 2 3 2 3 4 3 3" xfId="11288"/>
    <cellStyle name="Normal 2 3 2 3 4 3 3 2" xfId="15494"/>
    <cellStyle name="Normal 2 3 2 3 4 3 3 2 2" xfId="46643"/>
    <cellStyle name="Normal 2 3 2 3 4 3 3 2 2 2" xfId="50827"/>
    <cellStyle name="Normal 2 3 2 3 4 3 3 3" xfId="29001"/>
    <cellStyle name="Normal 2 3 2 3 4 3 4" xfId="24780"/>
    <cellStyle name="Normal 2 3 2 3 4 3 4 2" xfId="37304"/>
    <cellStyle name="Normal 2 3 2 3 4 4" xfId="3833"/>
    <cellStyle name="Normal 2 3 2 3 4 4 2" xfId="14446"/>
    <cellStyle name="Normal 2 3 2 3 4 4 2 2" xfId="17448"/>
    <cellStyle name="Normal 2 3 2 3 4 4 2 2 2" xfId="49790"/>
    <cellStyle name="Normal 2 3 2 3 4 4 2 2 2 2" xfId="52775"/>
    <cellStyle name="Normal 2 3 2 3 4 4 2 3" xfId="30949"/>
    <cellStyle name="Normal 2 3 2 3 4 4 3" xfId="27958"/>
    <cellStyle name="Normal 2 3 2 3 4 4 3 2" xfId="39283"/>
    <cellStyle name="Normal 2 3 2 3 4 5" xfId="9025"/>
    <cellStyle name="Normal 2 3 2 3 4 5 2" xfId="36258"/>
    <cellStyle name="Normal 2 3 2 3 4 5 2 2" xfId="44423"/>
    <cellStyle name="Normal 2 3 2 3 4 6" xfId="22534"/>
    <cellStyle name="Normal 2 3 2 3 5" xfId="1524"/>
    <cellStyle name="Normal 2 3 2 3 5 2" xfId="2283"/>
    <cellStyle name="Normal 2 3 2 3 5 2 2" xfId="6812"/>
    <cellStyle name="Normal 2 3 2 3 5 2 2 2" xfId="7517"/>
    <cellStyle name="Normal 2 3 2 3 5 2 2 2 2" xfId="20365"/>
    <cellStyle name="Normal 2 3 2 3 5 2 2 2 2 2" xfId="21069"/>
    <cellStyle name="Normal 2 3 2 3 5 2 2 2 2 2 2" xfId="55691"/>
    <cellStyle name="Normal 2 3 2 3 5 2 2 2 2 2 2 2" xfId="56395"/>
    <cellStyle name="Normal 2 3 2 3 5 2 2 2 2 3" xfId="34572"/>
    <cellStyle name="Normal 2 3 2 3 5 2 2 2 3" xfId="33867"/>
    <cellStyle name="Normal 2 3 2 3 5 2 2 2 3 2" xfId="42944"/>
    <cellStyle name="Normal 2 3 2 3 5 2 2 3" xfId="12742"/>
    <cellStyle name="Normal 2 3 2 3 5 2 2 3 2" xfId="42240"/>
    <cellStyle name="Normal 2 3 2 3 5 2 2 3 2 2" xfId="48088"/>
    <cellStyle name="Normal 2 3 2 3 5 2 2 4" xfId="26226"/>
    <cellStyle name="Normal 2 3 2 3 5 2 3" xfId="12036"/>
    <cellStyle name="Normal 2 3 2 3 5 2 3 2" xfId="15947"/>
    <cellStyle name="Normal 2 3 2 3 5 2 3 2 2" xfId="47383"/>
    <cellStyle name="Normal 2 3 2 3 5 2 3 2 2 2" xfId="51279"/>
    <cellStyle name="Normal 2 3 2 3 5 2 3 3" xfId="29453"/>
    <cellStyle name="Normal 2 3 2 3 5 2 4" xfId="25520"/>
    <cellStyle name="Normal 2 3 2 3 5 2 4 2" xfId="37761"/>
    <cellStyle name="Normal 2 3 2 3 5 3" xfId="4307"/>
    <cellStyle name="Normal 2 3 2 3 5 3 2" xfId="15205"/>
    <cellStyle name="Normal 2 3 2 3 5 3 2 2" xfId="17900"/>
    <cellStyle name="Normal 2 3 2 3 5 3 2 2 2" xfId="50543"/>
    <cellStyle name="Normal 2 3 2 3 5 3 2 2 2 2" xfId="53227"/>
    <cellStyle name="Normal 2 3 2 3 5 3 2 3" xfId="31402"/>
    <cellStyle name="Normal 2 3 2 3 5 3 3" xfId="28717"/>
    <cellStyle name="Normal 2 3 2 3 5 3 3 2" xfId="39750"/>
    <cellStyle name="Normal 2 3 2 3 5 4" xfId="9501"/>
    <cellStyle name="Normal 2 3 2 3 5 4 2" xfId="37015"/>
    <cellStyle name="Normal 2 3 2 3 5 4 2 2" xfId="44883"/>
    <cellStyle name="Normal 2 3 2 3 5 5" xfId="22999"/>
    <cellStyle name="Normal 2 3 2 3 6" xfId="3525"/>
    <cellStyle name="Normal 2 3 2 3 6 2" xfId="5522"/>
    <cellStyle name="Normal 2 3 2 3 6 2 2" xfId="17177"/>
    <cellStyle name="Normal 2 3 2 3 6 2 2 2" xfId="19095"/>
    <cellStyle name="Normal 2 3 2 3 6 2 2 2 2" xfId="52504"/>
    <cellStyle name="Normal 2 3 2 3 6 2 2 2 2 2" xfId="54421"/>
    <cellStyle name="Normal 2 3 2 3 6 2 2 3" xfId="32596"/>
    <cellStyle name="Normal 2 3 2 3 6 2 3" xfId="30678"/>
    <cellStyle name="Normal 2 3 2 3 6 2 3 2" xfId="40959"/>
    <cellStyle name="Normal 2 3 2 3 6 3" xfId="10725"/>
    <cellStyle name="Normal 2 3 2 3 6 3 2" xfId="38990"/>
    <cellStyle name="Normal 2 3 2 3 6 3 2 2" xfId="46088"/>
    <cellStyle name="Normal 2 3 2 3 6 4" xfId="24212"/>
    <cellStyle name="Normal 2 3 2 3 7" xfId="8719"/>
    <cellStyle name="Normal 2 3 2 3 7 2" xfId="10825"/>
    <cellStyle name="Normal 2 3 2 3 7 2 2" xfId="44145"/>
    <cellStyle name="Normal 2 3 2 3 7 2 2 2" xfId="46187"/>
    <cellStyle name="Normal 2 3 2 3 7 3" xfId="24317"/>
    <cellStyle name="Normal 2 3 2 3 8" xfId="22249"/>
    <cellStyle name="Normal 2 3 2 3 8 2" xfId="28199"/>
    <cellStyle name="Normal 2 3 2 4" xfId="192"/>
    <cellStyle name="Normal 2 3 2 4 2" xfId="491"/>
    <cellStyle name="Normal 2 3 2 4 2 2" xfId="571"/>
    <cellStyle name="Normal 2 3 2 4 2 2 2" xfId="1304"/>
    <cellStyle name="Normal 2 3 2 4 2 2 2 2" xfId="1368"/>
    <cellStyle name="Normal 2 3 2 4 2 2 2 2 2" xfId="3322"/>
    <cellStyle name="Normal 2 3 2 4 2 2 2 2 2 2" xfId="3386"/>
    <cellStyle name="Normal 2 3 2 4 2 2 2 2 2 2 2" xfId="8537"/>
    <cellStyle name="Normal 2 3 2 4 2 2 2 2 2 2 2 2" xfId="8601"/>
    <cellStyle name="Normal 2 3 2 4 2 2 2 2 2 2 2 2 2" xfId="22089"/>
    <cellStyle name="Normal 2 3 2 4 2 2 2 2 2 2 2 2 2 2" xfId="22153"/>
    <cellStyle name="Normal 2 3 2 4 2 2 2 2 2 2 2 2 2 2 2" xfId="57415"/>
    <cellStyle name="Normal 2 3 2 4 2 2 2 2 2 2 2 2 2 2 2 2" xfId="57479"/>
    <cellStyle name="Normal 2 3 2 4 2 2 2 2 2 2 2 2 2 3" xfId="35656"/>
    <cellStyle name="Normal 2 3 2 4 2 2 2 2 2 2 2 2 3" xfId="35592"/>
    <cellStyle name="Normal 2 3 2 4 2 2 2 2 2 2 2 2 3 2" xfId="44028"/>
    <cellStyle name="Normal 2 3 2 4 2 2 2 2 2 2 2 3" xfId="13826"/>
    <cellStyle name="Normal 2 3 2 4 2 2 2 2 2 2 2 3 2" xfId="43964"/>
    <cellStyle name="Normal 2 3 2 4 2 2 2 2 2 2 2 3 2 2" xfId="49172"/>
    <cellStyle name="Normal 2 3 2 4 2 2 2 2 2 2 2 4" xfId="27311"/>
    <cellStyle name="Normal 2 3 2 4 2 2 2 2 2 2 3" xfId="13762"/>
    <cellStyle name="Normal 2 3 2 4 2 2 2 2 2 2 3 2" xfId="17043"/>
    <cellStyle name="Normal 2 3 2 4 2 2 2 2 2 2 3 2 2" xfId="49108"/>
    <cellStyle name="Normal 2 3 2 4 2 2 2 2 2 2 3 2 2 2" xfId="52371"/>
    <cellStyle name="Normal 2 3 2 4 2 2 2 2 2 2 3 3" xfId="30545"/>
    <cellStyle name="Normal 2 3 2 4 2 2 2 2 2 2 4" xfId="27247"/>
    <cellStyle name="Normal 2 3 2 4 2 2 2 2 2 2 4 2" xfId="38855"/>
    <cellStyle name="Normal 2 3 2 4 2 2 2 2 2 3" xfId="5423"/>
    <cellStyle name="Normal 2 3 2 4 2 2 2 2 2 3 2" xfId="16979"/>
    <cellStyle name="Normal 2 3 2 4 2 2 2 2 2 3 2 2" xfId="18996"/>
    <cellStyle name="Normal 2 3 2 4 2 2 2 2 2 3 2 2 2" xfId="52307"/>
    <cellStyle name="Normal 2 3 2 4 2 2 2 2 2 3 2 2 2 2" xfId="54322"/>
    <cellStyle name="Normal 2 3 2 4 2 2 2 2 2 3 2 3" xfId="32497"/>
    <cellStyle name="Normal 2 3 2 4 2 2 2 2 2 3 3" xfId="30481"/>
    <cellStyle name="Normal 2 3 2 4 2 2 2 2 2 3 3 2" xfId="40860"/>
    <cellStyle name="Normal 2 3 2 4 2 2 2 2 2 4" xfId="10626"/>
    <cellStyle name="Normal 2 3 2 4 2 2 2 2 2 4 2" xfId="38791"/>
    <cellStyle name="Normal 2 3 2 4 2 2 2 2 2 4 2 2" xfId="45989"/>
    <cellStyle name="Normal 2 3 2 4 2 2 2 2 2 5" xfId="24112"/>
    <cellStyle name="Normal 2 3 2 4 2 2 2 2 3" xfId="5359"/>
    <cellStyle name="Normal 2 3 2 4 2 2 2 2 3 2" xfId="6676"/>
    <cellStyle name="Normal 2 3 2 4 2 2 2 2 3 2 2" xfId="18932"/>
    <cellStyle name="Normal 2 3 2 4 2 2 2 2 3 2 2 2" xfId="20229"/>
    <cellStyle name="Normal 2 3 2 4 2 2 2 2 3 2 2 2 2" xfId="54258"/>
    <cellStyle name="Normal 2 3 2 4 2 2 2 2 3 2 2 2 2 2" xfId="55555"/>
    <cellStyle name="Normal 2 3 2 4 2 2 2 2 3 2 2 3" xfId="33731"/>
    <cellStyle name="Normal 2 3 2 4 2 2 2 2 3 2 3" xfId="32433"/>
    <cellStyle name="Normal 2 3 2 4 2 2 2 2 3 2 3 2" xfId="42104"/>
    <cellStyle name="Normal 2 3 2 4 2 2 2 2 3 3" xfId="11899"/>
    <cellStyle name="Normal 2 3 2 4 2 2 2 2 3 3 2" xfId="40796"/>
    <cellStyle name="Normal 2 3 2 4 2 2 2 2 3 3 2 2" xfId="47247"/>
    <cellStyle name="Normal 2 3 2 4 2 2 2 2 3 4" xfId="25384"/>
    <cellStyle name="Normal 2 3 2 4 2 2 2 2 4" xfId="10562"/>
    <cellStyle name="Normal 2 3 2 4 2 2 2 2 4 2" xfId="15057"/>
    <cellStyle name="Normal 2 3 2 4 2 2 2 2 4 2 2" xfId="45925"/>
    <cellStyle name="Normal 2 3 2 4 2 2 2 2 4 2 2 2" xfId="50396"/>
    <cellStyle name="Normal 2 3 2 4 2 2 2 2 4 3" xfId="28570"/>
    <cellStyle name="Normal 2 3 2 4 2 2 2 2 5" xfId="24048"/>
    <cellStyle name="Normal 2 3 2 4 2 2 2 2 5 2" xfId="36865"/>
    <cellStyle name="Normal 2 3 2 4 2 2 2 3" xfId="2175"/>
    <cellStyle name="Normal 2 3 2 4 2 2 2 3 2" xfId="6612"/>
    <cellStyle name="Normal 2 3 2 4 2 2 2 3 2 2" xfId="7409"/>
    <cellStyle name="Normal 2 3 2 4 2 2 2 3 2 2 2" xfId="20165"/>
    <cellStyle name="Normal 2 3 2 4 2 2 2 3 2 2 2 2" xfId="20961"/>
    <cellStyle name="Normal 2 3 2 4 2 2 2 3 2 2 2 2 2" xfId="55491"/>
    <cellStyle name="Normal 2 3 2 4 2 2 2 3 2 2 2 2 2 2" xfId="56287"/>
    <cellStyle name="Normal 2 3 2 4 2 2 2 3 2 2 2 3" xfId="34464"/>
    <cellStyle name="Normal 2 3 2 4 2 2 2 3 2 2 3" xfId="33667"/>
    <cellStyle name="Normal 2 3 2 4 2 2 2 3 2 2 3 2" xfId="42836"/>
    <cellStyle name="Normal 2 3 2 4 2 2 2 3 2 3" xfId="12634"/>
    <cellStyle name="Normal 2 3 2 4 2 2 2 3 2 3 2" xfId="42040"/>
    <cellStyle name="Normal 2 3 2 4 2 2 2 3 2 3 2 2" xfId="47980"/>
    <cellStyle name="Normal 2 3 2 4 2 2 2 3 2 4" xfId="26118"/>
    <cellStyle name="Normal 2 3 2 4 2 2 2 3 3" xfId="11835"/>
    <cellStyle name="Normal 2 3 2 4 2 2 2 3 3 2" xfId="15839"/>
    <cellStyle name="Normal 2 3 2 4 2 2 2 3 3 2 2" xfId="47183"/>
    <cellStyle name="Normal 2 3 2 4 2 2 2 3 3 2 2 2" xfId="51171"/>
    <cellStyle name="Normal 2 3 2 4 2 2 2 3 3 3" xfId="29345"/>
    <cellStyle name="Normal 2 3 2 4 2 2 2 3 4" xfId="25320"/>
    <cellStyle name="Normal 2 3 2 4 2 2 2 3 4 2" xfId="37653"/>
    <cellStyle name="Normal 2 3 2 4 2 2 2 4" xfId="4191"/>
    <cellStyle name="Normal 2 3 2 4 2 2 2 4 2" xfId="14993"/>
    <cellStyle name="Normal 2 3 2 4 2 2 2 4 2 2" xfId="17784"/>
    <cellStyle name="Normal 2 3 2 4 2 2 2 4 2 2 2" xfId="50332"/>
    <cellStyle name="Normal 2 3 2 4 2 2 2 4 2 2 2 2" xfId="53111"/>
    <cellStyle name="Normal 2 3 2 4 2 2 2 4 2 3" xfId="31286"/>
    <cellStyle name="Normal 2 3 2 4 2 2 2 4 3" xfId="28506"/>
    <cellStyle name="Normal 2 3 2 4 2 2 2 4 3 2" xfId="39634"/>
    <cellStyle name="Normal 2 3 2 4 2 2 2 5" xfId="9382"/>
    <cellStyle name="Normal 2 3 2 4 2 2 2 5 2" xfId="36801"/>
    <cellStyle name="Normal 2 3 2 4 2 2 2 5 2 2" xfId="44764"/>
    <cellStyle name="Normal 2 3 2 4 2 2 2 6" xfId="22878"/>
    <cellStyle name="Normal 2 3 2 4 2 2 3" xfId="2111"/>
    <cellStyle name="Normal 2 3 2 4 2 2 3 2" xfId="2661"/>
    <cellStyle name="Normal 2 3 2 4 2 2 3 2 2" xfId="7345"/>
    <cellStyle name="Normal 2 3 2 4 2 2 3 2 2 2" xfId="7880"/>
    <cellStyle name="Normal 2 3 2 4 2 2 3 2 2 2 2" xfId="20897"/>
    <cellStyle name="Normal 2 3 2 4 2 2 3 2 2 2 2 2" xfId="21432"/>
    <cellStyle name="Normal 2 3 2 4 2 2 3 2 2 2 2 2 2" xfId="56223"/>
    <cellStyle name="Normal 2 3 2 4 2 2 3 2 2 2 2 2 2 2" xfId="56758"/>
    <cellStyle name="Normal 2 3 2 4 2 2 3 2 2 2 2 3" xfId="34935"/>
    <cellStyle name="Normal 2 3 2 4 2 2 3 2 2 2 3" xfId="34400"/>
    <cellStyle name="Normal 2 3 2 4 2 2 3 2 2 2 3 2" xfId="43307"/>
    <cellStyle name="Normal 2 3 2 4 2 2 3 2 2 3" xfId="13105"/>
    <cellStyle name="Normal 2 3 2 4 2 2 3 2 2 3 2" xfId="42772"/>
    <cellStyle name="Normal 2 3 2 4 2 2 3 2 2 3 2 2" xfId="48451"/>
    <cellStyle name="Normal 2 3 2 4 2 2 3 2 2 4" xfId="26589"/>
    <cellStyle name="Normal 2 3 2 4 2 2 3 2 3" xfId="12570"/>
    <cellStyle name="Normal 2 3 2 4 2 2 3 2 3 2" xfId="16320"/>
    <cellStyle name="Normal 2 3 2 4 2 2 3 2 3 2 2" xfId="47916"/>
    <cellStyle name="Normal 2 3 2 4 2 2 3 2 3 2 2 2" xfId="51650"/>
    <cellStyle name="Normal 2 3 2 4 2 2 3 2 3 3" xfId="29824"/>
    <cellStyle name="Normal 2 3 2 4 2 2 3 2 4" xfId="26054"/>
    <cellStyle name="Normal 2 3 2 4 2 2 3 2 4 2" xfId="38134"/>
    <cellStyle name="Normal 2 3 2 4 2 2 3 3" xfId="4697"/>
    <cellStyle name="Normal 2 3 2 4 2 2 3 3 2" xfId="15775"/>
    <cellStyle name="Normal 2 3 2 4 2 2 3 3 2 2" xfId="18274"/>
    <cellStyle name="Normal 2 3 2 4 2 2 3 3 2 2 2" xfId="51107"/>
    <cellStyle name="Normal 2 3 2 4 2 2 3 3 2 2 2 2" xfId="53600"/>
    <cellStyle name="Normal 2 3 2 4 2 2 3 3 2 3" xfId="31775"/>
    <cellStyle name="Normal 2 3 2 4 2 2 3 3 3" xfId="29281"/>
    <cellStyle name="Normal 2 3 2 4 2 2 3 3 3 2" xfId="40135"/>
    <cellStyle name="Normal 2 3 2 4 2 2 3 4" xfId="9900"/>
    <cellStyle name="Normal 2 3 2 4 2 2 3 4 2" xfId="37589"/>
    <cellStyle name="Normal 2 3 2 4 2 2 3 4 2 2" xfId="45267"/>
    <cellStyle name="Normal 2 3 2 4 2 2 3 5" xfId="23390"/>
    <cellStyle name="Normal 2 3 2 4 2 2 4" xfId="4127"/>
    <cellStyle name="Normal 2 3 2 4 2 2 4 2" xfId="5902"/>
    <cellStyle name="Normal 2 3 2 4 2 2 4 2 2" xfId="17720"/>
    <cellStyle name="Normal 2 3 2 4 2 2 4 2 2 2" xfId="19469"/>
    <cellStyle name="Normal 2 3 2 4 2 2 4 2 2 2 2" xfId="53047"/>
    <cellStyle name="Normal 2 3 2 4 2 2 4 2 2 2 2 2" xfId="54795"/>
    <cellStyle name="Normal 2 3 2 4 2 2 4 2 2 3" xfId="32970"/>
    <cellStyle name="Normal 2 3 2 4 2 2 4 2 3" xfId="31222"/>
    <cellStyle name="Normal 2 3 2 4 2 2 4 2 3 2" xfId="41336"/>
    <cellStyle name="Normal 2 3 2 4 2 2 4 3" xfId="11127"/>
    <cellStyle name="Normal 2 3 2 4 2 2 4 3 2" xfId="39570"/>
    <cellStyle name="Normal 2 3 2 4 2 2 4 3 2 2" xfId="46485"/>
    <cellStyle name="Normal 2 3 2 4 2 2 4 4" xfId="24620"/>
    <cellStyle name="Normal 2 3 2 4 2 2 5" xfId="9318"/>
    <cellStyle name="Normal 2 3 2 4 2 2 5 2" xfId="14286"/>
    <cellStyle name="Normal 2 3 2 4 2 2 5 2 2" xfId="44700"/>
    <cellStyle name="Normal 2 3 2 4 2 2 5 2 2 2" xfId="49631"/>
    <cellStyle name="Normal 2 3 2 4 2 2 5 3" xfId="27796"/>
    <cellStyle name="Normal 2 3 2 4 2 2 6" xfId="22814"/>
    <cellStyle name="Normal 2 3 2 4 2 2 6 2" xfId="36098"/>
    <cellStyle name="Normal 2 3 2 4 2 3" xfId="899"/>
    <cellStyle name="Normal 2 3 2 4 2 3 2" xfId="2588"/>
    <cellStyle name="Normal 2 3 2 4 2 3 2 2" xfId="2938"/>
    <cellStyle name="Normal 2 3 2 4 2 3 2 2 2" xfId="7809"/>
    <cellStyle name="Normal 2 3 2 4 2 3 2 2 2 2" xfId="8153"/>
    <cellStyle name="Normal 2 3 2 4 2 3 2 2 2 2 2" xfId="21361"/>
    <cellStyle name="Normal 2 3 2 4 2 3 2 2 2 2 2 2" xfId="21705"/>
    <cellStyle name="Normal 2 3 2 4 2 3 2 2 2 2 2 2 2" xfId="56687"/>
    <cellStyle name="Normal 2 3 2 4 2 3 2 2 2 2 2 2 2 2" xfId="57031"/>
    <cellStyle name="Normal 2 3 2 4 2 3 2 2 2 2 2 3" xfId="35208"/>
    <cellStyle name="Normal 2 3 2 4 2 3 2 2 2 2 3" xfId="34864"/>
    <cellStyle name="Normal 2 3 2 4 2 3 2 2 2 2 3 2" xfId="43580"/>
    <cellStyle name="Normal 2 3 2 4 2 3 2 2 2 3" xfId="13378"/>
    <cellStyle name="Normal 2 3 2 4 2 3 2 2 2 3 2" xfId="43236"/>
    <cellStyle name="Normal 2 3 2 4 2 3 2 2 2 3 2 2" xfId="48724"/>
    <cellStyle name="Normal 2 3 2 4 2 3 2 2 2 4" xfId="26863"/>
    <cellStyle name="Normal 2 3 2 4 2 3 2 2 3" xfId="13034"/>
    <cellStyle name="Normal 2 3 2 4 2 3 2 2 3 2" xfId="16595"/>
    <cellStyle name="Normal 2 3 2 4 2 3 2 2 3 2 2" xfId="48380"/>
    <cellStyle name="Normal 2 3 2 4 2 3 2 2 3 2 2 2" xfId="51923"/>
    <cellStyle name="Normal 2 3 2 4 2 3 2 2 3 3" xfId="30097"/>
    <cellStyle name="Normal 2 3 2 4 2 3 2 2 4" xfId="26518"/>
    <cellStyle name="Normal 2 3 2 4 2 3 2 2 4 2" xfId="38407"/>
    <cellStyle name="Normal 2 3 2 4 2 3 2 3" xfId="4974"/>
    <cellStyle name="Normal 2 3 2 4 2 3 2 3 2" xfId="16247"/>
    <cellStyle name="Normal 2 3 2 4 2 3 2 3 2 2" xfId="18547"/>
    <cellStyle name="Normal 2 3 2 4 2 3 2 3 2 2 2" xfId="51577"/>
    <cellStyle name="Normal 2 3 2 4 2 3 2 3 2 2 2 2" xfId="53873"/>
    <cellStyle name="Normal 2 3 2 4 2 3 2 3 2 3" xfId="32048"/>
    <cellStyle name="Normal 2 3 2 4 2 3 2 3 3" xfId="29751"/>
    <cellStyle name="Normal 2 3 2 4 2 3 2 3 3 2" xfId="40411"/>
    <cellStyle name="Normal 2 3 2 4 2 3 2 4" xfId="10177"/>
    <cellStyle name="Normal 2 3 2 4 2 3 2 4 2" xfId="38061"/>
    <cellStyle name="Normal 2 3 2 4 2 3 2 4 2 2" xfId="45540"/>
    <cellStyle name="Normal 2 3 2 4 2 3 2 5" xfId="23663"/>
    <cellStyle name="Normal 2 3 2 4 2 3 3" xfId="4622"/>
    <cellStyle name="Normal 2 3 2 4 2 3 3 2" xfId="6210"/>
    <cellStyle name="Normal 2 3 2 4 2 3 3 2 2" xfId="18203"/>
    <cellStyle name="Normal 2 3 2 4 2 3 3 2 2 2" xfId="19768"/>
    <cellStyle name="Normal 2 3 2 4 2 3 3 2 2 2 2" xfId="53529"/>
    <cellStyle name="Normal 2 3 2 4 2 3 3 2 2 2 2 2" xfId="55094"/>
    <cellStyle name="Normal 2 3 2 4 2 3 3 2 2 3" xfId="33270"/>
    <cellStyle name="Normal 2 3 2 4 2 3 3 2 3" xfId="31704"/>
    <cellStyle name="Normal 2 3 2 4 2 3 3 2 3 2" xfId="41639"/>
    <cellStyle name="Normal 2 3 2 4 2 3 3 3" xfId="11435"/>
    <cellStyle name="Normal 2 3 2 4 2 3 3 3 2" xfId="40061"/>
    <cellStyle name="Normal 2 3 2 4 2 3 3 3 2 2" xfId="46785"/>
    <cellStyle name="Normal 2 3 2 4 2 3 3 4" xfId="24922"/>
    <cellStyle name="Normal 2 3 2 4 2 3 4" xfId="9826"/>
    <cellStyle name="Normal 2 3 2 4 2 3 4 2" xfId="14594"/>
    <cellStyle name="Normal 2 3 2 4 2 3 4 2 2" xfId="45196"/>
    <cellStyle name="Normal 2 3 2 4 2 3 4 2 2 2" xfId="49933"/>
    <cellStyle name="Normal 2 3 2 4 2 3 4 3" xfId="28104"/>
    <cellStyle name="Normal 2 3 2 4 2 3 5" xfId="23319"/>
    <cellStyle name="Normal 2 3 2 4 2 3 5 2" xfId="36402"/>
    <cellStyle name="Normal 2 3 2 4 2 4" xfId="1695"/>
    <cellStyle name="Normal 2 3 2 4 2 4 2" xfId="5827"/>
    <cellStyle name="Normal 2 3 2 4 2 4 2 2" xfId="6949"/>
    <cellStyle name="Normal 2 3 2 4 2 4 2 2 2" xfId="19395"/>
    <cellStyle name="Normal 2 3 2 4 2 4 2 2 2 2" xfId="20502"/>
    <cellStyle name="Normal 2 3 2 4 2 4 2 2 2 2 2" xfId="54721"/>
    <cellStyle name="Normal 2 3 2 4 2 4 2 2 2 2 2 2" xfId="55828"/>
    <cellStyle name="Normal 2 3 2 4 2 4 2 2 2 3" xfId="34004"/>
    <cellStyle name="Normal 2 3 2 4 2 4 2 2 3" xfId="32896"/>
    <cellStyle name="Normal 2 3 2 4 2 4 2 2 3 2" xfId="42377"/>
    <cellStyle name="Normal 2 3 2 4 2 4 2 3" xfId="12173"/>
    <cellStyle name="Normal 2 3 2 4 2 4 2 3 2" xfId="41262"/>
    <cellStyle name="Normal 2 3 2 4 2 4 2 3 2 2" xfId="47520"/>
    <cellStyle name="Normal 2 3 2 4 2 4 2 4" xfId="25658"/>
    <cellStyle name="Normal 2 3 2 4 2 4 3" xfId="11050"/>
    <cellStyle name="Normal 2 3 2 4 2 4 3 2" xfId="15367"/>
    <cellStyle name="Normal 2 3 2 4 2 4 3 2 2" xfId="46409"/>
    <cellStyle name="Normal 2 3 2 4 2 4 3 2 2 2" xfId="50701"/>
    <cellStyle name="Normal 2 3 2 4 2 4 3 3" xfId="28875"/>
    <cellStyle name="Normal 2 3 2 4 2 4 4" xfId="24544"/>
    <cellStyle name="Normal 2 3 2 4 2 4 4 2" xfId="37178"/>
    <cellStyle name="Normal 2 3 2 4 2 5" xfId="3700"/>
    <cellStyle name="Normal 2 3 2 4 2 5 2" xfId="14211"/>
    <cellStyle name="Normal 2 3 2 4 2 5 2 2" xfId="17317"/>
    <cellStyle name="Normal 2 3 2 4 2 5 2 2 2" xfId="49556"/>
    <cellStyle name="Normal 2 3 2 4 2 5 2 2 2 2" xfId="52644"/>
    <cellStyle name="Normal 2 3 2 4 2 5 2 3" xfId="30818"/>
    <cellStyle name="Normal 2 3 2 4 2 5 3" xfId="27718"/>
    <cellStyle name="Normal 2 3 2 4 2 5 3 2" xfId="39151"/>
    <cellStyle name="Normal 2 3 2 4 2 6" xfId="8889"/>
    <cellStyle name="Normal 2 3 2 4 2 6 2" xfId="36023"/>
    <cellStyle name="Normal 2 3 2 4 2 6 2 2" xfId="44289"/>
    <cellStyle name="Normal 2 3 2 4 2 7" xfId="22397"/>
    <cellStyle name="Normal 2 3 2 4 3" xfId="817"/>
    <cellStyle name="Normal 2 3 2 4 3 2" xfId="1067"/>
    <cellStyle name="Normal 2 3 2 4 3 2 2" xfId="2871"/>
    <cellStyle name="Normal 2 3 2 4 3 2 2 2" xfId="3102"/>
    <cellStyle name="Normal 2 3 2 4 3 2 2 2 2" xfId="8087"/>
    <cellStyle name="Normal 2 3 2 4 3 2 2 2 2 2" xfId="8317"/>
    <cellStyle name="Normal 2 3 2 4 3 2 2 2 2 2 2" xfId="21639"/>
    <cellStyle name="Normal 2 3 2 4 3 2 2 2 2 2 2 2" xfId="21869"/>
    <cellStyle name="Normal 2 3 2 4 3 2 2 2 2 2 2 2 2" xfId="56965"/>
    <cellStyle name="Normal 2 3 2 4 3 2 2 2 2 2 2 2 2 2" xfId="57195"/>
    <cellStyle name="Normal 2 3 2 4 3 2 2 2 2 2 2 3" xfId="35372"/>
    <cellStyle name="Normal 2 3 2 4 3 2 2 2 2 2 3" xfId="35142"/>
    <cellStyle name="Normal 2 3 2 4 3 2 2 2 2 2 3 2" xfId="43744"/>
    <cellStyle name="Normal 2 3 2 4 3 2 2 2 2 3" xfId="13542"/>
    <cellStyle name="Normal 2 3 2 4 3 2 2 2 2 3 2" xfId="43514"/>
    <cellStyle name="Normal 2 3 2 4 3 2 2 2 2 3 2 2" xfId="48888"/>
    <cellStyle name="Normal 2 3 2 4 3 2 2 2 2 4" xfId="27027"/>
    <cellStyle name="Normal 2 3 2 4 3 2 2 2 3" xfId="13312"/>
    <cellStyle name="Normal 2 3 2 4 3 2 2 2 3 2" xfId="16759"/>
    <cellStyle name="Normal 2 3 2 4 3 2 2 2 3 2 2" xfId="48658"/>
    <cellStyle name="Normal 2 3 2 4 3 2 2 2 3 2 2 2" xfId="52087"/>
    <cellStyle name="Normal 2 3 2 4 3 2 2 2 3 3" xfId="30261"/>
    <cellStyle name="Normal 2 3 2 4 3 2 2 2 4" xfId="26796"/>
    <cellStyle name="Normal 2 3 2 4 3 2 2 2 4 2" xfId="38571"/>
    <cellStyle name="Normal 2 3 2 4 3 2 2 3" xfId="5139"/>
    <cellStyle name="Normal 2 3 2 4 3 2 2 3 2" xfId="16529"/>
    <cellStyle name="Normal 2 3 2 4 3 2 2 3 2 2" xfId="18712"/>
    <cellStyle name="Normal 2 3 2 4 3 2 2 3 2 2 2" xfId="51857"/>
    <cellStyle name="Normal 2 3 2 4 3 2 2 3 2 2 2 2" xfId="54038"/>
    <cellStyle name="Normal 2 3 2 4 3 2 2 3 2 3" xfId="32213"/>
    <cellStyle name="Normal 2 3 2 4 3 2 2 3 3" xfId="30031"/>
    <cellStyle name="Normal 2 3 2 4 3 2 2 3 3 2" xfId="40576"/>
    <cellStyle name="Normal 2 3 2 4 3 2 2 4" xfId="10342"/>
    <cellStyle name="Normal 2 3 2 4 3 2 2 4 2" xfId="38341"/>
    <cellStyle name="Normal 2 3 2 4 3 2 2 4 2 2" xfId="45705"/>
    <cellStyle name="Normal 2 3 2 4 3 2 2 5" xfId="23828"/>
    <cellStyle name="Normal 2 3 2 4 3 2 3" xfId="4907"/>
    <cellStyle name="Normal 2 3 2 4 3 2 3 2" xfId="6377"/>
    <cellStyle name="Normal 2 3 2 4 3 2 3 2 2" xfId="18481"/>
    <cellStyle name="Normal 2 3 2 4 3 2 3 2 2 2" xfId="19933"/>
    <cellStyle name="Normal 2 3 2 4 3 2 3 2 2 2 2" xfId="53807"/>
    <cellStyle name="Normal 2 3 2 4 3 2 3 2 2 2 2 2" xfId="55259"/>
    <cellStyle name="Normal 2 3 2 4 3 2 3 2 2 3" xfId="33435"/>
    <cellStyle name="Normal 2 3 2 4 3 2 3 2 3" xfId="31982"/>
    <cellStyle name="Normal 2 3 2 4 3 2 3 2 3 2" xfId="41806"/>
    <cellStyle name="Normal 2 3 2 4 3 2 3 3" xfId="11602"/>
    <cellStyle name="Normal 2 3 2 4 3 2 3 3 2" xfId="40344"/>
    <cellStyle name="Normal 2 3 2 4 3 2 3 3 2 2" xfId="46951"/>
    <cellStyle name="Normal 2 3 2 4 3 2 3 4" xfId="25088"/>
    <cellStyle name="Normal 2 3 2 4 3 2 4" xfId="10110"/>
    <cellStyle name="Normal 2 3 2 4 3 2 4 2" xfId="14759"/>
    <cellStyle name="Normal 2 3 2 4 3 2 4 2 2" xfId="45474"/>
    <cellStyle name="Normal 2 3 2 4 3 2 4 2 2 2" xfId="50098"/>
    <cellStyle name="Normal 2 3 2 4 3 2 4 3" xfId="28271"/>
    <cellStyle name="Normal 2 3 2 4 3 2 5" xfId="23597"/>
    <cellStyle name="Normal 2 3 2 4 3 2 5 2" xfId="36567"/>
    <cellStyle name="Normal 2 3 2 4 3 3" xfId="1875"/>
    <cellStyle name="Normal 2 3 2 4 3 3 2" xfId="6132"/>
    <cellStyle name="Normal 2 3 2 4 3 3 2 2" xfId="7124"/>
    <cellStyle name="Normal 2 3 2 4 3 3 2 2 2" xfId="19693"/>
    <cellStyle name="Normal 2 3 2 4 3 3 2 2 2 2" xfId="20676"/>
    <cellStyle name="Normal 2 3 2 4 3 3 2 2 2 2 2" xfId="55019"/>
    <cellStyle name="Normal 2 3 2 4 3 3 2 2 2 2 2 2" xfId="56002"/>
    <cellStyle name="Normal 2 3 2 4 3 3 2 2 2 3" xfId="34179"/>
    <cellStyle name="Normal 2 3 2 4 3 3 2 2 3" xfId="33194"/>
    <cellStyle name="Normal 2 3 2 4 3 3 2 2 3 2" xfId="42551"/>
    <cellStyle name="Normal 2 3 2 4 3 3 2 3" xfId="12349"/>
    <cellStyle name="Normal 2 3 2 4 3 3 2 3 2" xfId="41564"/>
    <cellStyle name="Normal 2 3 2 4 3 3 2 3 2 2" xfId="47695"/>
    <cellStyle name="Normal 2 3 2 4 3 3 2 4" xfId="25833"/>
    <cellStyle name="Normal 2 3 2 4 3 3 3" xfId="11358"/>
    <cellStyle name="Normal 2 3 2 4 3 3 3 2" xfId="15545"/>
    <cellStyle name="Normal 2 3 2 4 3 3 3 2 2" xfId="46710"/>
    <cellStyle name="Normal 2 3 2 4 3 3 3 2 2 2" xfId="50877"/>
    <cellStyle name="Normal 2 3 2 4 3 3 3 3" xfId="29051"/>
    <cellStyle name="Normal 2 3 2 4 3 3 4" xfId="24847"/>
    <cellStyle name="Normal 2 3 2 4 3 3 4 2" xfId="37356"/>
    <cellStyle name="Normal 2 3 2 4 3 4" xfId="3889"/>
    <cellStyle name="Normal 2 3 2 4 3 4 2" xfId="14515"/>
    <cellStyle name="Normal 2 3 2 4 3 4 2 2" xfId="17499"/>
    <cellStyle name="Normal 2 3 2 4 3 4 2 2 2" xfId="49857"/>
    <cellStyle name="Normal 2 3 2 4 3 4 2 2 2 2" xfId="52826"/>
    <cellStyle name="Normal 2 3 2 4 3 4 2 3" xfId="31001"/>
    <cellStyle name="Normal 2 3 2 4 3 4 3" xfId="28027"/>
    <cellStyle name="Normal 2 3 2 4 3 4 3 2" xfId="39337"/>
    <cellStyle name="Normal 2 3 2 4 3 5" xfId="9082"/>
    <cellStyle name="Normal 2 3 2 4 3 5 2" xfId="36325"/>
    <cellStyle name="Normal 2 3 2 4 3 5 2 2" xfId="44478"/>
    <cellStyle name="Normal 2 3 2 4 3 6" xfId="22591"/>
    <cellStyle name="Normal 2 3 2 4 4" xfId="1606"/>
    <cellStyle name="Normal 2 3 2 4 4 2" xfId="2329"/>
    <cellStyle name="Normal 2 3 2 4 4 2 2" xfId="6876"/>
    <cellStyle name="Normal 2 3 2 4 4 2 2 2" xfId="7563"/>
    <cellStyle name="Normal 2 3 2 4 4 2 2 2 2" xfId="20429"/>
    <cellStyle name="Normal 2 3 2 4 4 2 2 2 2 2" xfId="21115"/>
    <cellStyle name="Normal 2 3 2 4 4 2 2 2 2 2 2" xfId="55755"/>
    <cellStyle name="Normal 2 3 2 4 4 2 2 2 2 2 2 2" xfId="56441"/>
    <cellStyle name="Normal 2 3 2 4 4 2 2 2 2 3" xfId="34618"/>
    <cellStyle name="Normal 2 3 2 4 4 2 2 2 3" xfId="33931"/>
    <cellStyle name="Normal 2 3 2 4 4 2 2 2 3 2" xfId="42990"/>
    <cellStyle name="Normal 2 3 2 4 4 2 2 3" xfId="12788"/>
    <cellStyle name="Normal 2 3 2 4 4 2 2 3 2" xfId="42304"/>
    <cellStyle name="Normal 2 3 2 4 4 2 2 3 2 2" xfId="48134"/>
    <cellStyle name="Normal 2 3 2 4 4 2 2 4" xfId="26272"/>
    <cellStyle name="Normal 2 3 2 4 4 2 3" xfId="12100"/>
    <cellStyle name="Normal 2 3 2 4 4 2 3 2" xfId="15993"/>
    <cellStyle name="Normal 2 3 2 4 4 2 3 2 2" xfId="47447"/>
    <cellStyle name="Normal 2 3 2 4 4 2 3 2 2 2" xfId="51325"/>
    <cellStyle name="Normal 2 3 2 4 4 2 3 3" xfId="29499"/>
    <cellStyle name="Normal 2 3 2 4 4 2 4" xfId="25585"/>
    <cellStyle name="Normal 2 3 2 4 4 2 4 2" xfId="37807"/>
    <cellStyle name="Normal 2 3 2 4 4 3" xfId="4359"/>
    <cellStyle name="Normal 2 3 2 4 4 3 2" xfId="15282"/>
    <cellStyle name="Normal 2 3 2 4 4 3 2 2" xfId="17951"/>
    <cellStyle name="Normal 2 3 2 4 4 3 2 2 2" xfId="50617"/>
    <cellStyle name="Normal 2 3 2 4 4 3 2 2 2 2" xfId="53278"/>
    <cellStyle name="Normal 2 3 2 4 4 3 2 3" xfId="31453"/>
    <cellStyle name="Normal 2 3 2 4 4 3 3" xfId="28791"/>
    <cellStyle name="Normal 2 3 2 4 4 3 3 2" xfId="39801"/>
    <cellStyle name="Normal 2 3 2 4 4 4" xfId="9559"/>
    <cellStyle name="Normal 2 3 2 4 4 4 2" xfId="37092"/>
    <cellStyle name="Normal 2 3 2 4 4 4 2 2" xfId="44941"/>
    <cellStyle name="Normal 2 3 2 4 4 5" xfId="23060"/>
    <cellStyle name="Normal 2 3 2 4 5" xfId="3609"/>
    <cellStyle name="Normal 2 3 2 4 5 2" xfId="5569"/>
    <cellStyle name="Normal 2 3 2 4 5 2 2" xfId="17244"/>
    <cellStyle name="Normal 2 3 2 4 5 2 2 2" xfId="19142"/>
    <cellStyle name="Normal 2 3 2 4 5 2 2 2 2" xfId="52571"/>
    <cellStyle name="Normal 2 3 2 4 5 2 2 2 2 2" xfId="54468"/>
    <cellStyle name="Normal 2 3 2 4 5 2 2 3" xfId="32643"/>
    <cellStyle name="Normal 2 3 2 4 5 2 3" xfId="30745"/>
    <cellStyle name="Normal 2 3 2 4 5 2 3 2" xfId="41006"/>
    <cellStyle name="Normal 2 3 2 4 5 3" xfId="10779"/>
    <cellStyle name="Normal 2 3 2 4 5 3 2" xfId="39065"/>
    <cellStyle name="Normal 2 3 2 4 5 3 2 2" xfId="46141"/>
    <cellStyle name="Normal 2 3 2 4 5 4" xfId="24268"/>
    <cellStyle name="Normal 2 3 2 4 6" xfId="8803"/>
    <cellStyle name="Normal 2 3 2 4 6 2" xfId="13954"/>
    <cellStyle name="Normal 2 3 2 4 6 2 2" xfId="44214"/>
    <cellStyle name="Normal 2 3 2 4 6 2 2 2" xfId="49300"/>
    <cellStyle name="Normal 2 3 2 4 6 3" xfId="27444"/>
    <cellStyle name="Normal 2 3 2 4 7" xfId="22320"/>
    <cellStyle name="Normal 2 3 2 4 7 2" xfId="35766"/>
    <cellStyle name="Normal 2 3 2 5" xfId="196"/>
    <cellStyle name="Normal 2 3 2 5 2" xfId="997"/>
    <cellStyle name="Normal 2 3 2 5 2 2" xfId="1071"/>
    <cellStyle name="Normal 2 3 2 5 2 2 2" xfId="3034"/>
    <cellStyle name="Normal 2 3 2 5 2 2 2 2" xfId="3106"/>
    <cellStyle name="Normal 2 3 2 5 2 2 2 2 2" xfId="8249"/>
    <cellStyle name="Normal 2 3 2 5 2 2 2 2 2 2" xfId="8321"/>
    <cellStyle name="Normal 2 3 2 5 2 2 2 2 2 2 2" xfId="21801"/>
    <cellStyle name="Normal 2 3 2 5 2 2 2 2 2 2 2 2" xfId="21873"/>
    <cellStyle name="Normal 2 3 2 5 2 2 2 2 2 2 2 2 2" xfId="57127"/>
    <cellStyle name="Normal 2 3 2 5 2 2 2 2 2 2 2 2 2 2" xfId="57199"/>
    <cellStyle name="Normal 2 3 2 5 2 2 2 2 2 2 2 3" xfId="35376"/>
    <cellStyle name="Normal 2 3 2 5 2 2 2 2 2 2 3" xfId="35304"/>
    <cellStyle name="Normal 2 3 2 5 2 2 2 2 2 2 3 2" xfId="43748"/>
    <cellStyle name="Normal 2 3 2 5 2 2 2 2 2 3" xfId="13546"/>
    <cellStyle name="Normal 2 3 2 5 2 2 2 2 2 3 2" xfId="43676"/>
    <cellStyle name="Normal 2 3 2 5 2 2 2 2 2 3 2 2" xfId="48892"/>
    <cellStyle name="Normal 2 3 2 5 2 2 2 2 2 4" xfId="27031"/>
    <cellStyle name="Normal 2 3 2 5 2 2 2 2 3" xfId="13474"/>
    <cellStyle name="Normal 2 3 2 5 2 2 2 2 3 2" xfId="16763"/>
    <cellStyle name="Normal 2 3 2 5 2 2 2 2 3 2 2" xfId="48820"/>
    <cellStyle name="Normal 2 3 2 5 2 2 2 2 3 2 2 2" xfId="52091"/>
    <cellStyle name="Normal 2 3 2 5 2 2 2 2 3 3" xfId="30265"/>
    <cellStyle name="Normal 2 3 2 5 2 2 2 2 4" xfId="26959"/>
    <cellStyle name="Normal 2 3 2 5 2 2 2 2 4 2" xfId="38575"/>
    <cellStyle name="Normal 2 3 2 5 2 2 2 3" xfId="5143"/>
    <cellStyle name="Normal 2 3 2 5 2 2 2 3 2" xfId="16691"/>
    <cellStyle name="Normal 2 3 2 5 2 2 2 3 2 2" xfId="18716"/>
    <cellStyle name="Normal 2 3 2 5 2 2 2 3 2 2 2" xfId="52019"/>
    <cellStyle name="Normal 2 3 2 5 2 2 2 3 2 2 2 2" xfId="54042"/>
    <cellStyle name="Normal 2 3 2 5 2 2 2 3 2 3" xfId="32217"/>
    <cellStyle name="Normal 2 3 2 5 2 2 2 3 3" xfId="30193"/>
    <cellStyle name="Normal 2 3 2 5 2 2 2 3 3 2" xfId="40580"/>
    <cellStyle name="Normal 2 3 2 5 2 2 2 4" xfId="10346"/>
    <cellStyle name="Normal 2 3 2 5 2 2 2 4 2" xfId="38503"/>
    <cellStyle name="Normal 2 3 2 5 2 2 2 4 2 2" xfId="45709"/>
    <cellStyle name="Normal 2 3 2 5 2 2 2 5" xfId="23832"/>
    <cellStyle name="Normal 2 3 2 5 2 2 3" xfId="5071"/>
    <cellStyle name="Normal 2 3 2 5 2 2 3 2" xfId="6381"/>
    <cellStyle name="Normal 2 3 2 5 2 2 3 2 2" xfId="18644"/>
    <cellStyle name="Normal 2 3 2 5 2 2 3 2 2 2" xfId="19937"/>
    <cellStyle name="Normal 2 3 2 5 2 2 3 2 2 2 2" xfId="53970"/>
    <cellStyle name="Normal 2 3 2 5 2 2 3 2 2 2 2 2" xfId="55263"/>
    <cellStyle name="Normal 2 3 2 5 2 2 3 2 2 3" xfId="33439"/>
    <cellStyle name="Normal 2 3 2 5 2 2 3 2 3" xfId="32145"/>
    <cellStyle name="Normal 2 3 2 5 2 2 3 2 3 2" xfId="41810"/>
    <cellStyle name="Normal 2 3 2 5 2 2 3 3" xfId="11606"/>
    <cellStyle name="Normal 2 3 2 5 2 2 3 3 2" xfId="40508"/>
    <cellStyle name="Normal 2 3 2 5 2 2 3 3 2 2" xfId="46955"/>
    <cellStyle name="Normal 2 3 2 5 2 2 3 4" xfId="25092"/>
    <cellStyle name="Normal 2 3 2 5 2 2 4" xfId="10274"/>
    <cellStyle name="Normal 2 3 2 5 2 2 4 2" xfId="14763"/>
    <cellStyle name="Normal 2 3 2 5 2 2 4 2 2" xfId="45637"/>
    <cellStyle name="Normal 2 3 2 5 2 2 4 2 2 2" xfId="50102"/>
    <cellStyle name="Normal 2 3 2 5 2 2 4 3" xfId="28275"/>
    <cellStyle name="Normal 2 3 2 5 2 2 5" xfId="23760"/>
    <cellStyle name="Normal 2 3 2 5 2 2 5 2" xfId="36571"/>
    <cellStyle name="Normal 2 3 2 5 2 3" xfId="1879"/>
    <cellStyle name="Normal 2 3 2 5 2 3 2" xfId="6307"/>
    <cellStyle name="Normal 2 3 2 5 2 3 2 2" xfId="7128"/>
    <cellStyle name="Normal 2 3 2 5 2 3 2 2 2" xfId="19864"/>
    <cellStyle name="Normal 2 3 2 5 2 3 2 2 2 2" xfId="20680"/>
    <cellStyle name="Normal 2 3 2 5 2 3 2 2 2 2 2" xfId="55190"/>
    <cellStyle name="Normal 2 3 2 5 2 3 2 2 2 2 2 2" xfId="56006"/>
    <cellStyle name="Normal 2 3 2 5 2 3 2 2 2 3" xfId="34183"/>
    <cellStyle name="Normal 2 3 2 5 2 3 2 2 3" xfId="33366"/>
    <cellStyle name="Normal 2 3 2 5 2 3 2 2 3 2" xfId="42555"/>
    <cellStyle name="Normal 2 3 2 5 2 3 2 3" xfId="12353"/>
    <cellStyle name="Normal 2 3 2 5 2 3 2 3 2" xfId="41736"/>
    <cellStyle name="Normal 2 3 2 5 2 3 2 3 2 2" xfId="47699"/>
    <cellStyle name="Normal 2 3 2 5 2 3 2 4" xfId="25837"/>
    <cellStyle name="Normal 2 3 2 5 2 3 3" xfId="11533"/>
    <cellStyle name="Normal 2 3 2 5 2 3 3 2" xfId="15549"/>
    <cellStyle name="Normal 2 3 2 5 2 3 3 2 2" xfId="46882"/>
    <cellStyle name="Normal 2 3 2 5 2 3 3 2 2 2" xfId="50881"/>
    <cellStyle name="Normal 2 3 2 5 2 3 3 3" xfId="29055"/>
    <cellStyle name="Normal 2 3 2 5 2 3 4" xfId="25019"/>
    <cellStyle name="Normal 2 3 2 5 2 3 4 2" xfId="37360"/>
    <cellStyle name="Normal 2 3 2 5 2 4" xfId="3893"/>
    <cellStyle name="Normal 2 3 2 5 2 4 2" xfId="14690"/>
    <cellStyle name="Normal 2 3 2 5 2 4 2 2" xfId="17503"/>
    <cellStyle name="Normal 2 3 2 5 2 4 2 2 2" xfId="50029"/>
    <cellStyle name="Normal 2 3 2 5 2 4 2 2 2 2" xfId="52830"/>
    <cellStyle name="Normal 2 3 2 5 2 4 2 3" xfId="31005"/>
    <cellStyle name="Normal 2 3 2 5 2 4 3" xfId="28202"/>
    <cellStyle name="Normal 2 3 2 5 2 4 3 2" xfId="39341"/>
    <cellStyle name="Normal 2 3 2 5 2 5" xfId="9086"/>
    <cellStyle name="Normal 2 3 2 5 2 5 2" xfId="36498"/>
    <cellStyle name="Normal 2 3 2 5 2 5 2 2" xfId="44482"/>
    <cellStyle name="Normal 2 3 2 5 2 6" xfId="22595"/>
    <cellStyle name="Normal 2 3 2 5 3" xfId="1794"/>
    <cellStyle name="Normal 2 3 2 5 3 2" xfId="2333"/>
    <cellStyle name="Normal 2 3 2 5 3 2 2" xfId="7046"/>
    <cellStyle name="Normal 2 3 2 5 3 2 2 2" xfId="7567"/>
    <cellStyle name="Normal 2 3 2 5 3 2 2 2 2" xfId="20599"/>
    <cellStyle name="Normal 2 3 2 5 3 2 2 2 2 2" xfId="21119"/>
    <cellStyle name="Normal 2 3 2 5 3 2 2 2 2 2 2" xfId="55925"/>
    <cellStyle name="Normal 2 3 2 5 3 2 2 2 2 2 2 2" xfId="56445"/>
    <cellStyle name="Normal 2 3 2 5 3 2 2 2 2 3" xfId="34622"/>
    <cellStyle name="Normal 2 3 2 5 3 2 2 2 3" xfId="34101"/>
    <cellStyle name="Normal 2 3 2 5 3 2 2 2 3 2" xfId="42994"/>
    <cellStyle name="Normal 2 3 2 5 3 2 2 3" xfId="12792"/>
    <cellStyle name="Normal 2 3 2 5 3 2 2 3 2" xfId="42474"/>
    <cellStyle name="Normal 2 3 2 5 3 2 2 3 2 2" xfId="48138"/>
    <cellStyle name="Normal 2 3 2 5 3 2 2 4" xfId="26276"/>
    <cellStyle name="Normal 2 3 2 5 3 2 3" xfId="12270"/>
    <cellStyle name="Normal 2 3 2 5 3 2 3 2" xfId="15997"/>
    <cellStyle name="Normal 2 3 2 5 3 2 3 2 2" xfId="47617"/>
    <cellStyle name="Normal 2 3 2 5 3 2 3 2 2 2" xfId="51329"/>
    <cellStyle name="Normal 2 3 2 5 3 2 3 3" xfId="29503"/>
    <cellStyle name="Normal 2 3 2 5 3 2 4" xfId="25755"/>
    <cellStyle name="Normal 2 3 2 5 3 2 4 2" xfId="37811"/>
    <cellStyle name="Normal 2 3 2 5 3 3" xfId="4363"/>
    <cellStyle name="Normal 2 3 2 5 3 3 2" xfId="15466"/>
    <cellStyle name="Normal 2 3 2 5 3 3 2 2" xfId="17955"/>
    <cellStyle name="Normal 2 3 2 5 3 3 2 2 2" xfId="50799"/>
    <cellStyle name="Normal 2 3 2 5 3 3 2 2 2 2" xfId="53282"/>
    <cellStyle name="Normal 2 3 2 5 3 3 2 3" xfId="31457"/>
    <cellStyle name="Normal 2 3 2 5 3 3 3" xfId="28973"/>
    <cellStyle name="Normal 2 3 2 5 3 3 3 2" xfId="39805"/>
    <cellStyle name="Normal 2 3 2 5 3 4" xfId="9563"/>
    <cellStyle name="Normal 2 3 2 5 3 4 2" xfId="37276"/>
    <cellStyle name="Normal 2 3 2 5 3 4 2 2" xfId="44945"/>
    <cellStyle name="Normal 2 3 2 5 3 5" xfId="23064"/>
    <cellStyle name="Normal 2 3 2 5 4" xfId="3801"/>
    <cellStyle name="Normal 2 3 2 5 4 2" xfId="5573"/>
    <cellStyle name="Normal 2 3 2 5 4 2 2" xfId="17416"/>
    <cellStyle name="Normal 2 3 2 5 4 2 2 2" xfId="19146"/>
    <cellStyle name="Normal 2 3 2 5 4 2 2 2 2" xfId="52743"/>
    <cellStyle name="Normal 2 3 2 5 4 2 2 2 2 2" xfId="54472"/>
    <cellStyle name="Normal 2 3 2 5 4 2 2 3" xfId="32647"/>
    <cellStyle name="Normal 2 3 2 5 4 2 3" xfId="30917"/>
    <cellStyle name="Normal 2 3 2 5 4 2 3 2" xfId="41010"/>
    <cellStyle name="Normal 2 3 2 5 4 3" xfId="10783"/>
    <cellStyle name="Normal 2 3 2 5 4 3 2" xfId="39251"/>
    <cellStyle name="Normal 2 3 2 5 4 3 2 2" xfId="46145"/>
    <cellStyle name="Normal 2 3 2 5 4 4" xfId="24272"/>
    <cellStyle name="Normal 2 3 2 5 5" xfId="8991"/>
    <cellStyle name="Normal 2 3 2 5 5 2" xfId="13958"/>
    <cellStyle name="Normal 2 3 2 5 5 2 2" xfId="44389"/>
    <cellStyle name="Normal 2 3 2 5 5 2 2 2" xfId="49304"/>
    <cellStyle name="Normal 2 3 2 5 5 3" xfId="27448"/>
    <cellStyle name="Normal 2 3 2 5 6" xfId="22497"/>
    <cellStyle name="Normal 2 3 2 5 6 2" xfId="35770"/>
    <cellStyle name="Normal 2 3 2 6" xfId="428"/>
    <cellStyle name="Normal 2 3 2 6 2" xfId="1613"/>
    <cellStyle name="Normal 2 3 2 6 2 2" xfId="2530"/>
    <cellStyle name="Normal 2 3 2 6 2 2 2" xfId="6883"/>
    <cellStyle name="Normal 2 3 2 6 2 2 2 2" xfId="7755"/>
    <cellStyle name="Normal 2 3 2 6 2 2 2 2 2" xfId="20436"/>
    <cellStyle name="Normal 2 3 2 6 2 2 2 2 2 2" xfId="21307"/>
    <cellStyle name="Normal 2 3 2 6 2 2 2 2 2 2 2" xfId="55762"/>
    <cellStyle name="Normal 2 3 2 6 2 2 2 2 2 2 2 2" xfId="56633"/>
    <cellStyle name="Normal 2 3 2 6 2 2 2 2 2 3" xfId="34810"/>
    <cellStyle name="Normal 2 3 2 6 2 2 2 2 3" xfId="33938"/>
    <cellStyle name="Normal 2 3 2 6 2 2 2 2 3 2" xfId="43182"/>
    <cellStyle name="Normal 2 3 2 6 2 2 2 3" xfId="12980"/>
    <cellStyle name="Normal 2 3 2 6 2 2 2 3 2" xfId="42311"/>
    <cellStyle name="Normal 2 3 2 6 2 2 2 3 2 2" xfId="48326"/>
    <cellStyle name="Normal 2 3 2 6 2 2 2 4" xfId="26464"/>
    <cellStyle name="Normal 2 3 2 6 2 2 3" xfId="12107"/>
    <cellStyle name="Normal 2 3 2 6 2 2 3 2" xfId="16191"/>
    <cellStyle name="Normal 2 3 2 6 2 2 3 2 2" xfId="47454"/>
    <cellStyle name="Normal 2 3 2 6 2 2 3 2 2 2" xfId="51522"/>
    <cellStyle name="Normal 2 3 2 6 2 2 3 3" xfId="29696"/>
    <cellStyle name="Normal 2 3 2 6 2 2 4" xfId="25592"/>
    <cellStyle name="Normal 2 3 2 6 2 2 4 2" xfId="38005"/>
    <cellStyle name="Normal 2 3 2 6 2 3" xfId="4565"/>
    <cellStyle name="Normal 2 3 2 6 2 3 2" xfId="15289"/>
    <cellStyle name="Normal 2 3 2 6 2 3 2 2" xfId="18148"/>
    <cellStyle name="Normal 2 3 2 6 2 3 2 2 2" xfId="50624"/>
    <cellStyle name="Normal 2 3 2 6 2 3 2 2 2 2" xfId="53474"/>
    <cellStyle name="Normal 2 3 2 6 2 3 2 3" xfId="31649"/>
    <cellStyle name="Normal 2 3 2 6 2 3 3" xfId="28798"/>
    <cellStyle name="Normal 2 3 2 6 2 3 3 2" xfId="40006"/>
    <cellStyle name="Normal 2 3 2 6 2 4" xfId="9768"/>
    <cellStyle name="Normal 2 3 2 6 2 4 2" xfId="37099"/>
    <cellStyle name="Normal 2 3 2 6 2 4 2 2" xfId="45141"/>
    <cellStyle name="Normal 2 3 2 6 2 5" xfId="23264"/>
    <cellStyle name="Normal 2 3 2 6 3" xfId="3616"/>
    <cellStyle name="Normal 2 3 2 6 3 2" xfId="5771"/>
    <cellStyle name="Normal 2 3 2 6 3 2 2" xfId="17251"/>
    <cellStyle name="Normal 2 3 2 6 3 2 2 2" xfId="19340"/>
    <cellStyle name="Normal 2 3 2 6 3 2 2 2 2" xfId="52578"/>
    <cellStyle name="Normal 2 3 2 6 3 2 2 2 2 2" xfId="54666"/>
    <cellStyle name="Normal 2 3 2 6 3 2 2 3" xfId="32841"/>
    <cellStyle name="Normal 2 3 2 6 3 2 3" xfId="30752"/>
    <cellStyle name="Normal 2 3 2 6 3 2 3 2" xfId="41206"/>
    <cellStyle name="Normal 2 3 2 6 3 3" xfId="10992"/>
    <cellStyle name="Normal 2 3 2 6 3 3 2" xfId="39072"/>
    <cellStyle name="Normal 2 3 2 6 3 3 2 2" xfId="46351"/>
    <cellStyle name="Normal 2 3 2 6 3 4" xfId="24485"/>
    <cellStyle name="Normal 2 3 2 6 4" xfId="8810"/>
    <cellStyle name="Normal 2 3 2 6 4 2" xfId="14155"/>
    <cellStyle name="Normal 2 3 2 6 4 2 2" xfId="44221"/>
    <cellStyle name="Normal 2 3 2 6 4 2 2 2" xfId="49500"/>
    <cellStyle name="Normal 2 3 2 6 4 3" xfId="27657"/>
    <cellStyle name="Normal 2 3 2 6 5" xfId="22327"/>
    <cellStyle name="Normal 2 3 2 6 5 2" xfId="35966"/>
    <cellStyle name="Normal 2 3 2 7" xfId="371"/>
    <cellStyle name="Normal 2 3 2 7 2" xfId="4284"/>
    <cellStyle name="Normal 2 3 2 7 2 2" xfId="5721"/>
    <cellStyle name="Normal 2 3 2 7 2 2 2" xfId="17877"/>
    <cellStyle name="Normal 2 3 2 7 2 2 2 2" xfId="19290"/>
    <cellStyle name="Normal 2 3 2 7 2 2 2 2 2" xfId="53204"/>
    <cellStyle name="Normal 2 3 2 7 2 2 2 2 2 2" xfId="54616"/>
    <cellStyle name="Normal 2 3 2 7 2 2 2 3" xfId="32791"/>
    <cellStyle name="Normal 2 3 2 7 2 2 3" xfId="31379"/>
    <cellStyle name="Normal 2 3 2 7 2 2 3 2" xfId="41156"/>
    <cellStyle name="Normal 2 3 2 7 2 3" xfId="10941"/>
    <cellStyle name="Normal 2 3 2 7 2 3 2" xfId="39727"/>
    <cellStyle name="Normal 2 3 2 7 2 3 2 2" xfId="46300"/>
    <cellStyle name="Normal 2 3 2 7 2 4" xfId="24432"/>
    <cellStyle name="Normal 2 3 2 7 3" xfId="9475"/>
    <cellStyle name="Normal 2 3 2 7 3 2" xfId="14104"/>
    <cellStyle name="Normal 2 3 2 7 3 2 2" xfId="44857"/>
    <cellStyle name="Normal 2 3 2 7 3 2 2 2" xfId="49449"/>
    <cellStyle name="Normal 2 3 2 7 3 3" xfId="27604"/>
    <cellStyle name="Normal 2 3 2 7 4" xfId="22971"/>
    <cellStyle name="Normal 2 3 2 7 4 2" xfId="35915"/>
    <cellStyle name="Normal 2 3 2 8" xfId="1888"/>
    <cellStyle name="Normal 2 3 2 8 2" xfId="9650"/>
    <cellStyle name="Normal 2 3 2 8 2 2" xfId="15558"/>
    <cellStyle name="Normal 2 3 2 8 2 2 2" xfId="45028"/>
    <cellStyle name="Normal 2 3 2 8 2 2 2 2" xfId="50890"/>
    <cellStyle name="Normal 2 3 2 8 2 3" xfId="29064"/>
    <cellStyle name="Normal 2 3 2 8 3" xfId="23151"/>
    <cellStyle name="Normal 2 3 2 8 3 2" xfId="37369"/>
    <cellStyle name="Normal 2 3 2 9" xfId="6510"/>
    <cellStyle name="Normal 2 3 2 9 2" xfId="27795"/>
    <cellStyle name="Normal 2 3 2 9 2 2" xfId="41938"/>
    <cellStyle name="Normal 2 3 3" xfId="122"/>
    <cellStyle name="Normal 2 3 3 2" xfId="148"/>
    <cellStyle name="Normal 2 3 3 2 2" xfId="303"/>
    <cellStyle name="Normal 2 3 3 2 2 2" xfId="314"/>
    <cellStyle name="Normal 2 3 3 2 2 2 2" xfId="633"/>
    <cellStyle name="Normal 2 3 3 2 2 2 2 2" xfId="643"/>
    <cellStyle name="Normal 2 3 3 2 2 2 2 2 2" xfId="1429"/>
    <cellStyle name="Normal 2 3 3 2 2 2 2 2 2 2" xfId="1439"/>
    <cellStyle name="Normal 2 3 3 2 2 2 2 2 2 2 2" xfId="3447"/>
    <cellStyle name="Normal 2 3 3 2 2 2 2 2 2 2 2 2" xfId="3457"/>
    <cellStyle name="Normal 2 3 3 2 2 2 2 2 2 2 2 2 2" xfId="8662"/>
    <cellStyle name="Normal 2 3 3 2 2 2 2 2 2 2 2 2 2 2" xfId="8672"/>
    <cellStyle name="Normal 2 3 3 2 2 2 2 2 2 2 2 2 2 2 2" xfId="22214"/>
    <cellStyle name="Normal 2 3 3 2 2 2 2 2 2 2 2 2 2 2 2 2" xfId="22224"/>
    <cellStyle name="Normal 2 3 3 2 2 2 2 2 2 2 2 2 2 2 2 2 2" xfId="57540"/>
    <cellStyle name="Normal 2 3 3 2 2 2 2 2 2 2 2 2 2 2 2 2 2 2" xfId="57550"/>
    <cellStyle name="Normal 2 3 3 2 2 2 2 2 2 2 2 2 2 2 2 3" xfId="35727"/>
    <cellStyle name="Normal 2 3 3 2 2 2 2 2 2 2 2 2 2 2 3" xfId="35717"/>
    <cellStyle name="Normal 2 3 3 2 2 2 2 2 2 2 2 2 2 2 3 2" xfId="44099"/>
    <cellStyle name="Normal 2 3 3 2 2 2 2 2 2 2 2 2 2 3" xfId="13897"/>
    <cellStyle name="Normal 2 3 3 2 2 2 2 2 2 2 2 2 2 3 2" xfId="44089"/>
    <cellStyle name="Normal 2 3 3 2 2 2 2 2 2 2 2 2 2 3 2 2" xfId="49243"/>
    <cellStyle name="Normal 2 3 3 2 2 2 2 2 2 2 2 2 2 4" xfId="27382"/>
    <cellStyle name="Normal 2 3 3 2 2 2 2 2 2 2 2 2 3" xfId="13887"/>
    <cellStyle name="Normal 2 3 3 2 2 2 2 2 2 2 2 2 3 2" xfId="17114"/>
    <cellStyle name="Normal 2 3 3 2 2 2 2 2 2 2 2 2 3 2 2" xfId="49233"/>
    <cellStyle name="Normal 2 3 3 2 2 2 2 2 2 2 2 2 3 2 2 2" xfId="52442"/>
    <cellStyle name="Normal 2 3 3 2 2 2 2 2 2 2 2 2 3 3" xfId="30616"/>
    <cellStyle name="Normal 2 3 3 2 2 2 2 2 2 2 2 2 4" xfId="27372"/>
    <cellStyle name="Normal 2 3 3 2 2 2 2 2 2 2 2 2 4 2" xfId="38926"/>
    <cellStyle name="Normal 2 3 3 2 2 2 2 2 2 2 2 3" xfId="5494"/>
    <cellStyle name="Normal 2 3 3 2 2 2 2 2 2 2 2 3 2" xfId="17104"/>
    <cellStyle name="Normal 2 3 3 2 2 2 2 2 2 2 2 3 2 2" xfId="19067"/>
    <cellStyle name="Normal 2 3 3 2 2 2 2 2 2 2 2 3 2 2 2" xfId="52432"/>
    <cellStyle name="Normal 2 3 3 2 2 2 2 2 2 2 2 3 2 2 2 2" xfId="54393"/>
    <cellStyle name="Normal 2 3 3 2 2 2 2 2 2 2 2 3 2 3" xfId="32568"/>
    <cellStyle name="Normal 2 3 3 2 2 2 2 2 2 2 2 3 3" xfId="30606"/>
    <cellStyle name="Normal 2 3 3 2 2 2 2 2 2 2 2 3 3 2" xfId="40931"/>
    <cellStyle name="Normal 2 3 3 2 2 2 2 2 2 2 2 4" xfId="10697"/>
    <cellStyle name="Normal 2 3 3 2 2 2 2 2 2 2 2 4 2" xfId="38916"/>
    <cellStyle name="Normal 2 3 3 2 2 2 2 2 2 2 2 4 2 2" xfId="46060"/>
    <cellStyle name="Normal 2 3 3 2 2 2 2 2 2 2 2 5" xfId="24183"/>
    <cellStyle name="Normal 2 3 3 2 2 2 2 2 2 2 3" xfId="5484"/>
    <cellStyle name="Normal 2 3 3 2 2 2 2 2 2 2 3 2" xfId="6747"/>
    <cellStyle name="Normal 2 3 3 2 2 2 2 2 2 2 3 2 2" xfId="19057"/>
    <cellStyle name="Normal 2 3 3 2 2 2 2 2 2 2 3 2 2 2" xfId="20300"/>
    <cellStyle name="Normal 2 3 3 2 2 2 2 2 2 2 3 2 2 2 2" xfId="54383"/>
    <cellStyle name="Normal 2 3 3 2 2 2 2 2 2 2 3 2 2 2 2 2" xfId="55626"/>
    <cellStyle name="Normal 2 3 3 2 2 2 2 2 2 2 3 2 2 3" xfId="33802"/>
    <cellStyle name="Normal 2 3 3 2 2 2 2 2 2 2 3 2 3" xfId="32558"/>
    <cellStyle name="Normal 2 3 3 2 2 2 2 2 2 2 3 2 3 2" xfId="42175"/>
    <cellStyle name="Normal 2 3 3 2 2 2 2 2 2 2 3 3" xfId="11970"/>
    <cellStyle name="Normal 2 3 3 2 2 2 2 2 2 2 3 3 2" xfId="40921"/>
    <cellStyle name="Normal 2 3 3 2 2 2 2 2 2 2 3 3 2 2" xfId="47318"/>
    <cellStyle name="Normal 2 3 3 2 2 2 2 2 2 2 3 4" xfId="25455"/>
    <cellStyle name="Normal 2 3 3 2 2 2 2 2 2 2 4" xfId="10687"/>
    <cellStyle name="Normal 2 3 3 2 2 2 2 2 2 2 4 2" xfId="15128"/>
    <cellStyle name="Normal 2 3 3 2 2 2 2 2 2 2 4 2 2" xfId="46050"/>
    <cellStyle name="Normal 2 3 3 2 2 2 2 2 2 2 4 2 2 2" xfId="50467"/>
    <cellStyle name="Normal 2 3 3 2 2 2 2 2 2 2 4 3" xfId="28641"/>
    <cellStyle name="Normal 2 3 3 2 2 2 2 2 2 2 5" xfId="24173"/>
    <cellStyle name="Normal 2 3 3 2 2 2 2 2 2 2 5 2" xfId="36936"/>
    <cellStyle name="Normal 2 3 3 2 2 2 2 2 2 3" xfId="2246"/>
    <cellStyle name="Normal 2 3 3 2 2 2 2 2 2 3 2" xfId="6737"/>
    <cellStyle name="Normal 2 3 3 2 2 2 2 2 2 3 2 2" xfId="7480"/>
    <cellStyle name="Normal 2 3 3 2 2 2 2 2 2 3 2 2 2" xfId="20290"/>
    <cellStyle name="Normal 2 3 3 2 2 2 2 2 2 3 2 2 2 2" xfId="21032"/>
    <cellStyle name="Normal 2 3 3 2 2 2 2 2 2 3 2 2 2 2 2" xfId="55616"/>
    <cellStyle name="Normal 2 3 3 2 2 2 2 2 2 3 2 2 2 2 2 2" xfId="56358"/>
    <cellStyle name="Normal 2 3 3 2 2 2 2 2 2 3 2 2 2 3" xfId="34535"/>
    <cellStyle name="Normal 2 3 3 2 2 2 2 2 2 3 2 2 3" xfId="33792"/>
    <cellStyle name="Normal 2 3 3 2 2 2 2 2 2 3 2 2 3 2" xfId="42907"/>
    <cellStyle name="Normal 2 3 3 2 2 2 2 2 2 3 2 3" xfId="12705"/>
    <cellStyle name="Normal 2 3 3 2 2 2 2 2 2 3 2 3 2" xfId="42165"/>
    <cellStyle name="Normal 2 3 3 2 2 2 2 2 2 3 2 3 2 2" xfId="48051"/>
    <cellStyle name="Normal 2 3 3 2 2 2 2 2 2 3 2 4" xfId="26189"/>
    <cellStyle name="Normal 2 3 3 2 2 2 2 2 2 3 3" xfId="11960"/>
    <cellStyle name="Normal 2 3 3 2 2 2 2 2 2 3 3 2" xfId="15910"/>
    <cellStyle name="Normal 2 3 3 2 2 2 2 2 2 3 3 2 2" xfId="47308"/>
    <cellStyle name="Normal 2 3 3 2 2 2 2 2 2 3 3 2 2 2" xfId="51242"/>
    <cellStyle name="Normal 2 3 3 2 2 2 2 2 2 3 3 3" xfId="29416"/>
    <cellStyle name="Normal 2 3 3 2 2 2 2 2 2 3 4" xfId="25445"/>
    <cellStyle name="Normal 2 3 3 2 2 2 2 2 2 3 4 2" xfId="37724"/>
    <cellStyle name="Normal 2 3 3 2 2 2 2 2 2 4" xfId="4262"/>
    <cellStyle name="Normal 2 3 3 2 2 2 2 2 2 4 2" xfId="15118"/>
    <cellStyle name="Normal 2 3 3 2 2 2 2 2 2 4 2 2" xfId="17855"/>
    <cellStyle name="Normal 2 3 3 2 2 2 2 2 2 4 2 2 2" xfId="50457"/>
    <cellStyle name="Normal 2 3 3 2 2 2 2 2 2 4 2 2 2 2" xfId="53182"/>
    <cellStyle name="Normal 2 3 3 2 2 2 2 2 2 4 2 3" xfId="31357"/>
    <cellStyle name="Normal 2 3 3 2 2 2 2 2 2 4 3" xfId="28631"/>
    <cellStyle name="Normal 2 3 3 2 2 2 2 2 2 4 3 2" xfId="39705"/>
    <cellStyle name="Normal 2 3 3 2 2 2 2 2 2 5" xfId="9453"/>
    <cellStyle name="Normal 2 3 3 2 2 2 2 2 2 5 2" xfId="36926"/>
    <cellStyle name="Normal 2 3 3 2 2 2 2 2 2 5 2 2" xfId="44835"/>
    <cellStyle name="Normal 2 3 3 2 2 2 2 2 2 6" xfId="22949"/>
    <cellStyle name="Normal 2 3 3 2 2 2 2 2 3" xfId="2236"/>
    <cellStyle name="Normal 2 3 3 2 2 2 2 2 3 2" xfId="2733"/>
    <cellStyle name="Normal 2 3 3 2 2 2 2 2 3 2 2" xfId="7470"/>
    <cellStyle name="Normal 2 3 3 2 2 2 2 2 3 2 2 2" xfId="7952"/>
    <cellStyle name="Normal 2 3 3 2 2 2 2 2 3 2 2 2 2" xfId="21022"/>
    <cellStyle name="Normal 2 3 3 2 2 2 2 2 3 2 2 2 2 2" xfId="21504"/>
    <cellStyle name="Normal 2 3 3 2 2 2 2 2 3 2 2 2 2 2 2" xfId="56348"/>
    <cellStyle name="Normal 2 3 3 2 2 2 2 2 3 2 2 2 2 2 2 2" xfId="56830"/>
    <cellStyle name="Normal 2 3 3 2 2 2 2 2 3 2 2 2 2 3" xfId="35007"/>
    <cellStyle name="Normal 2 3 3 2 2 2 2 2 3 2 2 2 3" xfId="34525"/>
    <cellStyle name="Normal 2 3 3 2 2 2 2 2 3 2 2 2 3 2" xfId="43379"/>
    <cellStyle name="Normal 2 3 3 2 2 2 2 2 3 2 2 3" xfId="13177"/>
    <cellStyle name="Normal 2 3 3 2 2 2 2 2 3 2 2 3 2" xfId="42897"/>
    <cellStyle name="Normal 2 3 3 2 2 2 2 2 3 2 2 3 2 2" xfId="48523"/>
    <cellStyle name="Normal 2 3 3 2 2 2 2 2 3 2 2 4" xfId="26661"/>
    <cellStyle name="Normal 2 3 3 2 2 2 2 2 3 2 3" xfId="12695"/>
    <cellStyle name="Normal 2 3 3 2 2 2 2 2 3 2 3 2" xfId="16392"/>
    <cellStyle name="Normal 2 3 3 2 2 2 2 2 3 2 3 2 2" xfId="48041"/>
    <cellStyle name="Normal 2 3 3 2 2 2 2 2 3 2 3 2 2 2" xfId="51722"/>
    <cellStyle name="Normal 2 3 3 2 2 2 2 2 3 2 3 3" xfId="29896"/>
    <cellStyle name="Normal 2 3 3 2 2 2 2 2 3 2 4" xfId="26179"/>
    <cellStyle name="Normal 2 3 3 2 2 2 2 2 3 2 4 2" xfId="38206"/>
    <cellStyle name="Normal 2 3 3 2 2 2 2 2 3 3" xfId="4769"/>
    <cellStyle name="Normal 2 3 3 2 2 2 2 2 3 3 2" xfId="15900"/>
    <cellStyle name="Normal 2 3 3 2 2 2 2 2 3 3 2 2" xfId="18346"/>
    <cellStyle name="Normal 2 3 3 2 2 2 2 2 3 3 2 2 2" xfId="51232"/>
    <cellStyle name="Normal 2 3 3 2 2 2 2 2 3 3 2 2 2 2" xfId="53672"/>
    <cellStyle name="Normal 2 3 3 2 2 2 2 2 3 3 2 3" xfId="31847"/>
    <cellStyle name="Normal 2 3 3 2 2 2 2 2 3 3 3" xfId="29406"/>
    <cellStyle name="Normal 2 3 3 2 2 2 2 2 3 3 3 2" xfId="40207"/>
    <cellStyle name="Normal 2 3 3 2 2 2 2 2 3 4" xfId="9972"/>
    <cellStyle name="Normal 2 3 3 2 2 2 2 2 3 4 2" xfId="37714"/>
    <cellStyle name="Normal 2 3 3 2 2 2 2 2 3 4 2 2" xfId="45339"/>
    <cellStyle name="Normal 2 3 3 2 2 2 2 2 3 5" xfId="23462"/>
    <cellStyle name="Normal 2 3 3 2 2 2 2 2 4" xfId="4252"/>
    <cellStyle name="Normal 2 3 3 2 2 2 2 2 4 2" xfId="5974"/>
    <cellStyle name="Normal 2 3 3 2 2 2 2 2 4 2 2" xfId="17845"/>
    <cellStyle name="Normal 2 3 3 2 2 2 2 2 4 2 2 2" xfId="19541"/>
    <cellStyle name="Normal 2 3 3 2 2 2 2 2 4 2 2 2 2" xfId="53172"/>
    <cellStyle name="Normal 2 3 3 2 2 2 2 2 4 2 2 2 2 2" xfId="54867"/>
    <cellStyle name="Normal 2 3 3 2 2 2 2 2 4 2 2 3" xfId="33042"/>
    <cellStyle name="Normal 2 3 3 2 2 2 2 2 4 2 3" xfId="31347"/>
    <cellStyle name="Normal 2 3 3 2 2 2 2 2 4 2 3 2" xfId="41408"/>
    <cellStyle name="Normal 2 3 3 2 2 2 2 2 4 3" xfId="11199"/>
    <cellStyle name="Normal 2 3 3 2 2 2 2 2 4 3 2" xfId="39695"/>
    <cellStyle name="Normal 2 3 3 2 2 2 2 2 4 3 2 2" xfId="46557"/>
    <cellStyle name="Normal 2 3 3 2 2 2 2 2 4 4" xfId="24692"/>
    <cellStyle name="Normal 2 3 3 2 2 2 2 2 5" xfId="9443"/>
    <cellStyle name="Normal 2 3 3 2 2 2 2 2 5 2" xfId="14358"/>
    <cellStyle name="Normal 2 3 3 2 2 2 2 2 5 2 2" xfId="44825"/>
    <cellStyle name="Normal 2 3 3 2 2 2 2 2 5 2 2 2" xfId="49703"/>
    <cellStyle name="Normal 2 3 3 2 2 2 2 2 5 3" xfId="27868"/>
    <cellStyle name="Normal 2 3 3 2 2 2 2 2 6" xfId="22939"/>
    <cellStyle name="Normal 2 3 3 2 2 2 2 2 6 2" xfId="36170"/>
    <cellStyle name="Normal 2 3 3 2 2 2 2 3" xfId="971"/>
    <cellStyle name="Normal 2 3 3 2 2 2 2 3 2" xfId="2723"/>
    <cellStyle name="Normal 2 3 3 2 2 2 2 3 2 2" xfId="3009"/>
    <cellStyle name="Normal 2 3 3 2 2 2 2 3 2 2 2" xfId="7942"/>
    <cellStyle name="Normal 2 3 3 2 2 2 2 3 2 2 2 2" xfId="8224"/>
    <cellStyle name="Normal 2 3 3 2 2 2 2 3 2 2 2 2 2" xfId="21494"/>
    <cellStyle name="Normal 2 3 3 2 2 2 2 3 2 2 2 2 2 2" xfId="21776"/>
    <cellStyle name="Normal 2 3 3 2 2 2 2 3 2 2 2 2 2 2 2" xfId="56820"/>
    <cellStyle name="Normal 2 3 3 2 2 2 2 3 2 2 2 2 2 2 2 2" xfId="57102"/>
    <cellStyle name="Normal 2 3 3 2 2 2 2 3 2 2 2 2 2 3" xfId="35279"/>
    <cellStyle name="Normal 2 3 3 2 2 2 2 3 2 2 2 2 3" xfId="34997"/>
    <cellStyle name="Normal 2 3 3 2 2 2 2 3 2 2 2 2 3 2" xfId="43651"/>
    <cellStyle name="Normal 2 3 3 2 2 2 2 3 2 2 2 3" xfId="13449"/>
    <cellStyle name="Normal 2 3 3 2 2 2 2 3 2 2 2 3 2" xfId="43369"/>
    <cellStyle name="Normal 2 3 3 2 2 2 2 3 2 2 2 3 2 2" xfId="48795"/>
    <cellStyle name="Normal 2 3 3 2 2 2 2 3 2 2 2 4" xfId="26934"/>
    <cellStyle name="Normal 2 3 3 2 2 2 2 3 2 2 3" xfId="13167"/>
    <cellStyle name="Normal 2 3 3 2 2 2 2 3 2 2 3 2" xfId="16666"/>
    <cellStyle name="Normal 2 3 3 2 2 2 2 3 2 2 3 2 2" xfId="48513"/>
    <cellStyle name="Normal 2 3 3 2 2 2 2 3 2 2 3 2 2 2" xfId="51994"/>
    <cellStyle name="Normal 2 3 3 2 2 2 2 3 2 2 3 3" xfId="30168"/>
    <cellStyle name="Normal 2 3 3 2 2 2 2 3 2 2 4" xfId="26651"/>
    <cellStyle name="Normal 2 3 3 2 2 2 2 3 2 2 4 2" xfId="38478"/>
    <cellStyle name="Normal 2 3 3 2 2 2 2 3 2 3" xfId="5045"/>
    <cellStyle name="Normal 2 3 3 2 2 2 2 3 2 3 2" xfId="16382"/>
    <cellStyle name="Normal 2 3 3 2 2 2 2 3 2 3 2 2" xfId="18618"/>
    <cellStyle name="Normal 2 3 3 2 2 2 2 3 2 3 2 2 2" xfId="51712"/>
    <cellStyle name="Normal 2 3 3 2 2 2 2 3 2 3 2 2 2 2" xfId="53944"/>
    <cellStyle name="Normal 2 3 3 2 2 2 2 3 2 3 2 3" xfId="32119"/>
    <cellStyle name="Normal 2 3 3 2 2 2 2 3 2 3 3" xfId="29886"/>
    <cellStyle name="Normal 2 3 3 2 2 2 2 3 2 3 3 2" xfId="40482"/>
    <cellStyle name="Normal 2 3 3 2 2 2 2 3 2 4" xfId="10248"/>
    <cellStyle name="Normal 2 3 3 2 2 2 2 3 2 4 2" xfId="38196"/>
    <cellStyle name="Normal 2 3 3 2 2 2 2 3 2 4 2 2" xfId="45611"/>
    <cellStyle name="Normal 2 3 3 2 2 2 2 3 2 5" xfId="23734"/>
    <cellStyle name="Normal 2 3 3 2 2 2 2 3 3" xfId="4759"/>
    <cellStyle name="Normal 2 3 3 2 2 2 2 3 3 2" xfId="6282"/>
    <cellStyle name="Normal 2 3 3 2 2 2 2 3 3 2 2" xfId="18336"/>
    <cellStyle name="Normal 2 3 3 2 2 2 2 3 3 2 2 2" xfId="19839"/>
    <cellStyle name="Normal 2 3 3 2 2 2 2 3 3 2 2 2 2" xfId="53662"/>
    <cellStyle name="Normal 2 3 3 2 2 2 2 3 3 2 2 2 2 2" xfId="55165"/>
    <cellStyle name="Normal 2 3 3 2 2 2 2 3 3 2 2 3" xfId="33341"/>
    <cellStyle name="Normal 2 3 3 2 2 2 2 3 3 2 3" xfId="31837"/>
    <cellStyle name="Normal 2 3 3 2 2 2 2 3 3 2 3 2" xfId="41711"/>
    <cellStyle name="Normal 2 3 3 2 2 2 2 3 3 3" xfId="11507"/>
    <cellStyle name="Normal 2 3 3 2 2 2 2 3 3 3 2" xfId="40197"/>
    <cellStyle name="Normal 2 3 3 2 2 2 2 3 3 3 2 2" xfId="46856"/>
    <cellStyle name="Normal 2 3 3 2 2 2 2 3 3 4" xfId="24993"/>
    <cellStyle name="Normal 2 3 3 2 2 2 2 3 4" xfId="9962"/>
    <cellStyle name="Normal 2 3 3 2 2 2 2 3 4 2" xfId="14665"/>
    <cellStyle name="Normal 2 3 3 2 2 2 2 3 4 2 2" xfId="45329"/>
    <cellStyle name="Normal 2 3 3 2 2 2 2 3 4 2 2 2" xfId="50004"/>
    <cellStyle name="Normal 2 3 3 2 2 2 2 3 4 3" xfId="28176"/>
    <cellStyle name="Normal 2 3 3 2 2 2 2 3 5" xfId="23452"/>
    <cellStyle name="Normal 2 3 3 2 2 2 2 3 5 2" xfId="36473"/>
    <cellStyle name="Normal 2 3 3 2 2 2 2 4" xfId="1767"/>
    <cellStyle name="Normal 2 3 3 2 2 2 2 4 2" xfId="5964"/>
    <cellStyle name="Normal 2 3 3 2 2 2 2 4 2 2" xfId="7020"/>
    <cellStyle name="Normal 2 3 3 2 2 2 2 4 2 2 2" xfId="19531"/>
    <cellStyle name="Normal 2 3 3 2 2 2 2 4 2 2 2 2" xfId="20573"/>
    <cellStyle name="Normal 2 3 3 2 2 2 2 4 2 2 2 2 2" xfId="54857"/>
    <cellStyle name="Normal 2 3 3 2 2 2 2 4 2 2 2 2 2 2" xfId="55899"/>
    <cellStyle name="Normal 2 3 3 2 2 2 2 4 2 2 2 3" xfId="34075"/>
    <cellStyle name="Normal 2 3 3 2 2 2 2 4 2 2 3" xfId="33032"/>
    <cellStyle name="Normal 2 3 3 2 2 2 2 4 2 2 3 2" xfId="42448"/>
    <cellStyle name="Normal 2 3 3 2 2 2 2 4 2 3" xfId="12244"/>
    <cellStyle name="Normal 2 3 3 2 2 2 2 4 2 3 2" xfId="41398"/>
    <cellStyle name="Normal 2 3 3 2 2 2 2 4 2 3 2 2" xfId="47591"/>
    <cellStyle name="Normal 2 3 3 2 2 2 2 4 2 4" xfId="25729"/>
    <cellStyle name="Normal 2 3 3 2 2 2 2 4 3" xfId="11189"/>
    <cellStyle name="Normal 2 3 3 2 2 2 2 4 3 2" xfId="15439"/>
    <cellStyle name="Normal 2 3 3 2 2 2 2 4 3 2 2" xfId="46547"/>
    <cellStyle name="Normal 2 3 3 2 2 2 2 4 3 2 2 2" xfId="50772"/>
    <cellStyle name="Normal 2 3 3 2 2 2 2 4 3 3" xfId="28946"/>
    <cellStyle name="Normal 2 3 3 2 2 2 2 4 4" xfId="24682"/>
    <cellStyle name="Normal 2 3 3 2 2 2 2 4 4 2" xfId="37249"/>
    <cellStyle name="Normal 2 3 3 2 2 2 2 5" xfId="3773"/>
    <cellStyle name="Normal 2 3 3 2 2 2 2 5 2" xfId="14348"/>
    <cellStyle name="Normal 2 3 3 2 2 2 2 5 2 2" xfId="17389"/>
    <cellStyle name="Normal 2 3 3 2 2 2 2 5 2 2 2" xfId="49693"/>
    <cellStyle name="Normal 2 3 3 2 2 2 2 5 2 2 2 2" xfId="52716"/>
    <cellStyle name="Normal 2 3 3 2 2 2 2 5 2 3" xfId="30890"/>
    <cellStyle name="Normal 2 3 3 2 2 2 2 5 3" xfId="27858"/>
    <cellStyle name="Normal 2 3 3 2 2 2 2 5 3 2" xfId="39224"/>
    <cellStyle name="Normal 2 3 3 2 2 2 2 6" xfId="8963"/>
    <cellStyle name="Normal 2 3 3 2 2 2 2 6 2" xfId="36160"/>
    <cellStyle name="Normal 2 3 3 2 2 2 2 6 2 2" xfId="44362"/>
    <cellStyle name="Normal 2 3 3 2 2 2 2 7" xfId="22470"/>
    <cellStyle name="Normal 2 3 3 2 2 2 3" xfId="961"/>
    <cellStyle name="Normal 2 3 3 2 2 2 3 2" xfId="1175"/>
    <cellStyle name="Normal 2 3 3 2 2 2 3 2 2" xfId="2999"/>
    <cellStyle name="Normal 2 3 3 2 2 2 3 2 2 2" xfId="3195"/>
    <cellStyle name="Normal 2 3 3 2 2 2 3 2 2 2 2" xfId="8214"/>
    <cellStyle name="Normal 2 3 3 2 2 2 3 2 2 2 2 2" xfId="8410"/>
    <cellStyle name="Normal 2 3 3 2 2 2 3 2 2 2 2 2 2" xfId="21766"/>
    <cellStyle name="Normal 2 3 3 2 2 2 3 2 2 2 2 2 2 2" xfId="21962"/>
    <cellStyle name="Normal 2 3 3 2 2 2 3 2 2 2 2 2 2 2 2" xfId="57092"/>
    <cellStyle name="Normal 2 3 3 2 2 2 3 2 2 2 2 2 2 2 2 2" xfId="57288"/>
    <cellStyle name="Normal 2 3 3 2 2 2 3 2 2 2 2 2 2 3" xfId="35465"/>
    <cellStyle name="Normal 2 3 3 2 2 2 3 2 2 2 2 2 3" xfId="35269"/>
    <cellStyle name="Normal 2 3 3 2 2 2 3 2 2 2 2 2 3 2" xfId="43837"/>
    <cellStyle name="Normal 2 3 3 2 2 2 3 2 2 2 2 3" xfId="13635"/>
    <cellStyle name="Normal 2 3 3 2 2 2 3 2 2 2 2 3 2" xfId="43641"/>
    <cellStyle name="Normal 2 3 3 2 2 2 3 2 2 2 2 3 2 2" xfId="48981"/>
    <cellStyle name="Normal 2 3 3 2 2 2 3 2 2 2 2 4" xfId="27120"/>
    <cellStyle name="Normal 2 3 3 2 2 2 3 2 2 2 3" xfId="13439"/>
    <cellStyle name="Normal 2 3 3 2 2 2 3 2 2 2 3 2" xfId="16852"/>
    <cellStyle name="Normal 2 3 3 2 2 2 3 2 2 2 3 2 2" xfId="48785"/>
    <cellStyle name="Normal 2 3 3 2 2 2 3 2 2 2 3 2 2 2" xfId="52180"/>
    <cellStyle name="Normal 2 3 3 2 2 2 3 2 2 2 3 3" xfId="30354"/>
    <cellStyle name="Normal 2 3 3 2 2 2 3 2 2 2 4" xfId="26924"/>
    <cellStyle name="Normal 2 3 3 2 2 2 3 2 2 2 4 2" xfId="38664"/>
    <cellStyle name="Normal 2 3 3 2 2 2 3 2 2 3" xfId="5232"/>
    <cellStyle name="Normal 2 3 3 2 2 2 3 2 2 3 2" xfId="16656"/>
    <cellStyle name="Normal 2 3 3 2 2 2 3 2 2 3 2 2" xfId="18805"/>
    <cellStyle name="Normal 2 3 3 2 2 2 3 2 2 3 2 2 2" xfId="51984"/>
    <cellStyle name="Normal 2 3 3 2 2 2 3 2 2 3 2 2 2 2" xfId="54131"/>
    <cellStyle name="Normal 2 3 3 2 2 2 3 2 2 3 2 3" xfId="32306"/>
    <cellStyle name="Normal 2 3 3 2 2 2 3 2 2 3 3" xfId="30158"/>
    <cellStyle name="Normal 2 3 3 2 2 2 3 2 2 3 3 2" xfId="40669"/>
    <cellStyle name="Normal 2 3 3 2 2 2 3 2 2 4" xfId="10435"/>
    <cellStyle name="Normal 2 3 3 2 2 2 3 2 2 4 2" xfId="38468"/>
    <cellStyle name="Normal 2 3 3 2 2 2 3 2 2 4 2 2" xfId="45798"/>
    <cellStyle name="Normal 2 3 3 2 2 2 3 2 2 5" xfId="23921"/>
    <cellStyle name="Normal 2 3 3 2 2 2 3 2 3" xfId="5035"/>
    <cellStyle name="Normal 2 3 3 2 2 2 3 2 3 2" xfId="6483"/>
    <cellStyle name="Normal 2 3 3 2 2 2 3 2 3 2 2" xfId="18608"/>
    <cellStyle name="Normal 2 3 3 2 2 2 3 2 3 2 2 2" xfId="20037"/>
    <cellStyle name="Normal 2 3 3 2 2 2 3 2 3 2 2 2 2" xfId="53934"/>
    <cellStyle name="Normal 2 3 3 2 2 2 3 2 3 2 2 2 2 2" xfId="55363"/>
    <cellStyle name="Normal 2 3 3 2 2 2 3 2 3 2 2 3" xfId="33539"/>
    <cellStyle name="Normal 2 3 3 2 2 2 3 2 3 2 3" xfId="32109"/>
    <cellStyle name="Normal 2 3 3 2 2 2 3 2 3 2 3 2" xfId="41911"/>
    <cellStyle name="Normal 2 3 3 2 2 2 3 2 3 3" xfId="11707"/>
    <cellStyle name="Normal 2 3 3 2 2 2 3 2 3 3 2" xfId="40472"/>
    <cellStyle name="Normal 2 3 3 2 2 2 3 2 3 3 2 2" xfId="47055"/>
    <cellStyle name="Normal 2 3 3 2 2 2 3 2 3 4" xfId="25192"/>
    <cellStyle name="Normal 2 3 3 2 2 2 3 2 4" xfId="10238"/>
    <cellStyle name="Normal 2 3 3 2 2 2 3 2 4 2" xfId="14865"/>
    <cellStyle name="Normal 2 3 3 2 2 2 3 2 4 2 2" xfId="45601"/>
    <cellStyle name="Normal 2 3 3 2 2 2 3 2 4 2 2 2" xfId="50204"/>
    <cellStyle name="Normal 2 3 3 2 2 2 3 2 4 3" xfId="28378"/>
    <cellStyle name="Normal 2 3 3 2 2 2 3 2 5" xfId="23724"/>
    <cellStyle name="Normal 2 3 3 2 2 2 3 2 5 2" xfId="36673"/>
    <cellStyle name="Normal 2 3 3 2 2 2 3 3" xfId="1983"/>
    <cellStyle name="Normal 2 3 3 2 2 2 3 3 2" xfId="6272"/>
    <cellStyle name="Normal 2 3 3 2 2 2 3 3 2 2" xfId="7217"/>
    <cellStyle name="Normal 2 3 3 2 2 2 3 3 2 2 2" xfId="19829"/>
    <cellStyle name="Normal 2 3 3 2 2 2 3 3 2 2 2 2" xfId="20769"/>
    <cellStyle name="Normal 2 3 3 2 2 2 3 3 2 2 2 2 2" xfId="55155"/>
    <cellStyle name="Normal 2 3 3 2 2 2 3 3 2 2 2 2 2 2" xfId="56095"/>
    <cellStyle name="Normal 2 3 3 2 2 2 3 3 2 2 2 3" xfId="34272"/>
    <cellStyle name="Normal 2 3 3 2 2 2 3 3 2 2 3" xfId="33331"/>
    <cellStyle name="Normal 2 3 3 2 2 2 3 3 2 2 3 2" xfId="42644"/>
    <cellStyle name="Normal 2 3 3 2 2 2 3 3 2 3" xfId="12442"/>
    <cellStyle name="Normal 2 3 3 2 2 2 3 3 2 3 2" xfId="41701"/>
    <cellStyle name="Normal 2 3 3 2 2 2 3 3 2 3 2 2" xfId="47788"/>
    <cellStyle name="Normal 2 3 3 2 2 2 3 3 2 4" xfId="25926"/>
    <cellStyle name="Normal 2 3 3 2 2 2 3 3 3" xfId="11497"/>
    <cellStyle name="Normal 2 3 3 2 2 2 3 3 3 2" xfId="15647"/>
    <cellStyle name="Normal 2 3 3 2 2 2 3 3 3 2 2" xfId="46846"/>
    <cellStyle name="Normal 2 3 3 2 2 2 3 3 3 2 2 2" xfId="50979"/>
    <cellStyle name="Normal 2 3 3 2 2 2 3 3 3 3" xfId="29153"/>
    <cellStyle name="Normal 2 3 3 2 2 2 3 3 4" xfId="24983"/>
    <cellStyle name="Normal 2 3 3 2 2 2 3 3 4 2" xfId="37461"/>
    <cellStyle name="Normal 2 3 3 2 2 2 3 4" xfId="3997"/>
    <cellStyle name="Normal 2 3 3 2 2 2 3 4 2" xfId="14655"/>
    <cellStyle name="Normal 2 3 3 2 2 2 3 4 2 2" xfId="17592"/>
    <cellStyle name="Normal 2 3 3 2 2 2 3 4 2 2 2" xfId="49994"/>
    <cellStyle name="Normal 2 3 3 2 2 2 3 4 2 2 2 2" xfId="52919"/>
    <cellStyle name="Normal 2 3 3 2 2 2 3 4 2 3" xfId="31094"/>
    <cellStyle name="Normal 2 3 3 2 2 2 3 4 3" xfId="28166"/>
    <cellStyle name="Normal 2 3 3 2 2 2 3 4 3 2" xfId="39441"/>
    <cellStyle name="Normal 2 3 3 2 2 2 3 5" xfId="9189"/>
    <cellStyle name="Normal 2 3 3 2 2 2 3 5 2" xfId="36463"/>
    <cellStyle name="Normal 2 3 3 2 2 2 3 5 2 2" xfId="44572"/>
    <cellStyle name="Normal 2 3 3 2 2 2 3 6" xfId="22686"/>
    <cellStyle name="Normal 2 3 3 2 2 2 4" xfId="1757"/>
    <cellStyle name="Normal 2 3 3 2 2 2 4 2" xfId="2428"/>
    <cellStyle name="Normal 2 3 3 2 2 2 4 2 2" xfId="7010"/>
    <cellStyle name="Normal 2 3 3 2 2 2 4 2 2 2" xfId="7660"/>
    <cellStyle name="Normal 2 3 3 2 2 2 4 2 2 2 2" xfId="20563"/>
    <cellStyle name="Normal 2 3 3 2 2 2 4 2 2 2 2 2" xfId="21212"/>
    <cellStyle name="Normal 2 3 3 2 2 2 4 2 2 2 2 2 2" xfId="55889"/>
    <cellStyle name="Normal 2 3 3 2 2 2 4 2 2 2 2 2 2 2" xfId="56538"/>
    <cellStyle name="Normal 2 3 3 2 2 2 4 2 2 2 2 3" xfId="34715"/>
    <cellStyle name="Normal 2 3 3 2 2 2 4 2 2 2 3" xfId="34065"/>
    <cellStyle name="Normal 2 3 3 2 2 2 4 2 2 2 3 2" xfId="43087"/>
    <cellStyle name="Normal 2 3 3 2 2 2 4 2 2 3" xfId="12885"/>
    <cellStyle name="Normal 2 3 3 2 2 2 4 2 2 3 2" xfId="42438"/>
    <cellStyle name="Normal 2 3 3 2 2 2 4 2 2 3 2 2" xfId="48231"/>
    <cellStyle name="Normal 2 3 3 2 2 2 4 2 2 4" xfId="26369"/>
    <cellStyle name="Normal 2 3 3 2 2 2 4 2 3" xfId="12234"/>
    <cellStyle name="Normal 2 3 3 2 2 2 4 2 3 2" xfId="16091"/>
    <cellStyle name="Normal 2 3 3 2 2 2 4 2 3 2 2" xfId="47581"/>
    <cellStyle name="Normal 2 3 3 2 2 2 4 2 3 2 2 2" xfId="51423"/>
    <cellStyle name="Normal 2 3 3 2 2 2 4 2 3 3" xfId="29597"/>
    <cellStyle name="Normal 2 3 3 2 2 2 4 2 4" xfId="25719"/>
    <cellStyle name="Normal 2 3 3 2 2 2 4 2 4 2" xfId="37906"/>
    <cellStyle name="Normal 2 3 3 2 2 2 4 3" xfId="4463"/>
    <cellStyle name="Normal 2 3 3 2 2 2 4 3 2" xfId="15429"/>
    <cellStyle name="Normal 2 3 3 2 2 2 4 3 2 2" xfId="18053"/>
    <cellStyle name="Normal 2 3 3 2 2 2 4 3 2 2 2" xfId="50762"/>
    <cellStyle name="Normal 2 3 3 2 2 2 4 3 2 2 2 2" xfId="53379"/>
    <cellStyle name="Normal 2 3 3 2 2 2 4 3 2 3" xfId="31554"/>
    <cellStyle name="Normal 2 3 3 2 2 2 4 3 3" xfId="28936"/>
    <cellStyle name="Normal 2 3 3 2 2 2 4 3 3 2" xfId="39905"/>
    <cellStyle name="Normal 2 3 3 2 2 2 4 4" xfId="9668"/>
    <cellStyle name="Normal 2 3 3 2 2 2 4 4 2" xfId="37239"/>
    <cellStyle name="Normal 2 3 3 2 2 2 4 4 2 2" xfId="45046"/>
    <cellStyle name="Normal 2 3 3 2 2 2 4 5" xfId="23169"/>
    <cellStyle name="Normal 2 3 3 2 2 2 5" xfId="3763"/>
    <cellStyle name="Normal 2 3 3 2 2 2 5 2" xfId="5670"/>
    <cellStyle name="Normal 2 3 3 2 2 2 5 2 2" xfId="17379"/>
    <cellStyle name="Normal 2 3 3 2 2 2 5 2 2 2" xfId="19242"/>
    <cellStyle name="Normal 2 3 3 2 2 2 5 2 2 2 2" xfId="52706"/>
    <cellStyle name="Normal 2 3 3 2 2 2 5 2 2 2 2 2" xfId="54568"/>
    <cellStyle name="Normal 2 3 3 2 2 2 5 2 2 3" xfId="32743"/>
    <cellStyle name="Normal 2 3 3 2 2 2 5 2 3" xfId="30880"/>
    <cellStyle name="Normal 2 3 3 2 2 2 5 2 3 2" xfId="41106"/>
    <cellStyle name="Normal 2 3 3 2 2 2 5 3" xfId="10888"/>
    <cellStyle name="Normal 2 3 3 2 2 2 5 3 2" xfId="39214"/>
    <cellStyle name="Normal 2 3 3 2 2 2 5 3 2 2" xfId="46250"/>
    <cellStyle name="Normal 2 3 3 2 2 2 5 4" xfId="24381"/>
    <cellStyle name="Normal 2 3 3 2 2 2 6" xfId="8953"/>
    <cellStyle name="Normal 2 3 3 2 2 2 6 2" xfId="14054"/>
    <cellStyle name="Normal 2 3 3 2 2 2 6 2 2" xfId="44352"/>
    <cellStyle name="Normal 2 3 3 2 2 2 6 2 2 2" xfId="49400"/>
    <cellStyle name="Normal 2 3 3 2 2 2 6 3" xfId="27553"/>
    <cellStyle name="Normal 2 3 3 2 2 2 7" xfId="22460"/>
    <cellStyle name="Normal 2 3 3 2 2 2 7 2" xfId="35866"/>
    <cellStyle name="Normal 2 3 3 2 2 3" xfId="459"/>
    <cellStyle name="Normal 2 3 3 2 2 3 2" xfId="1165"/>
    <cellStyle name="Normal 2 3 3 2 2 3 2 2" xfId="1274"/>
    <cellStyle name="Normal 2 3 3 2 2 3 2 2 2" xfId="3185"/>
    <cellStyle name="Normal 2 3 3 2 2 3 2 2 2 2" xfId="3292"/>
    <cellStyle name="Normal 2 3 3 2 2 3 2 2 2 2 2" xfId="8400"/>
    <cellStyle name="Normal 2 3 3 2 2 3 2 2 2 2 2 2" xfId="8507"/>
    <cellStyle name="Normal 2 3 3 2 2 3 2 2 2 2 2 2 2" xfId="21952"/>
    <cellStyle name="Normal 2 3 3 2 2 3 2 2 2 2 2 2 2 2" xfId="22059"/>
    <cellStyle name="Normal 2 3 3 2 2 3 2 2 2 2 2 2 2 2 2" xfId="57278"/>
    <cellStyle name="Normal 2 3 3 2 2 3 2 2 2 2 2 2 2 2 2 2" xfId="57385"/>
    <cellStyle name="Normal 2 3 3 2 2 3 2 2 2 2 2 2 2 3" xfId="35562"/>
    <cellStyle name="Normal 2 3 3 2 2 3 2 2 2 2 2 2 3" xfId="35455"/>
    <cellStyle name="Normal 2 3 3 2 2 3 2 2 2 2 2 2 3 2" xfId="43934"/>
    <cellStyle name="Normal 2 3 3 2 2 3 2 2 2 2 2 3" xfId="13732"/>
    <cellStyle name="Normal 2 3 3 2 2 3 2 2 2 2 2 3 2" xfId="43827"/>
    <cellStyle name="Normal 2 3 3 2 2 3 2 2 2 2 2 3 2 2" xfId="49078"/>
    <cellStyle name="Normal 2 3 3 2 2 3 2 2 2 2 2 4" xfId="27217"/>
    <cellStyle name="Normal 2 3 3 2 2 3 2 2 2 2 3" xfId="13625"/>
    <cellStyle name="Normal 2 3 3 2 2 3 2 2 2 2 3 2" xfId="16949"/>
    <cellStyle name="Normal 2 3 3 2 2 3 2 2 2 2 3 2 2" xfId="48971"/>
    <cellStyle name="Normal 2 3 3 2 2 3 2 2 2 2 3 2 2 2" xfId="52277"/>
    <cellStyle name="Normal 2 3 3 2 2 3 2 2 2 2 3 3" xfId="30451"/>
    <cellStyle name="Normal 2 3 3 2 2 3 2 2 2 2 4" xfId="27110"/>
    <cellStyle name="Normal 2 3 3 2 2 3 2 2 2 2 4 2" xfId="38761"/>
    <cellStyle name="Normal 2 3 3 2 2 3 2 2 2 3" xfId="5329"/>
    <cellStyle name="Normal 2 3 3 2 2 3 2 2 2 3 2" xfId="16842"/>
    <cellStyle name="Normal 2 3 3 2 2 3 2 2 2 3 2 2" xfId="18902"/>
    <cellStyle name="Normal 2 3 3 2 2 3 2 2 2 3 2 2 2" xfId="52170"/>
    <cellStyle name="Normal 2 3 3 2 2 3 2 2 2 3 2 2 2 2" xfId="54228"/>
    <cellStyle name="Normal 2 3 3 2 2 3 2 2 2 3 2 3" xfId="32403"/>
    <cellStyle name="Normal 2 3 3 2 2 3 2 2 2 3 3" xfId="30344"/>
    <cellStyle name="Normal 2 3 3 2 2 3 2 2 2 3 3 2" xfId="40766"/>
    <cellStyle name="Normal 2 3 3 2 2 3 2 2 2 4" xfId="10532"/>
    <cellStyle name="Normal 2 3 3 2 2 3 2 2 2 4 2" xfId="38654"/>
    <cellStyle name="Normal 2 3 3 2 2 3 2 2 2 4 2 2" xfId="45895"/>
    <cellStyle name="Normal 2 3 3 2 2 3 2 2 2 5" xfId="24018"/>
    <cellStyle name="Normal 2 3 3 2 2 3 2 2 3" xfId="5222"/>
    <cellStyle name="Normal 2 3 3 2 2 3 2 2 3 2" xfId="6582"/>
    <cellStyle name="Normal 2 3 3 2 2 3 2 2 3 2 2" xfId="18795"/>
    <cellStyle name="Normal 2 3 3 2 2 3 2 2 3 2 2 2" xfId="20135"/>
    <cellStyle name="Normal 2 3 3 2 2 3 2 2 3 2 2 2 2" xfId="54121"/>
    <cellStyle name="Normal 2 3 3 2 2 3 2 2 3 2 2 2 2 2" xfId="55461"/>
    <cellStyle name="Normal 2 3 3 2 2 3 2 2 3 2 2 3" xfId="33637"/>
    <cellStyle name="Normal 2 3 3 2 2 3 2 2 3 2 3" xfId="32296"/>
    <cellStyle name="Normal 2 3 3 2 2 3 2 2 3 2 3 2" xfId="42010"/>
    <cellStyle name="Normal 2 3 3 2 2 3 2 2 3 3" xfId="11805"/>
    <cellStyle name="Normal 2 3 3 2 2 3 2 2 3 3 2" xfId="40659"/>
    <cellStyle name="Normal 2 3 3 2 2 3 2 2 3 3 2 2" xfId="47153"/>
    <cellStyle name="Normal 2 3 3 2 2 3 2 2 3 4" xfId="25290"/>
    <cellStyle name="Normal 2 3 3 2 2 3 2 2 4" xfId="10425"/>
    <cellStyle name="Normal 2 3 3 2 2 3 2 2 4 2" xfId="14963"/>
    <cellStyle name="Normal 2 3 3 2 2 3 2 2 4 2 2" xfId="45788"/>
    <cellStyle name="Normal 2 3 3 2 2 3 2 2 4 2 2 2" xfId="50302"/>
    <cellStyle name="Normal 2 3 3 2 2 3 2 2 4 3" xfId="28476"/>
    <cellStyle name="Normal 2 3 3 2 2 3 2 2 5" xfId="23911"/>
    <cellStyle name="Normal 2 3 3 2 2 3 2 2 5 2" xfId="36771"/>
    <cellStyle name="Normal 2 3 3 2 2 3 2 3" xfId="2080"/>
    <cellStyle name="Normal 2 3 3 2 2 3 2 3 2" xfId="6473"/>
    <cellStyle name="Normal 2 3 3 2 2 3 2 3 2 2" xfId="7314"/>
    <cellStyle name="Normal 2 3 3 2 2 3 2 3 2 2 2" xfId="20027"/>
    <cellStyle name="Normal 2 3 3 2 2 3 2 3 2 2 2 2" xfId="20866"/>
    <cellStyle name="Normal 2 3 3 2 2 3 2 3 2 2 2 2 2" xfId="55353"/>
    <cellStyle name="Normal 2 3 3 2 2 3 2 3 2 2 2 2 2 2" xfId="56192"/>
    <cellStyle name="Normal 2 3 3 2 2 3 2 3 2 2 2 3" xfId="34369"/>
    <cellStyle name="Normal 2 3 3 2 2 3 2 3 2 2 3" xfId="33529"/>
    <cellStyle name="Normal 2 3 3 2 2 3 2 3 2 2 3 2" xfId="42741"/>
    <cellStyle name="Normal 2 3 3 2 2 3 2 3 2 3" xfId="12539"/>
    <cellStyle name="Normal 2 3 3 2 2 3 2 3 2 3 2" xfId="41901"/>
    <cellStyle name="Normal 2 3 3 2 2 3 2 3 2 3 2 2" xfId="47885"/>
    <cellStyle name="Normal 2 3 3 2 2 3 2 3 2 4" xfId="26023"/>
    <cellStyle name="Normal 2 3 3 2 2 3 2 3 3" xfId="11697"/>
    <cellStyle name="Normal 2 3 3 2 2 3 2 3 3 2" xfId="15744"/>
    <cellStyle name="Normal 2 3 3 2 2 3 2 3 3 2 2" xfId="47045"/>
    <cellStyle name="Normal 2 3 3 2 2 3 2 3 3 2 2 2" xfId="51076"/>
    <cellStyle name="Normal 2 3 3 2 2 3 2 3 3 3" xfId="29250"/>
    <cellStyle name="Normal 2 3 3 2 2 3 2 3 4" xfId="25182"/>
    <cellStyle name="Normal 2 3 3 2 2 3 2 3 4 2" xfId="37558"/>
    <cellStyle name="Normal 2 3 3 2 2 3 2 4" xfId="4096"/>
    <cellStyle name="Normal 2 3 3 2 2 3 2 4 2" xfId="14855"/>
    <cellStyle name="Normal 2 3 3 2 2 3 2 4 2 2" xfId="17689"/>
    <cellStyle name="Normal 2 3 3 2 2 3 2 4 2 2 2" xfId="50194"/>
    <cellStyle name="Normal 2 3 3 2 2 3 2 4 2 2 2 2" xfId="53016"/>
    <cellStyle name="Normal 2 3 3 2 2 3 2 4 2 3" xfId="31191"/>
    <cellStyle name="Normal 2 3 3 2 2 3 2 4 3" xfId="28368"/>
    <cellStyle name="Normal 2 3 3 2 2 3 2 4 3 2" xfId="39539"/>
    <cellStyle name="Normal 2 3 3 2 2 3 2 5" xfId="9287"/>
    <cellStyle name="Normal 2 3 3 2 2 3 2 5 2" xfId="36663"/>
    <cellStyle name="Normal 2 3 3 2 2 3 2 5 2 2" xfId="44669"/>
    <cellStyle name="Normal 2 3 3 2 2 3 2 6" xfId="22783"/>
    <cellStyle name="Normal 2 3 3 2 2 3 3" xfId="1973"/>
    <cellStyle name="Normal 2 3 3 2 2 3 3 2" xfId="2558"/>
    <cellStyle name="Normal 2 3 3 2 2 3 3 2 2" xfId="7207"/>
    <cellStyle name="Normal 2 3 3 2 2 3 3 2 2 2" xfId="7779"/>
    <cellStyle name="Normal 2 3 3 2 2 3 3 2 2 2 2" xfId="20759"/>
    <cellStyle name="Normal 2 3 3 2 2 3 3 2 2 2 2 2" xfId="21331"/>
    <cellStyle name="Normal 2 3 3 2 2 3 3 2 2 2 2 2 2" xfId="56085"/>
    <cellStyle name="Normal 2 3 3 2 2 3 3 2 2 2 2 2 2 2" xfId="56657"/>
    <cellStyle name="Normal 2 3 3 2 2 3 3 2 2 2 2 3" xfId="34834"/>
    <cellStyle name="Normal 2 3 3 2 2 3 3 2 2 2 3" xfId="34262"/>
    <cellStyle name="Normal 2 3 3 2 2 3 3 2 2 2 3 2" xfId="43206"/>
    <cellStyle name="Normal 2 3 3 2 2 3 3 2 2 3" xfId="13004"/>
    <cellStyle name="Normal 2 3 3 2 2 3 3 2 2 3 2" xfId="42634"/>
    <cellStyle name="Normal 2 3 3 2 2 3 3 2 2 3 2 2" xfId="48350"/>
    <cellStyle name="Normal 2 3 3 2 2 3 3 2 2 4" xfId="26488"/>
    <cellStyle name="Normal 2 3 3 2 2 3 3 2 3" xfId="12432"/>
    <cellStyle name="Normal 2 3 3 2 2 3 3 2 3 2" xfId="16217"/>
    <cellStyle name="Normal 2 3 3 2 2 3 3 2 3 2 2" xfId="47778"/>
    <cellStyle name="Normal 2 3 3 2 2 3 3 2 3 2 2 2" xfId="51547"/>
    <cellStyle name="Normal 2 3 3 2 2 3 3 2 3 3" xfId="29721"/>
    <cellStyle name="Normal 2 3 3 2 2 3 3 2 4" xfId="25916"/>
    <cellStyle name="Normal 2 3 3 2 2 3 3 2 4 2" xfId="38031"/>
    <cellStyle name="Normal 2 3 3 2 2 3 3 3" xfId="4591"/>
    <cellStyle name="Normal 2 3 3 2 2 3 3 3 2" xfId="15637"/>
    <cellStyle name="Normal 2 3 3 2 2 3 3 3 2 2" xfId="18172"/>
    <cellStyle name="Normal 2 3 3 2 2 3 3 3 2 2 2" xfId="50969"/>
    <cellStyle name="Normal 2 3 3 2 2 3 3 3 2 2 2 2" xfId="53498"/>
    <cellStyle name="Normal 2 3 3 2 2 3 3 3 2 3" xfId="31673"/>
    <cellStyle name="Normal 2 3 3 2 2 3 3 3 3" xfId="29143"/>
    <cellStyle name="Normal 2 3 3 2 2 3 3 3 3 2" xfId="40030"/>
    <cellStyle name="Normal 2 3 3 2 2 3 3 4" xfId="9795"/>
    <cellStyle name="Normal 2 3 3 2 2 3 3 4 2" xfId="37451"/>
    <cellStyle name="Normal 2 3 3 2 2 3 3 4 2 2" xfId="45165"/>
    <cellStyle name="Normal 2 3 3 2 2 3 3 5" xfId="23288"/>
    <cellStyle name="Normal 2 3 3 2 2 3 4" xfId="3987"/>
    <cellStyle name="Normal 2 3 3 2 2 3 4 2" xfId="5797"/>
    <cellStyle name="Normal 2 3 3 2 2 3 4 2 2" xfId="17582"/>
    <cellStyle name="Normal 2 3 3 2 2 3 4 2 2 2" xfId="19365"/>
    <cellStyle name="Normal 2 3 3 2 2 3 4 2 2 2 2" xfId="52909"/>
    <cellStyle name="Normal 2 3 3 2 2 3 4 2 2 2 2 2" xfId="54691"/>
    <cellStyle name="Normal 2 3 3 2 2 3 4 2 2 3" xfId="32866"/>
    <cellStyle name="Normal 2 3 3 2 2 3 4 2 3" xfId="31084"/>
    <cellStyle name="Normal 2 3 3 2 2 3 4 2 3 2" xfId="41232"/>
    <cellStyle name="Normal 2 3 3 2 2 3 4 3" xfId="11019"/>
    <cellStyle name="Normal 2 3 3 2 2 3 4 3 2" xfId="39431"/>
    <cellStyle name="Normal 2 3 3 2 2 3 4 3 2 2" xfId="46378"/>
    <cellStyle name="Normal 2 3 3 2 2 3 4 4" xfId="24513"/>
    <cellStyle name="Normal 2 3 3 2 2 3 5" xfId="9179"/>
    <cellStyle name="Normal 2 3 3 2 2 3 5 2" xfId="14180"/>
    <cellStyle name="Normal 2 3 3 2 2 3 5 2 2" xfId="44562"/>
    <cellStyle name="Normal 2 3 3 2 2 3 5 2 2 2" xfId="49525"/>
    <cellStyle name="Normal 2 3 3 2 2 3 5 3" xfId="27686"/>
    <cellStyle name="Normal 2 3 3 2 2 3 6" xfId="22676"/>
    <cellStyle name="Normal 2 3 3 2 2 3 6 2" xfId="35992"/>
    <cellStyle name="Normal 2 3 3 2 2 4" xfId="780"/>
    <cellStyle name="Normal 2 3 3 2 2 4 2" xfId="2418"/>
    <cellStyle name="Normal 2 3 3 2 2 4 2 2" xfId="2836"/>
    <cellStyle name="Normal 2 3 3 2 2 4 2 2 2" xfId="7650"/>
    <cellStyle name="Normal 2 3 3 2 2 4 2 2 2 2" xfId="8052"/>
    <cellStyle name="Normal 2 3 3 2 2 4 2 2 2 2 2" xfId="21202"/>
    <cellStyle name="Normal 2 3 3 2 2 4 2 2 2 2 2 2" xfId="21604"/>
    <cellStyle name="Normal 2 3 3 2 2 4 2 2 2 2 2 2 2" xfId="56528"/>
    <cellStyle name="Normal 2 3 3 2 2 4 2 2 2 2 2 2 2 2" xfId="56930"/>
    <cellStyle name="Normal 2 3 3 2 2 4 2 2 2 2 2 3" xfId="35107"/>
    <cellStyle name="Normal 2 3 3 2 2 4 2 2 2 2 3" xfId="34705"/>
    <cellStyle name="Normal 2 3 3 2 2 4 2 2 2 2 3 2" xfId="43479"/>
    <cellStyle name="Normal 2 3 3 2 2 4 2 2 2 3" xfId="13277"/>
    <cellStyle name="Normal 2 3 3 2 2 4 2 2 2 3 2" xfId="43077"/>
    <cellStyle name="Normal 2 3 3 2 2 4 2 2 2 3 2 2" xfId="48623"/>
    <cellStyle name="Normal 2 3 3 2 2 4 2 2 2 4" xfId="26761"/>
    <cellStyle name="Normal 2 3 3 2 2 4 2 2 3" xfId="12875"/>
    <cellStyle name="Normal 2 3 3 2 2 4 2 2 3 2" xfId="16494"/>
    <cellStyle name="Normal 2 3 3 2 2 4 2 2 3 2 2" xfId="48221"/>
    <cellStyle name="Normal 2 3 3 2 2 4 2 2 3 2 2 2" xfId="51822"/>
    <cellStyle name="Normal 2 3 3 2 2 4 2 2 3 3" xfId="29996"/>
    <cellStyle name="Normal 2 3 3 2 2 4 2 2 4" xfId="26359"/>
    <cellStyle name="Normal 2 3 3 2 2 4 2 2 4 2" xfId="38306"/>
    <cellStyle name="Normal 2 3 3 2 2 4 2 3" xfId="4872"/>
    <cellStyle name="Normal 2 3 3 2 2 4 2 3 2" xfId="16081"/>
    <cellStyle name="Normal 2 3 3 2 2 4 2 3 2 2" xfId="18446"/>
    <cellStyle name="Normal 2 3 3 2 2 4 2 3 2 2 2" xfId="51413"/>
    <cellStyle name="Normal 2 3 3 2 2 4 2 3 2 2 2 2" xfId="53772"/>
    <cellStyle name="Normal 2 3 3 2 2 4 2 3 2 3" xfId="31947"/>
    <cellStyle name="Normal 2 3 3 2 2 4 2 3 3" xfId="29587"/>
    <cellStyle name="Normal 2 3 3 2 2 4 2 3 3 2" xfId="40309"/>
    <cellStyle name="Normal 2 3 3 2 2 4 2 4" xfId="10075"/>
    <cellStyle name="Normal 2 3 3 2 2 4 2 4 2" xfId="37896"/>
    <cellStyle name="Normal 2 3 3 2 2 4 2 4 2 2" xfId="45439"/>
    <cellStyle name="Normal 2 3 3 2 2 4 2 5" xfId="23562"/>
    <cellStyle name="Normal 2 3 3 2 2 4 3" xfId="4453"/>
    <cellStyle name="Normal 2 3 3 2 2 4 3 2" xfId="6096"/>
    <cellStyle name="Normal 2 3 3 2 2 4 3 2 2" xfId="18043"/>
    <cellStyle name="Normal 2 3 3 2 2 4 3 2 2 2" xfId="19658"/>
    <cellStyle name="Normal 2 3 3 2 2 4 3 2 2 2 2" xfId="53369"/>
    <cellStyle name="Normal 2 3 3 2 2 4 3 2 2 2 2 2" xfId="54984"/>
    <cellStyle name="Normal 2 3 3 2 2 4 3 2 2 3" xfId="33159"/>
    <cellStyle name="Normal 2 3 3 2 2 4 3 2 3" xfId="31544"/>
    <cellStyle name="Normal 2 3 3 2 2 4 3 2 3 2" xfId="41529"/>
    <cellStyle name="Normal 2 3 3 2 2 4 3 3" xfId="11322"/>
    <cellStyle name="Normal 2 3 3 2 2 4 3 3 2" xfId="39895"/>
    <cellStyle name="Normal 2 3 3 2 2 4 3 3 2 2" xfId="46675"/>
    <cellStyle name="Normal 2 3 3 2 2 4 3 4" xfId="24812"/>
    <cellStyle name="Normal 2 3 3 2 2 4 4" xfId="9658"/>
    <cellStyle name="Normal 2 3 3 2 2 4 4 2" xfId="14480"/>
    <cellStyle name="Normal 2 3 3 2 2 4 4 2 2" xfId="45036"/>
    <cellStyle name="Normal 2 3 3 2 2 4 4 2 2 2" xfId="49822"/>
    <cellStyle name="Normal 2 3 3 2 2 4 4 3" xfId="27991"/>
    <cellStyle name="Normal 2 3 3 2 2 4 5" xfId="23159"/>
    <cellStyle name="Normal 2 3 3 2 2 4 5 2" xfId="36290"/>
    <cellStyle name="Normal 2 3 3 2 2 5" xfId="1567"/>
    <cellStyle name="Normal 2 3 3 2 2 5 2" xfId="5659"/>
    <cellStyle name="Normal 2 3 3 2 2 5 2 2" xfId="6839"/>
    <cellStyle name="Normal 2 3 3 2 2 5 2 2 2" xfId="19231"/>
    <cellStyle name="Normal 2 3 3 2 2 5 2 2 2 2" xfId="20392"/>
    <cellStyle name="Normal 2 3 3 2 2 5 2 2 2 2 2" xfId="54557"/>
    <cellStyle name="Normal 2 3 3 2 2 5 2 2 2 2 2 2" xfId="55718"/>
    <cellStyle name="Normal 2 3 3 2 2 5 2 2 2 3" xfId="33894"/>
    <cellStyle name="Normal 2 3 3 2 2 5 2 2 3" xfId="32732"/>
    <cellStyle name="Normal 2 3 3 2 2 5 2 2 3 2" xfId="42267"/>
    <cellStyle name="Normal 2 3 3 2 2 5 2 3" xfId="12063"/>
    <cellStyle name="Normal 2 3 3 2 2 5 2 3 2" xfId="41095"/>
    <cellStyle name="Normal 2 3 3 2 2 5 2 3 2 2" xfId="47410"/>
    <cellStyle name="Normal 2 3 3 2 2 5 2 4" xfId="25548"/>
    <cellStyle name="Normal 2 3 3 2 2 5 3" xfId="10877"/>
    <cellStyle name="Normal 2 3 3 2 2 5 3 2" xfId="15243"/>
    <cellStyle name="Normal 2 3 3 2 2 5 3 2 2" xfId="46239"/>
    <cellStyle name="Normal 2 3 3 2 2 5 3 2 2 2" xfId="50580"/>
    <cellStyle name="Normal 2 3 3 2 2 5 3 3" xfId="28754"/>
    <cellStyle name="Normal 2 3 3 2 2 5 4" xfId="24370"/>
    <cellStyle name="Normal 2 3 3 2 2 5 4 2" xfId="37055"/>
    <cellStyle name="Normal 2 3 3 2 2 6" xfId="3568"/>
    <cellStyle name="Normal 2 3 3 2 2 6 2" xfId="14043"/>
    <cellStyle name="Normal 2 3 3 2 2 6 2 2" xfId="17204"/>
    <cellStyle name="Normal 2 3 3 2 2 6 2 2 2" xfId="49389"/>
    <cellStyle name="Normal 2 3 3 2 2 6 2 2 2 2" xfId="52531"/>
    <cellStyle name="Normal 2 3 3 2 2 6 2 3" xfId="30705"/>
    <cellStyle name="Normal 2 3 3 2 2 6 3" xfId="27542"/>
    <cellStyle name="Normal 2 3 3 2 2 6 3 2" xfId="39025"/>
    <cellStyle name="Normal 2 3 3 2 2 7" xfId="8759"/>
    <cellStyle name="Normal 2 3 3 2 2 7 2" xfId="35855"/>
    <cellStyle name="Normal 2 3 3 2 2 7 2 2" xfId="44172"/>
    <cellStyle name="Normal 2 3 3 2 2 8" xfId="22276"/>
    <cellStyle name="Normal 2 3 3 2 3" xfId="448"/>
    <cellStyle name="Normal 2 3 3 2 3 2" xfId="534"/>
    <cellStyle name="Normal 2 3 3 2 3 2 2" xfId="1264"/>
    <cellStyle name="Normal 2 3 3 2 3 2 2 2" xfId="1339"/>
    <cellStyle name="Normal 2 3 3 2 3 2 2 2 2" xfId="3282"/>
    <cellStyle name="Normal 2 3 3 2 3 2 2 2 2 2" xfId="3357"/>
    <cellStyle name="Normal 2 3 3 2 3 2 2 2 2 2 2" xfId="8497"/>
    <cellStyle name="Normal 2 3 3 2 3 2 2 2 2 2 2 2" xfId="8572"/>
    <cellStyle name="Normal 2 3 3 2 3 2 2 2 2 2 2 2 2" xfId="22049"/>
    <cellStyle name="Normal 2 3 3 2 3 2 2 2 2 2 2 2 2 2" xfId="22124"/>
    <cellStyle name="Normal 2 3 3 2 3 2 2 2 2 2 2 2 2 2 2" xfId="57375"/>
    <cellStyle name="Normal 2 3 3 2 3 2 2 2 2 2 2 2 2 2 2 2" xfId="57450"/>
    <cellStyle name="Normal 2 3 3 2 3 2 2 2 2 2 2 2 2 3" xfId="35627"/>
    <cellStyle name="Normal 2 3 3 2 3 2 2 2 2 2 2 2 3" xfId="35552"/>
    <cellStyle name="Normal 2 3 3 2 3 2 2 2 2 2 2 2 3 2" xfId="43999"/>
    <cellStyle name="Normal 2 3 3 2 3 2 2 2 2 2 2 3" xfId="13797"/>
    <cellStyle name="Normal 2 3 3 2 3 2 2 2 2 2 2 3 2" xfId="43924"/>
    <cellStyle name="Normal 2 3 3 2 3 2 2 2 2 2 2 3 2 2" xfId="49143"/>
    <cellStyle name="Normal 2 3 3 2 3 2 2 2 2 2 2 4" xfId="27282"/>
    <cellStyle name="Normal 2 3 3 2 3 2 2 2 2 2 3" xfId="13722"/>
    <cellStyle name="Normal 2 3 3 2 3 2 2 2 2 2 3 2" xfId="17014"/>
    <cellStyle name="Normal 2 3 3 2 3 2 2 2 2 2 3 2 2" xfId="49068"/>
    <cellStyle name="Normal 2 3 3 2 3 2 2 2 2 2 3 2 2 2" xfId="52342"/>
    <cellStyle name="Normal 2 3 3 2 3 2 2 2 2 2 3 3" xfId="30516"/>
    <cellStyle name="Normal 2 3 3 2 3 2 2 2 2 2 4" xfId="27207"/>
    <cellStyle name="Normal 2 3 3 2 3 2 2 2 2 2 4 2" xfId="38826"/>
    <cellStyle name="Normal 2 3 3 2 3 2 2 2 2 3" xfId="5394"/>
    <cellStyle name="Normal 2 3 3 2 3 2 2 2 2 3 2" xfId="16939"/>
    <cellStyle name="Normal 2 3 3 2 3 2 2 2 2 3 2 2" xfId="18967"/>
    <cellStyle name="Normal 2 3 3 2 3 2 2 2 2 3 2 2 2" xfId="52267"/>
    <cellStyle name="Normal 2 3 3 2 3 2 2 2 2 3 2 2 2 2" xfId="54293"/>
    <cellStyle name="Normal 2 3 3 2 3 2 2 2 2 3 2 3" xfId="32468"/>
    <cellStyle name="Normal 2 3 3 2 3 2 2 2 2 3 3" xfId="30441"/>
    <cellStyle name="Normal 2 3 3 2 3 2 2 2 2 3 3 2" xfId="40831"/>
    <cellStyle name="Normal 2 3 3 2 3 2 2 2 2 4" xfId="10597"/>
    <cellStyle name="Normal 2 3 3 2 3 2 2 2 2 4 2" xfId="38751"/>
    <cellStyle name="Normal 2 3 3 2 3 2 2 2 2 4 2 2" xfId="45960"/>
    <cellStyle name="Normal 2 3 3 2 3 2 2 2 2 5" xfId="24083"/>
    <cellStyle name="Normal 2 3 3 2 3 2 2 2 3" xfId="5319"/>
    <cellStyle name="Normal 2 3 3 2 3 2 2 2 3 2" xfId="6647"/>
    <cellStyle name="Normal 2 3 3 2 3 2 2 2 3 2 2" xfId="18892"/>
    <cellStyle name="Normal 2 3 3 2 3 2 2 2 3 2 2 2" xfId="20200"/>
    <cellStyle name="Normal 2 3 3 2 3 2 2 2 3 2 2 2 2" xfId="54218"/>
    <cellStyle name="Normal 2 3 3 2 3 2 2 2 3 2 2 2 2 2" xfId="55526"/>
    <cellStyle name="Normal 2 3 3 2 3 2 2 2 3 2 2 3" xfId="33702"/>
    <cellStyle name="Normal 2 3 3 2 3 2 2 2 3 2 3" xfId="32393"/>
    <cellStyle name="Normal 2 3 3 2 3 2 2 2 3 2 3 2" xfId="42075"/>
    <cellStyle name="Normal 2 3 3 2 3 2 2 2 3 3" xfId="11870"/>
    <cellStyle name="Normal 2 3 3 2 3 2 2 2 3 3 2" xfId="40756"/>
    <cellStyle name="Normal 2 3 3 2 3 2 2 2 3 3 2 2" xfId="47218"/>
    <cellStyle name="Normal 2 3 3 2 3 2 2 2 3 4" xfId="25355"/>
    <cellStyle name="Normal 2 3 3 2 3 2 2 2 4" xfId="10522"/>
    <cellStyle name="Normal 2 3 3 2 3 2 2 2 4 2" xfId="15028"/>
    <cellStyle name="Normal 2 3 3 2 3 2 2 2 4 2 2" xfId="45885"/>
    <cellStyle name="Normal 2 3 3 2 3 2 2 2 4 2 2 2" xfId="50367"/>
    <cellStyle name="Normal 2 3 3 2 3 2 2 2 4 3" xfId="28541"/>
    <cellStyle name="Normal 2 3 3 2 3 2 2 2 5" xfId="24008"/>
    <cellStyle name="Normal 2 3 3 2 3 2 2 2 5 2" xfId="36836"/>
    <cellStyle name="Normal 2 3 3 2 3 2 2 3" xfId="2146"/>
    <cellStyle name="Normal 2 3 3 2 3 2 2 3 2" xfId="6572"/>
    <cellStyle name="Normal 2 3 3 2 3 2 2 3 2 2" xfId="7380"/>
    <cellStyle name="Normal 2 3 3 2 3 2 2 3 2 2 2" xfId="20125"/>
    <cellStyle name="Normal 2 3 3 2 3 2 2 3 2 2 2 2" xfId="20932"/>
    <cellStyle name="Normal 2 3 3 2 3 2 2 3 2 2 2 2 2" xfId="55451"/>
    <cellStyle name="Normal 2 3 3 2 3 2 2 3 2 2 2 2 2 2" xfId="56258"/>
    <cellStyle name="Normal 2 3 3 2 3 2 2 3 2 2 2 3" xfId="34435"/>
    <cellStyle name="Normal 2 3 3 2 3 2 2 3 2 2 3" xfId="33627"/>
    <cellStyle name="Normal 2 3 3 2 3 2 2 3 2 2 3 2" xfId="42807"/>
    <cellStyle name="Normal 2 3 3 2 3 2 2 3 2 3" xfId="12605"/>
    <cellStyle name="Normal 2 3 3 2 3 2 2 3 2 3 2" xfId="42000"/>
    <cellStyle name="Normal 2 3 3 2 3 2 2 3 2 3 2 2" xfId="47951"/>
    <cellStyle name="Normal 2 3 3 2 3 2 2 3 2 4" xfId="26089"/>
    <cellStyle name="Normal 2 3 3 2 3 2 2 3 3" xfId="11795"/>
    <cellStyle name="Normal 2 3 3 2 3 2 2 3 3 2" xfId="15810"/>
    <cellStyle name="Normal 2 3 3 2 3 2 2 3 3 2 2" xfId="47143"/>
    <cellStyle name="Normal 2 3 3 2 3 2 2 3 3 2 2 2" xfId="51142"/>
    <cellStyle name="Normal 2 3 3 2 3 2 2 3 3 3" xfId="29316"/>
    <cellStyle name="Normal 2 3 3 2 3 2 2 3 4" xfId="25280"/>
    <cellStyle name="Normal 2 3 3 2 3 2 2 3 4 2" xfId="37624"/>
    <cellStyle name="Normal 2 3 3 2 3 2 2 4" xfId="4162"/>
    <cellStyle name="Normal 2 3 3 2 3 2 2 4 2" xfId="14953"/>
    <cellStyle name="Normal 2 3 3 2 3 2 2 4 2 2" xfId="17755"/>
    <cellStyle name="Normal 2 3 3 2 3 2 2 4 2 2 2" xfId="50292"/>
    <cellStyle name="Normal 2 3 3 2 3 2 2 4 2 2 2 2" xfId="53082"/>
    <cellStyle name="Normal 2 3 3 2 3 2 2 4 2 3" xfId="31257"/>
    <cellStyle name="Normal 2 3 3 2 3 2 2 4 3" xfId="28466"/>
    <cellStyle name="Normal 2 3 3 2 3 2 2 4 3 2" xfId="39605"/>
    <cellStyle name="Normal 2 3 3 2 3 2 2 5" xfId="9353"/>
    <cellStyle name="Normal 2 3 3 2 3 2 2 5 2" xfId="36761"/>
    <cellStyle name="Normal 2 3 3 2 3 2 2 5 2 2" xfId="44735"/>
    <cellStyle name="Normal 2 3 3 2 3 2 2 6" xfId="22849"/>
    <cellStyle name="Normal 2 3 3 2 3 2 3" xfId="2070"/>
    <cellStyle name="Normal 2 3 3 2 3 2 3 2" xfId="2628"/>
    <cellStyle name="Normal 2 3 3 2 3 2 3 2 2" xfId="7304"/>
    <cellStyle name="Normal 2 3 3 2 3 2 3 2 2 2" xfId="7848"/>
    <cellStyle name="Normal 2 3 3 2 3 2 3 2 2 2 2" xfId="20856"/>
    <cellStyle name="Normal 2 3 3 2 3 2 3 2 2 2 2 2" xfId="21400"/>
    <cellStyle name="Normal 2 3 3 2 3 2 3 2 2 2 2 2 2" xfId="56182"/>
    <cellStyle name="Normal 2 3 3 2 3 2 3 2 2 2 2 2 2 2" xfId="56726"/>
    <cellStyle name="Normal 2 3 3 2 3 2 3 2 2 2 2 3" xfId="34903"/>
    <cellStyle name="Normal 2 3 3 2 3 2 3 2 2 2 3" xfId="34359"/>
    <cellStyle name="Normal 2 3 3 2 3 2 3 2 2 2 3 2" xfId="43275"/>
    <cellStyle name="Normal 2 3 3 2 3 2 3 2 2 3" xfId="13073"/>
    <cellStyle name="Normal 2 3 3 2 3 2 3 2 2 3 2" xfId="42731"/>
    <cellStyle name="Normal 2 3 3 2 3 2 3 2 2 3 2 2" xfId="48419"/>
    <cellStyle name="Normal 2 3 3 2 3 2 3 2 2 4" xfId="26557"/>
    <cellStyle name="Normal 2 3 3 2 3 2 3 2 3" xfId="12529"/>
    <cellStyle name="Normal 2 3 3 2 3 2 3 2 3 2" xfId="16287"/>
    <cellStyle name="Normal 2 3 3 2 3 2 3 2 3 2 2" xfId="47875"/>
    <cellStyle name="Normal 2 3 3 2 3 2 3 2 3 2 2 2" xfId="51617"/>
    <cellStyle name="Normal 2 3 3 2 3 2 3 2 3 3" xfId="29791"/>
    <cellStyle name="Normal 2 3 3 2 3 2 3 2 4" xfId="26013"/>
    <cellStyle name="Normal 2 3 3 2 3 2 3 2 4 2" xfId="38101"/>
    <cellStyle name="Normal 2 3 3 2 3 2 3 3" xfId="4663"/>
    <cellStyle name="Normal 2 3 3 2 3 2 3 3 2" xfId="15734"/>
    <cellStyle name="Normal 2 3 3 2 3 2 3 3 2 2" xfId="18242"/>
    <cellStyle name="Normal 2 3 3 2 3 2 3 3 2 2 2" xfId="51066"/>
    <cellStyle name="Normal 2 3 3 2 3 2 3 3 2 2 2 2" xfId="53568"/>
    <cellStyle name="Normal 2 3 3 2 3 2 3 3 2 3" xfId="31743"/>
    <cellStyle name="Normal 2 3 3 2 3 2 3 3 3" xfId="29240"/>
    <cellStyle name="Normal 2 3 3 2 3 2 3 3 3 2" xfId="40102"/>
    <cellStyle name="Normal 2 3 3 2 3 2 3 4" xfId="9866"/>
    <cellStyle name="Normal 2 3 3 2 3 2 3 4 2" xfId="37548"/>
    <cellStyle name="Normal 2 3 3 2 3 2 3 4 2 2" xfId="45235"/>
    <cellStyle name="Normal 2 3 3 2 3 2 3 5" xfId="23358"/>
    <cellStyle name="Normal 2 3 3 2 3 2 4" xfId="4086"/>
    <cellStyle name="Normal 2 3 3 2 3 2 4 2" xfId="5867"/>
    <cellStyle name="Normal 2 3 3 2 3 2 4 2 2" xfId="17679"/>
    <cellStyle name="Normal 2 3 3 2 3 2 4 2 2 2" xfId="19435"/>
    <cellStyle name="Normal 2 3 3 2 3 2 4 2 2 2 2" xfId="53006"/>
    <cellStyle name="Normal 2 3 3 2 3 2 4 2 2 2 2 2" xfId="54761"/>
    <cellStyle name="Normal 2 3 3 2 3 2 4 2 2 3" xfId="32936"/>
    <cellStyle name="Normal 2 3 3 2 3 2 4 2 3" xfId="31181"/>
    <cellStyle name="Normal 2 3 3 2 3 2 4 2 3 2" xfId="41302"/>
    <cellStyle name="Normal 2 3 3 2 3 2 4 3" xfId="11091"/>
    <cellStyle name="Normal 2 3 3 2 3 2 4 3 2" xfId="39529"/>
    <cellStyle name="Normal 2 3 3 2 3 2 4 3 2 2" xfId="46450"/>
    <cellStyle name="Normal 2 3 3 2 3 2 4 4" xfId="24585"/>
    <cellStyle name="Normal 2 3 3 2 3 2 5" xfId="9277"/>
    <cellStyle name="Normal 2 3 3 2 3 2 5 2" xfId="14252"/>
    <cellStyle name="Normal 2 3 3 2 3 2 5 2 2" xfId="44659"/>
    <cellStyle name="Normal 2 3 3 2 3 2 5 2 2 2" xfId="49597"/>
    <cellStyle name="Normal 2 3 3 2 3 2 5 3" xfId="27759"/>
    <cellStyle name="Normal 2 3 3 2 3 2 6" xfId="22773"/>
    <cellStyle name="Normal 2 3 3 2 3 2 6 2" xfId="36064"/>
    <cellStyle name="Normal 2 3 3 2 3 3" xfId="862"/>
    <cellStyle name="Normal 2 3 3 2 3 3 2" xfId="2547"/>
    <cellStyle name="Normal 2 3 3 2 3 3 2 2" xfId="2909"/>
    <cellStyle name="Normal 2 3 3 2 3 3 2 2 2" xfId="7769"/>
    <cellStyle name="Normal 2 3 3 2 3 3 2 2 2 2" xfId="8124"/>
    <cellStyle name="Normal 2 3 3 2 3 3 2 2 2 2 2" xfId="21321"/>
    <cellStyle name="Normal 2 3 3 2 3 3 2 2 2 2 2 2" xfId="21676"/>
    <cellStyle name="Normal 2 3 3 2 3 3 2 2 2 2 2 2 2" xfId="56647"/>
    <cellStyle name="Normal 2 3 3 2 3 3 2 2 2 2 2 2 2 2" xfId="57002"/>
    <cellStyle name="Normal 2 3 3 2 3 3 2 2 2 2 2 3" xfId="35179"/>
    <cellStyle name="Normal 2 3 3 2 3 3 2 2 2 2 3" xfId="34824"/>
    <cellStyle name="Normal 2 3 3 2 3 3 2 2 2 2 3 2" xfId="43551"/>
    <cellStyle name="Normal 2 3 3 2 3 3 2 2 2 3" xfId="13349"/>
    <cellStyle name="Normal 2 3 3 2 3 3 2 2 2 3 2" xfId="43196"/>
    <cellStyle name="Normal 2 3 3 2 3 3 2 2 2 3 2 2" xfId="48695"/>
    <cellStyle name="Normal 2 3 3 2 3 3 2 2 2 4" xfId="26834"/>
    <cellStyle name="Normal 2 3 3 2 3 3 2 2 3" xfId="12994"/>
    <cellStyle name="Normal 2 3 3 2 3 3 2 2 3 2" xfId="16566"/>
    <cellStyle name="Normal 2 3 3 2 3 3 2 2 3 2 2" xfId="48340"/>
    <cellStyle name="Normal 2 3 3 2 3 3 2 2 3 2 2 2" xfId="51894"/>
    <cellStyle name="Normal 2 3 3 2 3 3 2 2 3 3" xfId="30068"/>
    <cellStyle name="Normal 2 3 3 2 3 3 2 2 4" xfId="26478"/>
    <cellStyle name="Normal 2 3 3 2 3 3 2 2 4 2" xfId="38378"/>
    <cellStyle name="Normal 2 3 3 2 3 3 2 3" xfId="4945"/>
    <cellStyle name="Normal 2 3 3 2 3 3 2 3 2" xfId="16207"/>
    <cellStyle name="Normal 2 3 3 2 3 3 2 3 2 2" xfId="18518"/>
    <cellStyle name="Normal 2 3 3 2 3 3 2 3 2 2 2" xfId="51537"/>
    <cellStyle name="Normal 2 3 3 2 3 3 2 3 2 2 2 2" xfId="53844"/>
    <cellStyle name="Normal 2 3 3 2 3 3 2 3 2 3" xfId="32019"/>
    <cellStyle name="Normal 2 3 3 2 3 3 2 3 3" xfId="29711"/>
    <cellStyle name="Normal 2 3 3 2 3 3 2 3 3 2" xfId="40382"/>
    <cellStyle name="Normal 2 3 3 2 3 3 2 4" xfId="10148"/>
    <cellStyle name="Normal 2 3 3 2 3 3 2 4 2" xfId="38020"/>
    <cellStyle name="Normal 2 3 3 2 3 3 2 4 2 2" xfId="45511"/>
    <cellStyle name="Normal 2 3 3 2 3 3 2 5" xfId="23634"/>
    <cellStyle name="Normal 2 3 3 2 3 3 3" xfId="4581"/>
    <cellStyle name="Normal 2 3 3 2 3 3 3 2" xfId="6176"/>
    <cellStyle name="Normal 2 3 3 2 3 3 3 2 2" xfId="18162"/>
    <cellStyle name="Normal 2 3 3 2 3 3 3 2 2 2" xfId="19735"/>
    <cellStyle name="Normal 2 3 3 2 3 3 3 2 2 2 2" xfId="53488"/>
    <cellStyle name="Normal 2 3 3 2 3 3 3 2 2 2 2 2" xfId="55061"/>
    <cellStyle name="Normal 2 3 3 2 3 3 3 2 2 3" xfId="33237"/>
    <cellStyle name="Normal 2 3 3 2 3 3 3 2 3" xfId="31663"/>
    <cellStyle name="Normal 2 3 3 2 3 3 3 2 3 2" xfId="41606"/>
    <cellStyle name="Normal 2 3 3 2 3 3 3 3" xfId="11401"/>
    <cellStyle name="Normal 2 3 3 2 3 3 3 3 2" xfId="40020"/>
    <cellStyle name="Normal 2 3 3 2 3 3 3 3 2 2" xfId="46752"/>
    <cellStyle name="Normal 2 3 3 2 3 3 3 4" xfId="24889"/>
    <cellStyle name="Normal 2 3 3 2 3 3 4" xfId="9784"/>
    <cellStyle name="Normal 2 3 3 2 3 3 4 2" xfId="14559"/>
    <cellStyle name="Normal 2 3 3 2 3 3 4 2 2" xfId="45155"/>
    <cellStyle name="Normal 2 3 3 2 3 3 4 2 2 2" xfId="49900"/>
    <cellStyle name="Normal 2 3 3 2 3 3 4 3" xfId="28070"/>
    <cellStyle name="Normal 2 3 3 2 3 3 5" xfId="23278"/>
    <cellStyle name="Normal 2 3 3 2 3 3 5 2" xfId="36369"/>
    <cellStyle name="Normal 2 3 3 2 3 4" xfId="1657"/>
    <cellStyle name="Normal 2 3 3 2 3 4 2" xfId="5787"/>
    <cellStyle name="Normal 2 3 3 2 3 4 2 2" xfId="6919"/>
    <cellStyle name="Normal 2 3 3 2 3 4 2 2 2" xfId="19355"/>
    <cellStyle name="Normal 2 3 3 2 3 4 2 2 2 2" xfId="20472"/>
    <cellStyle name="Normal 2 3 3 2 3 4 2 2 2 2 2" xfId="54681"/>
    <cellStyle name="Normal 2 3 3 2 3 4 2 2 2 2 2 2" xfId="55798"/>
    <cellStyle name="Normal 2 3 3 2 3 4 2 2 2 3" xfId="33974"/>
    <cellStyle name="Normal 2 3 3 2 3 4 2 2 3" xfId="32856"/>
    <cellStyle name="Normal 2 3 3 2 3 4 2 2 3 2" xfId="42347"/>
    <cellStyle name="Normal 2 3 3 2 3 4 2 3" xfId="12143"/>
    <cellStyle name="Normal 2 3 3 2 3 4 2 3 2" xfId="41222"/>
    <cellStyle name="Normal 2 3 3 2 3 4 2 3 2 2" xfId="47490"/>
    <cellStyle name="Normal 2 3 3 2 3 4 2 4" xfId="25628"/>
    <cellStyle name="Normal 2 3 3 2 3 4 3" xfId="11008"/>
    <cellStyle name="Normal 2 3 3 2 3 4 3 2" xfId="15330"/>
    <cellStyle name="Normal 2 3 3 2 3 4 3 2 2" xfId="46367"/>
    <cellStyle name="Normal 2 3 3 2 3 4 3 2 2 2" xfId="50665"/>
    <cellStyle name="Normal 2 3 3 2 3 4 3 3" xfId="28839"/>
    <cellStyle name="Normal 2 3 3 2 3 4 4" xfId="24502"/>
    <cellStyle name="Normal 2 3 3 2 3 4 4 2" xfId="37141"/>
    <cellStyle name="Normal 2 3 3 2 3 5" xfId="3662"/>
    <cellStyle name="Normal 2 3 3 2 3 5 2" xfId="14170"/>
    <cellStyle name="Normal 2 3 3 2 3 5 2 2" xfId="17287"/>
    <cellStyle name="Normal 2 3 3 2 3 5 2 2 2" xfId="49515"/>
    <cellStyle name="Normal 2 3 3 2 3 5 2 2 2 2" xfId="52614"/>
    <cellStyle name="Normal 2 3 3 2 3 5 2 3" xfId="30788"/>
    <cellStyle name="Normal 2 3 3 2 3 5 3" xfId="27675"/>
    <cellStyle name="Normal 2 3 3 2 3 5 3 2" xfId="39115"/>
    <cellStyle name="Normal 2 3 3 2 3 6" xfId="8855"/>
    <cellStyle name="Normal 2 3 3 2 3 6 2" xfId="35982"/>
    <cellStyle name="Normal 2 3 3 2 3 6 2 2" xfId="44259"/>
    <cellStyle name="Normal 2 3 3 2 3 7" xfId="22367"/>
    <cellStyle name="Normal 2 3 3 2 4" xfId="769"/>
    <cellStyle name="Normal 2 3 3 2 4 2" xfId="1034"/>
    <cellStyle name="Normal 2 3 3 2 4 2 2" xfId="2826"/>
    <cellStyle name="Normal 2 3 3 2 4 2 2 2" xfId="3070"/>
    <cellStyle name="Normal 2 3 3 2 4 2 2 2 2" xfId="8042"/>
    <cellStyle name="Normal 2 3 3 2 4 2 2 2 2 2" xfId="8285"/>
    <cellStyle name="Normal 2 3 3 2 4 2 2 2 2 2 2" xfId="21594"/>
    <cellStyle name="Normal 2 3 3 2 4 2 2 2 2 2 2 2" xfId="21837"/>
    <cellStyle name="Normal 2 3 3 2 4 2 2 2 2 2 2 2 2" xfId="56920"/>
    <cellStyle name="Normal 2 3 3 2 4 2 2 2 2 2 2 2 2 2" xfId="57163"/>
    <cellStyle name="Normal 2 3 3 2 4 2 2 2 2 2 2 3" xfId="35340"/>
    <cellStyle name="Normal 2 3 3 2 4 2 2 2 2 2 3" xfId="35097"/>
    <cellStyle name="Normal 2 3 3 2 4 2 2 2 2 2 3 2" xfId="43712"/>
    <cellStyle name="Normal 2 3 3 2 4 2 2 2 2 3" xfId="13510"/>
    <cellStyle name="Normal 2 3 3 2 4 2 2 2 2 3 2" xfId="43469"/>
    <cellStyle name="Normal 2 3 3 2 4 2 2 2 2 3 2 2" xfId="48856"/>
    <cellStyle name="Normal 2 3 3 2 4 2 2 2 2 4" xfId="26995"/>
    <cellStyle name="Normal 2 3 3 2 4 2 2 2 3" xfId="13267"/>
    <cellStyle name="Normal 2 3 3 2 4 2 2 2 3 2" xfId="16727"/>
    <cellStyle name="Normal 2 3 3 2 4 2 2 2 3 2 2" xfId="48613"/>
    <cellStyle name="Normal 2 3 3 2 4 2 2 2 3 2 2 2" xfId="52055"/>
    <cellStyle name="Normal 2 3 3 2 4 2 2 2 3 3" xfId="30229"/>
    <cellStyle name="Normal 2 3 3 2 4 2 2 2 4" xfId="26751"/>
    <cellStyle name="Normal 2 3 3 2 4 2 2 2 4 2" xfId="38539"/>
    <cellStyle name="Normal 2 3 3 2 4 2 2 3" xfId="5107"/>
    <cellStyle name="Normal 2 3 3 2 4 2 2 3 2" xfId="16484"/>
    <cellStyle name="Normal 2 3 3 2 4 2 2 3 2 2" xfId="18680"/>
    <cellStyle name="Normal 2 3 3 2 4 2 2 3 2 2 2" xfId="51812"/>
    <cellStyle name="Normal 2 3 3 2 4 2 2 3 2 2 2 2" xfId="54006"/>
    <cellStyle name="Normal 2 3 3 2 4 2 2 3 2 3" xfId="32181"/>
    <cellStyle name="Normal 2 3 3 2 4 2 2 3 3" xfId="29986"/>
    <cellStyle name="Normal 2 3 3 2 4 2 2 3 3 2" xfId="40544"/>
    <cellStyle name="Normal 2 3 3 2 4 2 2 4" xfId="10310"/>
    <cellStyle name="Normal 2 3 3 2 4 2 2 4 2" xfId="38296"/>
    <cellStyle name="Normal 2 3 3 2 4 2 2 4 2 2" xfId="45673"/>
    <cellStyle name="Normal 2 3 3 2 4 2 2 5" xfId="23796"/>
    <cellStyle name="Normal 2 3 3 2 4 2 3" xfId="4862"/>
    <cellStyle name="Normal 2 3 3 2 4 2 3 2" xfId="6344"/>
    <cellStyle name="Normal 2 3 3 2 4 2 3 2 2" xfId="18436"/>
    <cellStyle name="Normal 2 3 3 2 4 2 3 2 2 2" xfId="19901"/>
    <cellStyle name="Normal 2 3 3 2 4 2 3 2 2 2 2" xfId="53762"/>
    <cellStyle name="Normal 2 3 3 2 4 2 3 2 2 2 2 2" xfId="55227"/>
    <cellStyle name="Normal 2 3 3 2 4 2 3 2 2 3" xfId="33403"/>
    <cellStyle name="Normal 2 3 3 2 4 2 3 2 3" xfId="31937"/>
    <cellStyle name="Normal 2 3 3 2 4 2 3 2 3 2" xfId="41773"/>
    <cellStyle name="Normal 2 3 3 2 4 2 3 3" xfId="11570"/>
    <cellStyle name="Normal 2 3 3 2 4 2 3 3 2" xfId="40299"/>
    <cellStyle name="Normal 2 3 3 2 4 2 3 3 2 2" xfId="46919"/>
    <cellStyle name="Normal 2 3 3 2 4 2 3 4" xfId="25056"/>
    <cellStyle name="Normal 2 3 3 2 4 2 4" xfId="10065"/>
    <cellStyle name="Normal 2 3 3 2 4 2 4 2" xfId="14727"/>
    <cellStyle name="Normal 2 3 3 2 4 2 4 2 2" xfId="45429"/>
    <cellStyle name="Normal 2 3 3 2 4 2 4 2 2 2" xfId="50066"/>
    <cellStyle name="Normal 2 3 3 2 4 2 4 3" xfId="28239"/>
    <cellStyle name="Normal 2 3 3 2 4 2 5" xfId="23552"/>
    <cellStyle name="Normal 2 3 3 2 4 2 5 2" xfId="36535"/>
    <cellStyle name="Normal 2 3 3 2 4 3" xfId="1839"/>
    <cellStyle name="Normal 2 3 3 2 4 3 2" xfId="6086"/>
    <cellStyle name="Normal 2 3 3 2 4 3 2 2" xfId="7089"/>
    <cellStyle name="Normal 2 3 3 2 4 3 2 2 2" xfId="19648"/>
    <cellStyle name="Normal 2 3 3 2 4 3 2 2 2 2" xfId="20642"/>
    <cellStyle name="Normal 2 3 3 2 4 3 2 2 2 2 2" xfId="54974"/>
    <cellStyle name="Normal 2 3 3 2 4 3 2 2 2 2 2 2" xfId="55968"/>
    <cellStyle name="Normal 2 3 3 2 4 3 2 2 2 3" xfId="34144"/>
    <cellStyle name="Normal 2 3 3 2 4 3 2 2 3" xfId="33149"/>
    <cellStyle name="Normal 2 3 3 2 4 3 2 2 3 2" xfId="42517"/>
    <cellStyle name="Normal 2 3 3 2 4 3 2 3" xfId="12314"/>
    <cellStyle name="Normal 2 3 3 2 4 3 2 3 2" xfId="41519"/>
    <cellStyle name="Normal 2 3 3 2 4 3 2 3 2 2" xfId="47661"/>
    <cellStyle name="Normal 2 3 3 2 4 3 2 4" xfId="25799"/>
    <cellStyle name="Normal 2 3 3 2 4 3 3" xfId="11312"/>
    <cellStyle name="Normal 2 3 3 2 4 3 3 2" xfId="15510"/>
    <cellStyle name="Normal 2 3 3 2 4 3 3 2 2" xfId="46665"/>
    <cellStyle name="Normal 2 3 3 2 4 3 3 2 2 2" xfId="50843"/>
    <cellStyle name="Normal 2 3 3 2 4 3 3 3" xfId="29017"/>
    <cellStyle name="Normal 2 3 3 2 4 3 4" xfId="24802"/>
    <cellStyle name="Normal 2 3 3 2 4 3 4 2" xfId="37320"/>
    <cellStyle name="Normal 2 3 3 2 4 4" xfId="3852"/>
    <cellStyle name="Normal 2 3 3 2 4 4 2" xfId="14470"/>
    <cellStyle name="Normal 2 3 3 2 4 4 2 2" xfId="17465"/>
    <cellStyle name="Normal 2 3 3 2 4 4 2 2 2" xfId="49812"/>
    <cellStyle name="Normal 2 3 3 2 4 4 2 2 2 2" xfId="52792"/>
    <cellStyle name="Normal 2 3 3 2 4 4 2 3" xfId="30966"/>
    <cellStyle name="Normal 2 3 3 2 4 4 3" xfId="27981"/>
    <cellStyle name="Normal 2 3 3 2 4 4 3 2" xfId="39301"/>
    <cellStyle name="Normal 2 3 3 2 4 5" xfId="9044"/>
    <cellStyle name="Normal 2 3 3 2 4 5 2" xfId="36280"/>
    <cellStyle name="Normal 2 3 3 2 4 5 2 2" xfId="44441"/>
    <cellStyle name="Normal 2 3 3 2 4 6" xfId="22552"/>
    <cellStyle name="Normal 2 3 3 2 5" xfId="1555"/>
    <cellStyle name="Normal 2 3 3 2 5 2" xfId="2297"/>
    <cellStyle name="Normal 2 3 3 2 5 2 2" xfId="6828"/>
    <cellStyle name="Normal 2 3 3 2 5 2 2 2" xfId="7531"/>
    <cellStyle name="Normal 2 3 3 2 5 2 2 2 2" xfId="20381"/>
    <cellStyle name="Normal 2 3 3 2 5 2 2 2 2 2" xfId="21083"/>
    <cellStyle name="Normal 2 3 3 2 5 2 2 2 2 2 2" xfId="55707"/>
    <cellStyle name="Normal 2 3 3 2 5 2 2 2 2 2 2 2" xfId="56409"/>
    <cellStyle name="Normal 2 3 3 2 5 2 2 2 2 3" xfId="34586"/>
    <cellStyle name="Normal 2 3 3 2 5 2 2 2 3" xfId="33883"/>
    <cellStyle name="Normal 2 3 3 2 5 2 2 2 3 2" xfId="42958"/>
    <cellStyle name="Normal 2 3 3 2 5 2 2 3" xfId="12756"/>
    <cellStyle name="Normal 2 3 3 2 5 2 2 3 2" xfId="42256"/>
    <cellStyle name="Normal 2 3 3 2 5 2 2 3 2 2" xfId="48102"/>
    <cellStyle name="Normal 2 3 3 2 5 2 2 4" xfId="26240"/>
    <cellStyle name="Normal 2 3 3 2 5 2 3" xfId="12052"/>
    <cellStyle name="Normal 2 3 3 2 5 2 3 2" xfId="15961"/>
    <cellStyle name="Normal 2 3 3 2 5 2 3 2 2" xfId="47399"/>
    <cellStyle name="Normal 2 3 3 2 5 2 3 2 2 2" xfId="51293"/>
    <cellStyle name="Normal 2 3 3 2 5 2 3 3" xfId="29467"/>
    <cellStyle name="Normal 2 3 3 2 5 2 4" xfId="25537"/>
    <cellStyle name="Normal 2 3 3 2 5 2 4 2" xfId="37775"/>
    <cellStyle name="Normal 2 3 3 2 5 3" xfId="4325"/>
    <cellStyle name="Normal 2 3 3 2 5 3 2" xfId="15231"/>
    <cellStyle name="Normal 2 3 3 2 5 3 2 2" xfId="17918"/>
    <cellStyle name="Normal 2 3 3 2 5 3 2 2 2" xfId="50568"/>
    <cellStyle name="Normal 2 3 3 2 5 3 2 2 2 2" xfId="53245"/>
    <cellStyle name="Normal 2 3 3 2 5 3 2 3" xfId="31420"/>
    <cellStyle name="Normal 2 3 3 2 5 3 3" xfId="28742"/>
    <cellStyle name="Normal 2 3 3 2 5 3 3 2" xfId="39768"/>
    <cellStyle name="Normal 2 3 3 2 5 4" xfId="9521"/>
    <cellStyle name="Normal 2 3 3 2 5 4 2" xfId="37043"/>
    <cellStyle name="Normal 2 3 3 2 5 4 2 2" xfId="44903"/>
    <cellStyle name="Normal 2 3 3 2 5 5" xfId="23019"/>
    <cellStyle name="Normal 2 3 3 2 6" xfId="3556"/>
    <cellStyle name="Normal 2 3 3 2 6 2" xfId="5536"/>
    <cellStyle name="Normal 2 3 3 2 6 2 2" xfId="17193"/>
    <cellStyle name="Normal 2 3 3 2 6 2 2 2" xfId="19109"/>
    <cellStyle name="Normal 2 3 3 2 6 2 2 2 2" xfId="52520"/>
    <cellStyle name="Normal 2 3 3 2 6 2 2 2 2 2" xfId="54435"/>
    <cellStyle name="Normal 2 3 3 2 6 2 2 3" xfId="32610"/>
    <cellStyle name="Normal 2 3 3 2 6 2 3" xfId="30694"/>
    <cellStyle name="Normal 2 3 3 2 6 2 3 2" xfId="40973"/>
    <cellStyle name="Normal 2 3 3 2 6 3" xfId="10743"/>
    <cellStyle name="Normal 2 3 3 2 6 3 2" xfId="39013"/>
    <cellStyle name="Normal 2 3 3 2 6 3 2 2" xfId="46105"/>
    <cellStyle name="Normal 2 3 3 2 6 4" xfId="24230"/>
    <cellStyle name="Normal 2 3 3 2 7" xfId="8747"/>
    <cellStyle name="Normal 2 3 3 2 7 2" xfId="13921"/>
    <cellStyle name="Normal 2 3 3 2 7 2 2" xfId="44161"/>
    <cellStyle name="Normal 2 3 3 2 7 2 2 2" xfId="49267"/>
    <cellStyle name="Normal 2 3 3 2 7 3" xfId="27407"/>
    <cellStyle name="Normal 2 3 3 2 8" xfId="22265"/>
    <cellStyle name="Normal 2 3 3 2 8 2" xfId="27487"/>
    <cellStyle name="Normal 2 3 3 3" xfId="216"/>
    <cellStyle name="Normal 2 3 3 3 2" xfId="512"/>
    <cellStyle name="Normal 2 3 3 3 2 2" xfId="580"/>
    <cellStyle name="Normal 2 3 3 3 2 2 2" xfId="1322"/>
    <cellStyle name="Normal 2 3 3 3 2 2 2 2" xfId="1376"/>
    <cellStyle name="Normal 2 3 3 3 2 2 2 2 2" xfId="3340"/>
    <cellStyle name="Normal 2 3 3 3 2 2 2 2 2 2" xfId="3394"/>
    <cellStyle name="Normal 2 3 3 3 2 2 2 2 2 2 2" xfId="8555"/>
    <cellStyle name="Normal 2 3 3 3 2 2 2 2 2 2 2 2" xfId="8609"/>
    <cellStyle name="Normal 2 3 3 3 2 2 2 2 2 2 2 2 2" xfId="22107"/>
    <cellStyle name="Normal 2 3 3 3 2 2 2 2 2 2 2 2 2 2" xfId="22161"/>
    <cellStyle name="Normal 2 3 3 3 2 2 2 2 2 2 2 2 2 2 2" xfId="57433"/>
    <cellStyle name="Normal 2 3 3 3 2 2 2 2 2 2 2 2 2 2 2 2" xfId="57487"/>
    <cellStyle name="Normal 2 3 3 3 2 2 2 2 2 2 2 2 2 3" xfId="35664"/>
    <cellStyle name="Normal 2 3 3 3 2 2 2 2 2 2 2 2 3" xfId="35610"/>
    <cellStyle name="Normal 2 3 3 3 2 2 2 2 2 2 2 2 3 2" xfId="44036"/>
    <cellStyle name="Normal 2 3 3 3 2 2 2 2 2 2 2 3" xfId="13834"/>
    <cellStyle name="Normal 2 3 3 3 2 2 2 2 2 2 2 3 2" xfId="43982"/>
    <cellStyle name="Normal 2 3 3 3 2 2 2 2 2 2 2 3 2 2" xfId="49180"/>
    <cellStyle name="Normal 2 3 3 3 2 2 2 2 2 2 2 4" xfId="27319"/>
    <cellStyle name="Normal 2 3 3 3 2 2 2 2 2 2 3" xfId="13780"/>
    <cellStyle name="Normal 2 3 3 3 2 2 2 2 2 2 3 2" xfId="17051"/>
    <cellStyle name="Normal 2 3 3 3 2 2 2 2 2 2 3 2 2" xfId="49126"/>
    <cellStyle name="Normal 2 3 3 3 2 2 2 2 2 2 3 2 2 2" xfId="52379"/>
    <cellStyle name="Normal 2 3 3 3 2 2 2 2 2 2 3 3" xfId="30553"/>
    <cellStyle name="Normal 2 3 3 3 2 2 2 2 2 2 4" xfId="27265"/>
    <cellStyle name="Normal 2 3 3 3 2 2 2 2 2 2 4 2" xfId="38863"/>
    <cellStyle name="Normal 2 3 3 3 2 2 2 2 2 3" xfId="5431"/>
    <cellStyle name="Normal 2 3 3 3 2 2 2 2 2 3 2" xfId="16997"/>
    <cellStyle name="Normal 2 3 3 3 2 2 2 2 2 3 2 2" xfId="19004"/>
    <cellStyle name="Normal 2 3 3 3 2 2 2 2 2 3 2 2 2" xfId="52325"/>
    <cellStyle name="Normal 2 3 3 3 2 2 2 2 2 3 2 2 2 2" xfId="54330"/>
    <cellStyle name="Normal 2 3 3 3 2 2 2 2 2 3 2 3" xfId="32505"/>
    <cellStyle name="Normal 2 3 3 3 2 2 2 2 2 3 3" xfId="30499"/>
    <cellStyle name="Normal 2 3 3 3 2 2 2 2 2 3 3 2" xfId="40868"/>
    <cellStyle name="Normal 2 3 3 3 2 2 2 2 2 4" xfId="10634"/>
    <cellStyle name="Normal 2 3 3 3 2 2 2 2 2 4 2" xfId="38809"/>
    <cellStyle name="Normal 2 3 3 3 2 2 2 2 2 4 2 2" xfId="45997"/>
    <cellStyle name="Normal 2 3 3 3 2 2 2 2 2 5" xfId="24120"/>
    <cellStyle name="Normal 2 3 3 3 2 2 2 2 3" xfId="5377"/>
    <cellStyle name="Normal 2 3 3 3 2 2 2 2 3 2" xfId="6684"/>
    <cellStyle name="Normal 2 3 3 3 2 2 2 2 3 2 2" xfId="18950"/>
    <cellStyle name="Normal 2 3 3 3 2 2 2 2 3 2 2 2" xfId="20237"/>
    <cellStyle name="Normal 2 3 3 3 2 2 2 2 3 2 2 2 2" xfId="54276"/>
    <cellStyle name="Normal 2 3 3 3 2 2 2 2 3 2 2 2 2 2" xfId="55563"/>
    <cellStyle name="Normal 2 3 3 3 2 2 2 2 3 2 2 3" xfId="33739"/>
    <cellStyle name="Normal 2 3 3 3 2 2 2 2 3 2 3" xfId="32451"/>
    <cellStyle name="Normal 2 3 3 3 2 2 2 2 3 2 3 2" xfId="42112"/>
    <cellStyle name="Normal 2 3 3 3 2 2 2 2 3 3" xfId="11907"/>
    <cellStyle name="Normal 2 3 3 3 2 2 2 2 3 3 2" xfId="40814"/>
    <cellStyle name="Normal 2 3 3 3 2 2 2 2 3 3 2 2" xfId="47255"/>
    <cellStyle name="Normal 2 3 3 3 2 2 2 2 3 4" xfId="25392"/>
    <cellStyle name="Normal 2 3 3 3 2 2 2 2 4" xfId="10580"/>
    <cellStyle name="Normal 2 3 3 3 2 2 2 2 4 2" xfId="15065"/>
    <cellStyle name="Normal 2 3 3 3 2 2 2 2 4 2 2" xfId="45943"/>
    <cellStyle name="Normal 2 3 3 3 2 2 2 2 4 2 2 2" xfId="50404"/>
    <cellStyle name="Normal 2 3 3 3 2 2 2 2 4 3" xfId="28578"/>
    <cellStyle name="Normal 2 3 3 3 2 2 2 2 5" xfId="24066"/>
    <cellStyle name="Normal 2 3 3 3 2 2 2 2 5 2" xfId="36873"/>
    <cellStyle name="Normal 2 3 3 3 2 2 2 3" xfId="2183"/>
    <cellStyle name="Normal 2 3 3 3 2 2 2 3 2" xfId="6630"/>
    <cellStyle name="Normal 2 3 3 3 2 2 2 3 2 2" xfId="7417"/>
    <cellStyle name="Normal 2 3 3 3 2 2 2 3 2 2 2" xfId="20183"/>
    <cellStyle name="Normal 2 3 3 3 2 2 2 3 2 2 2 2" xfId="20969"/>
    <cellStyle name="Normal 2 3 3 3 2 2 2 3 2 2 2 2 2" xfId="55509"/>
    <cellStyle name="Normal 2 3 3 3 2 2 2 3 2 2 2 2 2 2" xfId="56295"/>
    <cellStyle name="Normal 2 3 3 3 2 2 2 3 2 2 2 3" xfId="34472"/>
    <cellStyle name="Normal 2 3 3 3 2 2 2 3 2 2 3" xfId="33685"/>
    <cellStyle name="Normal 2 3 3 3 2 2 2 3 2 2 3 2" xfId="42844"/>
    <cellStyle name="Normal 2 3 3 3 2 2 2 3 2 3" xfId="12642"/>
    <cellStyle name="Normal 2 3 3 3 2 2 2 3 2 3 2" xfId="42058"/>
    <cellStyle name="Normal 2 3 3 3 2 2 2 3 2 3 2 2" xfId="47988"/>
    <cellStyle name="Normal 2 3 3 3 2 2 2 3 2 4" xfId="26126"/>
    <cellStyle name="Normal 2 3 3 3 2 2 2 3 3" xfId="11853"/>
    <cellStyle name="Normal 2 3 3 3 2 2 2 3 3 2" xfId="15847"/>
    <cellStyle name="Normal 2 3 3 3 2 2 2 3 3 2 2" xfId="47201"/>
    <cellStyle name="Normal 2 3 3 3 2 2 2 3 3 2 2 2" xfId="51179"/>
    <cellStyle name="Normal 2 3 3 3 2 2 2 3 3 3" xfId="29353"/>
    <cellStyle name="Normal 2 3 3 3 2 2 2 3 4" xfId="25338"/>
    <cellStyle name="Normal 2 3 3 3 2 2 2 3 4 2" xfId="37661"/>
    <cellStyle name="Normal 2 3 3 3 2 2 2 4" xfId="4199"/>
    <cellStyle name="Normal 2 3 3 3 2 2 2 4 2" xfId="15011"/>
    <cellStyle name="Normal 2 3 3 3 2 2 2 4 2 2" xfId="17792"/>
    <cellStyle name="Normal 2 3 3 3 2 2 2 4 2 2 2" xfId="50350"/>
    <cellStyle name="Normal 2 3 3 3 2 2 2 4 2 2 2 2" xfId="53119"/>
    <cellStyle name="Normal 2 3 3 3 2 2 2 4 2 3" xfId="31294"/>
    <cellStyle name="Normal 2 3 3 3 2 2 2 4 3" xfId="28524"/>
    <cellStyle name="Normal 2 3 3 3 2 2 2 4 3 2" xfId="39642"/>
    <cellStyle name="Normal 2 3 3 3 2 2 2 5" xfId="9390"/>
    <cellStyle name="Normal 2 3 3 3 2 2 2 5 2" xfId="36819"/>
    <cellStyle name="Normal 2 3 3 3 2 2 2 5 2 2" xfId="44772"/>
    <cellStyle name="Normal 2 3 3 3 2 2 2 6" xfId="22886"/>
    <cellStyle name="Normal 2 3 3 3 2 2 3" xfId="2129"/>
    <cellStyle name="Normal 2 3 3 3 2 2 3 2" xfId="2670"/>
    <cellStyle name="Normal 2 3 3 3 2 2 3 2 2" xfId="7363"/>
    <cellStyle name="Normal 2 3 3 3 2 2 3 2 2 2" xfId="7889"/>
    <cellStyle name="Normal 2 3 3 3 2 2 3 2 2 2 2" xfId="20915"/>
    <cellStyle name="Normal 2 3 3 3 2 2 3 2 2 2 2 2" xfId="21441"/>
    <cellStyle name="Normal 2 3 3 3 2 2 3 2 2 2 2 2 2" xfId="56241"/>
    <cellStyle name="Normal 2 3 3 3 2 2 3 2 2 2 2 2 2 2" xfId="56767"/>
    <cellStyle name="Normal 2 3 3 3 2 2 3 2 2 2 2 3" xfId="34944"/>
    <cellStyle name="Normal 2 3 3 3 2 2 3 2 2 2 3" xfId="34418"/>
    <cellStyle name="Normal 2 3 3 3 2 2 3 2 2 2 3 2" xfId="43316"/>
    <cellStyle name="Normal 2 3 3 3 2 2 3 2 2 3" xfId="13114"/>
    <cellStyle name="Normal 2 3 3 3 2 2 3 2 2 3 2" xfId="42790"/>
    <cellStyle name="Normal 2 3 3 3 2 2 3 2 2 3 2 2" xfId="48460"/>
    <cellStyle name="Normal 2 3 3 3 2 2 3 2 2 4" xfId="26598"/>
    <cellStyle name="Normal 2 3 3 3 2 2 3 2 3" xfId="12588"/>
    <cellStyle name="Normal 2 3 3 3 2 2 3 2 3 2" xfId="16329"/>
    <cellStyle name="Normal 2 3 3 3 2 2 3 2 3 2 2" xfId="47934"/>
    <cellStyle name="Normal 2 3 3 3 2 2 3 2 3 2 2 2" xfId="51659"/>
    <cellStyle name="Normal 2 3 3 3 2 2 3 2 3 3" xfId="29833"/>
    <cellStyle name="Normal 2 3 3 3 2 2 3 2 4" xfId="26072"/>
    <cellStyle name="Normal 2 3 3 3 2 2 3 2 4 2" xfId="38143"/>
    <cellStyle name="Normal 2 3 3 3 2 2 3 3" xfId="4706"/>
    <cellStyle name="Normal 2 3 3 3 2 2 3 3 2" xfId="15793"/>
    <cellStyle name="Normal 2 3 3 3 2 2 3 3 2 2" xfId="18283"/>
    <cellStyle name="Normal 2 3 3 3 2 2 3 3 2 2 2" xfId="51125"/>
    <cellStyle name="Normal 2 3 3 3 2 2 3 3 2 2 2 2" xfId="53609"/>
    <cellStyle name="Normal 2 3 3 3 2 2 3 3 2 3" xfId="31784"/>
    <cellStyle name="Normal 2 3 3 3 2 2 3 3 3" xfId="29299"/>
    <cellStyle name="Normal 2 3 3 3 2 2 3 3 3 2" xfId="40144"/>
    <cellStyle name="Normal 2 3 3 3 2 2 3 4" xfId="9909"/>
    <cellStyle name="Normal 2 3 3 3 2 2 3 4 2" xfId="37607"/>
    <cellStyle name="Normal 2 3 3 3 2 2 3 4 2 2" xfId="45276"/>
    <cellStyle name="Normal 2 3 3 3 2 2 3 5" xfId="23399"/>
    <cellStyle name="Normal 2 3 3 3 2 2 4" xfId="4145"/>
    <cellStyle name="Normal 2 3 3 3 2 2 4 2" xfId="5911"/>
    <cellStyle name="Normal 2 3 3 3 2 2 4 2 2" xfId="17738"/>
    <cellStyle name="Normal 2 3 3 3 2 2 4 2 2 2" xfId="19478"/>
    <cellStyle name="Normal 2 3 3 3 2 2 4 2 2 2 2" xfId="53065"/>
    <cellStyle name="Normal 2 3 3 3 2 2 4 2 2 2 2 2" xfId="54804"/>
    <cellStyle name="Normal 2 3 3 3 2 2 4 2 2 3" xfId="32979"/>
    <cellStyle name="Normal 2 3 3 3 2 2 4 2 3" xfId="31240"/>
    <cellStyle name="Normal 2 3 3 3 2 2 4 2 3 2" xfId="41345"/>
    <cellStyle name="Normal 2 3 3 3 2 2 4 3" xfId="11136"/>
    <cellStyle name="Normal 2 3 3 3 2 2 4 3 2" xfId="39588"/>
    <cellStyle name="Normal 2 3 3 3 2 2 4 3 2 2" xfId="46494"/>
    <cellStyle name="Normal 2 3 3 3 2 2 4 4" xfId="24629"/>
    <cellStyle name="Normal 2 3 3 3 2 2 5" xfId="9336"/>
    <cellStyle name="Normal 2 3 3 3 2 2 5 2" xfId="14295"/>
    <cellStyle name="Normal 2 3 3 3 2 2 5 2 2" xfId="44718"/>
    <cellStyle name="Normal 2 3 3 3 2 2 5 2 2 2" xfId="49640"/>
    <cellStyle name="Normal 2 3 3 3 2 2 5 3" xfId="27805"/>
    <cellStyle name="Normal 2 3 3 3 2 2 6" xfId="22832"/>
    <cellStyle name="Normal 2 3 3 3 2 2 6 2" xfId="36107"/>
    <cellStyle name="Normal 2 3 3 3 2 3" xfId="908"/>
    <cellStyle name="Normal 2 3 3 3 2 3 2" xfId="2608"/>
    <cellStyle name="Normal 2 3 3 3 2 3 2 2" xfId="2946"/>
    <cellStyle name="Normal 2 3 3 3 2 3 2 2 2" xfId="7828"/>
    <cellStyle name="Normal 2 3 3 3 2 3 2 2 2 2" xfId="8161"/>
    <cellStyle name="Normal 2 3 3 3 2 3 2 2 2 2 2" xfId="21380"/>
    <cellStyle name="Normal 2 3 3 3 2 3 2 2 2 2 2 2" xfId="21713"/>
    <cellStyle name="Normal 2 3 3 3 2 3 2 2 2 2 2 2 2" xfId="56706"/>
    <cellStyle name="Normal 2 3 3 3 2 3 2 2 2 2 2 2 2 2" xfId="57039"/>
    <cellStyle name="Normal 2 3 3 3 2 3 2 2 2 2 2 3" xfId="35216"/>
    <cellStyle name="Normal 2 3 3 3 2 3 2 2 2 2 3" xfId="34883"/>
    <cellStyle name="Normal 2 3 3 3 2 3 2 2 2 2 3 2" xfId="43588"/>
    <cellStyle name="Normal 2 3 3 3 2 3 2 2 2 3" xfId="13386"/>
    <cellStyle name="Normal 2 3 3 3 2 3 2 2 2 3 2" xfId="43255"/>
    <cellStyle name="Normal 2 3 3 3 2 3 2 2 2 3 2 2" xfId="48732"/>
    <cellStyle name="Normal 2 3 3 3 2 3 2 2 2 4" xfId="26871"/>
    <cellStyle name="Normal 2 3 3 3 2 3 2 2 3" xfId="13053"/>
    <cellStyle name="Normal 2 3 3 3 2 3 2 2 3 2" xfId="16603"/>
    <cellStyle name="Normal 2 3 3 3 2 3 2 2 3 2 2" xfId="48399"/>
    <cellStyle name="Normal 2 3 3 3 2 3 2 2 3 2 2 2" xfId="51931"/>
    <cellStyle name="Normal 2 3 3 3 2 3 2 2 3 3" xfId="30105"/>
    <cellStyle name="Normal 2 3 3 3 2 3 2 2 4" xfId="26537"/>
    <cellStyle name="Normal 2 3 3 3 2 3 2 2 4 2" xfId="38415"/>
    <cellStyle name="Normal 2 3 3 3 2 3 2 3" xfId="4982"/>
    <cellStyle name="Normal 2 3 3 3 2 3 2 3 2" xfId="16267"/>
    <cellStyle name="Normal 2 3 3 3 2 3 2 3 2 2" xfId="18555"/>
    <cellStyle name="Normal 2 3 3 3 2 3 2 3 2 2 2" xfId="51597"/>
    <cellStyle name="Normal 2 3 3 3 2 3 2 3 2 2 2 2" xfId="53881"/>
    <cellStyle name="Normal 2 3 3 3 2 3 2 3 2 3" xfId="32056"/>
    <cellStyle name="Normal 2 3 3 3 2 3 2 3 3" xfId="29771"/>
    <cellStyle name="Normal 2 3 3 3 2 3 2 3 3 2" xfId="40419"/>
    <cellStyle name="Normal 2 3 3 3 2 3 2 4" xfId="10185"/>
    <cellStyle name="Normal 2 3 3 3 2 3 2 4 2" xfId="38081"/>
    <cellStyle name="Normal 2 3 3 3 2 3 2 4 2 2" xfId="45548"/>
    <cellStyle name="Normal 2 3 3 3 2 3 2 5" xfId="23671"/>
    <cellStyle name="Normal 2 3 3 3 2 3 3" xfId="4642"/>
    <cellStyle name="Normal 2 3 3 3 2 3 3 2" xfId="6219"/>
    <cellStyle name="Normal 2 3 3 3 2 3 3 2 2" xfId="18222"/>
    <cellStyle name="Normal 2 3 3 3 2 3 3 2 2 2" xfId="19776"/>
    <cellStyle name="Normal 2 3 3 3 2 3 3 2 2 2 2" xfId="53548"/>
    <cellStyle name="Normal 2 3 3 3 2 3 3 2 2 2 2 2" xfId="55102"/>
    <cellStyle name="Normal 2 3 3 3 2 3 3 2 2 3" xfId="33278"/>
    <cellStyle name="Normal 2 3 3 3 2 3 3 2 3" xfId="31723"/>
    <cellStyle name="Normal 2 3 3 3 2 3 3 2 3 2" xfId="41648"/>
    <cellStyle name="Normal 2 3 3 3 2 3 3 3" xfId="11444"/>
    <cellStyle name="Normal 2 3 3 3 2 3 3 3 2" xfId="40081"/>
    <cellStyle name="Normal 2 3 3 3 2 3 3 3 2 2" xfId="46793"/>
    <cellStyle name="Normal 2 3 3 3 2 3 3 4" xfId="24930"/>
    <cellStyle name="Normal 2 3 3 3 2 3 4" xfId="9845"/>
    <cellStyle name="Normal 2 3 3 3 2 3 4 2" xfId="14602"/>
    <cellStyle name="Normal 2 3 3 3 2 3 4 2 2" xfId="45215"/>
    <cellStyle name="Normal 2 3 3 3 2 3 4 2 2 2" xfId="49941"/>
    <cellStyle name="Normal 2 3 3 3 2 3 4 3" xfId="28113"/>
    <cellStyle name="Normal 2 3 3 3 2 3 5" xfId="23338"/>
    <cellStyle name="Normal 2 3 3 3 2 3 5 2" xfId="36410"/>
    <cellStyle name="Normal 2 3 3 3 2 4" xfId="1704"/>
    <cellStyle name="Normal 2 3 3 3 2 4 2" xfId="5847"/>
    <cellStyle name="Normal 2 3 3 3 2 4 2 2" xfId="6957"/>
    <cellStyle name="Normal 2 3 3 3 2 4 2 2 2" xfId="19415"/>
    <cellStyle name="Normal 2 3 3 3 2 4 2 2 2 2" xfId="20510"/>
    <cellStyle name="Normal 2 3 3 3 2 4 2 2 2 2 2" xfId="54741"/>
    <cellStyle name="Normal 2 3 3 3 2 4 2 2 2 2 2 2" xfId="55836"/>
    <cellStyle name="Normal 2 3 3 3 2 4 2 2 2 3" xfId="34012"/>
    <cellStyle name="Normal 2 3 3 3 2 4 2 2 3" xfId="32916"/>
    <cellStyle name="Normal 2 3 3 3 2 4 2 2 3 2" xfId="42385"/>
    <cellStyle name="Normal 2 3 3 3 2 4 2 3" xfId="12181"/>
    <cellStyle name="Normal 2 3 3 3 2 4 2 3 2" xfId="41282"/>
    <cellStyle name="Normal 2 3 3 3 2 4 2 3 2 2" xfId="47528"/>
    <cellStyle name="Normal 2 3 3 3 2 4 2 4" xfId="25666"/>
    <cellStyle name="Normal 2 3 3 3 2 4 3" xfId="11070"/>
    <cellStyle name="Normal 2 3 3 3 2 4 3 2" xfId="15376"/>
    <cellStyle name="Normal 2 3 3 3 2 4 3 2 2" xfId="46429"/>
    <cellStyle name="Normal 2 3 3 3 2 4 3 2 2 2" xfId="50709"/>
    <cellStyle name="Normal 2 3 3 3 2 4 3 3" xfId="28883"/>
    <cellStyle name="Normal 2 3 3 3 2 4 4" xfId="24564"/>
    <cellStyle name="Normal 2 3 3 3 2 4 4 2" xfId="37186"/>
    <cellStyle name="Normal 2 3 3 3 2 5" xfId="3709"/>
    <cellStyle name="Normal 2 3 3 3 2 5 2" xfId="14231"/>
    <cellStyle name="Normal 2 3 3 3 2 5 2 2" xfId="17325"/>
    <cellStyle name="Normal 2 3 3 3 2 5 2 2 2" xfId="49576"/>
    <cellStyle name="Normal 2 3 3 3 2 5 2 2 2 2" xfId="52652"/>
    <cellStyle name="Normal 2 3 3 3 2 5 2 3" xfId="30826"/>
    <cellStyle name="Normal 2 3 3 3 2 5 3" xfId="27738"/>
    <cellStyle name="Normal 2 3 3 3 2 5 3 2" xfId="39160"/>
    <cellStyle name="Normal 2 3 3 3 2 6" xfId="8898"/>
    <cellStyle name="Normal 2 3 3 3 2 6 2" xfId="36043"/>
    <cellStyle name="Normal 2 3 3 3 2 6 2 2" xfId="44297"/>
    <cellStyle name="Normal 2 3 3 3 2 7" xfId="22405"/>
    <cellStyle name="Normal 2 3 3 3 3" xfId="839"/>
    <cellStyle name="Normal 2 3 3 3 3 2" xfId="1089"/>
    <cellStyle name="Normal 2 3 3 3 3 2 2" xfId="2891"/>
    <cellStyle name="Normal 2 3 3 3 3 2 2 2" xfId="3119"/>
    <cellStyle name="Normal 2 3 3 3 3 2 2 2 2" xfId="8106"/>
    <cellStyle name="Normal 2 3 3 3 3 2 2 2 2 2" xfId="8334"/>
    <cellStyle name="Normal 2 3 3 3 3 2 2 2 2 2 2" xfId="21658"/>
    <cellStyle name="Normal 2 3 3 3 3 2 2 2 2 2 2 2" xfId="21886"/>
    <cellStyle name="Normal 2 3 3 3 3 2 2 2 2 2 2 2 2" xfId="56984"/>
    <cellStyle name="Normal 2 3 3 3 3 2 2 2 2 2 2 2 2 2" xfId="57212"/>
    <cellStyle name="Normal 2 3 3 3 3 2 2 2 2 2 2 3" xfId="35389"/>
    <cellStyle name="Normal 2 3 3 3 3 2 2 2 2 2 3" xfId="35161"/>
    <cellStyle name="Normal 2 3 3 3 3 2 2 2 2 2 3 2" xfId="43761"/>
    <cellStyle name="Normal 2 3 3 3 3 2 2 2 2 3" xfId="13559"/>
    <cellStyle name="Normal 2 3 3 3 3 2 2 2 2 3 2" xfId="43533"/>
    <cellStyle name="Normal 2 3 3 3 3 2 2 2 2 3 2 2" xfId="48905"/>
    <cellStyle name="Normal 2 3 3 3 3 2 2 2 2 4" xfId="27044"/>
    <cellStyle name="Normal 2 3 3 3 3 2 2 2 3" xfId="13331"/>
    <cellStyle name="Normal 2 3 3 3 3 2 2 2 3 2" xfId="16776"/>
    <cellStyle name="Normal 2 3 3 3 3 2 2 2 3 2 2" xfId="48677"/>
    <cellStyle name="Normal 2 3 3 3 3 2 2 2 3 2 2 2" xfId="52104"/>
    <cellStyle name="Normal 2 3 3 3 3 2 2 2 3 3" xfId="30278"/>
    <cellStyle name="Normal 2 3 3 3 3 2 2 2 4" xfId="26816"/>
    <cellStyle name="Normal 2 3 3 3 3 2 2 2 4 2" xfId="38588"/>
    <cellStyle name="Normal 2 3 3 3 3 2 2 3" xfId="5156"/>
    <cellStyle name="Normal 2 3 3 3 3 2 2 3 2" xfId="16548"/>
    <cellStyle name="Normal 2 3 3 3 3 2 2 3 2 2" xfId="18729"/>
    <cellStyle name="Normal 2 3 3 3 3 2 2 3 2 2 2" xfId="51876"/>
    <cellStyle name="Normal 2 3 3 3 3 2 2 3 2 2 2 2" xfId="54055"/>
    <cellStyle name="Normal 2 3 3 3 3 2 2 3 2 3" xfId="32230"/>
    <cellStyle name="Normal 2 3 3 3 3 2 2 3 3" xfId="30050"/>
    <cellStyle name="Normal 2 3 3 3 3 2 2 3 3 2" xfId="40593"/>
    <cellStyle name="Normal 2 3 3 3 3 2 2 4" xfId="10359"/>
    <cellStyle name="Normal 2 3 3 3 3 2 2 4 2" xfId="38360"/>
    <cellStyle name="Normal 2 3 3 3 3 2 2 4 2 2" xfId="45722"/>
    <cellStyle name="Normal 2 3 3 3 3 2 2 5" xfId="23845"/>
    <cellStyle name="Normal 2 3 3 3 3 2 3" xfId="4927"/>
    <cellStyle name="Normal 2 3 3 3 3 2 3 2" xfId="6398"/>
    <cellStyle name="Normal 2 3 3 3 3 2 3 2 2" xfId="18500"/>
    <cellStyle name="Normal 2 3 3 3 3 2 3 2 2 2" xfId="19954"/>
    <cellStyle name="Normal 2 3 3 3 3 2 3 2 2 2 2" xfId="53826"/>
    <cellStyle name="Normal 2 3 3 3 3 2 3 2 2 2 2 2" xfId="55280"/>
    <cellStyle name="Normal 2 3 3 3 3 2 3 2 2 3" xfId="33456"/>
    <cellStyle name="Normal 2 3 3 3 3 2 3 2 3" xfId="32001"/>
    <cellStyle name="Normal 2 3 3 3 3 2 3 2 3 2" xfId="41827"/>
    <cellStyle name="Normal 2 3 3 3 3 2 3 3" xfId="11623"/>
    <cellStyle name="Normal 2 3 3 3 3 2 3 3 2" xfId="40364"/>
    <cellStyle name="Normal 2 3 3 3 3 2 3 3 2 2" xfId="46972"/>
    <cellStyle name="Normal 2 3 3 3 3 2 3 4" xfId="25109"/>
    <cellStyle name="Normal 2 3 3 3 3 2 4" xfId="10130"/>
    <cellStyle name="Normal 2 3 3 3 3 2 4 2" xfId="14781"/>
    <cellStyle name="Normal 2 3 3 3 3 2 4 2 2" xfId="45493"/>
    <cellStyle name="Normal 2 3 3 3 3 2 4 2 2 2" xfId="50120"/>
    <cellStyle name="Normal 2 3 3 3 3 2 4 3" xfId="28293"/>
    <cellStyle name="Normal 2 3 3 3 3 2 5" xfId="23616"/>
    <cellStyle name="Normal 2 3 3 3 3 2 5 2" xfId="36589"/>
    <cellStyle name="Normal 2 3 3 3 3 3" xfId="1897"/>
    <cellStyle name="Normal 2 3 3 3 3 3 2" xfId="6154"/>
    <cellStyle name="Normal 2 3 3 3 3 3 2 2" xfId="7141"/>
    <cellStyle name="Normal 2 3 3 3 3 3 2 2 2" xfId="19714"/>
    <cellStyle name="Normal 2 3 3 3 3 3 2 2 2 2" xfId="20693"/>
    <cellStyle name="Normal 2 3 3 3 3 3 2 2 2 2 2" xfId="55040"/>
    <cellStyle name="Normal 2 3 3 3 3 3 2 2 2 2 2 2" xfId="56019"/>
    <cellStyle name="Normal 2 3 3 3 3 3 2 2 2 3" xfId="34196"/>
    <cellStyle name="Normal 2 3 3 3 3 3 2 2 3" xfId="33216"/>
    <cellStyle name="Normal 2 3 3 3 3 3 2 2 3 2" xfId="42568"/>
    <cellStyle name="Normal 2 3 3 3 3 3 2 3" xfId="12366"/>
    <cellStyle name="Normal 2 3 3 3 3 3 2 3 2" xfId="41585"/>
    <cellStyle name="Normal 2 3 3 3 3 3 2 3 2 2" xfId="47712"/>
    <cellStyle name="Normal 2 3 3 3 3 3 2 4" xfId="25850"/>
    <cellStyle name="Normal 2 3 3 3 3 3 3" xfId="11380"/>
    <cellStyle name="Normal 2 3 3 3 3 3 3 2" xfId="15564"/>
    <cellStyle name="Normal 2 3 3 3 3 3 3 2 2" xfId="46731"/>
    <cellStyle name="Normal 2 3 3 3 3 3 3 2 2 2" xfId="50896"/>
    <cellStyle name="Normal 2 3 3 3 3 3 3 3" xfId="29070"/>
    <cellStyle name="Normal 2 3 3 3 3 3 4" xfId="24868"/>
    <cellStyle name="Normal 2 3 3 3 3 3 4 2" xfId="37376"/>
    <cellStyle name="Normal 2 3 3 3 3 4" xfId="3911"/>
    <cellStyle name="Normal 2 3 3 3 3 4 2" xfId="14537"/>
    <cellStyle name="Normal 2 3 3 3 3 4 2 2" xfId="17516"/>
    <cellStyle name="Normal 2 3 3 3 3 4 2 2 2" xfId="49878"/>
    <cellStyle name="Normal 2 3 3 3 3 4 2 2 2 2" xfId="52843"/>
    <cellStyle name="Normal 2 3 3 3 3 4 2 3" xfId="31018"/>
    <cellStyle name="Normal 2 3 3 3 3 4 3" xfId="28048"/>
    <cellStyle name="Normal 2 3 3 3 3 4 3 2" xfId="39356"/>
    <cellStyle name="Normal 2 3 3 3 3 5" xfId="9103"/>
    <cellStyle name="Normal 2 3 3 3 3 5 2" xfId="36347"/>
    <cellStyle name="Normal 2 3 3 3 3 5 2 2" xfId="44495"/>
    <cellStyle name="Normal 2 3 3 3 3 6" xfId="22609"/>
    <cellStyle name="Normal 2 3 3 3 4" xfId="1634"/>
    <cellStyle name="Normal 2 3 3 3 4 2" xfId="2346"/>
    <cellStyle name="Normal 2 3 3 3 4 2 2" xfId="6900"/>
    <cellStyle name="Normal 2 3 3 3 4 2 2 2" xfId="7580"/>
    <cellStyle name="Normal 2 3 3 3 4 2 2 2 2" xfId="20453"/>
    <cellStyle name="Normal 2 3 3 3 4 2 2 2 2 2" xfId="21132"/>
    <cellStyle name="Normal 2 3 3 3 4 2 2 2 2 2 2" xfId="55779"/>
    <cellStyle name="Normal 2 3 3 3 4 2 2 2 2 2 2 2" xfId="56458"/>
    <cellStyle name="Normal 2 3 3 3 4 2 2 2 2 3" xfId="34635"/>
    <cellStyle name="Normal 2 3 3 3 4 2 2 2 3" xfId="33955"/>
    <cellStyle name="Normal 2 3 3 3 4 2 2 2 3 2" xfId="43007"/>
    <cellStyle name="Normal 2 3 3 3 4 2 2 3" xfId="12805"/>
    <cellStyle name="Normal 2 3 3 3 4 2 2 3 2" xfId="42328"/>
    <cellStyle name="Normal 2 3 3 3 4 2 2 3 2 2" xfId="48151"/>
    <cellStyle name="Normal 2 3 3 3 4 2 2 4" xfId="26289"/>
    <cellStyle name="Normal 2 3 3 3 4 2 3" xfId="12124"/>
    <cellStyle name="Normal 2 3 3 3 4 2 3 2" xfId="16010"/>
    <cellStyle name="Normal 2 3 3 3 4 2 3 2 2" xfId="47471"/>
    <cellStyle name="Normal 2 3 3 3 4 2 3 2 2 2" xfId="51342"/>
    <cellStyle name="Normal 2 3 3 3 4 2 3 3" xfId="29516"/>
    <cellStyle name="Normal 2 3 3 3 4 2 4" xfId="25609"/>
    <cellStyle name="Normal 2 3 3 3 4 2 4 2" xfId="37824"/>
    <cellStyle name="Normal 2 3 3 3 4 3" xfId="4377"/>
    <cellStyle name="Normal 2 3 3 3 4 3 2" xfId="15308"/>
    <cellStyle name="Normal 2 3 3 3 4 3 2 2" xfId="17969"/>
    <cellStyle name="Normal 2 3 3 3 4 3 2 2 2" xfId="50643"/>
    <cellStyle name="Normal 2 3 3 3 4 3 2 2 2 2" xfId="53295"/>
    <cellStyle name="Normal 2 3 3 3 4 3 2 3" xfId="31470"/>
    <cellStyle name="Normal 2 3 3 3 4 3 3" xfId="28817"/>
    <cellStyle name="Normal 2 3 3 3 4 3 3 2" xfId="39819"/>
    <cellStyle name="Normal 2 3 3 3 4 4" xfId="9578"/>
    <cellStyle name="Normal 2 3 3 3 4 4 2" xfId="37119"/>
    <cellStyle name="Normal 2 3 3 3 4 4 2 2" xfId="44959"/>
    <cellStyle name="Normal 2 3 3 3 4 5" xfId="23079"/>
    <cellStyle name="Normal 2 3 3 3 5" xfId="3638"/>
    <cellStyle name="Normal 2 3 3 3 5 2" xfId="5587"/>
    <cellStyle name="Normal 2 3 3 3 5 2 2" xfId="17268"/>
    <cellStyle name="Normal 2 3 3 3 5 2 2 2" xfId="19159"/>
    <cellStyle name="Normal 2 3 3 3 5 2 2 2 2" xfId="52595"/>
    <cellStyle name="Normal 2 3 3 3 5 2 2 2 2 2" xfId="54485"/>
    <cellStyle name="Normal 2 3 3 3 5 2 2 3" xfId="32660"/>
    <cellStyle name="Normal 2 3 3 3 5 2 3" xfId="30769"/>
    <cellStyle name="Normal 2 3 3 3 5 2 3 2" xfId="41023"/>
    <cellStyle name="Normal 2 3 3 3 5 3" xfId="10799"/>
    <cellStyle name="Normal 2 3 3 3 5 3 2" xfId="39093"/>
    <cellStyle name="Normal 2 3 3 3 5 3 2 2" xfId="46161"/>
    <cellStyle name="Normal 2 3 3 3 5 4" xfId="24289"/>
    <cellStyle name="Normal 2 3 3 3 6" xfId="8833"/>
    <cellStyle name="Normal 2 3 3 3 6 2" xfId="13971"/>
    <cellStyle name="Normal 2 3 3 3 6 2 2" xfId="44240"/>
    <cellStyle name="Normal 2 3 3 3 6 2 2 2" xfId="49317"/>
    <cellStyle name="Normal 2 3 3 3 6 3" xfId="27463"/>
    <cellStyle name="Normal 2 3 3 3 7" xfId="22348"/>
    <cellStyle name="Normal 2 3 3 3 7 2" xfId="35783"/>
    <cellStyle name="Normal 2 3 3 4" xfId="354"/>
    <cellStyle name="Normal 2 3 3 4 2" xfId="1015"/>
    <cellStyle name="Normal 2 3 3 4 2 2" xfId="1203"/>
    <cellStyle name="Normal 2 3 3 4 2 2 2" xfId="3052"/>
    <cellStyle name="Normal 2 3 3 4 2 2 2 2" xfId="3222"/>
    <cellStyle name="Normal 2 3 3 4 2 2 2 2 2" xfId="8267"/>
    <cellStyle name="Normal 2 3 3 4 2 2 2 2 2 2" xfId="8437"/>
    <cellStyle name="Normal 2 3 3 4 2 2 2 2 2 2 2" xfId="21819"/>
    <cellStyle name="Normal 2 3 3 4 2 2 2 2 2 2 2 2" xfId="21989"/>
    <cellStyle name="Normal 2 3 3 4 2 2 2 2 2 2 2 2 2" xfId="57145"/>
    <cellStyle name="Normal 2 3 3 4 2 2 2 2 2 2 2 2 2 2" xfId="57315"/>
    <cellStyle name="Normal 2 3 3 4 2 2 2 2 2 2 2 3" xfId="35492"/>
    <cellStyle name="Normal 2 3 3 4 2 2 2 2 2 2 3" xfId="35322"/>
    <cellStyle name="Normal 2 3 3 4 2 2 2 2 2 2 3 2" xfId="43864"/>
    <cellStyle name="Normal 2 3 3 4 2 2 2 2 2 3" xfId="13662"/>
    <cellStyle name="Normal 2 3 3 4 2 2 2 2 2 3 2" xfId="43694"/>
    <cellStyle name="Normal 2 3 3 4 2 2 2 2 2 3 2 2" xfId="49008"/>
    <cellStyle name="Normal 2 3 3 4 2 2 2 2 2 4" xfId="27147"/>
    <cellStyle name="Normal 2 3 3 4 2 2 2 2 3" xfId="13492"/>
    <cellStyle name="Normal 2 3 3 4 2 2 2 2 3 2" xfId="16879"/>
    <cellStyle name="Normal 2 3 3 4 2 2 2 2 3 2 2" xfId="48838"/>
    <cellStyle name="Normal 2 3 3 4 2 2 2 2 3 2 2 2" xfId="52207"/>
    <cellStyle name="Normal 2 3 3 4 2 2 2 2 3 3" xfId="30381"/>
    <cellStyle name="Normal 2 3 3 4 2 2 2 2 4" xfId="26977"/>
    <cellStyle name="Normal 2 3 3 4 2 2 2 2 4 2" xfId="38691"/>
    <cellStyle name="Normal 2 3 3 4 2 2 2 3" xfId="5259"/>
    <cellStyle name="Normal 2 3 3 4 2 2 2 3 2" xfId="16709"/>
    <cellStyle name="Normal 2 3 3 4 2 2 2 3 2 2" xfId="18832"/>
    <cellStyle name="Normal 2 3 3 4 2 2 2 3 2 2 2" xfId="52037"/>
    <cellStyle name="Normal 2 3 3 4 2 2 2 3 2 2 2 2" xfId="54158"/>
    <cellStyle name="Normal 2 3 3 4 2 2 2 3 2 3" xfId="32333"/>
    <cellStyle name="Normal 2 3 3 4 2 2 2 3 3" xfId="30211"/>
    <cellStyle name="Normal 2 3 3 4 2 2 2 3 3 2" xfId="40696"/>
    <cellStyle name="Normal 2 3 3 4 2 2 2 4" xfId="10462"/>
    <cellStyle name="Normal 2 3 3 4 2 2 2 4 2" xfId="38521"/>
    <cellStyle name="Normal 2 3 3 4 2 2 2 4 2 2" xfId="45825"/>
    <cellStyle name="Normal 2 3 3 4 2 2 2 5" xfId="23948"/>
    <cellStyle name="Normal 2 3 3 4 2 2 3" xfId="5089"/>
    <cellStyle name="Normal 2 3 3 4 2 2 3 2" xfId="6511"/>
    <cellStyle name="Normal 2 3 3 4 2 2 3 2 2" xfId="18662"/>
    <cellStyle name="Normal 2 3 3 4 2 2 3 2 2 2" xfId="20064"/>
    <cellStyle name="Normal 2 3 3 4 2 2 3 2 2 2 2" xfId="53988"/>
    <cellStyle name="Normal 2 3 3 4 2 2 3 2 2 2 2 2" xfId="55390"/>
    <cellStyle name="Normal 2 3 3 4 2 2 3 2 2 3" xfId="33566"/>
    <cellStyle name="Normal 2 3 3 4 2 2 3 2 3" xfId="32163"/>
    <cellStyle name="Normal 2 3 3 4 2 2 3 2 3 2" xfId="41939"/>
    <cellStyle name="Normal 2 3 3 4 2 2 3 3" xfId="11734"/>
    <cellStyle name="Normal 2 3 3 4 2 2 3 3 2" xfId="40526"/>
    <cellStyle name="Normal 2 3 3 4 2 2 3 3 2 2" xfId="47082"/>
    <cellStyle name="Normal 2 3 3 4 2 2 3 4" xfId="25219"/>
    <cellStyle name="Normal 2 3 3 4 2 2 4" xfId="10292"/>
    <cellStyle name="Normal 2 3 3 4 2 2 4 2" xfId="14892"/>
    <cellStyle name="Normal 2 3 3 4 2 2 4 2 2" xfId="45655"/>
    <cellStyle name="Normal 2 3 3 4 2 2 4 2 2 2" xfId="50231"/>
    <cellStyle name="Normal 2 3 3 4 2 2 4 3" xfId="28405"/>
    <cellStyle name="Normal 2 3 3 4 2 2 5" xfId="23778"/>
    <cellStyle name="Normal 2 3 3 4 2 2 5 2" xfId="36700"/>
    <cellStyle name="Normal 2 3 3 4 2 3" xfId="2010"/>
    <cellStyle name="Normal 2 3 3 4 2 3 2" xfId="6325"/>
    <cellStyle name="Normal 2 3 3 4 2 3 2 2" xfId="7244"/>
    <cellStyle name="Normal 2 3 3 4 2 3 2 2 2" xfId="19882"/>
    <cellStyle name="Normal 2 3 3 4 2 3 2 2 2 2" xfId="20796"/>
    <cellStyle name="Normal 2 3 3 4 2 3 2 2 2 2 2" xfId="55208"/>
    <cellStyle name="Normal 2 3 3 4 2 3 2 2 2 2 2 2" xfId="56122"/>
    <cellStyle name="Normal 2 3 3 4 2 3 2 2 2 3" xfId="34299"/>
    <cellStyle name="Normal 2 3 3 4 2 3 2 2 3" xfId="33384"/>
    <cellStyle name="Normal 2 3 3 4 2 3 2 2 3 2" xfId="42671"/>
    <cellStyle name="Normal 2 3 3 4 2 3 2 3" xfId="12469"/>
    <cellStyle name="Normal 2 3 3 4 2 3 2 3 2" xfId="41754"/>
    <cellStyle name="Normal 2 3 3 4 2 3 2 3 2 2" xfId="47815"/>
    <cellStyle name="Normal 2 3 3 4 2 3 2 4" xfId="25953"/>
    <cellStyle name="Normal 2 3 3 4 2 3 3" xfId="11551"/>
    <cellStyle name="Normal 2 3 3 4 2 3 3 2" xfId="15674"/>
    <cellStyle name="Normal 2 3 3 4 2 3 3 2 2" xfId="46900"/>
    <cellStyle name="Normal 2 3 3 4 2 3 3 2 2 2" xfId="51006"/>
    <cellStyle name="Normal 2 3 3 4 2 3 3 3" xfId="29180"/>
    <cellStyle name="Normal 2 3 3 4 2 3 4" xfId="25037"/>
    <cellStyle name="Normal 2 3 3 4 2 3 4 2" xfId="37488"/>
    <cellStyle name="Normal 2 3 3 4 2 4" xfId="4025"/>
    <cellStyle name="Normal 2 3 3 4 2 4 2" xfId="14708"/>
    <cellStyle name="Normal 2 3 3 4 2 4 2 2" xfId="17619"/>
    <cellStyle name="Normal 2 3 3 4 2 4 2 2 2" xfId="50047"/>
    <cellStyle name="Normal 2 3 3 4 2 4 2 2 2 2" xfId="52946"/>
    <cellStyle name="Normal 2 3 3 4 2 4 2 3" xfId="31121"/>
    <cellStyle name="Normal 2 3 3 4 2 4 3" xfId="28220"/>
    <cellStyle name="Normal 2 3 3 4 2 4 3 2" xfId="39469"/>
    <cellStyle name="Normal 2 3 3 4 2 5" xfId="9217"/>
    <cellStyle name="Normal 2 3 3 4 2 5 2" xfId="36516"/>
    <cellStyle name="Normal 2 3 3 4 2 5 2 2" xfId="44599"/>
    <cellStyle name="Normal 2 3 3 4 2 6" xfId="22713"/>
    <cellStyle name="Normal 2 3 3 4 3" xfId="1818"/>
    <cellStyle name="Normal 2 3 3 4 3 2" xfId="2463"/>
    <cellStyle name="Normal 2 3 3 4 3 2 2" xfId="7070"/>
    <cellStyle name="Normal 2 3 3 4 3 2 2 2" xfId="7693"/>
    <cellStyle name="Normal 2 3 3 4 3 2 2 2 2" xfId="20623"/>
    <cellStyle name="Normal 2 3 3 4 3 2 2 2 2 2" xfId="21245"/>
    <cellStyle name="Normal 2 3 3 4 3 2 2 2 2 2 2" xfId="55949"/>
    <cellStyle name="Normal 2 3 3 4 3 2 2 2 2 2 2 2" xfId="56571"/>
    <cellStyle name="Normal 2 3 3 4 3 2 2 2 2 3" xfId="34748"/>
    <cellStyle name="Normal 2 3 3 4 3 2 2 2 3" xfId="34125"/>
    <cellStyle name="Normal 2 3 3 4 3 2 2 2 3 2" xfId="43120"/>
    <cellStyle name="Normal 2 3 3 4 3 2 2 3" xfId="12918"/>
    <cellStyle name="Normal 2 3 3 4 3 2 2 3 2" xfId="42498"/>
    <cellStyle name="Normal 2 3 3 4 3 2 2 3 2 2" xfId="48264"/>
    <cellStyle name="Normal 2 3 3 4 3 2 2 4" xfId="26402"/>
    <cellStyle name="Normal 2 3 3 4 3 2 3" xfId="12294"/>
    <cellStyle name="Normal 2 3 3 4 3 2 3 2" xfId="16126"/>
    <cellStyle name="Normal 2 3 3 4 3 2 3 2 2" xfId="47641"/>
    <cellStyle name="Normal 2 3 3 4 3 2 3 2 2 2" xfId="51457"/>
    <cellStyle name="Normal 2 3 3 4 3 2 3 3" xfId="29631"/>
    <cellStyle name="Normal 2 3 3 4 3 2 4" xfId="25779"/>
    <cellStyle name="Normal 2 3 3 4 3 2 4 2" xfId="37940"/>
    <cellStyle name="Normal 2 3 3 4 3 3" xfId="4498"/>
    <cellStyle name="Normal 2 3 3 4 3 3 2" xfId="15490"/>
    <cellStyle name="Normal 2 3 3 4 3 3 2 2" xfId="18086"/>
    <cellStyle name="Normal 2 3 3 4 3 3 2 2 2" xfId="50823"/>
    <cellStyle name="Normal 2 3 3 4 3 3 2 2 2 2" xfId="53412"/>
    <cellStyle name="Normal 2 3 3 4 3 3 2 3" xfId="31587"/>
    <cellStyle name="Normal 2 3 3 4 3 3 3" xfId="28997"/>
    <cellStyle name="Normal 2 3 3 4 3 3 3 2" xfId="39939"/>
    <cellStyle name="Normal 2 3 3 4 3 4" xfId="9702"/>
    <cellStyle name="Normal 2 3 3 4 3 4 2" xfId="37300"/>
    <cellStyle name="Normal 2 3 3 4 3 4 2 2" xfId="45079"/>
    <cellStyle name="Normal 2 3 3 4 3 5" xfId="23202"/>
    <cellStyle name="Normal 2 3 3 4 4" xfId="3828"/>
    <cellStyle name="Normal 2 3 3 4 4 2" xfId="5705"/>
    <cellStyle name="Normal 2 3 3 4 4 2 2" xfId="17443"/>
    <cellStyle name="Normal 2 3 3 4 4 2 2 2" xfId="19275"/>
    <cellStyle name="Normal 2 3 3 4 4 2 2 2 2" xfId="52770"/>
    <cellStyle name="Normal 2 3 3 4 4 2 2 2 2 2" xfId="54601"/>
    <cellStyle name="Normal 2 3 3 4 4 2 2 3" xfId="32776"/>
    <cellStyle name="Normal 2 3 3 4 4 2 3" xfId="30944"/>
    <cellStyle name="Normal 2 3 3 4 4 2 3 2" xfId="41140"/>
    <cellStyle name="Normal 2 3 3 4 4 3" xfId="10925"/>
    <cellStyle name="Normal 2 3 3 4 4 3 2" xfId="39278"/>
    <cellStyle name="Normal 2 3 3 4 4 3 2 2" xfId="46285"/>
    <cellStyle name="Normal 2 3 3 4 4 4" xfId="24417"/>
    <cellStyle name="Normal 2 3 3 4 5" xfId="9020"/>
    <cellStyle name="Normal 2 3 3 4 5 2" xfId="14089"/>
    <cellStyle name="Normal 2 3 3 4 5 2 2" xfId="44418"/>
    <cellStyle name="Normal 2 3 3 4 5 2 2 2" xfId="49434"/>
    <cellStyle name="Normal 2 3 3 4 5 3" xfId="27589"/>
    <cellStyle name="Normal 2 3 3 4 6" xfId="22529"/>
    <cellStyle name="Normal 2 3 3 4 6 2" xfId="35900"/>
    <cellStyle name="Normal 2 3 3 5" xfId="668"/>
    <cellStyle name="Normal 2 3 3 5 2" xfId="2279"/>
    <cellStyle name="Normal 2 3 3 5 2 2" xfId="2757"/>
    <cellStyle name="Normal 2 3 3 5 2 2 2" xfId="7513"/>
    <cellStyle name="Normal 2 3 3 5 2 2 2 2" xfId="7975"/>
    <cellStyle name="Normal 2 3 3 5 2 2 2 2 2" xfId="21065"/>
    <cellStyle name="Normal 2 3 3 5 2 2 2 2 2 2" xfId="21527"/>
    <cellStyle name="Normal 2 3 3 5 2 2 2 2 2 2 2" xfId="56391"/>
    <cellStyle name="Normal 2 3 3 5 2 2 2 2 2 2 2 2" xfId="56853"/>
    <cellStyle name="Normal 2 3 3 5 2 2 2 2 2 3" xfId="35030"/>
    <cellStyle name="Normal 2 3 3 5 2 2 2 2 3" xfId="34568"/>
    <cellStyle name="Normal 2 3 3 5 2 2 2 2 3 2" xfId="43402"/>
    <cellStyle name="Normal 2 3 3 5 2 2 2 3" xfId="13200"/>
    <cellStyle name="Normal 2 3 3 5 2 2 2 3 2" xfId="42940"/>
    <cellStyle name="Normal 2 3 3 5 2 2 2 3 2 2" xfId="48546"/>
    <cellStyle name="Normal 2 3 3 5 2 2 2 4" xfId="26684"/>
    <cellStyle name="Normal 2 3 3 5 2 2 3" xfId="12738"/>
    <cellStyle name="Normal 2 3 3 5 2 2 3 2" xfId="16416"/>
    <cellStyle name="Normal 2 3 3 5 2 2 3 2 2" xfId="48084"/>
    <cellStyle name="Normal 2 3 3 5 2 2 3 2 2 2" xfId="51745"/>
    <cellStyle name="Normal 2 3 3 5 2 2 3 3" xfId="29919"/>
    <cellStyle name="Normal 2 3 3 5 2 2 4" xfId="26222"/>
    <cellStyle name="Normal 2 3 3 5 2 2 4 2" xfId="38229"/>
    <cellStyle name="Normal 2 3 3 5 2 3" xfId="4793"/>
    <cellStyle name="Normal 2 3 3 5 2 3 2" xfId="15943"/>
    <cellStyle name="Normal 2 3 3 5 2 3 2 2" xfId="18369"/>
    <cellStyle name="Normal 2 3 3 5 2 3 2 2 2" xfId="51275"/>
    <cellStyle name="Normal 2 3 3 5 2 3 2 2 2 2" xfId="53695"/>
    <cellStyle name="Normal 2 3 3 5 2 3 2 3" xfId="31870"/>
    <cellStyle name="Normal 2 3 3 5 2 3 3" xfId="29449"/>
    <cellStyle name="Normal 2 3 3 5 2 3 3 2" xfId="40231"/>
    <cellStyle name="Normal 2 3 3 5 2 4" xfId="9996"/>
    <cellStyle name="Normal 2 3 3 5 2 4 2" xfId="37757"/>
    <cellStyle name="Normal 2 3 3 5 2 4 2 2" xfId="45362"/>
    <cellStyle name="Normal 2 3 3 5 2 5" xfId="23485"/>
    <cellStyle name="Normal 2 3 3 5 3" xfId="4303"/>
    <cellStyle name="Normal 2 3 3 5 3 2" xfId="5998"/>
    <cellStyle name="Normal 2 3 3 5 3 2 2" xfId="17896"/>
    <cellStyle name="Normal 2 3 3 5 3 2 2 2" xfId="19564"/>
    <cellStyle name="Normal 2 3 3 5 3 2 2 2 2" xfId="53223"/>
    <cellStyle name="Normal 2 3 3 5 3 2 2 2 2 2" xfId="54890"/>
    <cellStyle name="Normal 2 3 3 5 3 2 2 3" xfId="33065"/>
    <cellStyle name="Normal 2 3 3 5 3 2 3" xfId="31398"/>
    <cellStyle name="Normal 2 3 3 5 3 2 3 2" xfId="41432"/>
    <cellStyle name="Normal 2 3 3 5 3 3" xfId="11223"/>
    <cellStyle name="Normal 2 3 3 5 3 3 2" xfId="39746"/>
    <cellStyle name="Normal 2 3 3 5 3 3 2 2" xfId="46580"/>
    <cellStyle name="Normal 2 3 3 5 3 4" xfId="24716"/>
    <cellStyle name="Normal 2 3 3 5 4" xfId="9497"/>
    <cellStyle name="Normal 2 3 3 5 4 2" xfId="14381"/>
    <cellStyle name="Normal 2 3 3 5 4 2 2" xfId="44879"/>
    <cellStyle name="Normal 2 3 3 5 4 2 2 2" xfId="49726"/>
    <cellStyle name="Normal 2 3 3 5 4 3" xfId="27892"/>
    <cellStyle name="Normal 2 3 3 5 5" xfId="22994"/>
    <cellStyle name="Normal 2 3 3 5 5 2" xfId="36193"/>
    <cellStyle name="Normal 2 3 3 6" xfId="548"/>
    <cellStyle name="Normal 2 3 3 6 2" xfId="5518"/>
    <cellStyle name="Normal 2 3 3 6 2 2" xfId="5881"/>
    <cellStyle name="Normal 2 3 3 6 2 2 2" xfId="19091"/>
    <cellStyle name="Normal 2 3 3 6 2 2 2 2" xfId="19449"/>
    <cellStyle name="Normal 2 3 3 6 2 2 2 2 2" xfId="54417"/>
    <cellStyle name="Normal 2 3 3 6 2 2 2 2 2 2" xfId="54775"/>
    <cellStyle name="Normal 2 3 3 6 2 2 2 3" xfId="32950"/>
    <cellStyle name="Normal 2 3 3 6 2 2 3" xfId="32592"/>
    <cellStyle name="Normal 2 3 3 6 2 2 3 2" xfId="41316"/>
    <cellStyle name="Normal 2 3 3 6 2 3" xfId="11105"/>
    <cellStyle name="Normal 2 3 3 6 2 3 2" xfId="40955"/>
    <cellStyle name="Normal 2 3 3 6 2 3 2 2" xfId="46464"/>
    <cellStyle name="Normal 2 3 3 6 2 4" xfId="24599"/>
    <cellStyle name="Normal 2 3 3 6 3" xfId="10721"/>
    <cellStyle name="Normal 2 3 3 6 3 2" xfId="14266"/>
    <cellStyle name="Normal 2 3 3 6 3 2 2" xfId="46084"/>
    <cellStyle name="Normal 2 3 3 6 3 2 2 2" xfId="49611"/>
    <cellStyle name="Normal 2 3 3 6 3 3" xfId="27773"/>
    <cellStyle name="Normal 2 3 3 6 4" xfId="24207"/>
    <cellStyle name="Normal 2 3 3 6 4 2" xfId="36078"/>
    <cellStyle name="Normal 2 3 3 7" xfId="2489"/>
    <cellStyle name="Normal 2 3 3 7 2" xfId="10740"/>
    <cellStyle name="Normal 2 3 3 7 2 2" xfId="16150"/>
    <cellStyle name="Normal 2 3 3 7 2 2 2" xfId="46102"/>
    <cellStyle name="Normal 2 3 3 7 2 2 2 2" xfId="51481"/>
    <cellStyle name="Normal 2 3 3 7 2 3" xfId="29655"/>
    <cellStyle name="Normal 2 3 3 7 3" xfId="24226"/>
    <cellStyle name="Normal 2 3 3 7 3 2" xfId="37964"/>
    <cellStyle name="Normal 2 3 3 8" xfId="4523"/>
    <cellStyle name="Normal 2 3 3 8 2" xfId="24245"/>
    <cellStyle name="Normal 2 3 3 8 2 2" xfId="39964"/>
    <cellStyle name="Normal 2 3 3 9" xfId="9787"/>
    <cellStyle name="Normal 2 3 4" xfId="133"/>
    <cellStyle name="Normal 2 3 4 2" xfId="132"/>
    <cellStyle name="Normal 2 3 4 2 2" xfId="522"/>
    <cellStyle name="Normal 2 3 4 2 2 2" xfId="521"/>
    <cellStyle name="Normal 2 3 4 2 2 2 2" xfId="1332"/>
    <cellStyle name="Normal 2 3 4 2 2 2 2 2" xfId="1331"/>
    <cellStyle name="Normal 2 3 4 2 2 2 2 2 2" xfId="3350"/>
    <cellStyle name="Normal 2 3 4 2 2 2 2 2 2 2" xfId="3349"/>
    <cellStyle name="Normal 2 3 4 2 2 2 2 2 2 2 2" xfId="8565"/>
    <cellStyle name="Normal 2 3 4 2 2 2 2 2 2 2 2 2" xfId="8564"/>
    <cellStyle name="Normal 2 3 4 2 2 2 2 2 2 2 2 2 2" xfId="22117"/>
    <cellStyle name="Normal 2 3 4 2 2 2 2 2 2 2 2 2 2 2" xfId="22116"/>
    <cellStyle name="Normal 2 3 4 2 2 2 2 2 2 2 2 2 2 2 2" xfId="57443"/>
    <cellStyle name="Normal 2 3 4 2 2 2 2 2 2 2 2 2 2 2 2 2" xfId="57442"/>
    <cellStyle name="Normal 2 3 4 2 2 2 2 2 2 2 2 2 2 3" xfId="35619"/>
    <cellStyle name="Normal 2 3 4 2 2 2 2 2 2 2 2 2 3" xfId="35620"/>
    <cellStyle name="Normal 2 3 4 2 2 2 2 2 2 2 2 2 3 2" xfId="43991"/>
    <cellStyle name="Normal 2 3 4 2 2 2 2 2 2 2 2 3" xfId="13789"/>
    <cellStyle name="Normal 2 3 4 2 2 2 2 2 2 2 2 3 2" xfId="43992"/>
    <cellStyle name="Normal 2 3 4 2 2 2 2 2 2 2 2 3 2 2" xfId="49135"/>
    <cellStyle name="Normal 2 3 4 2 2 2 2 2 2 2 2 4" xfId="27274"/>
    <cellStyle name="Normal 2 3 4 2 2 2 2 2 2 2 3" xfId="13790"/>
    <cellStyle name="Normal 2 3 4 2 2 2 2 2 2 2 3 2" xfId="17006"/>
    <cellStyle name="Normal 2 3 4 2 2 2 2 2 2 2 3 2 2" xfId="49136"/>
    <cellStyle name="Normal 2 3 4 2 2 2 2 2 2 2 3 2 2 2" xfId="52334"/>
    <cellStyle name="Normal 2 3 4 2 2 2 2 2 2 2 3 3" xfId="30508"/>
    <cellStyle name="Normal 2 3 4 2 2 2 2 2 2 2 4" xfId="27275"/>
    <cellStyle name="Normal 2 3 4 2 2 2 2 2 2 2 4 2" xfId="38818"/>
    <cellStyle name="Normal 2 3 4 2 2 2 2 2 2 3" xfId="5386"/>
    <cellStyle name="Normal 2 3 4 2 2 2 2 2 2 3 2" xfId="17007"/>
    <cellStyle name="Normal 2 3 4 2 2 2 2 2 2 3 2 2" xfId="18959"/>
    <cellStyle name="Normal 2 3 4 2 2 2 2 2 2 3 2 2 2" xfId="52335"/>
    <cellStyle name="Normal 2 3 4 2 2 2 2 2 2 3 2 2 2 2" xfId="54285"/>
    <cellStyle name="Normal 2 3 4 2 2 2 2 2 2 3 2 3" xfId="32460"/>
    <cellStyle name="Normal 2 3 4 2 2 2 2 2 2 3 3" xfId="30509"/>
    <cellStyle name="Normal 2 3 4 2 2 2 2 2 2 3 3 2" xfId="40823"/>
    <cellStyle name="Normal 2 3 4 2 2 2 2 2 2 4" xfId="10589"/>
    <cellStyle name="Normal 2 3 4 2 2 2 2 2 2 4 2" xfId="38819"/>
    <cellStyle name="Normal 2 3 4 2 2 2 2 2 2 4 2 2" xfId="45952"/>
    <cellStyle name="Normal 2 3 4 2 2 2 2 2 2 5" xfId="24075"/>
    <cellStyle name="Normal 2 3 4 2 2 2 2 2 3" xfId="5387"/>
    <cellStyle name="Normal 2 3 4 2 2 2 2 2 3 2" xfId="6639"/>
    <cellStyle name="Normal 2 3 4 2 2 2 2 2 3 2 2" xfId="18960"/>
    <cellStyle name="Normal 2 3 4 2 2 2 2 2 3 2 2 2" xfId="20192"/>
    <cellStyle name="Normal 2 3 4 2 2 2 2 2 3 2 2 2 2" xfId="54286"/>
    <cellStyle name="Normal 2 3 4 2 2 2 2 2 3 2 2 2 2 2" xfId="55518"/>
    <cellStyle name="Normal 2 3 4 2 2 2 2 2 3 2 2 3" xfId="33694"/>
    <cellStyle name="Normal 2 3 4 2 2 2 2 2 3 2 3" xfId="32461"/>
    <cellStyle name="Normal 2 3 4 2 2 2 2 2 3 2 3 2" xfId="42067"/>
    <cellStyle name="Normal 2 3 4 2 2 2 2 2 3 3" xfId="11862"/>
    <cellStyle name="Normal 2 3 4 2 2 2 2 2 3 3 2" xfId="40824"/>
    <cellStyle name="Normal 2 3 4 2 2 2 2 2 3 3 2 2" xfId="47210"/>
    <cellStyle name="Normal 2 3 4 2 2 2 2 2 3 4" xfId="25347"/>
    <cellStyle name="Normal 2 3 4 2 2 2 2 2 4" xfId="10590"/>
    <cellStyle name="Normal 2 3 4 2 2 2 2 2 4 2" xfId="15020"/>
    <cellStyle name="Normal 2 3 4 2 2 2 2 2 4 2 2" xfId="45953"/>
    <cellStyle name="Normal 2 3 4 2 2 2 2 2 4 2 2 2" xfId="50359"/>
    <cellStyle name="Normal 2 3 4 2 2 2 2 2 4 3" xfId="28533"/>
    <cellStyle name="Normal 2 3 4 2 2 2 2 2 5" xfId="24076"/>
    <cellStyle name="Normal 2 3 4 2 2 2 2 2 5 2" xfId="36828"/>
    <cellStyle name="Normal 2 3 4 2 2 2 2 3" xfId="2138"/>
    <cellStyle name="Normal 2 3 4 2 2 2 2 3 2" xfId="6640"/>
    <cellStyle name="Normal 2 3 4 2 2 2 2 3 2 2" xfId="7372"/>
    <cellStyle name="Normal 2 3 4 2 2 2 2 3 2 2 2" xfId="20193"/>
    <cellStyle name="Normal 2 3 4 2 2 2 2 3 2 2 2 2" xfId="20924"/>
    <cellStyle name="Normal 2 3 4 2 2 2 2 3 2 2 2 2 2" xfId="55519"/>
    <cellStyle name="Normal 2 3 4 2 2 2 2 3 2 2 2 2 2 2" xfId="56250"/>
    <cellStyle name="Normal 2 3 4 2 2 2 2 3 2 2 2 3" xfId="34427"/>
    <cellStyle name="Normal 2 3 4 2 2 2 2 3 2 2 3" xfId="33695"/>
    <cellStyle name="Normal 2 3 4 2 2 2 2 3 2 2 3 2" xfId="42799"/>
    <cellStyle name="Normal 2 3 4 2 2 2 2 3 2 3" xfId="12597"/>
    <cellStyle name="Normal 2 3 4 2 2 2 2 3 2 3 2" xfId="42068"/>
    <cellStyle name="Normal 2 3 4 2 2 2 2 3 2 3 2 2" xfId="47943"/>
    <cellStyle name="Normal 2 3 4 2 2 2 2 3 2 4" xfId="26081"/>
    <cellStyle name="Normal 2 3 4 2 2 2 2 3 3" xfId="11863"/>
    <cellStyle name="Normal 2 3 4 2 2 2 2 3 3 2" xfId="15802"/>
    <cellStyle name="Normal 2 3 4 2 2 2 2 3 3 2 2" xfId="47211"/>
    <cellStyle name="Normal 2 3 4 2 2 2 2 3 3 2 2 2" xfId="51134"/>
    <cellStyle name="Normal 2 3 4 2 2 2 2 3 3 3" xfId="29308"/>
    <cellStyle name="Normal 2 3 4 2 2 2 2 3 4" xfId="25348"/>
    <cellStyle name="Normal 2 3 4 2 2 2 2 3 4 2" xfId="37616"/>
    <cellStyle name="Normal 2 3 4 2 2 2 2 4" xfId="4154"/>
    <cellStyle name="Normal 2 3 4 2 2 2 2 4 2" xfId="15021"/>
    <cellStyle name="Normal 2 3 4 2 2 2 2 4 2 2" xfId="17747"/>
    <cellStyle name="Normal 2 3 4 2 2 2 2 4 2 2 2" xfId="50360"/>
    <cellStyle name="Normal 2 3 4 2 2 2 2 4 2 2 2 2" xfId="53074"/>
    <cellStyle name="Normal 2 3 4 2 2 2 2 4 2 3" xfId="31249"/>
    <cellStyle name="Normal 2 3 4 2 2 2 2 4 3" xfId="28534"/>
    <cellStyle name="Normal 2 3 4 2 2 2 2 4 3 2" xfId="39597"/>
    <cellStyle name="Normal 2 3 4 2 2 2 2 5" xfId="9345"/>
    <cellStyle name="Normal 2 3 4 2 2 2 2 5 2" xfId="36829"/>
    <cellStyle name="Normal 2 3 4 2 2 2 2 5 2 2" xfId="44727"/>
    <cellStyle name="Normal 2 3 4 2 2 2 2 6" xfId="22841"/>
    <cellStyle name="Normal 2 3 4 2 2 2 3" xfId="2139"/>
    <cellStyle name="Normal 2 3 4 2 2 2 3 2" xfId="2617"/>
    <cellStyle name="Normal 2 3 4 2 2 2 3 2 2" xfId="7373"/>
    <cellStyle name="Normal 2 3 4 2 2 2 3 2 2 2" xfId="7837"/>
    <cellStyle name="Normal 2 3 4 2 2 2 3 2 2 2 2" xfId="20925"/>
    <cellStyle name="Normal 2 3 4 2 2 2 3 2 2 2 2 2" xfId="21389"/>
    <cellStyle name="Normal 2 3 4 2 2 2 3 2 2 2 2 2 2" xfId="56251"/>
    <cellStyle name="Normal 2 3 4 2 2 2 3 2 2 2 2 2 2 2" xfId="56715"/>
    <cellStyle name="Normal 2 3 4 2 2 2 3 2 2 2 2 3" xfId="34892"/>
    <cellStyle name="Normal 2 3 4 2 2 2 3 2 2 2 3" xfId="34428"/>
    <cellStyle name="Normal 2 3 4 2 2 2 3 2 2 2 3 2" xfId="43264"/>
    <cellStyle name="Normal 2 3 4 2 2 2 3 2 2 3" xfId="13062"/>
    <cellStyle name="Normal 2 3 4 2 2 2 3 2 2 3 2" xfId="42800"/>
    <cellStyle name="Normal 2 3 4 2 2 2 3 2 2 3 2 2" xfId="48408"/>
    <cellStyle name="Normal 2 3 4 2 2 2 3 2 2 4" xfId="26546"/>
    <cellStyle name="Normal 2 3 4 2 2 2 3 2 3" xfId="12598"/>
    <cellStyle name="Normal 2 3 4 2 2 2 3 2 3 2" xfId="16276"/>
    <cellStyle name="Normal 2 3 4 2 2 2 3 2 3 2 2" xfId="47944"/>
    <cellStyle name="Normal 2 3 4 2 2 2 3 2 3 2 2 2" xfId="51606"/>
    <cellStyle name="Normal 2 3 4 2 2 2 3 2 3 3" xfId="29780"/>
    <cellStyle name="Normal 2 3 4 2 2 2 3 2 4" xfId="26082"/>
    <cellStyle name="Normal 2 3 4 2 2 2 3 2 4 2" xfId="38090"/>
    <cellStyle name="Normal 2 3 4 2 2 2 3 3" xfId="4651"/>
    <cellStyle name="Normal 2 3 4 2 2 2 3 3 2" xfId="15803"/>
    <cellStyle name="Normal 2 3 4 2 2 2 3 3 2 2" xfId="18231"/>
    <cellStyle name="Normal 2 3 4 2 2 2 3 3 2 2 2" xfId="51135"/>
    <cellStyle name="Normal 2 3 4 2 2 2 3 3 2 2 2 2" xfId="53557"/>
    <cellStyle name="Normal 2 3 4 2 2 2 3 3 2 3" xfId="31732"/>
    <cellStyle name="Normal 2 3 4 2 2 2 3 3 3" xfId="29309"/>
    <cellStyle name="Normal 2 3 4 2 2 2 3 3 3 2" xfId="40090"/>
    <cellStyle name="Normal 2 3 4 2 2 2 3 4" xfId="9854"/>
    <cellStyle name="Normal 2 3 4 2 2 2 3 4 2" xfId="37617"/>
    <cellStyle name="Normal 2 3 4 2 2 2 3 4 2 2" xfId="45224"/>
    <cellStyle name="Normal 2 3 4 2 2 2 3 5" xfId="23347"/>
    <cellStyle name="Normal 2 3 4 2 2 2 4" xfId="4155"/>
    <cellStyle name="Normal 2 3 4 2 2 2 4 2" xfId="5856"/>
    <cellStyle name="Normal 2 3 4 2 2 2 4 2 2" xfId="17748"/>
    <cellStyle name="Normal 2 3 4 2 2 2 4 2 2 2" xfId="19424"/>
    <cellStyle name="Normal 2 3 4 2 2 2 4 2 2 2 2" xfId="53075"/>
    <cellStyle name="Normal 2 3 4 2 2 2 4 2 2 2 2 2" xfId="54750"/>
    <cellStyle name="Normal 2 3 4 2 2 2 4 2 2 3" xfId="32925"/>
    <cellStyle name="Normal 2 3 4 2 2 2 4 2 3" xfId="31250"/>
    <cellStyle name="Normal 2 3 4 2 2 2 4 2 3 2" xfId="41291"/>
    <cellStyle name="Normal 2 3 4 2 2 2 4 3" xfId="11079"/>
    <cellStyle name="Normal 2 3 4 2 2 2 4 3 2" xfId="39598"/>
    <cellStyle name="Normal 2 3 4 2 2 2 4 3 2 2" xfId="46438"/>
    <cellStyle name="Normal 2 3 4 2 2 2 4 4" xfId="24573"/>
    <cellStyle name="Normal 2 3 4 2 2 2 5" xfId="9346"/>
    <cellStyle name="Normal 2 3 4 2 2 2 5 2" xfId="14240"/>
    <cellStyle name="Normal 2 3 4 2 2 2 5 2 2" xfId="44728"/>
    <cellStyle name="Normal 2 3 4 2 2 2 5 2 2 2" xfId="49585"/>
    <cellStyle name="Normal 2 3 4 2 2 2 5 3" xfId="27747"/>
    <cellStyle name="Normal 2 3 4 2 2 2 6" xfId="22842"/>
    <cellStyle name="Normal 2 3 4 2 2 2 6 2" xfId="36052"/>
    <cellStyle name="Normal 2 3 4 2 2 3" xfId="849"/>
    <cellStyle name="Normal 2 3 4 2 2 3 2" xfId="2618"/>
    <cellStyle name="Normal 2 3 4 2 2 3 2 2" xfId="2901"/>
    <cellStyle name="Normal 2 3 4 2 2 3 2 2 2" xfId="7838"/>
    <cellStyle name="Normal 2 3 4 2 2 3 2 2 2 2" xfId="8116"/>
    <cellStyle name="Normal 2 3 4 2 2 3 2 2 2 2 2" xfId="21390"/>
    <cellStyle name="Normal 2 3 4 2 2 3 2 2 2 2 2 2" xfId="21668"/>
    <cellStyle name="Normal 2 3 4 2 2 3 2 2 2 2 2 2 2" xfId="56716"/>
    <cellStyle name="Normal 2 3 4 2 2 3 2 2 2 2 2 2 2 2" xfId="56994"/>
    <cellStyle name="Normal 2 3 4 2 2 3 2 2 2 2 2 3" xfId="35171"/>
    <cellStyle name="Normal 2 3 4 2 2 3 2 2 2 2 3" xfId="34893"/>
    <cellStyle name="Normal 2 3 4 2 2 3 2 2 2 2 3 2" xfId="43543"/>
    <cellStyle name="Normal 2 3 4 2 2 3 2 2 2 3" xfId="13341"/>
    <cellStyle name="Normal 2 3 4 2 2 3 2 2 2 3 2" xfId="43265"/>
    <cellStyle name="Normal 2 3 4 2 2 3 2 2 2 3 2 2" xfId="48687"/>
    <cellStyle name="Normal 2 3 4 2 2 3 2 2 2 4" xfId="26826"/>
    <cellStyle name="Normal 2 3 4 2 2 3 2 2 3" xfId="13063"/>
    <cellStyle name="Normal 2 3 4 2 2 3 2 2 3 2" xfId="16558"/>
    <cellStyle name="Normal 2 3 4 2 2 3 2 2 3 2 2" xfId="48409"/>
    <cellStyle name="Normal 2 3 4 2 2 3 2 2 3 2 2 2" xfId="51886"/>
    <cellStyle name="Normal 2 3 4 2 2 3 2 2 3 3" xfId="30060"/>
    <cellStyle name="Normal 2 3 4 2 2 3 2 2 4" xfId="26547"/>
    <cellStyle name="Normal 2 3 4 2 2 3 2 2 4 2" xfId="38370"/>
    <cellStyle name="Normal 2 3 4 2 2 3 2 3" xfId="4937"/>
    <cellStyle name="Normal 2 3 4 2 2 3 2 3 2" xfId="16277"/>
    <cellStyle name="Normal 2 3 4 2 2 3 2 3 2 2" xfId="18510"/>
    <cellStyle name="Normal 2 3 4 2 2 3 2 3 2 2 2" xfId="51607"/>
    <cellStyle name="Normal 2 3 4 2 2 3 2 3 2 2 2 2" xfId="53836"/>
    <cellStyle name="Normal 2 3 4 2 2 3 2 3 2 3" xfId="32011"/>
    <cellStyle name="Normal 2 3 4 2 2 3 2 3 3" xfId="29781"/>
    <cellStyle name="Normal 2 3 4 2 2 3 2 3 3 2" xfId="40374"/>
    <cellStyle name="Normal 2 3 4 2 2 3 2 4" xfId="10140"/>
    <cellStyle name="Normal 2 3 4 2 2 3 2 4 2" xfId="38091"/>
    <cellStyle name="Normal 2 3 4 2 2 3 2 4 2 2" xfId="45503"/>
    <cellStyle name="Normal 2 3 4 2 2 3 2 5" xfId="23626"/>
    <cellStyle name="Normal 2 3 4 2 2 3 3" xfId="4652"/>
    <cellStyle name="Normal 2 3 4 2 2 3 3 2" xfId="6164"/>
    <cellStyle name="Normal 2 3 4 2 2 3 3 2 2" xfId="18232"/>
    <cellStyle name="Normal 2 3 4 2 2 3 3 2 2 2" xfId="19724"/>
    <cellStyle name="Normal 2 3 4 2 2 3 3 2 2 2 2" xfId="53558"/>
    <cellStyle name="Normal 2 3 4 2 2 3 3 2 2 2 2 2" xfId="55050"/>
    <cellStyle name="Normal 2 3 4 2 2 3 3 2 2 3" xfId="33226"/>
    <cellStyle name="Normal 2 3 4 2 2 3 3 2 3" xfId="31733"/>
    <cellStyle name="Normal 2 3 4 2 2 3 3 2 3 2" xfId="41595"/>
    <cellStyle name="Normal 2 3 4 2 2 3 3 3" xfId="11390"/>
    <cellStyle name="Normal 2 3 4 2 2 3 3 3 2" xfId="40091"/>
    <cellStyle name="Normal 2 3 4 2 2 3 3 3 2 2" xfId="46741"/>
    <cellStyle name="Normal 2 3 4 2 2 3 3 4" xfId="24878"/>
    <cellStyle name="Normal 2 3 4 2 2 3 4" xfId="9855"/>
    <cellStyle name="Normal 2 3 4 2 2 3 4 2" xfId="14547"/>
    <cellStyle name="Normal 2 3 4 2 2 3 4 2 2" xfId="45225"/>
    <cellStyle name="Normal 2 3 4 2 2 3 4 2 2 2" xfId="49888"/>
    <cellStyle name="Normal 2 3 4 2 2 3 4 3" xfId="28058"/>
    <cellStyle name="Normal 2 3 4 2 2 3 5" xfId="23348"/>
    <cellStyle name="Normal 2 3 4 2 2 3 5 2" xfId="36357"/>
    <cellStyle name="Normal 2 3 4 2 2 4" xfId="1644"/>
    <cellStyle name="Normal 2 3 4 2 2 4 2" xfId="5857"/>
    <cellStyle name="Normal 2 3 4 2 2 4 2 2" xfId="6910"/>
    <cellStyle name="Normal 2 3 4 2 2 4 2 2 2" xfId="19425"/>
    <cellStyle name="Normal 2 3 4 2 2 4 2 2 2 2" xfId="20463"/>
    <cellStyle name="Normal 2 3 4 2 2 4 2 2 2 2 2" xfId="54751"/>
    <cellStyle name="Normal 2 3 4 2 2 4 2 2 2 2 2 2" xfId="55789"/>
    <cellStyle name="Normal 2 3 4 2 2 4 2 2 2 3" xfId="33965"/>
    <cellStyle name="Normal 2 3 4 2 2 4 2 2 3" xfId="32926"/>
    <cellStyle name="Normal 2 3 4 2 2 4 2 2 3 2" xfId="42338"/>
    <cellStyle name="Normal 2 3 4 2 2 4 2 3" xfId="12134"/>
    <cellStyle name="Normal 2 3 4 2 2 4 2 3 2" xfId="41292"/>
    <cellStyle name="Normal 2 3 4 2 2 4 2 3 2 2" xfId="47481"/>
    <cellStyle name="Normal 2 3 4 2 2 4 2 4" xfId="25619"/>
    <cellStyle name="Normal 2 3 4 2 2 4 3" xfId="11080"/>
    <cellStyle name="Normal 2 3 4 2 2 4 3 2" xfId="15318"/>
    <cellStyle name="Normal 2 3 4 2 2 4 3 2 2" xfId="46439"/>
    <cellStyle name="Normal 2 3 4 2 2 4 3 2 2 2" xfId="50653"/>
    <cellStyle name="Normal 2 3 4 2 2 4 3 3" xfId="28827"/>
    <cellStyle name="Normal 2 3 4 2 2 4 4" xfId="24574"/>
    <cellStyle name="Normal 2 3 4 2 2 4 4 2" xfId="37129"/>
    <cellStyle name="Normal 2 3 4 2 2 5" xfId="3648"/>
    <cellStyle name="Normal 2 3 4 2 2 5 2" xfId="14241"/>
    <cellStyle name="Normal 2 3 4 2 2 5 2 2" xfId="17278"/>
    <cellStyle name="Normal 2 3 4 2 2 5 2 2 2" xfId="49586"/>
    <cellStyle name="Normal 2 3 4 2 2 5 2 2 2 2" xfId="52605"/>
    <cellStyle name="Normal 2 3 4 2 2 5 2 3" xfId="30779"/>
    <cellStyle name="Normal 2 3 4 2 2 5 3" xfId="27748"/>
    <cellStyle name="Normal 2 3 4 2 2 5 3 2" xfId="39103"/>
    <cellStyle name="Normal 2 3 4 2 2 6" xfId="8843"/>
    <cellStyle name="Normal 2 3 4 2 2 6 2" xfId="36053"/>
    <cellStyle name="Normal 2 3 4 2 2 6 2 2" xfId="44250"/>
    <cellStyle name="Normal 2 3 4 2 2 7" xfId="22358"/>
    <cellStyle name="Normal 2 3 4 2 3" xfId="850"/>
    <cellStyle name="Normal 2 3 4 2 3 2" xfId="1024"/>
    <cellStyle name="Normal 2 3 4 2 3 2 2" xfId="2902"/>
    <cellStyle name="Normal 2 3 4 2 3 2 2 2" xfId="3061"/>
    <cellStyle name="Normal 2 3 4 2 3 2 2 2 2" xfId="8117"/>
    <cellStyle name="Normal 2 3 4 2 3 2 2 2 2 2" xfId="8276"/>
    <cellStyle name="Normal 2 3 4 2 3 2 2 2 2 2 2" xfId="21669"/>
    <cellStyle name="Normal 2 3 4 2 3 2 2 2 2 2 2 2" xfId="21828"/>
    <cellStyle name="Normal 2 3 4 2 3 2 2 2 2 2 2 2 2" xfId="56995"/>
    <cellStyle name="Normal 2 3 4 2 3 2 2 2 2 2 2 2 2 2" xfId="57154"/>
    <cellStyle name="Normal 2 3 4 2 3 2 2 2 2 2 2 3" xfId="35331"/>
    <cellStyle name="Normal 2 3 4 2 3 2 2 2 2 2 3" xfId="35172"/>
    <cellStyle name="Normal 2 3 4 2 3 2 2 2 2 2 3 2" xfId="43703"/>
    <cellStyle name="Normal 2 3 4 2 3 2 2 2 2 3" xfId="13501"/>
    <cellStyle name="Normal 2 3 4 2 3 2 2 2 2 3 2" xfId="43544"/>
    <cellStyle name="Normal 2 3 4 2 3 2 2 2 2 3 2 2" xfId="48847"/>
    <cellStyle name="Normal 2 3 4 2 3 2 2 2 2 4" xfId="26986"/>
    <cellStyle name="Normal 2 3 4 2 3 2 2 2 3" xfId="13342"/>
    <cellStyle name="Normal 2 3 4 2 3 2 2 2 3 2" xfId="16718"/>
    <cellStyle name="Normal 2 3 4 2 3 2 2 2 3 2 2" xfId="48688"/>
    <cellStyle name="Normal 2 3 4 2 3 2 2 2 3 2 2 2" xfId="52046"/>
    <cellStyle name="Normal 2 3 4 2 3 2 2 2 3 3" xfId="30220"/>
    <cellStyle name="Normal 2 3 4 2 3 2 2 2 4" xfId="26827"/>
    <cellStyle name="Normal 2 3 4 2 3 2 2 2 4 2" xfId="38530"/>
    <cellStyle name="Normal 2 3 4 2 3 2 2 3" xfId="5098"/>
    <cellStyle name="Normal 2 3 4 2 3 2 2 3 2" xfId="16559"/>
    <cellStyle name="Normal 2 3 4 2 3 2 2 3 2 2" xfId="18671"/>
    <cellStyle name="Normal 2 3 4 2 3 2 2 3 2 2 2" xfId="51887"/>
    <cellStyle name="Normal 2 3 4 2 3 2 2 3 2 2 2 2" xfId="53997"/>
    <cellStyle name="Normal 2 3 4 2 3 2 2 3 2 3" xfId="32172"/>
    <cellStyle name="Normal 2 3 4 2 3 2 2 3 3" xfId="30061"/>
    <cellStyle name="Normal 2 3 4 2 3 2 2 3 3 2" xfId="40535"/>
    <cellStyle name="Normal 2 3 4 2 3 2 2 4" xfId="10301"/>
    <cellStyle name="Normal 2 3 4 2 3 2 2 4 2" xfId="38371"/>
    <cellStyle name="Normal 2 3 4 2 3 2 2 4 2 2" xfId="45664"/>
    <cellStyle name="Normal 2 3 4 2 3 2 2 5" xfId="23787"/>
    <cellStyle name="Normal 2 3 4 2 3 2 3" xfId="4938"/>
    <cellStyle name="Normal 2 3 4 2 3 2 3 2" xfId="6334"/>
    <cellStyle name="Normal 2 3 4 2 3 2 3 2 2" xfId="18511"/>
    <cellStyle name="Normal 2 3 4 2 3 2 3 2 2 2" xfId="19891"/>
    <cellStyle name="Normal 2 3 4 2 3 2 3 2 2 2 2" xfId="53837"/>
    <cellStyle name="Normal 2 3 4 2 3 2 3 2 2 2 2 2" xfId="55217"/>
    <cellStyle name="Normal 2 3 4 2 3 2 3 2 2 3" xfId="33393"/>
    <cellStyle name="Normal 2 3 4 2 3 2 3 2 3" xfId="32012"/>
    <cellStyle name="Normal 2 3 4 2 3 2 3 2 3 2" xfId="41763"/>
    <cellStyle name="Normal 2 3 4 2 3 2 3 3" xfId="11560"/>
    <cellStyle name="Normal 2 3 4 2 3 2 3 3 2" xfId="40375"/>
    <cellStyle name="Normal 2 3 4 2 3 2 3 3 2 2" xfId="46909"/>
    <cellStyle name="Normal 2 3 4 2 3 2 3 4" xfId="25046"/>
    <cellStyle name="Normal 2 3 4 2 3 2 4" xfId="10141"/>
    <cellStyle name="Normal 2 3 4 2 3 2 4 2" xfId="14717"/>
    <cellStyle name="Normal 2 3 4 2 3 2 4 2 2" xfId="45504"/>
    <cellStyle name="Normal 2 3 4 2 3 2 4 2 2 2" xfId="50056"/>
    <cellStyle name="Normal 2 3 4 2 3 2 4 3" xfId="28229"/>
    <cellStyle name="Normal 2 3 4 2 3 2 5" xfId="23627"/>
    <cellStyle name="Normal 2 3 4 2 3 2 5 2" xfId="36525"/>
    <cellStyle name="Normal 2 3 4 2 3 3" xfId="1827"/>
    <cellStyle name="Normal 2 3 4 2 3 3 2" xfId="6165"/>
    <cellStyle name="Normal 2 3 4 2 3 3 2 2" xfId="7079"/>
    <cellStyle name="Normal 2 3 4 2 3 3 2 2 2" xfId="19725"/>
    <cellStyle name="Normal 2 3 4 2 3 3 2 2 2 2" xfId="20632"/>
    <cellStyle name="Normal 2 3 4 2 3 3 2 2 2 2 2" xfId="55051"/>
    <cellStyle name="Normal 2 3 4 2 3 3 2 2 2 2 2 2" xfId="55958"/>
    <cellStyle name="Normal 2 3 4 2 3 3 2 2 2 3" xfId="34134"/>
    <cellStyle name="Normal 2 3 4 2 3 3 2 2 3" xfId="33227"/>
    <cellStyle name="Normal 2 3 4 2 3 3 2 2 3 2" xfId="42507"/>
    <cellStyle name="Normal 2 3 4 2 3 3 2 3" xfId="12303"/>
    <cellStyle name="Normal 2 3 4 2 3 3 2 3 2" xfId="41596"/>
    <cellStyle name="Normal 2 3 4 2 3 3 2 3 2 2" xfId="47650"/>
    <cellStyle name="Normal 2 3 4 2 3 3 2 4" xfId="25788"/>
    <cellStyle name="Normal 2 3 4 2 3 3 3" xfId="11391"/>
    <cellStyle name="Normal 2 3 4 2 3 3 3 2" xfId="15499"/>
    <cellStyle name="Normal 2 3 4 2 3 3 3 2 2" xfId="46742"/>
    <cellStyle name="Normal 2 3 4 2 3 3 3 2 2 2" xfId="50832"/>
    <cellStyle name="Normal 2 3 4 2 3 3 3 3" xfId="29006"/>
    <cellStyle name="Normal 2 3 4 2 3 3 4" xfId="24879"/>
    <cellStyle name="Normal 2 3 4 2 3 3 4 2" xfId="37309"/>
    <cellStyle name="Normal 2 3 4 2 3 4" xfId="3838"/>
    <cellStyle name="Normal 2 3 4 2 3 4 2" xfId="14548"/>
    <cellStyle name="Normal 2 3 4 2 3 4 2 2" xfId="17453"/>
    <cellStyle name="Normal 2 3 4 2 3 4 2 2 2" xfId="49889"/>
    <cellStyle name="Normal 2 3 4 2 3 4 2 2 2 2" xfId="52780"/>
    <cellStyle name="Normal 2 3 4 2 3 4 2 3" xfId="30954"/>
    <cellStyle name="Normal 2 3 4 2 3 4 3" xfId="28059"/>
    <cellStyle name="Normal 2 3 4 2 3 4 3 2" xfId="39288"/>
    <cellStyle name="Normal 2 3 4 2 3 5" xfId="9030"/>
    <cellStyle name="Normal 2 3 4 2 3 5 2" xfId="36358"/>
    <cellStyle name="Normal 2 3 4 2 3 5 2 2" xfId="44428"/>
    <cellStyle name="Normal 2 3 4 2 3 6" xfId="22539"/>
    <cellStyle name="Normal 2 3 4 2 4" xfId="1645"/>
    <cellStyle name="Normal 2 3 4 2 4 2" xfId="2288"/>
    <cellStyle name="Normal 2 3 4 2 4 2 2" xfId="6911"/>
    <cellStyle name="Normal 2 3 4 2 4 2 2 2" xfId="7522"/>
    <cellStyle name="Normal 2 3 4 2 4 2 2 2 2" xfId="20464"/>
    <cellStyle name="Normal 2 3 4 2 4 2 2 2 2 2" xfId="21074"/>
    <cellStyle name="Normal 2 3 4 2 4 2 2 2 2 2 2" xfId="55790"/>
    <cellStyle name="Normal 2 3 4 2 4 2 2 2 2 2 2 2" xfId="56400"/>
    <cellStyle name="Normal 2 3 4 2 4 2 2 2 2 3" xfId="34577"/>
    <cellStyle name="Normal 2 3 4 2 4 2 2 2 3" xfId="33966"/>
    <cellStyle name="Normal 2 3 4 2 4 2 2 2 3 2" xfId="42949"/>
    <cellStyle name="Normal 2 3 4 2 4 2 2 3" xfId="12747"/>
    <cellStyle name="Normal 2 3 4 2 4 2 2 3 2" xfId="42339"/>
    <cellStyle name="Normal 2 3 4 2 4 2 2 3 2 2" xfId="48093"/>
    <cellStyle name="Normal 2 3 4 2 4 2 2 4" xfId="26231"/>
    <cellStyle name="Normal 2 3 4 2 4 2 3" xfId="12135"/>
    <cellStyle name="Normal 2 3 4 2 4 2 3 2" xfId="15952"/>
    <cellStyle name="Normal 2 3 4 2 4 2 3 2 2" xfId="47482"/>
    <cellStyle name="Normal 2 3 4 2 4 2 3 2 2 2" xfId="51284"/>
    <cellStyle name="Normal 2 3 4 2 4 2 3 3" xfId="29458"/>
    <cellStyle name="Normal 2 3 4 2 4 2 4" xfId="25620"/>
    <cellStyle name="Normal 2 3 4 2 4 2 4 2" xfId="37766"/>
    <cellStyle name="Normal 2 3 4 2 4 3" xfId="4312"/>
    <cellStyle name="Normal 2 3 4 2 4 3 2" xfId="15319"/>
    <cellStyle name="Normal 2 3 4 2 4 3 2 2" xfId="17905"/>
    <cellStyle name="Normal 2 3 4 2 4 3 2 2 2" xfId="50654"/>
    <cellStyle name="Normal 2 3 4 2 4 3 2 2 2 2" xfId="53232"/>
    <cellStyle name="Normal 2 3 4 2 4 3 2 3" xfId="31407"/>
    <cellStyle name="Normal 2 3 4 2 4 3 3" xfId="28828"/>
    <cellStyle name="Normal 2 3 4 2 4 3 3 2" xfId="39755"/>
    <cellStyle name="Normal 2 3 4 2 4 4" xfId="9506"/>
    <cellStyle name="Normal 2 3 4 2 4 4 2" xfId="37130"/>
    <cellStyle name="Normal 2 3 4 2 4 4 2 2" xfId="44888"/>
    <cellStyle name="Normal 2 3 4 2 4 5" xfId="23004"/>
    <cellStyle name="Normal 2 3 4 2 5" xfId="3649"/>
    <cellStyle name="Normal 2 3 4 2 5 2" xfId="5527"/>
    <cellStyle name="Normal 2 3 4 2 5 2 2" xfId="17279"/>
    <cellStyle name="Normal 2 3 4 2 5 2 2 2" xfId="19100"/>
    <cellStyle name="Normal 2 3 4 2 5 2 2 2 2" xfId="52606"/>
    <cellStyle name="Normal 2 3 4 2 5 2 2 2 2 2" xfId="54426"/>
    <cellStyle name="Normal 2 3 4 2 5 2 2 3" xfId="32601"/>
    <cellStyle name="Normal 2 3 4 2 5 2 3" xfId="30780"/>
    <cellStyle name="Normal 2 3 4 2 5 2 3 2" xfId="40964"/>
    <cellStyle name="Normal 2 3 4 2 5 3" xfId="10730"/>
    <cellStyle name="Normal 2 3 4 2 5 3 2" xfId="39104"/>
    <cellStyle name="Normal 2 3 4 2 5 3 2 2" xfId="46093"/>
    <cellStyle name="Normal 2 3 4 2 5 4" xfId="24217"/>
    <cellStyle name="Normal 2 3 4 2 6" xfId="8844"/>
    <cellStyle name="Normal 2 3 4 2 6 2" xfId="9558"/>
    <cellStyle name="Normal 2 3 4 2 6 2 2" xfId="44251"/>
    <cellStyle name="Normal 2 3 4 2 6 2 2 2" xfId="44940"/>
    <cellStyle name="Normal 2 3 4 2 6 3" xfId="23059"/>
    <cellStyle name="Normal 2 3 4 2 7" xfId="22359"/>
    <cellStyle name="Normal 2 3 4 2 7 2" xfId="27668"/>
    <cellStyle name="Normal 2 3 4 3" xfId="161"/>
    <cellStyle name="Normal 2 3 4 3 2" xfId="1025"/>
    <cellStyle name="Normal 2 3 4 3 2 2" xfId="1047"/>
    <cellStyle name="Normal 2 3 4 3 2 2 2" xfId="3062"/>
    <cellStyle name="Normal 2 3 4 3 2 2 2 2" xfId="3083"/>
    <cellStyle name="Normal 2 3 4 3 2 2 2 2 2" xfId="8277"/>
    <cellStyle name="Normal 2 3 4 3 2 2 2 2 2 2" xfId="8298"/>
    <cellStyle name="Normal 2 3 4 3 2 2 2 2 2 2 2" xfId="21829"/>
    <cellStyle name="Normal 2 3 4 3 2 2 2 2 2 2 2 2" xfId="21850"/>
    <cellStyle name="Normal 2 3 4 3 2 2 2 2 2 2 2 2 2" xfId="57155"/>
    <cellStyle name="Normal 2 3 4 3 2 2 2 2 2 2 2 2 2 2" xfId="57176"/>
    <cellStyle name="Normal 2 3 4 3 2 2 2 2 2 2 2 3" xfId="35353"/>
    <cellStyle name="Normal 2 3 4 3 2 2 2 2 2 2 3" xfId="35332"/>
    <cellStyle name="Normal 2 3 4 3 2 2 2 2 2 2 3 2" xfId="43725"/>
    <cellStyle name="Normal 2 3 4 3 2 2 2 2 2 3" xfId="13523"/>
    <cellStyle name="Normal 2 3 4 3 2 2 2 2 2 3 2" xfId="43704"/>
    <cellStyle name="Normal 2 3 4 3 2 2 2 2 2 3 2 2" xfId="48869"/>
    <cellStyle name="Normal 2 3 4 3 2 2 2 2 2 4" xfId="27008"/>
    <cellStyle name="Normal 2 3 4 3 2 2 2 2 3" xfId="13502"/>
    <cellStyle name="Normal 2 3 4 3 2 2 2 2 3 2" xfId="16740"/>
    <cellStyle name="Normal 2 3 4 3 2 2 2 2 3 2 2" xfId="48848"/>
    <cellStyle name="Normal 2 3 4 3 2 2 2 2 3 2 2 2" xfId="52068"/>
    <cellStyle name="Normal 2 3 4 3 2 2 2 2 3 3" xfId="30242"/>
    <cellStyle name="Normal 2 3 4 3 2 2 2 2 4" xfId="26987"/>
    <cellStyle name="Normal 2 3 4 3 2 2 2 2 4 2" xfId="38552"/>
    <cellStyle name="Normal 2 3 4 3 2 2 2 3" xfId="5120"/>
    <cellStyle name="Normal 2 3 4 3 2 2 2 3 2" xfId="16719"/>
    <cellStyle name="Normal 2 3 4 3 2 2 2 3 2 2" xfId="18693"/>
    <cellStyle name="Normal 2 3 4 3 2 2 2 3 2 2 2" xfId="52047"/>
    <cellStyle name="Normal 2 3 4 3 2 2 2 3 2 2 2 2" xfId="54019"/>
    <cellStyle name="Normal 2 3 4 3 2 2 2 3 2 3" xfId="32194"/>
    <cellStyle name="Normal 2 3 4 3 2 2 2 3 3" xfId="30221"/>
    <cellStyle name="Normal 2 3 4 3 2 2 2 3 3 2" xfId="40557"/>
    <cellStyle name="Normal 2 3 4 3 2 2 2 4" xfId="10323"/>
    <cellStyle name="Normal 2 3 4 3 2 2 2 4 2" xfId="38531"/>
    <cellStyle name="Normal 2 3 4 3 2 2 2 4 2 2" xfId="45686"/>
    <cellStyle name="Normal 2 3 4 3 2 2 2 5" xfId="23809"/>
    <cellStyle name="Normal 2 3 4 3 2 2 3" xfId="5099"/>
    <cellStyle name="Normal 2 3 4 3 2 2 3 2" xfId="6357"/>
    <cellStyle name="Normal 2 3 4 3 2 2 3 2 2" xfId="18672"/>
    <cellStyle name="Normal 2 3 4 3 2 2 3 2 2 2" xfId="19914"/>
    <cellStyle name="Normal 2 3 4 3 2 2 3 2 2 2 2" xfId="53998"/>
    <cellStyle name="Normal 2 3 4 3 2 2 3 2 2 2 2 2" xfId="55240"/>
    <cellStyle name="Normal 2 3 4 3 2 2 3 2 2 3" xfId="33416"/>
    <cellStyle name="Normal 2 3 4 3 2 2 3 2 3" xfId="32173"/>
    <cellStyle name="Normal 2 3 4 3 2 2 3 2 3 2" xfId="41786"/>
    <cellStyle name="Normal 2 3 4 3 2 2 3 3" xfId="11583"/>
    <cellStyle name="Normal 2 3 4 3 2 2 3 3 2" xfId="40536"/>
    <cellStyle name="Normal 2 3 4 3 2 2 3 3 2 2" xfId="46932"/>
    <cellStyle name="Normal 2 3 4 3 2 2 3 4" xfId="25069"/>
    <cellStyle name="Normal 2 3 4 3 2 2 4" xfId="10302"/>
    <cellStyle name="Normal 2 3 4 3 2 2 4 2" xfId="14740"/>
    <cellStyle name="Normal 2 3 4 3 2 2 4 2 2" xfId="45665"/>
    <cellStyle name="Normal 2 3 4 3 2 2 4 2 2 2" xfId="50079"/>
    <cellStyle name="Normal 2 3 4 3 2 2 4 3" xfId="28252"/>
    <cellStyle name="Normal 2 3 4 3 2 2 5" xfId="23788"/>
    <cellStyle name="Normal 2 3 4 3 2 2 5 2" xfId="36548"/>
    <cellStyle name="Normal 2 3 4 3 2 3" xfId="1852"/>
    <cellStyle name="Normal 2 3 4 3 2 3 2" xfId="6335"/>
    <cellStyle name="Normal 2 3 4 3 2 3 2 2" xfId="7102"/>
    <cellStyle name="Normal 2 3 4 3 2 3 2 2 2" xfId="19892"/>
    <cellStyle name="Normal 2 3 4 3 2 3 2 2 2 2" xfId="20655"/>
    <cellStyle name="Normal 2 3 4 3 2 3 2 2 2 2 2" xfId="55218"/>
    <cellStyle name="Normal 2 3 4 3 2 3 2 2 2 2 2 2" xfId="55981"/>
    <cellStyle name="Normal 2 3 4 3 2 3 2 2 2 3" xfId="34157"/>
    <cellStyle name="Normal 2 3 4 3 2 3 2 2 3" xfId="33394"/>
    <cellStyle name="Normal 2 3 4 3 2 3 2 2 3 2" xfId="42530"/>
    <cellStyle name="Normal 2 3 4 3 2 3 2 3" xfId="12327"/>
    <cellStyle name="Normal 2 3 4 3 2 3 2 3 2" xfId="41764"/>
    <cellStyle name="Normal 2 3 4 3 2 3 2 3 2 2" xfId="47674"/>
    <cellStyle name="Normal 2 3 4 3 2 3 2 4" xfId="25812"/>
    <cellStyle name="Normal 2 3 4 3 2 3 3" xfId="11561"/>
    <cellStyle name="Normal 2 3 4 3 2 3 3 2" xfId="15523"/>
    <cellStyle name="Normal 2 3 4 3 2 3 3 2 2" xfId="46910"/>
    <cellStyle name="Normal 2 3 4 3 2 3 3 2 2 2" xfId="50856"/>
    <cellStyle name="Normal 2 3 4 3 2 3 3 3" xfId="29030"/>
    <cellStyle name="Normal 2 3 4 3 2 3 4" xfId="25047"/>
    <cellStyle name="Normal 2 3 4 3 2 3 4 2" xfId="37333"/>
    <cellStyle name="Normal 2 3 4 3 2 4" xfId="3865"/>
    <cellStyle name="Normal 2 3 4 3 2 4 2" xfId="14718"/>
    <cellStyle name="Normal 2 3 4 3 2 4 2 2" xfId="17478"/>
    <cellStyle name="Normal 2 3 4 3 2 4 2 2 2" xfId="50057"/>
    <cellStyle name="Normal 2 3 4 3 2 4 2 2 2 2" xfId="52805"/>
    <cellStyle name="Normal 2 3 4 3 2 4 2 3" xfId="30979"/>
    <cellStyle name="Normal 2 3 4 3 2 4 3" xfId="28230"/>
    <cellStyle name="Normal 2 3 4 3 2 4 3 2" xfId="39314"/>
    <cellStyle name="Normal 2 3 4 3 2 5" xfId="9057"/>
    <cellStyle name="Normal 2 3 4 3 2 5 2" xfId="36526"/>
    <cellStyle name="Normal 2 3 4 3 2 5 2 2" xfId="44454"/>
    <cellStyle name="Normal 2 3 4 3 2 6" xfId="22565"/>
    <cellStyle name="Normal 2 3 4 3 3" xfId="1828"/>
    <cellStyle name="Normal 2 3 4 3 3 2" xfId="2310"/>
    <cellStyle name="Normal 2 3 4 3 3 2 2" xfId="7080"/>
    <cellStyle name="Normal 2 3 4 3 3 2 2 2" xfId="7544"/>
    <cellStyle name="Normal 2 3 4 3 3 2 2 2 2" xfId="20633"/>
    <cellStyle name="Normal 2 3 4 3 3 2 2 2 2 2" xfId="21096"/>
    <cellStyle name="Normal 2 3 4 3 3 2 2 2 2 2 2" xfId="55959"/>
    <cellStyle name="Normal 2 3 4 3 3 2 2 2 2 2 2 2" xfId="56422"/>
    <cellStyle name="Normal 2 3 4 3 3 2 2 2 2 3" xfId="34599"/>
    <cellStyle name="Normal 2 3 4 3 3 2 2 2 3" xfId="34135"/>
    <cellStyle name="Normal 2 3 4 3 3 2 2 2 3 2" xfId="42971"/>
    <cellStyle name="Normal 2 3 4 3 3 2 2 3" xfId="12769"/>
    <cellStyle name="Normal 2 3 4 3 3 2 2 3 2" xfId="42508"/>
    <cellStyle name="Normal 2 3 4 3 3 2 2 3 2 2" xfId="48115"/>
    <cellStyle name="Normal 2 3 4 3 3 2 2 4" xfId="26253"/>
    <cellStyle name="Normal 2 3 4 3 3 2 3" xfId="12304"/>
    <cellStyle name="Normal 2 3 4 3 3 2 3 2" xfId="15974"/>
    <cellStyle name="Normal 2 3 4 3 3 2 3 2 2" xfId="47651"/>
    <cellStyle name="Normal 2 3 4 3 3 2 3 2 2 2" xfId="51306"/>
    <cellStyle name="Normal 2 3 4 3 3 2 3 3" xfId="29480"/>
    <cellStyle name="Normal 2 3 4 3 3 2 4" xfId="25789"/>
    <cellStyle name="Normal 2 3 4 3 3 2 4 2" xfId="37788"/>
    <cellStyle name="Normal 2 3 4 3 3 3" xfId="4338"/>
    <cellStyle name="Normal 2 3 4 3 3 3 2" xfId="15500"/>
    <cellStyle name="Normal 2 3 4 3 3 3 2 2" xfId="17931"/>
    <cellStyle name="Normal 2 3 4 3 3 3 2 2 2" xfId="50833"/>
    <cellStyle name="Normal 2 3 4 3 3 3 2 2 2 2" xfId="53258"/>
    <cellStyle name="Normal 2 3 4 3 3 3 2 3" xfId="31433"/>
    <cellStyle name="Normal 2 3 4 3 3 3 3" xfId="29007"/>
    <cellStyle name="Normal 2 3 4 3 3 3 3 2" xfId="39781"/>
    <cellStyle name="Normal 2 3 4 3 3 4" xfId="9534"/>
    <cellStyle name="Normal 2 3 4 3 3 4 2" xfId="37310"/>
    <cellStyle name="Normal 2 3 4 3 3 4 2 2" xfId="44916"/>
    <cellStyle name="Normal 2 3 4 3 3 5" xfId="23032"/>
    <cellStyle name="Normal 2 3 4 3 4" xfId="3839"/>
    <cellStyle name="Normal 2 3 4 3 4 2" xfId="5549"/>
    <cellStyle name="Normal 2 3 4 3 4 2 2" xfId="17454"/>
    <cellStyle name="Normal 2 3 4 3 4 2 2 2" xfId="19122"/>
    <cellStyle name="Normal 2 3 4 3 4 2 2 2 2" xfId="52781"/>
    <cellStyle name="Normal 2 3 4 3 4 2 2 2 2 2" xfId="54448"/>
    <cellStyle name="Normal 2 3 4 3 4 2 2 3" xfId="32623"/>
    <cellStyle name="Normal 2 3 4 3 4 2 3" xfId="30955"/>
    <cellStyle name="Normal 2 3 4 3 4 2 3 2" xfId="40986"/>
    <cellStyle name="Normal 2 3 4 3 4 3" xfId="10756"/>
    <cellStyle name="Normal 2 3 4 3 4 3 2" xfId="39289"/>
    <cellStyle name="Normal 2 3 4 3 4 3 2 2" xfId="46118"/>
    <cellStyle name="Normal 2 3 4 3 4 4" xfId="24243"/>
    <cellStyle name="Normal 2 3 4 3 5" xfId="9031"/>
    <cellStyle name="Normal 2 3 4 3 5 2" xfId="13934"/>
    <cellStyle name="Normal 2 3 4 3 5 2 2" xfId="44429"/>
    <cellStyle name="Normal 2 3 4 3 5 2 2 2" xfId="49280"/>
    <cellStyle name="Normal 2 3 4 3 5 3" xfId="27420"/>
    <cellStyle name="Normal 2 3 4 3 6" xfId="22540"/>
    <cellStyle name="Normal 2 3 4 3 6 2" xfId="22608"/>
    <cellStyle name="Normal 2 3 4 4" xfId="338"/>
    <cellStyle name="Normal 2 3 4 4 2" xfId="2289"/>
    <cellStyle name="Normal 2 3 4 4 2 2" xfId="2451"/>
    <cellStyle name="Normal 2 3 4 4 2 2 2" xfId="7523"/>
    <cellStyle name="Normal 2 3 4 4 2 2 2 2" xfId="7683"/>
    <cellStyle name="Normal 2 3 4 4 2 2 2 2 2" xfId="21075"/>
    <cellStyle name="Normal 2 3 4 4 2 2 2 2 2 2" xfId="21235"/>
    <cellStyle name="Normal 2 3 4 4 2 2 2 2 2 2 2" xfId="56401"/>
    <cellStyle name="Normal 2 3 4 4 2 2 2 2 2 2 2 2" xfId="56561"/>
    <cellStyle name="Normal 2 3 4 4 2 2 2 2 2 3" xfId="34738"/>
    <cellStyle name="Normal 2 3 4 4 2 2 2 2 3" xfId="34578"/>
    <cellStyle name="Normal 2 3 4 4 2 2 2 2 3 2" xfId="43110"/>
    <cellStyle name="Normal 2 3 4 4 2 2 2 3" xfId="12908"/>
    <cellStyle name="Normal 2 3 4 4 2 2 2 3 2" xfId="42950"/>
    <cellStyle name="Normal 2 3 4 4 2 2 2 3 2 2" xfId="48254"/>
    <cellStyle name="Normal 2 3 4 4 2 2 2 4" xfId="26392"/>
    <cellStyle name="Normal 2 3 4 4 2 2 3" xfId="12748"/>
    <cellStyle name="Normal 2 3 4 4 2 2 3 2" xfId="16114"/>
    <cellStyle name="Normal 2 3 4 4 2 2 3 2 2" xfId="48094"/>
    <cellStyle name="Normal 2 3 4 4 2 2 3 2 2 2" xfId="51446"/>
    <cellStyle name="Normal 2 3 4 4 2 2 3 3" xfId="29620"/>
    <cellStyle name="Normal 2 3 4 4 2 2 4" xfId="26232"/>
    <cellStyle name="Normal 2 3 4 4 2 2 4 2" xfId="37929"/>
    <cellStyle name="Normal 2 3 4 4 2 3" xfId="4486"/>
    <cellStyle name="Normal 2 3 4 4 2 3 2" xfId="15953"/>
    <cellStyle name="Normal 2 3 4 4 2 3 2 2" xfId="18076"/>
    <cellStyle name="Normal 2 3 4 4 2 3 2 2 2" xfId="51285"/>
    <cellStyle name="Normal 2 3 4 4 2 3 2 2 2 2" xfId="53402"/>
    <cellStyle name="Normal 2 3 4 4 2 3 2 3" xfId="31577"/>
    <cellStyle name="Normal 2 3 4 4 2 3 3" xfId="29459"/>
    <cellStyle name="Normal 2 3 4 4 2 3 3 2" xfId="39928"/>
    <cellStyle name="Normal 2 3 4 4 2 4" xfId="9691"/>
    <cellStyle name="Normal 2 3 4 4 2 4 2" xfId="37767"/>
    <cellStyle name="Normal 2 3 4 4 2 4 2 2" xfId="45069"/>
    <cellStyle name="Normal 2 3 4 4 2 5" xfId="23192"/>
    <cellStyle name="Normal 2 3 4 4 3" xfId="4313"/>
    <cellStyle name="Normal 2 3 4 4 3 2" xfId="5693"/>
    <cellStyle name="Normal 2 3 4 4 3 2 2" xfId="17906"/>
    <cellStyle name="Normal 2 3 4 4 3 2 2 2" xfId="19265"/>
    <cellStyle name="Normal 2 3 4 4 3 2 2 2 2" xfId="53233"/>
    <cellStyle name="Normal 2 3 4 4 3 2 2 2 2 2" xfId="54591"/>
    <cellStyle name="Normal 2 3 4 4 3 2 2 3" xfId="32766"/>
    <cellStyle name="Normal 2 3 4 4 3 2 3" xfId="31408"/>
    <cellStyle name="Normal 2 3 4 4 3 2 3 2" xfId="41129"/>
    <cellStyle name="Normal 2 3 4 4 3 3" xfId="10911"/>
    <cellStyle name="Normal 2 3 4 4 3 3 2" xfId="39756"/>
    <cellStyle name="Normal 2 3 4 4 3 3 2 2" xfId="46273"/>
    <cellStyle name="Normal 2 3 4 4 3 4" xfId="24404"/>
    <cellStyle name="Normal 2 3 4 4 4" xfId="9507"/>
    <cellStyle name="Normal 2 3 4 4 4 2" xfId="14078"/>
    <cellStyle name="Normal 2 3 4 4 4 2 2" xfId="44889"/>
    <cellStyle name="Normal 2 3 4 4 4 2 2 2" xfId="49424"/>
    <cellStyle name="Normal 2 3 4 4 4 3" xfId="27577"/>
    <cellStyle name="Normal 2 3 4 4 5" xfId="23005"/>
    <cellStyle name="Normal 2 3 4 4 5 2" xfId="35890"/>
    <cellStyle name="Normal 2 3 4 5" xfId="306"/>
    <cellStyle name="Normal 2 3 4 5 2" xfId="5528"/>
    <cellStyle name="Normal 2 3 4 5 2 2" xfId="5662"/>
    <cellStyle name="Normal 2 3 4 5 2 2 2" xfId="19101"/>
    <cellStyle name="Normal 2 3 4 5 2 2 2 2" xfId="19234"/>
    <cellStyle name="Normal 2 3 4 5 2 2 2 2 2" xfId="54427"/>
    <cellStyle name="Normal 2 3 4 5 2 2 2 2 2 2" xfId="54560"/>
    <cellStyle name="Normal 2 3 4 5 2 2 2 3" xfId="32735"/>
    <cellStyle name="Normal 2 3 4 5 2 2 3" xfId="32602"/>
    <cellStyle name="Normal 2 3 4 5 2 2 3 2" xfId="41098"/>
    <cellStyle name="Normal 2 3 4 5 2 3" xfId="10880"/>
    <cellStyle name="Normal 2 3 4 5 2 3 2" xfId="40965"/>
    <cellStyle name="Normal 2 3 4 5 2 3 2 2" xfId="46242"/>
    <cellStyle name="Normal 2 3 4 5 2 4" xfId="24373"/>
    <cellStyle name="Normal 2 3 4 5 3" xfId="10731"/>
    <cellStyle name="Normal 2 3 4 5 3 2" xfId="14046"/>
    <cellStyle name="Normal 2 3 4 5 3 2 2" xfId="46094"/>
    <cellStyle name="Normal 2 3 4 5 3 2 2 2" xfId="49392"/>
    <cellStyle name="Normal 2 3 4 5 3 3" xfId="27545"/>
    <cellStyle name="Normal 2 3 4 5 4" xfId="24218"/>
    <cellStyle name="Normal 2 3 4 5 4 2" xfId="35858"/>
    <cellStyle name="Normal 2 3 4 6" xfId="857"/>
    <cellStyle name="Normal 2 3 4 6 2" xfId="10863"/>
    <cellStyle name="Normal 2 3 4 6 2 2" xfId="14555"/>
    <cellStyle name="Normal 2 3 4 6 2 2 2" xfId="46225"/>
    <cellStyle name="Normal 2 3 4 6 2 2 2 2" xfId="49896"/>
    <cellStyle name="Normal 2 3 4 6 2 3" xfId="28066"/>
    <cellStyle name="Normal 2 3 4 6 3" xfId="24356"/>
    <cellStyle name="Normal 2 3 4 6 3 2" xfId="36365"/>
    <cellStyle name="Normal 2 3 4 7" xfId="3621"/>
    <cellStyle name="Normal 2 3 4 7 2" xfId="27534"/>
    <cellStyle name="Normal 2 3 4 7 2 2" xfId="39076"/>
    <cellStyle name="Normal 2 3 4 8" xfId="9723"/>
    <cellStyle name="Normal 2 3 5" xfId="234"/>
    <cellStyle name="Normal 2 3 5 2" xfId="139"/>
    <cellStyle name="Normal 2 3 5 2 2" xfId="1104"/>
    <cellStyle name="Normal 2 3 5 2 2 2" xfId="1030"/>
    <cellStyle name="Normal 2 3 5 2 2 2 2" xfId="3133"/>
    <cellStyle name="Normal 2 3 5 2 2 2 2 2" xfId="3066"/>
    <cellStyle name="Normal 2 3 5 2 2 2 2 2 2" xfId="8348"/>
    <cellStyle name="Normal 2 3 5 2 2 2 2 2 2 2" xfId="8281"/>
    <cellStyle name="Normal 2 3 5 2 2 2 2 2 2 2 2" xfId="21900"/>
    <cellStyle name="Normal 2 3 5 2 2 2 2 2 2 2 2 2" xfId="21833"/>
    <cellStyle name="Normal 2 3 5 2 2 2 2 2 2 2 2 2 2" xfId="57226"/>
    <cellStyle name="Normal 2 3 5 2 2 2 2 2 2 2 2 2 2 2" xfId="57159"/>
    <cellStyle name="Normal 2 3 5 2 2 2 2 2 2 2 2 3" xfId="35336"/>
    <cellStyle name="Normal 2 3 5 2 2 2 2 2 2 2 3" xfId="35403"/>
    <cellStyle name="Normal 2 3 5 2 2 2 2 2 2 2 3 2" xfId="43708"/>
    <cellStyle name="Normal 2 3 5 2 2 2 2 2 2 3" xfId="13506"/>
    <cellStyle name="Normal 2 3 5 2 2 2 2 2 2 3 2" xfId="43775"/>
    <cellStyle name="Normal 2 3 5 2 2 2 2 2 2 3 2 2" xfId="48852"/>
    <cellStyle name="Normal 2 3 5 2 2 2 2 2 2 4" xfId="26991"/>
    <cellStyle name="Normal 2 3 5 2 2 2 2 2 3" xfId="13573"/>
    <cellStyle name="Normal 2 3 5 2 2 2 2 2 3 2" xfId="16723"/>
    <cellStyle name="Normal 2 3 5 2 2 2 2 2 3 2 2" xfId="48919"/>
    <cellStyle name="Normal 2 3 5 2 2 2 2 2 3 2 2 2" xfId="52051"/>
    <cellStyle name="Normal 2 3 5 2 2 2 2 2 3 3" xfId="30225"/>
    <cellStyle name="Normal 2 3 5 2 2 2 2 2 4" xfId="27058"/>
    <cellStyle name="Normal 2 3 5 2 2 2 2 2 4 2" xfId="38535"/>
    <cellStyle name="Normal 2 3 5 2 2 2 2 3" xfId="5103"/>
    <cellStyle name="Normal 2 3 5 2 2 2 2 3 2" xfId="16790"/>
    <cellStyle name="Normal 2 3 5 2 2 2 2 3 2 2" xfId="18676"/>
    <cellStyle name="Normal 2 3 5 2 2 2 2 3 2 2 2" xfId="52118"/>
    <cellStyle name="Normal 2 3 5 2 2 2 2 3 2 2 2 2" xfId="54002"/>
    <cellStyle name="Normal 2 3 5 2 2 2 2 3 2 3" xfId="32177"/>
    <cellStyle name="Normal 2 3 5 2 2 2 2 3 3" xfId="30292"/>
    <cellStyle name="Normal 2 3 5 2 2 2 2 3 3 2" xfId="40540"/>
    <cellStyle name="Normal 2 3 5 2 2 2 2 4" xfId="10306"/>
    <cellStyle name="Normal 2 3 5 2 2 2 2 4 2" xfId="38602"/>
    <cellStyle name="Normal 2 3 5 2 2 2 2 4 2 2" xfId="45669"/>
    <cellStyle name="Normal 2 3 5 2 2 2 2 5" xfId="23792"/>
    <cellStyle name="Normal 2 3 5 2 2 2 3" xfId="5170"/>
    <cellStyle name="Normal 2 3 5 2 2 2 3 2" xfId="6340"/>
    <cellStyle name="Normal 2 3 5 2 2 2 3 2 2" xfId="18743"/>
    <cellStyle name="Normal 2 3 5 2 2 2 3 2 2 2" xfId="19897"/>
    <cellStyle name="Normal 2 3 5 2 2 2 3 2 2 2 2" xfId="54069"/>
    <cellStyle name="Normal 2 3 5 2 2 2 3 2 2 2 2 2" xfId="55223"/>
    <cellStyle name="Normal 2 3 5 2 2 2 3 2 2 3" xfId="33399"/>
    <cellStyle name="Normal 2 3 5 2 2 2 3 2 3" xfId="32244"/>
    <cellStyle name="Normal 2 3 5 2 2 2 3 2 3 2" xfId="41769"/>
    <cellStyle name="Normal 2 3 5 2 2 2 3 3" xfId="11566"/>
    <cellStyle name="Normal 2 3 5 2 2 2 3 3 2" xfId="40607"/>
    <cellStyle name="Normal 2 3 5 2 2 2 3 3 2 2" xfId="46915"/>
    <cellStyle name="Normal 2 3 5 2 2 2 3 4" xfId="25052"/>
    <cellStyle name="Normal 2 3 5 2 2 2 4" xfId="10373"/>
    <cellStyle name="Normal 2 3 5 2 2 2 4 2" xfId="14723"/>
    <cellStyle name="Normal 2 3 5 2 2 2 4 2 2" xfId="45736"/>
    <cellStyle name="Normal 2 3 5 2 2 2 4 2 2 2" xfId="50062"/>
    <cellStyle name="Normal 2 3 5 2 2 2 4 3" xfId="28235"/>
    <cellStyle name="Normal 2 3 5 2 2 2 5" xfId="23859"/>
    <cellStyle name="Normal 2 3 5 2 2 2 5 2" xfId="36531"/>
    <cellStyle name="Normal 2 3 5 2 2 3" xfId="1833"/>
    <cellStyle name="Normal 2 3 5 2 2 3 2" xfId="6413"/>
    <cellStyle name="Normal 2 3 5 2 2 3 2 2" xfId="7084"/>
    <cellStyle name="Normal 2 3 5 2 2 3 2 2 2" xfId="19968"/>
    <cellStyle name="Normal 2 3 5 2 2 3 2 2 2 2" xfId="20637"/>
    <cellStyle name="Normal 2 3 5 2 2 3 2 2 2 2 2" xfId="55294"/>
    <cellStyle name="Normal 2 3 5 2 2 3 2 2 2 2 2 2" xfId="55963"/>
    <cellStyle name="Normal 2 3 5 2 2 3 2 2 2 3" xfId="34139"/>
    <cellStyle name="Normal 2 3 5 2 2 3 2 2 3" xfId="33470"/>
    <cellStyle name="Normal 2 3 5 2 2 3 2 2 3 2" xfId="42512"/>
    <cellStyle name="Normal 2 3 5 2 2 3 2 3" xfId="12308"/>
    <cellStyle name="Normal 2 3 5 2 2 3 2 3 2" xfId="41841"/>
    <cellStyle name="Normal 2 3 5 2 2 3 2 3 2 2" xfId="47655"/>
    <cellStyle name="Normal 2 3 5 2 2 3 2 4" xfId="25793"/>
    <cellStyle name="Normal 2 3 5 2 2 3 3" xfId="11637"/>
    <cellStyle name="Normal 2 3 5 2 2 3 3 2" xfId="15505"/>
    <cellStyle name="Normal 2 3 5 2 2 3 3 2 2" xfId="46986"/>
    <cellStyle name="Normal 2 3 5 2 2 3 3 2 2 2" xfId="50838"/>
    <cellStyle name="Normal 2 3 5 2 2 3 3 3" xfId="29012"/>
    <cellStyle name="Normal 2 3 5 2 2 3 4" xfId="25123"/>
    <cellStyle name="Normal 2 3 5 2 2 3 4 2" xfId="37315"/>
    <cellStyle name="Normal 2 3 5 2 2 4" xfId="3844"/>
    <cellStyle name="Normal 2 3 5 2 2 4 2" xfId="14795"/>
    <cellStyle name="Normal 2 3 5 2 2 4 2 2" xfId="17458"/>
    <cellStyle name="Normal 2 3 5 2 2 4 2 2 2" xfId="50134"/>
    <cellStyle name="Normal 2 3 5 2 2 4 2 2 2 2" xfId="52785"/>
    <cellStyle name="Normal 2 3 5 2 2 4 2 3" xfId="30959"/>
    <cellStyle name="Normal 2 3 5 2 2 4 3" xfId="28307"/>
    <cellStyle name="Normal 2 3 5 2 2 4 3 2" xfId="39293"/>
    <cellStyle name="Normal 2 3 5 2 2 5" xfId="9037"/>
    <cellStyle name="Normal 2 3 5 2 2 5 2" xfId="36603"/>
    <cellStyle name="Normal 2 3 5 2 2 5 2 2" xfId="44434"/>
    <cellStyle name="Normal 2 3 5 2 2 6" xfId="22545"/>
    <cellStyle name="Normal 2 3 5 2 3" xfId="1912"/>
    <cellStyle name="Normal 2 3 5 2 3 2" xfId="2293"/>
    <cellStyle name="Normal 2 3 5 2 3 2 2" xfId="7155"/>
    <cellStyle name="Normal 2 3 5 2 3 2 2 2" xfId="7527"/>
    <cellStyle name="Normal 2 3 5 2 3 2 2 2 2" xfId="20707"/>
    <cellStyle name="Normal 2 3 5 2 3 2 2 2 2 2" xfId="21079"/>
    <cellStyle name="Normal 2 3 5 2 3 2 2 2 2 2 2" xfId="56033"/>
    <cellStyle name="Normal 2 3 5 2 3 2 2 2 2 2 2 2" xfId="56405"/>
    <cellStyle name="Normal 2 3 5 2 3 2 2 2 2 3" xfId="34582"/>
    <cellStyle name="Normal 2 3 5 2 3 2 2 2 3" xfId="34210"/>
    <cellStyle name="Normal 2 3 5 2 3 2 2 2 3 2" xfId="42954"/>
    <cellStyle name="Normal 2 3 5 2 3 2 2 3" xfId="12752"/>
    <cellStyle name="Normal 2 3 5 2 3 2 2 3 2" xfId="42582"/>
    <cellStyle name="Normal 2 3 5 2 3 2 2 3 2 2" xfId="48098"/>
    <cellStyle name="Normal 2 3 5 2 3 2 2 4" xfId="26236"/>
    <cellStyle name="Normal 2 3 5 2 3 2 3" xfId="12380"/>
    <cellStyle name="Normal 2 3 5 2 3 2 3 2" xfId="15957"/>
    <cellStyle name="Normal 2 3 5 2 3 2 3 2 2" xfId="47726"/>
    <cellStyle name="Normal 2 3 5 2 3 2 3 2 2 2" xfId="51289"/>
    <cellStyle name="Normal 2 3 5 2 3 2 3 3" xfId="29463"/>
    <cellStyle name="Normal 2 3 5 2 3 2 4" xfId="25864"/>
    <cellStyle name="Normal 2 3 5 2 3 2 4 2" xfId="37771"/>
    <cellStyle name="Normal 2 3 5 2 3 3" xfId="4319"/>
    <cellStyle name="Normal 2 3 5 2 3 3 2" xfId="15579"/>
    <cellStyle name="Normal 2 3 5 2 3 3 2 2" xfId="17912"/>
    <cellStyle name="Normal 2 3 5 2 3 3 2 2 2" xfId="50911"/>
    <cellStyle name="Normal 2 3 5 2 3 3 2 2 2 2" xfId="53239"/>
    <cellStyle name="Normal 2 3 5 2 3 3 2 3" xfId="31414"/>
    <cellStyle name="Normal 2 3 5 2 3 3 3" xfId="29085"/>
    <cellStyle name="Normal 2 3 5 2 3 3 3 2" xfId="39762"/>
    <cellStyle name="Normal 2 3 5 2 3 4" xfId="9513"/>
    <cellStyle name="Normal 2 3 5 2 3 4 2" xfId="37391"/>
    <cellStyle name="Normal 2 3 5 2 3 4 2 2" xfId="44895"/>
    <cellStyle name="Normal 2 3 5 2 3 5" xfId="23011"/>
    <cellStyle name="Normal 2 3 5 2 4" xfId="3926"/>
    <cellStyle name="Normal 2 3 5 2 4 2" xfId="5532"/>
    <cellStyle name="Normal 2 3 5 2 4 2 2" xfId="17530"/>
    <cellStyle name="Normal 2 3 5 2 4 2 2 2" xfId="19105"/>
    <cellStyle name="Normal 2 3 5 2 4 2 2 2 2" xfId="52857"/>
    <cellStyle name="Normal 2 3 5 2 4 2 2 2 2 2" xfId="54431"/>
    <cellStyle name="Normal 2 3 5 2 4 2 2 3" xfId="32606"/>
    <cellStyle name="Normal 2 3 5 2 4 2 3" xfId="31032"/>
    <cellStyle name="Normal 2 3 5 2 4 2 3 2" xfId="40969"/>
    <cellStyle name="Normal 2 3 5 2 4 3" xfId="10736"/>
    <cellStyle name="Normal 2 3 5 2 4 3 2" xfId="39370"/>
    <cellStyle name="Normal 2 3 5 2 4 3 2 2" xfId="46099"/>
    <cellStyle name="Normal 2 3 5 2 4 4" xfId="24223"/>
    <cellStyle name="Normal 2 3 5 2 5" xfId="9118"/>
    <cellStyle name="Normal 2 3 5 2 5 2" xfId="8816"/>
    <cellStyle name="Normal 2 3 5 2 5 2 2" xfId="44509"/>
    <cellStyle name="Normal 2 3 5 2 5 2 2 2" xfId="44224"/>
    <cellStyle name="Normal 2 3 5 2 5 3" xfId="22331"/>
    <cellStyle name="Normal 2 3 5 2 6" xfId="22623"/>
    <cellStyle name="Normal 2 3 5 2 6 2" xfId="25522"/>
    <cellStyle name="Normal 2 3 5 3" xfId="233"/>
    <cellStyle name="Normal 2 3 5 3 2" xfId="2362"/>
    <cellStyle name="Normal 2 3 5 3 2 2" xfId="2361"/>
    <cellStyle name="Normal 2 3 5 3 2 2 2" xfId="7596"/>
    <cellStyle name="Normal 2 3 5 3 2 2 2 2" xfId="7595"/>
    <cellStyle name="Normal 2 3 5 3 2 2 2 2 2" xfId="21148"/>
    <cellStyle name="Normal 2 3 5 3 2 2 2 2 2 2" xfId="21147"/>
    <cellStyle name="Normal 2 3 5 3 2 2 2 2 2 2 2" xfId="56474"/>
    <cellStyle name="Normal 2 3 5 3 2 2 2 2 2 2 2 2" xfId="56473"/>
    <cellStyle name="Normal 2 3 5 3 2 2 2 2 2 3" xfId="34650"/>
    <cellStyle name="Normal 2 3 5 3 2 2 2 2 3" xfId="34651"/>
    <cellStyle name="Normal 2 3 5 3 2 2 2 2 3 2" xfId="43022"/>
    <cellStyle name="Normal 2 3 5 3 2 2 2 3" xfId="12820"/>
    <cellStyle name="Normal 2 3 5 3 2 2 2 3 2" xfId="43023"/>
    <cellStyle name="Normal 2 3 5 3 2 2 2 3 2 2" xfId="48166"/>
    <cellStyle name="Normal 2 3 5 3 2 2 2 4" xfId="26304"/>
    <cellStyle name="Normal 2 3 5 3 2 2 3" xfId="12821"/>
    <cellStyle name="Normal 2 3 5 3 2 2 3 2" xfId="16025"/>
    <cellStyle name="Normal 2 3 5 3 2 2 3 2 2" xfId="48167"/>
    <cellStyle name="Normal 2 3 5 3 2 2 3 2 2 2" xfId="51357"/>
    <cellStyle name="Normal 2 3 5 3 2 2 3 3" xfId="29531"/>
    <cellStyle name="Normal 2 3 5 3 2 2 4" xfId="26305"/>
    <cellStyle name="Normal 2 3 5 3 2 2 4 2" xfId="37839"/>
    <cellStyle name="Normal 2 3 5 3 2 3" xfId="4392"/>
    <cellStyle name="Normal 2 3 5 3 2 3 2" xfId="16026"/>
    <cellStyle name="Normal 2 3 5 3 2 3 2 2" xfId="17984"/>
    <cellStyle name="Normal 2 3 5 3 2 3 2 2 2" xfId="51358"/>
    <cellStyle name="Normal 2 3 5 3 2 3 2 2 2 2" xfId="53310"/>
    <cellStyle name="Normal 2 3 5 3 2 3 2 3" xfId="31485"/>
    <cellStyle name="Normal 2 3 5 3 2 3 3" xfId="29532"/>
    <cellStyle name="Normal 2 3 5 3 2 3 3 2" xfId="39834"/>
    <cellStyle name="Normal 2 3 5 3 2 4" xfId="9594"/>
    <cellStyle name="Normal 2 3 5 3 2 4 2" xfId="37840"/>
    <cellStyle name="Normal 2 3 5 3 2 4 2 2" xfId="44975"/>
    <cellStyle name="Normal 2 3 5 3 2 5" xfId="23096"/>
    <cellStyle name="Normal 2 3 5 3 3" xfId="4393"/>
    <cellStyle name="Normal 2 3 5 3 3 2" xfId="5602"/>
    <cellStyle name="Normal 2 3 5 3 3 2 2" xfId="17985"/>
    <cellStyle name="Normal 2 3 5 3 3 2 2 2" xfId="19174"/>
    <cellStyle name="Normal 2 3 5 3 3 2 2 2 2" xfId="53311"/>
    <cellStyle name="Normal 2 3 5 3 3 2 2 2 2 2" xfId="54500"/>
    <cellStyle name="Normal 2 3 5 3 3 2 2 3" xfId="32675"/>
    <cellStyle name="Normal 2 3 5 3 3 2 3" xfId="31486"/>
    <cellStyle name="Normal 2 3 5 3 3 2 3 2" xfId="41038"/>
    <cellStyle name="Normal 2 3 5 3 3 3" xfId="10815"/>
    <cellStyle name="Normal 2 3 5 3 3 3 2" xfId="39835"/>
    <cellStyle name="Normal 2 3 5 3 3 3 2 2" xfId="46177"/>
    <cellStyle name="Normal 2 3 5 3 3 4" xfId="24305"/>
    <cellStyle name="Normal 2 3 5 3 4" xfId="9595"/>
    <cellStyle name="Normal 2 3 5 3 4 2" xfId="13986"/>
    <cellStyle name="Normal 2 3 5 3 4 2 2" xfId="44976"/>
    <cellStyle name="Normal 2 3 5 3 4 2 2 2" xfId="49332"/>
    <cellStyle name="Normal 2 3 5 3 4 3" xfId="27478"/>
    <cellStyle name="Normal 2 3 5 3 5" xfId="23097"/>
    <cellStyle name="Normal 2 3 5 3 5 2" xfId="35798"/>
    <cellStyle name="Normal 2 3 5 4" xfId="1145"/>
    <cellStyle name="Normal 2 3 5 4 2" xfId="5603"/>
    <cellStyle name="Normal 2 3 5 4 2 2" xfId="6453"/>
    <cellStyle name="Normal 2 3 5 4 2 2 2" xfId="19175"/>
    <cellStyle name="Normal 2 3 5 4 2 2 2 2" xfId="20007"/>
    <cellStyle name="Normal 2 3 5 4 2 2 2 2 2" xfId="54501"/>
    <cellStyle name="Normal 2 3 5 4 2 2 2 2 2 2" xfId="55333"/>
    <cellStyle name="Normal 2 3 5 4 2 2 2 3" xfId="33509"/>
    <cellStyle name="Normal 2 3 5 4 2 2 3" xfId="32676"/>
    <cellStyle name="Normal 2 3 5 4 2 2 3 2" xfId="41881"/>
    <cellStyle name="Normal 2 3 5 4 2 3" xfId="11677"/>
    <cellStyle name="Normal 2 3 5 4 2 3 2" xfId="41039"/>
    <cellStyle name="Normal 2 3 5 4 2 3 2 2" xfId="47025"/>
    <cellStyle name="Normal 2 3 5 4 2 4" xfId="25162"/>
    <cellStyle name="Normal 2 3 5 4 3" xfId="10816"/>
    <cellStyle name="Normal 2 3 5 4 3 2" xfId="14835"/>
    <cellStyle name="Normal 2 3 5 4 3 2 2" xfId="46178"/>
    <cellStyle name="Normal 2 3 5 4 3 2 2 2" xfId="50174"/>
    <cellStyle name="Normal 2 3 5 4 3 3" xfId="28348"/>
    <cellStyle name="Normal 2 3 5 4 4" xfId="24306"/>
    <cellStyle name="Normal 2 3 5 4 4 2" xfId="36643"/>
    <cellStyle name="Normal 2 3 5 5" xfId="1629"/>
    <cellStyle name="Normal 2 3 5 5 2" xfId="13987"/>
    <cellStyle name="Normal 2 3 5 5 2 2" xfId="15303"/>
    <cellStyle name="Normal 2 3 5 5 2 2 2" xfId="49333"/>
    <cellStyle name="Normal 2 3 5 5 2 2 2 2" xfId="50638"/>
    <cellStyle name="Normal 2 3 5 5 2 3" xfId="28812"/>
    <cellStyle name="Normal 2 3 5 5 3" xfId="27479"/>
    <cellStyle name="Normal 2 3 5 5 3 2" xfId="37114"/>
    <cellStyle name="Normal 2 3 5 6" xfId="6022"/>
    <cellStyle name="Normal 2 3 5 6 2" xfId="35799"/>
    <cellStyle name="Normal 2 3 5 6 2 2" xfId="41456"/>
    <cellStyle name="Normal 2 3 5 7" xfId="4696"/>
    <cellStyle name="Normal 2 3 6" xfId="528"/>
    <cellStyle name="Normal 2 3 6 2" xfId="811"/>
    <cellStyle name="Normal 2 3 6 2 2" xfId="2624"/>
    <cellStyle name="Normal 2 3 6 2 2 2" xfId="2866"/>
    <cellStyle name="Normal 2 3 6 2 2 2 2" xfId="7844"/>
    <cellStyle name="Normal 2 3 6 2 2 2 2 2" xfId="8082"/>
    <cellStyle name="Normal 2 3 6 2 2 2 2 2 2" xfId="21396"/>
    <cellStyle name="Normal 2 3 6 2 2 2 2 2 2 2" xfId="21634"/>
    <cellStyle name="Normal 2 3 6 2 2 2 2 2 2 2 2" xfId="56722"/>
    <cellStyle name="Normal 2 3 6 2 2 2 2 2 2 2 2 2" xfId="56960"/>
    <cellStyle name="Normal 2 3 6 2 2 2 2 2 2 3" xfId="35137"/>
    <cellStyle name="Normal 2 3 6 2 2 2 2 2 3" xfId="34899"/>
    <cellStyle name="Normal 2 3 6 2 2 2 2 2 3 2" xfId="43509"/>
    <cellStyle name="Normal 2 3 6 2 2 2 2 3" xfId="13307"/>
    <cellStyle name="Normal 2 3 6 2 2 2 2 3 2" xfId="43271"/>
    <cellStyle name="Normal 2 3 6 2 2 2 2 3 2 2" xfId="48653"/>
    <cellStyle name="Normal 2 3 6 2 2 2 2 4" xfId="26791"/>
    <cellStyle name="Normal 2 3 6 2 2 2 3" xfId="13069"/>
    <cellStyle name="Normal 2 3 6 2 2 2 3 2" xfId="16524"/>
    <cellStyle name="Normal 2 3 6 2 2 2 3 2 2" xfId="48415"/>
    <cellStyle name="Normal 2 3 6 2 2 2 3 2 2 2" xfId="51852"/>
    <cellStyle name="Normal 2 3 6 2 2 2 3 3" xfId="30026"/>
    <cellStyle name="Normal 2 3 6 2 2 2 4" xfId="26553"/>
    <cellStyle name="Normal 2 3 6 2 2 2 4 2" xfId="38336"/>
    <cellStyle name="Normal 2 3 6 2 2 3" xfId="4902"/>
    <cellStyle name="Normal 2 3 6 2 2 3 2" xfId="16283"/>
    <cellStyle name="Normal 2 3 6 2 2 3 2 2" xfId="18476"/>
    <cellStyle name="Normal 2 3 6 2 2 3 2 2 2" xfId="51613"/>
    <cellStyle name="Normal 2 3 6 2 2 3 2 2 2 2" xfId="53802"/>
    <cellStyle name="Normal 2 3 6 2 2 3 2 3" xfId="31977"/>
    <cellStyle name="Normal 2 3 6 2 2 3 3" xfId="29787"/>
    <cellStyle name="Normal 2 3 6 2 2 3 3 2" xfId="40339"/>
    <cellStyle name="Normal 2 3 6 2 2 4" xfId="10105"/>
    <cellStyle name="Normal 2 3 6 2 2 4 2" xfId="38097"/>
    <cellStyle name="Normal 2 3 6 2 2 4 2 2" xfId="45469"/>
    <cellStyle name="Normal 2 3 6 2 2 5" xfId="23592"/>
    <cellStyle name="Normal 2 3 6 2 3" xfId="4658"/>
    <cellStyle name="Normal 2 3 6 2 3 2" xfId="6127"/>
    <cellStyle name="Normal 2 3 6 2 3 2 2" xfId="18238"/>
    <cellStyle name="Normal 2 3 6 2 3 2 2 2" xfId="19688"/>
    <cellStyle name="Normal 2 3 6 2 3 2 2 2 2" xfId="53564"/>
    <cellStyle name="Normal 2 3 6 2 3 2 2 2 2 2" xfId="55014"/>
    <cellStyle name="Normal 2 3 6 2 3 2 2 3" xfId="33189"/>
    <cellStyle name="Normal 2 3 6 2 3 2 3" xfId="31739"/>
    <cellStyle name="Normal 2 3 6 2 3 2 3 2" xfId="41559"/>
    <cellStyle name="Normal 2 3 6 2 3 3" xfId="11353"/>
    <cellStyle name="Normal 2 3 6 2 3 3 2" xfId="40097"/>
    <cellStyle name="Normal 2 3 6 2 3 3 2 2" xfId="46705"/>
    <cellStyle name="Normal 2 3 6 2 3 4" xfId="24842"/>
    <cellStyle name="Normal 2 3 6 2 4" xfId="9861"/>
    <cellStyle name="Normal 2 3 6 2 4 2" xfId="14510"/>
    <cellStyle name="Normal 2 3 6 2 4 2 2" xfId="45231"/>
    <cellStyle name="Normal 2 3 6 2 4 2 2 2" xfId="49852"/>
    <cellStyle name="Normal 2 3 6 2 4 3" xfId="28022"/>
    <cellStyle name="Normal 2 3 6 2 5" xfId="23354"/>
    <cellStyle name="Normal 2 3 6 2 5 2" xfId="36320"/>
    <cellStyle name="Normal 2 3 6 3" xfId="1600"/>
    <cellStyle name="Normal 2 3 6 3 2" xfId="5863"/>
    <cellStyle name="Normal 2 3 6 3 2 2" xfId="6871"/>
    <cellStyle name="Normal 2 3 6 3 2 2 2" xfId="19431"/>
    <cellStyle name="Normal 2 3 6 3 2 2 2 2" xfId="20424"/>
    <cellStyle name="Normal 2 3 6 3 2 2 2 2 2" xfId="54757"/>
    <cellStyle name="Normal 2 3 6 3 2 2 2 2 2 2" xfId="55750"/>
    <cellStyle name="Normal 2 3 6 3 2 2 2 3" xfId="33926"/>
    <cellStyle name="Normal 2 3 6 3 2 2 3" xfId="32932"/>
    <cellStyle name="Normal 2 3 6 3 2 2 3 2" xfId="42299"/>
    <cellStyle name="Normal 2 3 6 3 2 3" xfId="12095"/>
    <cellStyle name="Normal 2 3 6 3 2 3 2" xfId="41298"/>
    <cellStyle name="Normal 2 3 6 3 2 3 2 2" xfId="47442"/>
    <cellStyle name="Normal 2 3 6 3 2 4" xfId="25580"/>
    <cellStyle name="Normal 2 3 6 3 3" xfId="11086"/>
    <cellStyle name="Normal 2 3 6 3 3 2" xfId="15276"/>
    <cellStyle name="Normal 2 3 6 3 3 2 2" xfId="46445"/>
    <cellStyle name="Normal 2 3 6 3 3 2 2 2" xfId="50612"/>
    <cellStyle name="Normal 2 3 6 3 3 3" xfId="28786"/>
    <cellStyle name="Normal 2 3 6 3 4" xfId="24580"/>
    <cellStyle name="Normal 2 3 6 3 4 2" xfId="37087"/>
    <cellStyle name="Normal 2 3 6 4" xfId="3600"/>
    <cellStyle name="Normal 2 3 6 4 2" xfId="14247"/>
    <cellStyle name="Normal 2 3 6 4 2 2" xfId="17236"/>
    <cellStyle name="Normal 2 3 6 4 2 2 2" xfId="49592"/>
    <cellStyle name="Normal 2 3 6 4 2 2 2 2" xfId="52563"/>
    <cellStyle name="Normal 2 3 6 4 2 3" xfId="30737"/>
    <cellStyle name="Normal 2 3 6 4 3" xfId="27754"/>
    <cellStyle name="Normal 2 3 6 4 3 2" xfId="39057"/>
    <cellStyle name="Normal 2 3 6 5" xfId="8793"/>
    <cellStyle name="Normal 2 3 6 5 2" xfId="36059"/>
    <cellStyle name="Normal 2 3 6 5 2 2" xfId="44205"/>
    <cellStyle name="Normal 2 3 6 6" xfId="22310"/>
    <cellStyle name="Normal 2 3 7" xfId="433"/>
    <cellStyle name="Normal 2 3 7 2" xfId="1856"/>
    <cellStyle name="Normal 2 3 7 2 2" xfId="5776"/>
    <cellStyle name="Normal 2 3 7 2 2 2" xfId="7106"/>
    <cellStyle name="Normal 2 3 7 2 2 2 2" xfId="19344"/>
    <cellStyle name="Normal 2 3 7 2 2 2 2 2" xfId="20658"/>
    <cellStyle name="Normal 2 3 7 2 2 2 2 2 2" xfId="54670"/>
    <cellStyle name="Normal 2 3 7 2 2 2 2 2 2 2" xfId="55984"/>
    <cellStyle name="Normal 2 3 7 2 2 2 2 3" xfId="34161"/>
    <cellStyle name="Normal 2 3 7 2 2 2 3" xfId="32845"/>
    <cellStyle name="Normal 2 3 7 2 2 2 3 2" xfId="42533"/>
    <cellStyle name="Normal 2 3 7 2 2 3" xfId="12331"/>
    <cellStyle name="Normal 2 3 7 2 2 3 2" xfId="41211"/>
    <cellStyle name="Normal 2 3 7 2 2 3 2 2" xfId="47677"/>
    <cellStyle name="Normal 2 3 7 2 2 4" xfId="25815"/>
    <cellStyle name="Normal 2 3 7 2 3" xfId="10996"/>
    <cellStyle name="Normal 2 3 7 2 3 2" xfId="15527"/>
    <cellStyle name="Normal 2 3 7 2 3 2 2" xfId="46355"/>
    <cellStyle name="Normal 2 3 7 2 3 2 2 2" xfId="50859"/>
    <cellStyle name="Normal 2 3 7 2 3 3" xfId="29033"/>
    <cellStyle name="Normal 2 3 7 2 4" xfId="24489"/>
    <cellStyle name="Normal 2 3 7 2 4 2" xfId="37337"/>
    <cellStyle name="Normal 2 3 7 3" xfId="3870"/>
    <cellStyle name="Normal 2 3 7 3 2" xfId="14159"/>
    <cellStyle name="Normal 2 3 7 3 2 2" xfId="17481"/>
    <cellStyle name="Normal 2 3 7 3 2 2 2" xfId="49504"/>
    <cellStyle name="Normal 2 3 7 3 2 2 2 2" xfId="52808"/>
    <cellStyle name="Normal 2 3 7 3 2 3" xfId="30983"/>
    <cellStyle name="Normal 2 3 7 3 3" xfId="27661"/>
    <cellStyle name="Normal 2 3 7 3 3 2" xfId="39318"/>
    <cellStyle name="Normal 2 3 7 4" xfId="9062"/>
    <cellStyle name="Normal 2 3 7 4 2" xfId="35970"/>
    <cellStyle name="Normal 2 3 7 4 2 2" xfId="44458"/>
    <cellStyle name="Normal 2 3 7 5" xfId="22569"/>
    <cellStyle name="Normal 2 3 8" xfId="1675"/>
    <cellStyle name="Normal 2 3 8 2" xfId="4298"/>
    <cellStyle name="Normal 2 3 8 2 2" xfId="15348"/>
    <cellStyle name="Normal 2 3 8 2 2 2" xfId="17891"/>
    <cellStyle name="Normal 2 3 8 2 2 2 2" xfId="50682"/>
    <cellStyle name="Normal 2 3 8 2 2 2 2 2" xfId="53218"/>
    <cellStyle name="Normal 2 3 8 2 2 3" xfId="31393"/>
    <cellStyle name="Normal 2 3 8 2 3" xfId="28856"/>
    <cellStyle name="Normal 2 3 8 2 3 2" xfId="39741"/>
    <cellStyle name="Normal 2 3 8 3" xfId="9492"/>
    <cellStyle name="Normal 2 3 8 3 2" xfId="37158"/>
    <cellStyle name="Normal 2 3 8 3 2 2" xfId="44874"/>
    <cellStyle name="Normal 2 3 8 4" xfId="22989"/>
    <cellStyle name="Normal 2 3 9" xfId="6218"/>
    <cellStyle name="Normal 2 3 9 2" xfId="10924"/>
    <cellStyle name="Normal 2 3 9 2 2" xfId="41647"/>
    <cellStyle name="Normal 2 3 9 2 2 2" xfId="46284"/>
    <cellStyle name="Normal 2 3 9 3" xfId="24416"/>
    <cellStyle name="Normal 2 4" xfId="52"/>
    <cellStyle name="Normal 2 4 2" xfId="121"/>
    <cellStyle name="Normal 2 4 2 2" xfId="157"/>
    <cellStyle name="Normal 2 4 2 2 2" xfId="302"/>
    <cellStyle name="Normal 2 4 2 2 2 2" xfId="323"/>
    <cellStyle name="Normal 2 4 2 2 2 2 2" xfId="632"/>
    <cellStyle name="Normal 2 4 2 2 2 2 2 2" xfId="652"/>
    <cellStyle name="Normal 2 4 2 2 2 2 2 2 2" xfId="1428"/>
    <cellStyle name="Normal 2 4 2 2 2 2 2 2 2 2" xfId="1448"/>
    <cellStyle name="Normal 2 4 2 2 2 2 2 2 2 2 2" xfId="3446"/>
    <cellStyle name="Normal 2 4 2 2 2 2 2 2 2 2 2 2" xfId="3466"/>
    <cellStyle name="Normal 2 4 2 2 2 2 2 2 2 2 2 2 2" xfId="8661"/>
    <cellStyle name="Normal 2 4 2 2 2 2 2 2 2 2 2 2 2 2" xfId="8681"/>
    <cellStyle name="Normal 2 4 2 2 2 2 2 2 2 2 2 2 2 2 2" xfId="22213"/>
    <cellStyle name="Normal 2 4 2 2 2 2 2 2 2 2 2 2 2 2 2 2" xfId="22233"/>
    <cellStyle name="Normal 2 4 2 2 2 2 2 2 2 2 2 2 2 2 2 2 2" xfId="57539"/>
    <cellStyle name="Normal 2 4 2 2 2 2 2 2 2 2 2 2 2 2 2 2 2 2" xfId="57559"/>
    <cellStyle name="Normal 2 4 2 2 2 2 2 2 2 2 2 2 2 2 2 3" xfId="35736"/>
    <cellStyle name="Normal 2 4 2 2 2 2 2 2 2 2 2 2 2 2 3" xfId="35716"/>
    <cellStyle name="Normal 2 4 2 2 2 2 2 2 2 2 2 2 2 2 3 2" xfId="44108"/>
    <cellStyle name="Normal 2 4 2 2 2 2 2 2 2 2 2 2 2 3" xfId="13906"/>
    <cellStyle name="Normal 2 4 2 2 2 2 2 2 2 2 2 2 2 3 2" xfId="44088"/>
    <cellStyle name="Normal 2 4 2 2 2 2 2 2 2 2 2 2 2 3 2 2" xfId="49252"/>
    <cellStyle name="Normal 2 4 2 2 2 2 2 2 2 2 2 2 2 4" xfId="27391"/>
    <cellStyle name="Normal 2 4 2 2 2 2 2 2 2 2 2 2 3" xfId="13886"/>
    <cellStyle name="Normal 2 4 2 2 2 2 2 2 2 2 2 2 3 2" xfId="17123"/>
    <cellStyle name="Normal 2 4 2 2 2 2 2 2 2 2 2 2 3 2 2" xfId="49232"/>
    <cellStyle name="Normal 2 4 2 2 2 2 2 2 2 2 2 2 3 2 2 2" xfId="52451"/>
    <cellStyle name="Normal 2 4 2 2 2 2 2 2 2 2 2 2 3 3" xfId="30625"/>
    <cellStyle name="Normal 2 4 2 2 2 2 2 2 2 2 2 2 4" xfId="27371"/>
    <cellStyle name="Normal 2 4 2 2 2 2 2 2 2 2 2 2 4 2" xfId="38935"/>
    <cellStyle name="Normal 2 4 2 2 2 2 2 2 2 2 2 3" xfId="5503"/>
    <cellStyle name="Normal 2 4 2 2 2 2 2 2 2 2 2 3 2" xfId="17103"/>
    <cellStyle name="Normal 2 4 2 2 2 2 2 2 2 2 2 3 2 2" xfId="19076"/>
    <cellStyle name="Normal 2 4 2 2 2 2 2 2 2 2 2 3 2 2 2" xfId="52431"/>
    <cellStyle name="Normal 2 4 2 2 2 2 2 2 2 2 2 3 2 2 2 2" xfId="54402"/>
    <cellStyle name="Normal 2 4 2 2 2 2 2 2 2 2 2 3 2 3" xfId="32577"/>
    <cellStyle name="Normal 2 4 2 2 2 2 2 2 2 2 2 3 3" xfId="30605"/>
    <cellStyle name="Normal 2 4 2 2 2 2 2 2 2 2 2 3 3 2" xfId="40940"/>
    <cellStyle name="Normal 2 4 2 2 2 2 2 2 2 2 2 4" xfId="10706"/>
    <cellStyle name="Normal 2 4 2 2 2 2 2 2 2 2 2 4 2" xfId="38915"/>
    <cellStyle name="Normal 2 4 2 2 2 2 2 2 2 2 2 4 2 2" xfId="46069"/>
    <cellStyle name="Normal 2 4 2 2 2 2 2 2 2 2 2 5" xfId="24192"/>
    <cellStyle name="Normal 2 4 2 2 2 2 2 2 2 2 3" xfId="5483"/>
    <cellStyle name="Normal 2 4 2 2 2 2 2 2 2 2 3 2" xfId="6756"/>
    <cellStyle name="Normal 2 4 2 2 2 2 2 2 2 2 3 2 2" xfId="19056"/>
    <cellStyle name="Normal 2 4 2 2 2 2 2 2 2 2 3 2 2 2" xfId="20309"/>
    <cellStyle name="Normal 2 4 2 2 2 2 2 2 2 2 3 2 2 2 2" xfId="54382"/>
    <cellStyle name="Normal 2 4 2 2 2 2 2 2 2 2 3 2 2 2 2 2" xfId="55635"/>
    <cellStyle name="Normal 2 4 2 2 2 2 2 2 2 2 3 2 2 3" xfId="33811"/>
    <cellStyle name="Normal 2 4 2 2 2 2 2 2 2 2 3 2 3" xfId="32557"/>
    <cellStyle name="Normal 2 4 2 2 2 2 2 2 2 2 3 2 3 2" xfId="42184"/>
    <cellStyle name="Normal 2 4 2 2 2 2 2 2 2 2 3 3" xfId="11979"/>
    <cellStyle name="Normal 2 4 2 2 2 2 2 2 2 2 3 3 2" xfId="40920"/>
    <cellStyle name="Normal 2 4 2 2 2 2 2 2 2 2 3 3 2 2" xfId="47327"/>
    <cellStyle name="Normal 2 4 2 2 2 2 2 2 2 2 3 4" xfId="25464"/>
    <cellStyle name="Normal 2 4 2 2 2 2 2 2 2 2 4" xfId="10686"/>
    <cellStyle name="Normal 2 4 2 2 2 2 2 2 2 2 4 2" xfId="15137"/>
    <cellStyle name="Normal 2 4 2 2 2 2 2 2 2 2 4 2 2" xfId="46049"/>
    <cellStyle name="Normal 2 4 2 2 2 2 2 2 2 2 4 2 2 2" xfId="50476"/>
    <cellStyle name="Normal 2 4 2 2 2 2 2 2 2 2 4 3" xfId="28650"/>
    <cellStyle name="Normal 2 4 2 2 2 2 2 2 2 2 5" xfId="24172"/>
    <cellStyle name="Normal 2 4 2 2 2 2 2 2 2 2 5 2" xfId="36945"/>
    <cellStyle name="Normal 2 4 2 2 2 2 2 2 2 3" xfId="2255"/>
    <cellStyle name="Normal 2 4 2 2 2 2 2 2 2 3 2" xfId="6736"/>
    <cellStyle name="Normal 2 4 2 2 2 2 2 2 2 3 2 2" xfId="7489"/>
    <cellStyle name="Normal 2 4 2 2 2 2 2 2 2 3 2 2 2" xfId="20289"/>
    <cellStyle name="Normal 2 4 2 2 2 2 2 2 2 3 2 2 2 2" xfId="21041"/>
    <cellStyle name="Normal 2 4 2 2 2 2 2 2 2 3 2 2 2 2 2" xfId="55615"/>
    <cellStyle name="Normal 2 4 2 2 2 2 2 2 2 3 2 2 2 2 2 2" xfId="56367"/>
    <cellStyle name="Normal 2 4 2 2 2 2 2 2 2 3 2 2 2 3" xfId="34544"/>
    <cellStyle name="Normal 2 4 2 2 2 2 2 2 2 3 2 2 3" xfId="33791"/>
    <cellStyle name="Normal 2 4 2 2 2 2 2 2 2 3 2 2 3 2" xfId="42916"/>
    <cellStyle name="Normal 2 4 2 2 2 2 2 2 2 3 2 3" xfId="12714"/>
    <cellStyle name="Normal 2 4 2 2 2 2 2 2 2 3 2 3 2" xfId="42164"/>
    <cellStyle name="Normal 2 4 2 2 2 2 2 2 2 3 2 3 2 2" xfId="48060"/>
    <cellStyle name="Normal 2 4 2 2 2 2 2 2 2 3 2 4" xfId="26198"/>
    <cellStyle name="Normal 2 4 2 2 2 2 2 2 2 3 3" xfId="11959"/>
    <cellStyle name="Normal 2 4 2 2 2 2 2 2 2 3 3 2" xfId="15919"/>
    <cellStyle name="Normal 2 4 2 2 2 2 2 2 2 3 3 2 2" xfId="47307"/>
    <cellStyle name="Normal 2 4 2 2 2 2 2 2 2 3 3 2 2 2" xfId="51251"/>
    <cellStyle name="Normal 2 4 2 2 2 2 2 2 2 3 3 3" xfId="29425"/>
    <cellStyle name="Normal 2 4 2 2 2 2 2 2 2 3 4" xfId="25444"/>
    <cellStyle name="Normal 2 4 2 2 2 2 2 2 2 3 4 2" xfId="37733"/>
    <cellStyle name="Normal 2 4 2 2 2 2 2 2 2 4" xfId="4271"/>
    <cellStyle name="Normal 2 4 2 2 2 2 2 2 2 4 2" xfId="15117"/>
    <cellStyle name="Normal 2 4 2 2 2 2 2 2 2 4 2 2" xfId="17864"/>
    <cellStyle name="Normal 2 4 2 2 2 2 2 2 2 4 2 2 2" xfId="50456"/>
    <cellStyle name="Normal 2 4 2 2 2 2 2 2 2 4 2 2 2 2" xfId="53191"/>
    <cellStyle name="Normal 2 4 2 2 2 2 2 2 2 4 2 3" xfId="31366"/>
    <cellStyle name="Normal 2 4 2 2 2 2 2 2 2 4 3" xfId="28630"/>
    <cellStyle name="Normal 2 4 2 2 2 2 2 2 2 4 3 2" xfId="39714"/>
    <cellStyle name="Normal 2 4 2 2 2 2 2 2 2 5" xfId="9462"/>
    <cellStyle name="Normal 2 4 2 2 2 2 2 2 2 5 2" xfId="36925"/>
    <cellStyle name="Normal 2 4 2 2 2 2 2 2 2 5 2 2" xfId="44844"/>
    <cellStyle name="Normal 2 4 2 2 2 2 2 2 2 6" xfId="22958"/>
    <cellStyle name="Normal 2 4 2 2 2 2 2 2 3" xfId="2235"/>
    <cellStyle name="Normal 2 4 2 2 2 2 2 2 3 2" xfId="2742"/>
    <cellStyle name="Normal 2 4 2 2 2 2 2 2 3 2 2" xfId="7469"/>
    <cellStyle name="Normal 2 4 2 2 2 2 2 2 3 2 2 2" xfId="7961"/>
    <cellStyle name="Normal 2 4 2 2 2 2 2 2 3 2 2 2 2" xfId="21021"/>
    <cellStyle name="Normal 2 4 2 2 2 2 2 2 3 2 2 2 2 2" xfId="21513"/>
    <cellStyle name="Normal 2 4 2 2 2 2 2 2 3 2 2 2 2 2 2" xfId="56347"/>
    <cellStyle name="Normal 2 4 2 2 2 2 2 2 3 2 2 2 2 2 2 2" xfId="56839"/>
    <cellStyle name="Normal 2 4 2 2 2 2 2 2 3 2 2 2 2 3" xfId="35016"/>
    <cellStyle name="Normal 2 4 2 2 2 2 2 2 3 2 2 2 3" xfId="34524"/>
    <cellStyle name="Normal 2 4 2 2 2 2 2 2 3 2 2 2 3 2" xfId="43388"/>
    <cellStyle name="Normal 2 4 2 2 2 2 2 2 3 2 2 3" xfId="13186"/>
    <cellStyle name="Normal 2 4 2 2 2 2 2 2 3 2 2 3 2" xfId="42896"/>
    <cellStyle name="Normal 2 4 2 2 2 2 2 2 3 2 2 3 2 2" xfId="48532"/>
    <cellStyle name="Normal 2 4 2 2 2 2 2 2 3 2 2 4" xfId="26670"/>
    <cellStyle name="Normal 2 4 2 2 2 2 2 2 3 2 3" xfId="12694"/>
    <cellStyle name="Normal 2 4 2 2 2 2 2 2 3 2 3 2" xfId="16401"/>
    <cellStyle name="Normal 2 4 2 2 2 2 2 2 3 2 3 2 2" xfId="48040"/>
    <cellStyle name="Normal 2 4 2 2 2 2 2 2 3 2 3 2 2 2" xfId="51731"/>
    <cellStyle name="Normal 2 4 2 2 2 2 2 2 3 2 3 3" xfId="29905"/>
    <cellStyle name="Normal 2 4 2 2 2 2 2 2 3 2 4" xfId="26178"/>
    <cellStyle name="Normal 2 4 2 2 2 2 2 2 3 2 4 2" xfId="38215"/>
    <cellStyle name="Normal 2 4 2 2 2 2 2 2 3 3" xfId="4778"/>
    <cellStyle name="Normal 2 4 2 2 2 2 2 2 3 3 2" xfId="15899"/>
    <cellStyle name="Normal 2 4 2 2 2 2 2 2 3 3 2 2" xfId="18355"/>
    <cellStyle name="Normal 2 4 2 2 2 2 2 2 3 3 2 2 2" xfId="51231"/>
    <cellStyle name="Normal 2 4 2 2 2 2 2 2 3 3 2 2 2 2" xfId="53681"/>
    <cellStyle name="Normal 2 4 2 2 2 2 2 2 3 3 2 3" xfId="31856"/>
    <cellStyle name="Normal 2 4 2 2 2 2 2 2 3 3 3" xfId="29405"/>
    <cellStyle name="Normal 2 4 2 2 2 2 2 2 3 3 3 2" xfId="40216"/>
    <cellStyle name="Normal 2 4 2 2 2 2 2 2 3 4" xfId="9981"/>
    <cellStyle name="Normal 2 4 2 2 2 2 2 2 3 4 2" xfId="37713"/>
    <cellStyle name="Normal 2 4 2 2 2 2 2 2 3 4 2 2" xfId="45348"/>
    <cellStyle name="Normal 2 4 2 2 2 2 2 2 3 5" xfId="23471"/>
    <cellStyle name="Normal 2 4 2 2 2 2 2 2 4" xfId="4251"/>
    <cellStyle name="Normal 2 4 2 2 2 2 2 2 4 2" xfId="5983"/>
    <cellStyle name="Normal 2 4 2 2 2 2 2 2 4 2 2" xfId="17844"/>
    <cellStyle name="Normal 2 4 2 2 2 2 2 2 4 2 2 2" xfId="19550"/>
    <cellStyle name="Normal 2 4 2 2 2 2 2 2 4 2 2 2 2" xfId="53171"/>
    <cellStyle name="Normal 2 4 2 2 2 2 2 2 4 2 2 2 2 2" xfId="54876"/>
    <cellStyle name="Normal 2 4 2 2 2 2 2 2 4 2 2 3" xfId="33051"/>
    <cellStyle name="Normal 2 4 2 2 2 2 2 2 4 2 3" xfId="31346"/>
    <cellStyle name="Normal 2 4 2 2 2 2 2 2 4 2 3 2" xfId="41417"/>
    <cellStyle name="Normal 2 4 2 2 2 2 2 2 4 3" xfId="11208"/>
    <cellStyle name="Normal 2 4 2 2 2 2 2 2 4 3 2" xfId="39694"/>
    <cellStyle name="Normal 2 4 2 2 2 2 2 2 4 3 2 2" xfId="46566"/>
    <cellStyle name="Normal 2 4 2 2 2 2 2 2 4 4" xfId="24701"/>
    <cellStyle name="Normal 2 4 2 2 2 2 2 2 5" xfId="9442"/>
    <cellStyle name="Normal 2 4 2 2 2 2 2 2 5 2" xfId="14367"/>
    <cellStyle name="Normal 2 4 2 2 2 2 2 2 5 2 2" xfId="44824"/>
    <cellStyle name="Normal 2 4 2 2 2 2 2 2 5 2 2 2" xfId="49712"/>
    <cellStyle name="Normal 2 4 2 2 2 2 2 2 5 3" xfId="27877"/>
    <cellStyle name="Normal 2 4 2 2 2 2 2 2 6" xfId="22938"/>
    <cellStyle name="Normal 2 4 2 2 2 2 2 2 6 2" xfId="36179"/>
    <cellStyle name="Normal 2 4 2 2 2 2 2 3" xfId="980"/>
    <cellStyle name="Normal 2 4 2 2 2 2 2 3 2" xfId="2722"/>
    <cellStyle name="Normal 2 4 2 2 2 2 2 3 2 2" xfId="3018"/>
    <cellStyle name="Normal 2 4 2 2 2 2 2 3 2 2 2" xfId="7941"/>
    <cellStyle name="Normal 2 4 2 2 2 2 2 3 2 2 2 2" xfId="8233"/>
    <cellStyle name="Normal 2 4 2 2 2 2 2 3 2 2 2 2 2" xfId="21493"/>
    <cellStyle name="Normal 2 4 2 2 2 2 2 3 2 2 2 2 2 2" xfId="21785"/>
    <cellStyle name="Normal 2 4 2 2 2 2 2 3 2 2 2 2 2 2 2" xfId="56819"/>
    <cellStyle name="Normal 2 4 2 2 2 2 2 3 2 2 2 2 2 2 2 2" xfId="57111"/>
    <cellStyle name="Normal 2 4 2 2 2 2 2 3 2 2 2 2 2 3" xfId="35288"/>
    <cellStyle name="Normal 2 4 2 2 2 2 2 3 2 2 2 2 3" xfId="34996"/>
    <cellStyle name="Normal 2 4 2 2 2 2 2 3 2 2 2 2 3 2" xfId="43660"/>
    <cellStyle name="Normal 2 4 2 2 2 2 2 3 2 2 2 3" xfId="13458"/>
    <cellStyle name="Normal 2 4 2 2 2 2 2 3 2 2 2 3 2" xfId="43368"/>
    <cellStyle name="Normal 2 4 2 2 2 2 2 3 2 2 2 3 2 2" xfId="48804"/>
    <cellStyle name="Normal 2 4 2 2 2 2 2 3 2 2 2 4" xfId="26943"/>
    <cellStyle name="Normal 2 4 2 2 2 2 2 3 2 2 3" xfId="13166"/>
    <cellStyle name="Normal 2 4 2 2 2 2 2 3 2 2 3 2" xfId="16675"/>
    <cellStyle name="Normal 2 4 2 2 2 2 2 3 2 2 3 2 2" xfId="48512"/>
    <cellStyle name="Normal 2 4 2 2 2 2 2 3 2 2 3 2 2 2" xfId="52003"/>
    <cellStyle name="Normal 2 4 2 2 2 2 2 3 2 2 3 3" xfId="30177"/>
    <cellStyle name="Normal 2 4 2 2 2 2 2 3 2 2 4" xfId="26650"/>
    <cellStyle name="Normal 2 4 2 2 2 2 2 3 2 2 4 2" xfId="38487"/>
    <cellStyle name="Normal 2 4 2 2 2 2 2 3 2 3" xfId="5054"/>
    <cellStyle name="Normal 2 4 2 2 2 2 2 3 2 3 2" xfId="16381"/>
    <cellStyle name="Normal 2 4 2 2 2 2 2 3 2 3 2 2" xfId="18627"/>
    <cellStyle name="Normal 2 4 2 2 2 2 2 3 2 3 2 2 2" xfId="51711"/>
    <cellStyle name="Normal 2 4 2 2 2 2 2 3 2 3 2 2 2 2" xfId="53953"/>
    <cellStyle name="Normal 2 4 2 2 2 2 2 3 2 3 2 3" xfId="32128"/>
    <cellStyle name="Normal 2 4 2 2 2 2 2 3 2 3 3" xfId="29885"/>
    <cellStyle name="Normal 2 4 2 2 2 2 2 3 2 3 3 2" xfId="40491"/>
    <cellStyle name="Normal 2 4 2 2 2 2 2 3 2 4" xfId="10257"/>
    <cellStyle name="Normal 2 4 2 2 2 2 2 3 2 4 2" xfId="38195"/>
    <cellStyle name="Normal 2 4 2 2 2 2 2 3 2 4 2 2" xfId="45620"/>
    <cellStyle name="Normal 2 4 2 2 2 2 2 3 2 5" xfId="23743"/>
    <cellStyle name="Normal 2 4 2 2 2 2 2 3 3" xfId="4758"/>
    <cellStyle name="Normal 2 4 2 2 2 2 2 3 3 2" xfId="6291"/>
    <cellStyle name="Normal 2 4 2 2 2 2 2 3 3 2 2" xfId="18335"/>
    <cellStyle name="Normal 2 4 2 2 2 2 2 3 3 2 2 2" xfId="19848"/>
    <cellStyle name="Normal 2 4 2 2 2 2 2 3 3 2 2 2 2" xfId="53661"/>
    <cellStyle name="Normal 2 4 2 2 2 2 2 3 3 2 2 2 2 2" xfId="55174"/>
    <cellStyle name="Normal 2 4 2 2 2 2 2 3 3 2 2 3" xfId="33350"/>
    <cellStyle name="Normal 2 4 2 2 2 2 2 3 3 2 3" xfId="31836"/>
    <cellStyle name="Normal 2 4 2 2 2 2 2 3 3 2 3 2" xfId="41720"/>
    <cellStyle name="Normal 2 4 2 2 2 2 2 3 3 3" xfId="11516"/>
    <cellStyle name="Normal 2 4 2 2 2 2 2 3 3 3 2" xfId="40196"/>
    <cellStyle name="Normal 2 4 2 2 2 2 2 3 3 3 2 2" xfId="46865"/>
    <cellStyle name="Normal 2 4 2 2 2 2 2 3 3 4" xfId="25002"/>
    <cellStyle name="Normal 2 4 2 2 2 2 2 3 4" xfId="9961"/>
    <cellStyle name="Normal 2 4 2 2 2 2 2 3 4 2" xfId="14674"/>
    <cellStyle name="Normal 2 4 2 2 2 2 2 3 4 2 2" xfId="45328"/>
    <cellStyle name="Normal 2 4 2 2 2 2 2 3 4 2 2 2" xfId="50013"/>
    <cellStyle name="Normal 2 4 2 2 2 2 2 3 4 3" xfId="28185"/>
    <cellStyle name="Normal 2 4 2 2 2 2 2 3 5" xfId="23451"/>
    <cellStyle name="Normal 2 4 2 2 2 2 2 3 5 2" xfId="36482"/>
    <cellStyle name="Normal 2 4 2 2 2 2 2 4" xfId="1776"/>
    <cellStyle name="Normal 2 4 2 2 2 2 2 4 2" xfId="5963"/>
    <cellStyle name="Normal 2 4 2 2 2 2 2 4 2 2" xfId="7029"/>
    <cellStyle name="Normal 2 4 2 2 2 2 2 4 2 2 2" xfId="19530"/>
    <cellStyle name="Normal 2 4 2 2 2 2 2 4 2 2 2 2" xfId="20582"/>
    <cellStyle name="Normal 2 4 2 2 2 2 2 4 2 2 2 2 2" xfId="54856"/>
    <cellStyle name="Normal 2 4 2 2 2 2 2 4 2 2 2 2 2 2" xfId="55908"/>
    <cellStyle name="Normal 2 4 2 2 2 2 2 4 2 2 2 3" xfId="34084"/>
    <cellStyle name="Normal 2 4 2 2 2 2 2 4 2 2 3" xfId="33031"/>
    <cellStyle name="Normal 2 4 2 2 2 2 2 4 2 2 3 2" xfId="42457"/>
    <cellStyle name="Normal 2 4 2 2 2 2 2 4 2 3" xfId="12253"/>
    <cellStyle name="Normal 2 4 2 2 2 2 2 4 2 3 2" xfId="41397"/>
    <cellStyle name="Normal 2 4 2 2 2 2 2 4 2 3 2 2" xfId="47600"/>
    <cellStyle name="Normal 2 4 2 2 2 2 2 4 2 4" xfId="25738"/>
    <cellStyle name="Normal 2 4 2 2 2 2 2 4 3" xfId="11188"/>
    <cellStyle name="Normal 2 4 2 2 2 2 2 4 3 2" xfId="15448"/>
    <cellStyle name="Normal 2 4 2 2 2 2 2 4 3 2 2" xfId="46546"/>
    <cellStyle name="Normal 2 4 2 2 2 2 2 4 3 2 2 2" xfId="50781"/>
    <cellStyle name="Normal 2 4 2 2 2 2 2 4 3 3" xfId="28955"/>
    <cellStyle name="Normal 2 4 2 2 2 2 2 4 4" xfId="24681"/>
    <cellStyle name="Normal 2 4 2 2 2 2 2 4 4 2" xfId="37258"/>
    <cellStyle name="Normal 2 4 2 2 2 2 2 5" xfId="3782"/>
    <cellStyle name="Normal 2 4 2 2 2 2 2 5 2" xfId="14347"/>
    <cellStyle name="Normal 2 4 2 2 2 2 2 5 2 2" xfId="17398"/>
    <cellStyle name="Normal 2 4 2 2 2 2 2 5 2 2 2" xfId="49692"/>
    <cellStyle name="Normal 2 4 2 2 2 2 2 5 2 2 2 2" xfId="52725"/>
    <cellStyle name="Normal 2 4 2 2 2 2 2 5 2 3" xfId="30899"/>
    <cellStyle name="Normal 2 4 2 2 2 2 2 5 3" xfId="27857"/>
    <cellStyle name="Normal 2 4 2 2 2 2 2 5 3 2" xfId="39233"/>
    <cellStyle name="Normal 2 4 2 2 2 2 2 6" xfId="8972"/>
    <cellStyle name="Normal 2 4 2 2 2 2 2 6 2" xfId="36159"/>
    <cellStyle name="Normal 2 4 2 2 2 2 2 6 2 2" xfId="44371"/>
    <cellStyle name="Normal 2 4 2 2 2 2 2 7" xfId="22479"/>
    <cellStyle name="Normal 2 4 2 2 2 2 3" xfId="960"/>
    <cellStyle name="Normal 2 4 2 2 2 2 3 2" xfId="1184"/>
    <cellStyle name="Normal 2 4 2 2 2 2 3 2 2" xfId="2998"/>
    <cellStyle name="Normal 2 4 2 2 2 2 3 2 2 2" xfId="3204"/>
    <cellStyle name="Normal 2 4 2 2 2 2 3 2 2 2 2" xfId="8213"/>
    <cellStyle name="Normal 2 4 2 2 2 2 3 2 2 2 2 2" xfId="8419"/>
    <cellStyle name="Normal 2 4 2 2 2 2 3 2 2 2 2 2 2" xfId="21765"/>
    <cellStyle name="Normal 2 4 2 2 2 2 3 2 2 2 2 2 2 2" xfId="21971"/>
    <cellStyle name="Normal 2 4 2 2 2 2 3 2 2 2 2 2 2 2 2" xfId="57091"/>
    <cellStyle name="Normal 2 4 2 2 2 2 3 2 2 2 2 2 2 2 2 2" xfId="57297"/>
    <cellStyle name="Normal 2 4 2 2 2 2 3 2 2 2 2 2 2 3" xfId="35474"/>
    <cellStyle name="Normal 2 4 2 2 2 2 3 2 2 2 2 2 3" xfId="35268"/>
    <cellStyle name="Normal 2 4 2 2 2 2 3 2 2 2 2 2 3 2" xfId="43846"/>
    <cellStyle name="Normal 2 4 2 2 2 2 3 2 2 2 2 3" xfId="13644"/>
    <cellStyle name="Normal 2 4 2 2 2 2 3 2 2 2 2 3 2" xfId="43640"/>
    <cellStyle name="Normal 2 4 2 2 2 2 3 2 2 2 2 3 2 2" xfId="48990"/>
    <cellStyle name="Normal 2 4 2 2 2 2 3 2 2 2 2 4" xfId="27129"/>
    <cellStyle name="Normal 2 4 2 2 2 2 3 2 2 2 3" xfId="13438"/>
    <cellStyle name="Normal 2 4 2 2 2 2 3 2 2 2 3 2" xfId="16861"/>
    <cellStyle name="Normal 2 4 2 2 2 2 3 2 2 2 3 2 2" xfId="48784"/>
    <cellStyle name="Normal 2 4 2 2 2 2 3 2 2 2 3 2 2 2" xfId="52189"/>
    <cellStyle name="Normal 2 4 2 2 2 2 3 2 2 2 3 3" xfId="30363"/>
    <cellStyle name="Normal 2 4 2 2 2 2 3 2 2 2 4" xfId="26923"/>
    <cellStyle name="Normal 2 4 2 2 2 2 3 2 2 2 4 2" xfId="38673"/>
    <cellStyle name="Normal 2 4 2 2 2 2 3 2 2 3" xfId="5241"/>
    <cellStyle name="Normal 2 4 2 2 2 2 3 2 2 3 2" xfId="16655"/>
    <cellStyle name="Normal 2 4 2 2 2 2 3 2 2 3 2 2" xfId="18814"/>
    <cellStyle name="Normal 2 4 2 2 2 2 3 2 2 3 2 2 2" xfId="51983"/>
    <cellStyle name="Normal 2 4 2 2 2 2 3 2 2 3 2 2 2 2" xfId="54140"/>
    <cellStyle name="Normal 2 4 2 2 2 2 3 2 2 3 2 3" xfId="32315"/>
    <cellStyle name="Normal 2 4 2 2 2 2 3 2 2 3 3" xfId="30157"/>
    <cellStyle name="Normal 2 4 2 2 2 2 3 2 2 3 3 2" xfId="40678"/>
    <cellStyle name="Normal 2 4 2 2 2 2 3 2 2 4" xfId="10444"/>
    <cellStyle name="Normal 2 4 2 2 2 2 3 2 2 4 2" xfId="38467"/>
    <cellStyle name="Normal 2 4 2 2 2 2 3 2 2 4 2 2" xfId="45807"/>
    <cellStyle name="Normal 2 4 2 2 2 2 3 2 2 5" xfId="23930"/>
    <cellStyle name="Normal 2 4 2 2 2 2 3 2 3" xfId="5034"/>
    <cellStyle name="Normal 2 4 2 2 2 2 3 2 3 2" xfId="6492"/>
    <cellStyle name="Normal 2 4 2 2 2 2 3 2 3 2 2" xfId="18607"/>
    <cellStyle name="Normal 2 4 2 2 2 2 3 2 3 2 2 2" xfId="20046"/>
    <cellStyle name="Normal 2 4 2 2 2 2 3 2 3 2 2 2 2" xfId="53933"/>
    <cellStyle name="Normal 2 4 2 2 2 2 3 2 3 2 2 2 2 2" xfId="55372"/>
    <cellStyle name="Normal 2 4 2 2 2 2 3 2 3 2 2 3" xfId="33548"/>
    <cellStyle name="Normal 2 4 2 2 2 2 3 2 3 2 3" xfId="32108"/>
    <cellStyle name="Normal 2 4 2 2 2 2 3 2 3 2 3 2" xfId="41920"/>
    <cellStyle name="Normal 2 4 2 2 2 2 3 2 3 3" xfId="11716"/>
    <cellStyle name="Normal 2 4 2 2 2 2 3 2 3 3 2" xfId="40471"/>
    <cellStyle name="Normal 2 4 2 2 2 2 3 2 3 3 2 2" xfId="47064"/>
    <cellStyle name="Normal 2 4 2 2 2 2 3 2 3 4" xfId="25201"/>
    <cellStyle name="Normal 2 4 2 2 2 2 3 2 4" xfId="10237"/>
    <cellStyle name="Normal 2 4 2 2 2 2 3 2 4 2" xfId="14874"/>
    <cellStyle name="Normal 2 4 2 2 2 2 3 2 4 2 2" xfId="45600"/>
    <cellStyle name="Normal 2 4 2 2 2 2 3 2 4 2 2 2" xfId="50213"/>
    <cellStyle name="Normal 2 4 2 2 2 2 3 2 4 3" xfId="28387"/>
    <cellStyle name="Normal 2 4 2 2 2 2 3 2 5" xfId="23723"/>
    <cellStyle name="Normal 2 4 2 2 2 2 3 2 5 2" xfId="36682"/>
    <cellStyle name="Normal 2 4 2 2 2 2 3 3" xfId="1992"/>
    <cellStyle name="Normal 2 4 2 2 2 2 3 3 2" xfId="6271"/>
    <cellStyle name="Normal 2 4 2 2 2 2 3 3 2 2" xfId="7226"/>
    <cellStyle name="Normal 2 4 2 2 2 2 3 3 2 2 2" xfId="19828"/>
    <cellStyle name="Normal 2 4 2 2 2 2 3 3 2 2 2 2" xfId="20778"/>
    <cellStyle name="Normal 2 4 2 2 2 2 3 3 2 2 2 2 2" xfId="55154"/>
    <cellStyle name="Normal 2 4 2 2 2 2 3 3 2 2 2 2 2 2" xfId="56104"/>
    <cellStyle name="Normal 2 4 2 2 2 2 3 3 2 2 2 3" xfId="34281"/>
    <cellStyle name="Normal 2 4 2 2 2 2 3 3 2 2 3" xfId="33330"/>
    <cellStyle name="Normal 2 4 2 2 2 2 3 3 2 2 3 2" xfId="42653"/>
    <cellStyle name="Normal 2 4 2 2 2 2 3 3 2 3" xfId="12451"/>
    <cellStyle name="Normal 2 4 2 2 2 2 3 3 2 3 2" xfId="41700"/>
    <cellStyle name="Normal 2 4 2 2 2 2 3 3 2 3 2 2" xfId="47797"/>
    <cellStyle name="Normal 2 4 2 2 2 2 3 3 2 4" xfId="25935"/>
    <cellStyle name="Normal 2 4 2 2 2 2 3 3 3" xfId="11496"/>
    <cellStyle name="Normal 2 4 2 2 2 2 3 3 3 2" xfId="15656"/>
    <cellStyle name="Normal 2 4 2 2 2 2 3 3 3 2 2" xfId="46845"/>
    <cellStyle name="Normal 2 4 2 2 2 2 3 3 3 2 2 2" xfId="50988"/>
    <cellStyle name="Normal 2 4 2 2 2 2 3 3 3 3" xfId="29162"/>
    <cellStyle name="Normal 2 4 2 2 2 2 3 3 4" xfId="24982"/>
    <cellStyle name="Normal 2 4 2 2 2 2 3 3 4 2" xfId="37470"/>
    <cellStyle name="Normal 2 4 2 2 2 2 3 4" xfId="4006"/>
    <cellStyle name="Normal 2 4 2 2 2 2 3 4 2" xfId="14654"/>
    <cellStyle name="Normal 2 4 2 2 2 2 3 4 2 2" xfId="17601"/>
    <cellStyle name="Normal 2 4 2 2 2 2 3 4 2 2 2" xfId="49993"/>
    <cellStyle name="Normal 2 4 2 2 2 2 3 4 2 2 2 2" xfId="52928"/>
    <cellStyle name="Normal 2 4 2 2 2 2 3 4 2 3" xfId="31103"/>
    <cellStyle name="Normal 2 4 2 2 2 2 3 4 3" xfId="28165"/>
    <cellStyle name="Normal 2 4 2 2 2 2 3 4 3 2" xfId="39450"/>
    <cellStyle name="Normal 2 4 2 2 2 2 3 5" xfId="9198"/>
    <cellStyle name="Normal 2 4 2 2 2 2 3 5 2" xfId="36462"/>
    <cellStyle name="Normal 2 4 2 2 2 2 3 5 2 2" xfId="44581"/>
    <cellStyle name="Normal 2 4 2 2 2 2 3 6" xfId="22695"/>
    <cellStyle name="Normal 2 4 2 2 2 2 4" xfId="1756"/>
    <cellStyle name="Normal 2 4 2 2 2 2 4 2" xfId="2437"/>
    <cellStyle name="Normal 2 4 2 2 2 2 4 2 2" xfId="7009"/>
    <cellStyle name="Normal 2 4 2 2 2 2 4 2 2 2" xfId="7669"/>
    <cellStyle name="Normal 2 4 2 2 2 2 4 2 2 2 2" xfId="20562"/>
    <cellStyle name="Normal 2 4 2 2 2 2 4 2 2 2 2 2" xfId="21221"/>
    <cellStyle name="Normal 2 4 2 2 2 2 4 2 2 2 2 2 2" xfId="55888"/>
    <cellStyle name="Normal 2 4 2 2 2 2 4 2 2 2 2 2 2 2" xfId="56547"/>
    <cellStyle name="Normal 2 4 2 2 2 2 4 2 2 2 2 3" xfId="34724"/>
    <cellStyle name="Normal 2 4 2 2 2 2 4 2 2 2 3" xfId="34064"/>
    <cellStyle name="Normal 2 4 2 2 2 2 4 2 2 2 3 2" xfId="43096"/>
    <cellStyle name="Normal 2 4 2 2 2 2 4 2 2 3" xfId="12894"/>
    <cellStyle name="Normal 2 4 2 2 2 2 4 2 2 3 2" xfId="42437"/>
    <cellStyle name="Normal 2 4 2 2 2 2 4 2 2 3 2 2" xfId="48240"/>
    <cellStyle name="Normal 2 4 2 2 2 2 4 2 2 4" xfId="26378"/>
    <cellStyle name="Normal 2 4 2 2 2 2 4 2 3" xfId="12233"/>
    <cellStyle name="Normal 2 4 2 2 2 2 4 2 3 2" xfId="16100"/>
    <cellStyle name="Normal 2 4 2 2 2 2 4 2 3 2 2" xfId="47580"/>
    <cellStyle name="Normal 2 4 2 2 2 2 4 2 3 2 2 2" xfId="51432"/>
    <cellStyle name="Normal 2 4 2 2 2 2 4 2 3 3" xfId="29606"/>
    <cellStyle name="Normal 2 4 2 2 2 2 4 2 4" xfId="25718"/>
    <cellStyle name="Normal 2 4 2 2 2 2 4 2 4 2" xfId="37915"/>
    <cellStyle name="Normal 2 4 2 2 2 2 4 3" xfId="4472"/>
    <cellStyle name="Normal 2 4 2 2 2 2 4 3 2" xfId="15428"/>
    <cellStyle name="Normal 2 4 2 2 2 2 4 3 2 2" xfId="18062"/>
    <cellStyle name="Normal 2 4 2 2 2 2 4 3 2 2 2" xfId="50761"/>
    <cellStyle name="Normal 2 4 2 2 2 2 4 3 2 2 2 2" xfId="53388"/>
    <cellStyle name="Normal 2 4 2 2 2 2 4 3 2 3" xfId="31563"/>
    <cellStyle name="Normal 2 4 2 2 2 2 4 3 3" xfId="28935"/>
    <cellStyle name="Normal 2 4 2 2 2 2 4 3 3 2" xfId="39914"/>
    <cellStyle name="Normal 2 4 2 2 2 2 4 4" xfId="9677"/>
    <cellStyle name="Normal 2 4 2 2 2 2 4 4 2" xfId="37238"/>
    <cellStyle name="Normal 2 4 2 2 2 2 4 4 2 2" xfId="45055"/>
    <cellStyle name="Normal 2 4 2 2 2 2 4 5" xfId="23178"/>
    <cellStyle name="Normal 2 4 2 2 2 2 5" xfId="3762"/>
    <cellStyle name="Normal 2 4 2 2 2 2 5 2" xfId="5679"/>
    <cellStyle name="Normal 2 4 2 2 2 2 5 2 2" xfId="17378"/>
    <cellStyle name="Normal 2 4 2 2 2 2 5 2 2 2" xfId="19251"/>
    <cellStyle name="Normal 2 4 2 2 2 2 5 2 2 2 2" xfId="52705"/>
    <cellStyle name="Normal 2 4 2 2 2 2 5 2 2 2 2 2" xfId="54577"/>
    <cellStyle name="Normal 2 4 2 2 2 2 5 2 2 3" xfId="32752"/>
    <cellStyle name="Normal 2 4 2 2 2 2 5 2 3" xfId="30879"/>
    <cellStyle name="Normal 2 4 2 2 2 2 5 2 3 2" xfId="41115"/>
    <cellStyle name="Normal 2 4 2 2 2 2 5 3" xfId="10897"/>
    <cellStyle name="Normal 2 4 2 2 2 2 5 3 2" xfId="39213"/>
    <cellStyle name="Normal 2 4 2 2 2 2 5 3 2 2" xfId="46259"/>
    <cellStyle name="Normal 2 4 2 2 2 2 5 4" xfId="24390"/>
    <cellStyle name="Normal 2 4 2 2 2 2 6" xfId="8952"/>
    <cellStyle name="Normal 2 4 2 2 2 2 6 2" xfId="14063"/>
    <cellStyle name="Normal 2 4 2 2 2 2 6 2 2" xfId="44351"/>
    <cellStyle name="Normal 2 4 2 2 2 2 6 2 2 2" xfId="49409"/>
    <cellStyle name="Normal 2 4 2 2 2 2 6 3" xfId="27562"/>
    <cellStyle name="Normal 2 4 2 2 2 2 7" xfId="22459"/>
    <cellStyle name="Normal 2 4 2 2 2 2 7 2" xfId="35875"/>
    <cellStyle name="Normal 2 4 2 2 2 3" xfId="468"/>
    <cellStyle name="Normal 2 4 2 2 2 3 2" xfId="1164"/>
    <cellStyle name="Normal 2 4 2 2 2 3 2 2" xfId="1283"/>
    <cellStyle name="Normal 2 4 2 2 2 3 2 2 2" xfId="3184"/>
    <cellStyle name="Normal 2 4 2 2 2 3 2 2 2 2" xfId="3301"/>
    <cellStyle name="Normal 2 4 2 2 2 3 2 2 2 2 2" xfId="8399"/>
    <cellStyle name="Normal 2 4 2 2 2 3 2 2 2 2 2 2" xfId="8516"/>
    <cellStyle name="Normal 2 4 2 2 2 3 2 2 2 2 2 2 2" xfId="21951"/>
    <cellStyle name="Normal 2 4 2 2 2 3 2 2 2 2 2 2 2 2" xfId="22068"/>
    <cellStyle name="Normal 2 4 2 2 2 3 2 2 2 2 2 2 2 2 2" xfId="57277"/>
    <cellStyle name="Normal 2 4 2 2 2 3 2 2 2 2 2 2 2 2 2 2" xfId="57394"/>
    <cellStyle name="Normal 2 4 2 2 2 3 2 2 2 2 2 2 2 3" xfId="35571"/>
    <cellStyle name="Normal 2 4 2 2 2 3 2 2 2 2 2 2 3" xfId="35454"/>
    <cellStyle name="Normal 2 4 2 2 2 3 2 2 2 2 2 2 3 2" xfId="43943"/>
    <cellStyle name="Normal 2 4 2 2 2 3 2 2 2 2 2 3" xfId="13741"/>
    <cellStyle name="Normal 2 4 2 2 2 3 2 2 2 2 2 3 2" xfId="43826"/>
    <cellStyle name="Normal 2 4 2 2 2 3 2 2 2 2 2 3 2 2" xfId="49087"/>
    <cellStyle name="Normal 2 4 2 2 2 3 2 2 2 2 2 4" xfId="27226"/>
    <cellStyle name="Normal 2 4 2 2 2 3 2 2 2 2 3" xfId="13624"/>
    <cellStyle name="Normal 2 4 2 2 2 3 2 2 2 2 3 2" xfId="16958"/>
    <cellStyle name="Normal 2 4 2 2 2 3 2 2 2 2 3 2 2" xfId="48970"/>
    <cellStyle name="Normal 2 4 2 2 2 3 2 2 2 2 3 2 2 2" xfId="52286"/>
    <cellStyle name="Normal 2 4 2 2 2 3 2 2 2 2 3 3" xfId="30460"/>
    <cellStyle name="Normal 2 4 2 2 2 3 2 2 2 2 4" xfId="27109"/>
    <cellStyle name="Normal 2 4 2 2 2 3 2 2 2 2 4 2" xfId="38770"/>
    <cellStyle name="Normal 2 4 2 2 2 3 2 2 2 3" xfId="5338"/>
    <cellStyle name="Normal 2 4 2 2 2 3 2 2 2 3 2" xfId="16841"/>
    <cellStyle name="Normal 2 4 2 2 2 3 2 2 2 3 2 2" xfId="18911"/>
    <cellStyle name="Normal 2 4 2 2 2 3 2 2 2 3 2 2 2" xfId="52169"/>
    <cellStyle name="Normal 2 4 2 2 2 3 2 2 2 3 2 2 2 2" xfId="54237"/>
    <cellStyle name="Normal 2 4 2 2 2 3 2 2 2 3 2 3" xfId="32412"/>
    <cellStyle name="Normal 2 4 2 2 2 3 2 2 2 3 3" xfId="30343"/>
    <cellStyle name="Normal 2 4 2 2 2 3 2 2 2 3 3 2" xfId="40775"/>
    <cellStyle name="Normal 2 4 2 2 2 3 2 2 2 4" xfId="10541"/>
    <cellStyle name="Normal 2 4 2 2 2 3 2 2 2 4 2" xfId="38653"/>
    <cellStyle name="Normal 2 4 2 2 2 3 2 2 2 4 2 2" xfId="45904"/>
    <cellStyle name="Normal 2 4 2 2 2 3 2 2 2 5" xfId="24027"/>
    <cellStyle name="Normal 2 4 2 2 2 3 2 2 3" xfId="5221"/>
    <cellStyle name="Normal 2 4 2 2 2 3 2 2 3 2" xfId="6591"/>
    <cellStyle name="Normal 2 4 2 2 2 3 2 2 3 2 2" xfId="18794"/>
    <cellStyle name="Normal 2 4 2 2 2 3 2 2 3 2 2 2" xfId="20144"/>
    <cellStyle name="Normal 2 4 2 2 2 3 2 2 3 2 2 2 2" xfId="54120"/>
    <cellStyle name="Normal 2 4 2 2 2 3 2 2 3 2 2 2 2 2" xfId="55470"/>
    <cellStyle name="Normal 2 4 2 2 2 3 2 2 3 2 2 3" xfId="33646"/>
    <cellStyle name="Normal 2 4 2 2 2 3 2 2 3 2 3" xfId="32295"/>
    <cellStyle name="Normal 2 4 2 2 2 3 2 2 3 2 3 2" xfId="42019"/>
    <cellStyle name="Normal 2 4 2 2 2 3 2 2 3 3" xfId="11814"/>
    <cellStyle name="Normal 2 4 2 2 2 3 2 2 3 3 2" xfId="40658"/>
    <cellStyle name="Normal 2 4 2 2 2 3 2 2 3 3 2 2" xfId="47162"/>
    <cellStyle name="Normal 2 4 2 2 2 3 2 2 3 4" xfId="25299"/>
    <cellStyle name="Normal 2 4 2 2 2 3 2 2 4" xfId="10424"/>
    <cellStyle name="Normal 2 4 2 2 2 3 2 2 4 2" xfId="14972"/>
    <cellStyle name="Normal 2 4 2 2 2 3 2 2 4 2 2" xfId="45787"/>
    <cellStyle name="Normal 2 4 2 2 2 3 2 2 4 2 2 2" xfId="50311"/>
    <cellStyle name="Normal 2 4 2 2 2 3 2 2 4 3" xfId="28485"/>
    <cellStyle name="Normal 2 4 2 2 2 3 2 2 5" xfId="23910"/>
    <cellStyle name="Normal 2 4 2 2 2 3 2 2 5 2" xfId="36780"/>
    <cellStyle name="Normal 2 4 2 2 2 3 2 3" xfId="2089"/>
    <cellStyle name="Normal 2 4 2 2 2 3 2 3 2" xfId="6472"/>
    <cellStyle name="Normal 2 4 2 2 2 3 2 3 2 2" xfId="7323"/>
    <cellStyle name="Normal 2 4 2 2 2 3 2 3 2 2 2" xfId="20026"/>
    <cellStyle name="Normal 2 4 2 2 2 3 2 3 2 2 2 2" xfId="20875"/>
    <cellStyle name="Normal 2 4 2 2 2 3 2 3 2 2 2 2 2" xfId="55352"/>
    <cellStyle name="Normal 2 4 2 2 2 3 2 3 2 2 2 2 2 2" xfId="56201"/>
    <cellStyle name="Normal 2 4 2 2 2 3 2 3 2 2 2 3" xfId="34378"/>
    <cellStyle name="Normal 2 4 2 2 2 3 2 3 2 2 3" xfId="33528"/>
    <cellStyle name="Normal 2 4 2 2 2 3 2 3 2 2 3 2" xfId="42750"/>
    <cellStyle name="Normal 2 4 2 2 2 3 2 3 2 3" xfId="12548"/>
    <cellStyle name="Normal 2 4 2 2 2 3 2 3 2 3 2" xfId="41900"/>
    <cellStyle name="Normal 2 4 2 2 2 3 2 3 2 3 2 2" xfId="47894"/>
    <cellStyle name="Normal 2 4 2 2 2 3 2 3 2 4" xfId="26032"/>
    <cellStyle name="Normal 2 4 2 2 2 3 2 3 3" xfId="11696"/>
    <cellStyle name="Normal 2 4 2 2 2 3 2 3 3 2" xfId="15753"/>
    <cellStyle name="Normal 2 4 2 2 2 3 2 3 3 2 2" xfId="47044"/>
    <cellStyle name="Normal 2 4 2 2 2 3 2 3 3 2 2 2" xfId="51085"/>
    <cellStyle name="Normal 2 4 2 2 2 3 2 3 3 3" xfId="29259"/>
    <cellStyle name="Normal 2 4 2 2 2 3 2 3 4" xfId="25181"/>
    <cellStyle name="Normal 2 4 2 2 2 3 2 3 4 2" xfId="37567"/>
    <cellStyle name="Normal 2 4 2 2 2 3 2 4" xfId="4105"/>
    <cellStyle name="Normal 2 4 2 2 2 3 2 4 2" xfId="14854"/>
    <cellStyle name="Normal 2 4 2 2 2 3 2 4 2 2" xfId="17698"/>
    <cellStyle name="Normal 2 4 2 2 2 3 2 4 2 2 2" xfId="50193"/>
    <cellStyle name="Normal 2 4 2 2 2 3 2 4 2 2 2 2" xfId="53025"/>
    <cellStyle name="Normal 2 4 2 2 2 3 2 4 2 3" xfId="31200"/>
    <cellStyle name="Normal 2 4 2 2 2 3 2 4 3" xfId="28367"/>
    <cellStyle name="Normal 2 4 2 2 2 3 2 4 3 2" xfId="39548"/>
    <cellStyle name="Normal 2 4 2 2 2 3 2 5" xfId="9296"/>
    <cellStyle name="Normal 2 4 2 2 2 3 2 5 2" xfId="36662"/>
    <cellStyle name="Normal 2 4 2 2 2 3 2 5 2 2" xfId="44678"/>
    <cellStyle name="Normal 2 4 2 2 2 3 2 6" xfId="22792"/>
    <cellStyle name="Normal 2 4 2 2 2 3 3" xfId="1972"/>
    <cellStyle name="Normal 2 4 2 2 2 3 3 2" xfId="2567"/>
    <cellStyle name="Normal 2 4 2 2 2 3 3 2 2" xfId="7206"/>
    <cellStyle name="Normal 2 4 2 2 2 3 3 2 2 2" xfId="7788"/>
    <cellStyle name="Normal 2 4 2 2 2 3 3 2 2 2 2" xfId="20758"/>
    <cellStyle name="Normal 2 4 2 2 2 3 3 2 2 2 2 2" xfId="21340"/>
    <cellStyle name="Normal 2 4 2 2 2 3 3 2 2 2 2 2 2" xfId="56084"/>
    <cellStyle name="Normal 2 4 2 2 2 3 3 2 2 2 2 2 2 2" xfId="56666"/>
    <cellStyle name="Normal 2 4 2 2 2 3 3 2 2 2 2 3" xfId="34843"/>
    <cellStyle name="Normal 2 4 2 2 2 3 3 2 2 2 3" xfId="34261"/>
    <cellStyle name="Normal 2 4 2 2 2 3 3 2 2 2 3 2" xfId="43215"/>
    <cellStyle name="Normal 2 4 2 2 2 3 3 2 2 3" xfId="13013"/>
    <cellStyle name="Normal 2 4 2 2 2 3 3 2 2 3 2" xfId="42633"/>
    <cellStyle name="Normal 2 4 2 2 2 3 3 2 2 3 2 2" xfId="48359"/>
    <cellStyle name="Normal 2 4 2 2 2 3 3 2 2 4" xfId="26497"/>
    <cellStyle name="Normal 2 4 2 2 2 3 3 2 3" xfId="12431"/>
    <cellStyle name="Normal 2 4 2 2 2 3 3 2 3 2" xfId="16226"/>
    <cellStyle name="Normal 2 4 2 2 2 3 3 2 3 2 2" xfId="47777"/>
    <cellStyle name="Normal 2 4 2 2 2 3 3 2 3 2 2 2" xfId="51556"/>
    <cellStyle name="Normal 2 4 2 2 2 3 3 2 3 3" xfId="29730"/>
    <cellStyle name="Normal 2 4 2 2 2 3 3 2 4" xfId="25915"/>
    <cellStyle name="Normal 2 4 2 2 2 3 3 2 4 2" xfId="38040"/>
    <cellStyle name="Normal 2 4 2 2 2 3 3 3" xfId="4600"/>
    <cellStyle name="Normal 2 4 2 2 2 3 3 3 2" xfId="15636"/>
    <cellStyle name="Normal 2 4 2 2 2 3 3 3 2 2" xfId="18181"/>
    <cellStyle name="Normal 2 4 2 2 2 3 3 3 2 2 2" xfId="50968"/>
    <cellStyle name="Normal 2 4 2 2 2 3 3 3 2 2 2 2" xfId="53507"/>
    <cellStyle name="Normal 2 4 2 2 2 3 3 3 2 3" xfId="31682"/>
    <cellStyle name="Normal 2 4 2 2 2 3 3 3 3" xfId="29142"/>
    <cellStyle name="Normal 2 4 2 2 2 3 3 3 3 2" xfId="40039"/>
    <cellStyle name="Normal 2 4 2 2 2 3 3 4" xfId="9804"/>
    <cellStyle name="Normal 2 4 2 2 2 3 3 4 2" xfId="37450"/>
    <cellStyle name="Normal 2 4 2 2 2 3 3 4 2 2" xfId="45174"/>
    <cellStyle name="Normal 2 4 2 2 2 3 3 5" xfId="23297"/>
    <cellStyle name="Normal 2 4 2 2 2 3 4" xfId="3986"/>
    <cellStyle name="Normal 2 4 2 2 2 3 4 2" xfId="5806"/>
    <cellStyle name="Normal 2 4 2 2 2 3 4 2 2" xfId="17581"/>
    <cellStyle name="Normal 2 4 2 2 2 3 4 2 2 2" xfId="19374"/>
    <cellStyle name="Normal 2 4 2 2 2 3 4 2 2 2 2" xfId="52908"/>
    <cellStyle name="Normal 2 4 2 2 2 3 4 2 2 2 2 2" xfId="54700"/>
    <cellStyle name="Normal 2 4 2 2 2 3 4 2 2 3" xfId="32875"/>
    <cellStyle name="Normal 2 4 2 2 2 3 4 2 3" xfId="31083"/>
    <cellStyle name="Normal 2 4 2 2 2 3 4 2 3 2" xfId="41241"/>
    <cellStyle name="Normal 2 4 2 2 2 3 4 3" xfId="11028"/>
    <cellStyle name="Normal 2 4 2 2 2 3 4 3 2" xfId="39430"/>
    <cellStyle name="Normal 2 4 2 2 2 3 4 3 2 2" xfId="46387"/>
    <cellStyle name="Normal 2 4 2 2 2 3 4 4" xfId="24522"/>
    <cellStyle name="Normal 2 4 2 2 2 3 5" xfId="9178"/>
    <cellStyle name="Normal 2 4 2 2 2 3 5 2" xfId="14189"/>
    <cellStyle name="Normal 2 4 2 2 2 3 5 2 2" xfId="44561"/>
    <cellStyle name="Normal 2 4 2 2 2 3 5 2 2 2" xfId="49534"/>
    <cellStyle name="Normal 2 4 2 2 2 3 5 3" xfId="27695"/>
    <cellStyle name="Normal 2 4 2 2 2 3 6" xfId="22675"/>
    <cellStyle name="Normal 2 4 2 2 2 3 6 2" xfId="36001"/>
    <cellStyle name="Normal 2 4 2 2 2 4" xfId="789"/>
    <cellStyle name="Normal 2 4 2 2 2 4 2" xfId="2417"/>
    <cellStyle name="Normal 2 4 2 2 2 4 2 2" xfId="2845"/>
    <cellStyle name="Normal 2 4 2 2 2 4 2 2 2" xfId="7649"/>
    <cellStyle name="Normal 2 4 2 2 2 4 2 2 2 2" xfId="8061"/>
    <cellStyle name="Normal 2 4 2 2 2 4 2 2 2 2 2" xfId="21201"/>
    <cellStyle name="Normal 2 4 2 2 2 4 2 2 2 2 2 2" xfId="21613"/>
    <cellStyle name="Normal 2 4 2 2 2 4 2 2 2 2 2 2 2" xfId="56527"/>
    <cellStyle name="Normal 2 4 2 2 2 4 2 2 2 2 2 2 2 2" xfId="56939"/>
    <cellStyle name="Normal 2 4 2 2 2 4 2 2 2 2 2 3" xfId="35116"/>
    <cellStyle name="Normal 2 4 2 2 2 4 2 2 2 2 3" xfId="34704"/>
    <cellStyle name="Normal 2 4 2 2 2 4 2 2 2 2 3 2" xfId="43488"/>
    <cellStyle name="Normal 2 4 2 2 2 4 2 2 2 3" xfId="13286"/>
    <cellStyle name="Normal 2 4 2 2 2 4 2 2 2 3 2" xfId="43076"/>
    <cellStyle name="Normal 2 4 2 2 2 4 2 2 2 3 2 2" xfId="48632"/>
    <cellStyle name="Normal 2 4 2 2 2 4 2 2 2 4" xfId="26770"/>
    <cellStyle name="Normal 2 4 2 2 2 4 2 2 3" xfId="12874"/>
    <cellStyle name="Normal 2 4 2 2 2 4 2 2 3 2" xfId="16503"/>
    <cellStyle name="Normal 2 4 2 2 2 4 2 2 3 2 2" xfId="48220"/>
    <cellStyle name="Normal 2 4 2 2 2 4 2 2 3 2 2 2" xfId="51831"/>
    <cellStyle name="Normal 2 4 2 2 2 4 2 2 3 3" xfId="30005"/>
    <cellStyle name="Normal 2 4 2 2 2 4 2 2 4" xfId="26358"/>
    <cellStyle name="Normal 2 4 2 2 2 4 2 2 4 2" xfId="38315"/>
    <cellStyle name="Normal 2 4 2 2 2 4 2 3" xfId="4881"/>
    <cellStyle name="Normal 2 4 2 2 2 4 2 3 2" xfId="16080"/>
    <cellStyle name="Normal 2 4 2 2 2 4 2 3 2 2" xfId="18455"/>
    <cellStyle name="Normal 2 4 2 2 2 4 2 3 2 2 2" xfId="51412"/>
    <cellStyle name="Normal 2 4 2 2 2 4 2 3 2 2 2 2" xfId="53781"/>
    <cellStyle name="Normal 2 4 2 2 2 4 2 3 2 3" xfId="31956"/>
    <cellStyle name="Normal 2 4 2 2 2 4 2 3 3" xfId="29586"/>
    <cellStyle name="Normal 2 4 2 2 2 4 2 3 3 2" xfId="40318"/>
    <cellStyle name="Normal 2 4 2 2 2 4 2 4" xfId="10084"/>
    <cellStyle name="Normal 2 4 2 2 2 4 2 4 2" xfId="37895"/>
    <cellStyle name="Normal 2 4 2 2 2 4 2 4 2 2" xfId="45448"/>
    <cellStyle name="Normal 2 4 2 2 2 4 2 5" xfId="23571"/>
    <cellStyle name="Normal 2 4 2 2 2 4 3" xfId="4452"/>
    <cellStyle name="Normal 2 4 2 2 2 4 3 2" xfId="6105"/>
    <cellStyle name="Normal 2 4 2 2 2 4 3 2 2" xfId="18042"/>
    <cellStyle name="Normal 2 4 2 2 2 4 3 2 2 2" xfId="19667"/>
    <cellStyle name="Normal 2 4 2 2 2 4 3 2 2 2 2" xfId="53368"/>
    <cellStyle name="Normal 2 4 2 2 2 4 3 2 2 2 2 2" xfId="54993"/>
    <cellStyle name="Normal 2 4 2 2 2 4 3 2 2 3" xfId="33168"/>
    <cellStyle name="Normal 2 4 2 2 2 4 3 2 3" xfId="31543"/>
    <cellStyle name="Normal 2 4 2 2 2 4 3 2 3 2" xfId="41538"/>
    <cellStyle name="Normal 2 4 2 2 2 4 3 3" xfId="11331"/>
    <cellStyle name="Normal 2 4 2 2 2 4 3 3 2" xfId="39894"/>
    <cellStyle name="Normal 2 4 2 2 2 4 3 3 2 2" xfId="46684"/>
    <cellStyle name="Normal 2 4 2 2 2 4 3 4" xfId="24821"/>
    <cellStyle name="Normal 2 4 2 2 2 4 4" xfId="9657"/>
    <cellStyle name="Normal 2 4 2 2 2 4 4 2" xfId="14489"/>
    <cellStyle name="Normal 2 4 2 2 2 4 4 2 2" xfId="45035"/>
    <cellStyle name="Normal 2 4 2 2 2 4 4 2 2 2" xfId="49831"/>
    <cellStyle name="Normal 2 4 2 2 2 4 4 3" xfId="28000"/>
    <cellStyle name="Normal 2 4 2 2 2 4 5" xfId="23158"/>
    <cellStyle name="Normal 2 4 2 2 2 4 5 2" xfId="36299"/>
    <cellStyle name="Normal 2 4 2 2 2 5" xfId="1576"/>
    <cellStyle name="Normal 2 4 2 2 2 5 2" xfId="5658"/>
    <cellStyle name="Normal 2 4 2 2 2 5 2 2" xfId="6848"/>
    <cellStyle name="Normal 2 4 2 2 2 5 2 2 2" xfId="19230"/>
    <cellStyle name="Normal 2 4 2 2 2 5 2 2 2 2" xfId="20401"/>
    <cellStyle name="Normal 2 4 2 2 2 5 2 2 2 2 2" xfId="54556"/>
    <cellStyle name="Normal 2 4 2 2 2 5 2 2 2 2 2 2" xfId="55727"/>
    <cellStyle name="Normal 2 4 2 2 2 5 2 2 2 3" xfId="33903"/>
    <cellStyle name="Normal 2 4 2 2 2 5 2 2 3" xfId="32731"/>
    <cellStyle name="Normal 2 4 2 2 2 5 2 2 3 2" xfId="42276"/>
    <cellStyle name="Normal 2 4 2 2 2 5 2 3" xfId="12072"/>
    <cellStyle name="Normal 2 4 2 2 2 5 2 3 2" xfId="41094"/>
    <cellStyle name="Normal 2 4 2 2 2 5 2 3 2 2" xfId="47419"/>
    <cellStyle name="Normal 2 4 2 2 2 5 2 4" xfId="25557"/>
    <cellStyle name="Normal 2 4 2 2 2 5 3" xfId="10876"/>
    <cellStyle name="Normal 2 4 2 2 2 5 3 2" xfId="15252"/>
    <cellStyle name="Normal 2 4 2 2 2 5 3 2 2" xfId="46238"/>
    <cellStyle name="Normal 2 4 2 2 2 5 3 2 2 2" xfId="50589"/>
    <cellStyle name="Normal 2 4 2 2 2 5 3 3" xfId="28763"/>
    <cellStyle name="Normal 2 4 2 2 2 5 4" xfId="24369"/>
    <cellStyle name="Normal 2 4 2 2 2 5 4 2" xfId="37064"/>
    <cellStyle name="Normal 2 4 2 2 2 6" xfId="3577"/>
    <cellStyle name="Normal 2 4 2 2 2 6 2" xfId="14042"/>
    <cellStyle name="Normal 2 4 2 2 2 6 2 2" xfId="17213"/>
    <cellStyle name="Normal 2 4 2 2 2 6 2 2 2" xfId="49388"/>
    <cellStyle name="Normal 2 4 2 2 2 6 2 2 2 2" xfId="52540"/>
    <cellStyle name="Normal 2 4 2 2 2 6 2 3" xfId="30714"/>
    <cellStyle name="Normal 2 4 2 2 2 6 3" xfId="27541"/>
    <cellStyle name="Normal 2 4 2 2 2 6 3 2" xfId="39034"/>
    <cellStyle name="Normal 2 4 2 2 2 7" xfId="8768"/>
    <cellStyle name="Normal 2 4 2 2 2 7 2" xfId="35854"/>
    <cellStyle name="Normal 2 4 2 2 2 7 2 2" xfId="44181"/>
    <cellStyle name="Normal 2 4 2 2 2 8" xfId="22285"/>
    <cellStyle name="Normal 2 4 2 2 3" xfId="447"/>
    <cellStyle name="Normal 2 4 2 2 3 2" xfId="543"/>
    <cellStyle name="Normal 2 4 2 2 3 2 2" xfId="1263"/>
    <cellStyle name="Normal 2 4 2 2 3 2 2 2" xfId="1348"/>
    <cellStyle name="Normal 2 4 2 2 3 2 2 2 2" xfId="3281"/>
    <cellStyle name="Normal 2 4 2 2 3 2 2 2 2 2" xfId="3366"/>
    <cellStyle name="Normal 2 4 2 2 3 2 2 2 2 2 2" xfId="8496"/>
    <cellStyle name="Normal 2 4 2 2 3 2 2 2 2 2 2 2" xfId="8581"/>
    <cellStyle name="Normal 2 4 2 2 3 2 2 2 2 2 2 2 2" xfId="22048"/>
    <cellStyle name="Normal 2 4 2 2 3 2 2 2 2 2 2 2 2 2" xfId="22133"/>
    <cellStyle name="Normal 2 4 2 2 3 2 2 2 2 2 2 2 2 2 2" xfId="57374"/>
    <cellStyle name="Normal 2 4 2 2 3 2 2 2 2 2 2 2 2 2 2 2" xfId="57459"/>
    <cellStyle name="Normal 2 4 2 2 3 2 2 2 2 2 2 2 2 3" xfId="35636"/>
    <cellStyle name="Normal 2 4 2 2 3 2 2 2 2 2 2 2 3" xfId="35551"/>
    <cellStyle name="Normal 2 4 2 2 3 2 2 2 2 2 2 2 3 2" xfId="44008"/>
    <cellStyle name="Normal 2 4 2 2 3 2 2 2 2 2 2 3" xfId="13806"/>
    <cellStyle name="Normal 2 4 2 2 3 2 2 2 2 2 2 3 2" xfId="43923"/>
    <cellStyle name="Normal 2 4 2 2 3 2 2 2 2 2 2 3 2 2" xfId="49152"/>
    <cellStyle name="Normal 2 4 2 2 3 2 2 2 2 2 2 4" xfId="27291"/>
    <cellStyle name="Normal 2 4 2 2 3 2 2 2 2 2 3" xfId="13721"/>
    <cellStyle name="Normal 2 4 2 2 3 2 2 2 2 2 3 2" xfId="17023"/>
    <cellStyle name="Normal 2 4 2 2 3 2 2 2 2 2 3 2 2" xfId="49067"/>
    <cellStyle name="Normal 2 4 2 2 3 2 2 2 2 2 3 2 2 2" xfId="52351"/>
    <cellStyle name="Normal 2 4 2 2 3 2 2 2 2 2 3 3" xfId="30525"/>
    <cellStyle name="Normal 2 4 2 2 3 2 2 2 2 2 4" xfId="27206"/>
    <cellStyle name="Normal 2 4 2 2 3 2 2 2 2 2 4 2" xfId="38835"/>
    <cellStyle name="Normal 2 4 2 2 3 2 2 2 2 3" xfId="5403"/>
    <cellStyle name="Normal 2 4 2 2 3 2 2 2 2 3 2" xfId="16938"/>
    <cellStyle name="Normal 2 4 2 2 3 2 2 2 2 3 2 2" xfId="18976"/>
    <cellStyle name="Normal 2 4 2 2 3 2 2 2 2 3 2 2 2" xfId="52266"/>
    <cellStyle name="Normal 2 4 2 2 3 2 2 2 2 3 2 2 2 2" xfId="54302"/>
    <cellStyle name="Normal 2 4 2 2 3 2 2 2 2 3 2 3" xfId="32477"/>
    <cellStyle name="Normal 2 4 2 2 3 2 2 2 2 3 3" xfId="30440"/>
    <cellStyle name="Normal 2 4 2 2 3 2 2 2 2 3 3 2" xfId="40840"/>
    <cellStyle name="Normal 2 4 2 2 3 2 2 2 2 4" xfId="10606"/>
    <cellStyle name="Normal 2 4 2 2 3 2 2 2 2 4 2" xfId="38750"/>
    <cellStyle name="Normal 2 4 2 2 3 2 2 2 2 4 2 2" xfId="45969"/>
    <cellStyle name="Normal 2 4 2 2 3 2 2 2 2 5" xfId="24092"/>
    <cellStyle name="Normal 2 4 2 2 3 2 2 2 3" xfId="5318"/>
    <cellStyle name="Normal 2 4 2 2 3 2 2 2 3 2" xfId="6656"/>
    <cellStyle name="Normal 2 4 2 2 3 2 2 2 3 2 2" xfId="18891"/>
    <cellStyle name="Normal 2 4 2 2 3 2 2 2 3 2 2 2" xfId="20209"/>
    <cellStyle name="Normal 2 4 2 2 3 2 2 2 3 2 2 2 2" xfId="54217"/>
    <cellStyle name="Normal 2 4 2 2 3 2 2 2 3 2 2 2 2 2" xfId="55535"/>
    <cellStyle name="Normal 2 4 2 2 3 2 2 2 3 2 2 3" xfId="33711"/>
    <cellStyle name="Normal 2 4 2 2 3 2 2 2 3 2 3" xfId="32392"/>
    <cellStyle name="Normal 2 4 2 2 3 2 2 2 3 2 3 2" xfId="42084"/>
    <cellStyle name="Normal 2 4 2 2 3 2 2 2 3 3" xfId="11879"/>
    <cellStyle name="Normal 2 4 2 2 3 2 2 2 3 3 2" xfId="40755"/>
    <cellStyle name="Normal 2 4 2 2 3 2 2 2 3 3 2 2" xfId="47227"/>
    <cellStyle name="Normal 2 4 2 2 3 2 2 2 3 4" xfId="25364"/>
    <cellStyle name="Normal 2 4 2 2 3 2 2 2 4" xfId="10521"/>
    <cellStyle name="Normal 2 4 2 2 3 2 2 2 4 2" xfId="15037"/>
    <cellStyle name="Normal 2 4 2 2 3 2 2 2 4 2 2" xfId="45884"/>
    <cellStyle name="Normal 2 4 2 2 3 2 2 2 4 2 2 2" xfId="50376"/>
    <cellStyle name="Normal 2 4 2 2 3 2 2 2 4 3" xfId="28550"/>
    <cellStyle name="Normal 2 4 2 2 3 2 2 2 5" xfId="24007"/>
    <cellStyle name="Normal 2 4 2 2 3 2 2 2 5 2" xfId="36845"/>
    <cellStyle name="Normal 2 4 2 2 3 2 2 3" xfId="2155"/>
    <cellStyle name="Normal 2 4 2 2 3 2 2 3 2" xfId="6571"/>
    <cellStyle name="Normal 2 4 2 2 3 2 2 3 2 2" xfId="7389"/>
    <cellStyle name="Normal 2 4 2 2 3 2 2 3 2 2 2" xfId="20124"/>
    <cellStyle name="Normal 2 4 2 2 3 2 2 3 2 2 2 2" xfId="20941"/>
    <cellStyle name="Normal 2 4 2 2 3 2 2 3 2 2 2 2 2" xfId="55450"/>
    <cellStyle name="Normal 2 4 2 2 3 2 2 3 2 2 2 2 2 2" xfId="56267"/>
    <cellStyle name="Normal 2 4 2 2 3 2 2 3 2 2 2 3" xfId="34444"/>
    <cellStyle name="Normal 2 4 2 2 3 2 2 3 2 2 3" xfId="33626"/>
    <cellStyle name="Normal 2 4 2 2 3 2 2 3 2 2 3 2" xfId="42816"/>
    <cellStyle name="Normal 2 4 2 2 3 2 2 3 2 3" xfId="12614"/>
    <cellStyle name="Normal 2 4 2 2 3 2 2 3 2 3 2" xfId="41999"/>
    <cellStyle name="Normal 2 4 2 2 3 2 2 3 2 3 2 2" xfId="47960"/>
    <cellStyle name="Normal 2 4 2 2 3 2 2 3 2 4" xfId="26098"/>
    <cellStyle name="Normal 2 4 2 2 3 2 2 3 3" xfId="11794"/>
    <cellStyle name="Normal 2 4 2 2 3 2 2 3 3 2" xfId="15819"/>
    <cellStyle name="Normal 2 4 2 2 3 2 2 3 3 2 2" xfId="47142"/>
    <cellStyle name="Normal 2 4 2 2 3 2 2 3 3 2 2 2" xfId="51151"/>
    <cellStyle name="Normal 2 4 2 2 3 2 2 3 3 3" xfId="29325"/>
    <cellStyle name="Normal 2 4 2 2 3 2 2 3 4" xfId="25279"/>
    <cellStyle name="Normal 2 4 2 2 3 2 2 3 4 2" xfId="37633"/>
    <cellStyle name="Normal 2 4 2 2 3 2 2 4" xfId="4171"/>
    <cellStyle name="Normal 2 4 2 2 3 2 2 4 2" xfId="14952"/>
    <cellStyle name="Normal 2 4 2 2 3 2 2 4 2 2" xfId="17764"/>
    <cellStyle name="Normal 2 4 2 2 3 2 2 4 2 2 2" xfId="50291"/>
    <cellStyle name="Normal 2 4 2 2 3 2 2 4 2 2 2 2" xfId="53091"/>
    <cellStyle name="Normal 2 4 2 2 3 2 2 4 2 3" xfId="31266"/>
    <cellStyle name="Normal 2 4 2 2 3 2 2 4 3" xfId="28465"/>
    <cellStyle name="Normal 2 4 2 2 3 2 2 4 3 2" xfId="39614"/>
    <cellStyle name="Normal 2 4 2 2 3 2 2 5" xfId="9362"/>
    <cellStyle name="Normal 2 4 2 2 3 2 2 5 2" xfId="36760"/>
    <cellStyle name="Normal 2 4 2 2 3 2 2 5 2 2" xfId="44744"/>
    <cellStyle name="Normal 2 4 2 2 3 2 2 6" xfId="22858"/>
    <cellStyle name="Normal 2 4 2 2 3 2 3" xfId="2069"/>
    <cellStyle name="Normal 2 4 2 2 3 2 3 2" xfId="2637"/>
    <cellStyle name="Normal 2 4 2 2 3 2 3 2 2" xfId="7303"/>
    <cellStyle name="Normal 2 4 2 2 3 2 3 2 2 2" xfId="7857"/>
    <cellStyle name="Normal 2 4 2 2 3 2 3 2 2 2 2" xfId="20855"/>
    <cellStyle name="Normal 2 4 2 2 3 2 3 2 2 2 2 2" xfId="21409"/>
    <cellStyle name="Normal 2 4 2 2 3 2 3 2 2 2 2 2 2" xfId="56181"/>
    <cellStyle name="Normal 2 4 2 2 3 2 3 2 2 2 2 2 2 2" xfId="56735"/>
    <cellStyle name="Normal 2 4 2 2 3 2 3 2 2 2 2 3" xfId="34912"/>
    <cellStyle name="Normal 2 4 2 2 3 2 3 2 2 2 3" xfId="34358"/>
    <cellStyle name="Normal 2 4 2 2 3 2 3 2 2 2 3 2" xfId="43284"/>
    <cellStyle name="Normal 2 4 2 2 3 2 3 2 2 3" xfId="13082"/>
    <cellStyle name="Normal 2 4 2 2 3 2 3 2 2 3 2" xfId="42730"/>
    <cellStyle name="Normal 2 4 2 2 3 2 3 2 2 3 2 2" xfId="48428"/>
    <cellStyle name="Normal 2 4 2 2 3 2 3 2 2 4" xfId="26566"/>
    <cellStyle name="Normal 2 4 2 2 3 2 3 2 3" xfId="12528"/>
    <cellStyle name="Normal 2 4 2 2 3 2 3 2 3 2" xfId="16296"/>
    <cellStyle name="Normal 2 4 2 2 3 2 3 2 3 2 2" xfId="47874"/>
    <cellStyle name="Normal 2 4 2 2 3 2 3 2 3 2 2 2" xfId="51626"/>
    <cellStyle name="Normal 2 4 2 2 3 2 3 2 3 3" xfId="29800"/>
    <cellStyle name="Normal 2 4 2 2 3 2 3 2 4" xfId="26012"/>
    <cellStyle name="Normal 2 4 2 2 3 2 3 2 4 2" xfId="38110"/>
    <cellStyle name="Normal 2 4 2 2 3 2 3 3" xfId="4672"/>
    <cellStyle name="Normal 2 4 2 2 3 2 3 3 2" xfId="15733"/>
    <cellStyle name="Normal 2 4 2 2 3 2 3 3 2 2" xfId="18251"/>
    <cellStyle name="Normal 2 4 2 2 3 2 3 3 2 2 2" xfId="51065"/>
    <cellStyle name="Normal 2 4 2 2 3 2 3 3 2 2 2 2" xfId="53577"/>
    <cellStyle name="Normal 2 4 2 2 3 2 3 3 2 3" xfId="31752"/>
    <cellStyle name="Normal 2 4 2 2 3 2 3 3 3" xfId="29239"/>
    <cellStyle name="Normal 2 4 2 2 3 2 3 3 3 2" xfId="40111"/>
    <cellStyle name="Normal 2 4 2 2 3 2 3 4" xfId="9875"/>
    <cellStyle name="Normal 2 4 2 2 3 2 3 4 2" xfId="37547"/>
    <cellStyle name="Normal 2 4 2 2 3 2 3 4 2 2" xfId="45244"/>
    <cellStyle name="Normal 2 4 2 2 3 2 3 5" xfId="23367"/>
    <cellStyle name="Normal 2 4 2 2 3 2 4" xfId="4085"/>
    <cellStyle name="Normal 2 4 2 2 3 2 4 2" xfId="5876"/>
    <cellStyle name="Normal 2 4 2 2 3 2 4 2 2" xfId="17678"/>
    <cellStyle name="Normal 2 4 2 2 3 2 4 2 2 2" xfId="19444"/>
    <cellStyle name="Normal 2 4 2 2 3 2 4 2 2 2 2" xfId="53005"/>
    <cellStyle name="Normal 2 4 2 2 3 2 4 2 2 2 2 2" xfId="54770"/>
    <cellStyle name="Normal 2 4 2 2 3 2 4 2 2 3" xfId="32945"/>
    <cellStyle name="Normal 2 4 2 2 3 2 4 2 3" xfId="31180"/>
    <cellStyle name="Normal 2 4 2 2 3 2 4 2 3 2" xfId="41311"/>
    <cellStyle name="Normal 2 4 2 2 3 2 4 3" xfId="11100"/>
    <cellStyle name="Normal 2 4 2 2 3 2 4 3 2" xfId="39528"/>
    <cellStyle name="Normal 2 4 2 2 3 2 4 3 2 2" xfId="46459"/>
    <cellStyle name="Normal 2 4 2 2 3 2 4 4" xfId="24594"/>
    <cellStyle name="Normal 2 4 2 2 3 2 5" xfId="9276"/>
    <cellStyle name="Normal 2 4 2 2 3 2 5 2" xfId="14261"/>
    <cellStyle name="Normal 2 4 2 2 3 2 5 2 2" xfId="44658"/>
    <cellStyle name="Normal 2 4 2 2 3 2 5 2 2 2" xfId="49606"/>
    <cellStyle name="Normal 2 4 2 2 3 2 5 3" xfId="27768"/>
    <cellStyle name="Normal 2 4 2 2 3 2 6" xfId="22772"/>
    <cellStyle name="Normal 2 4 2 2 3 2 6 2" xfId="36073"/>
    <cellStyle name="Normal 2 4 2 2 3 3" xfId="871"/>
    <cellStyle name="Normal 2 4 2 2 3 3 2" xfId="2546"/>
    <cellStyle name="Normal 2 4 2 2 3 3 2 2" xfId="2918"/>
    <cellStyle name="Normal 2 4 2 2 3 3 2 2 2" xfId="7768"/>
    <cellStyle name="Normal 2 4 2 2 3 3 2 2 2 2" xfId="8133"/>
    <cellStyle name="Normal 2 4 2 2 3 3 2 2 2 2 2" xfId="21320"/>
    <cellStyle name="Normal 2 4 2 2 3 3 2 2 2 2 2 2" xfId="21685"/>
    <cellStyle name="Normal 2 4 2 2 3 3 2 2 2 2 2 2 2" xfId="56646"/>
    <cellStyle name="Normal 2 4 2 2 3 3 2 2 2 2 2 2 2 2" xfId="57011"/>
    <cellStyle name="Normal 2 4 2 2 3 3 2 2 2 2 2 3" xfId="35188"/>
    <cellStyle name="Normal 2 4 2 2 3 3 2 2 2 2 3" xfId="34823"/>
    <cellStyle name="Normal 2 4 2 2 3 3 2 2 2 2 3 2" xfId="43560"/>
    <cellStyle name="Normal 2 4 2 2 3 3 2 2 2 3" xfId="13358"/>
    <cellStyle name="Normal 2 4 2 2 3 3 2 2 2 3 2" xfId="43195"/>
    <cellStyle name="Normal 2 4 2 2 3 3 2 2 2 3 2 2" xfId="48704"/>
    <cellStyle name="Normal 2 4 2 2 3 3 2 2 2 4" xfId="26843"/>
    <cellStyle name="Normal 2 4 2 2 3 3 2 2 3" xfId="12993"/>
    <cellStyle name="Normal 2 4 2 2 3 3 2 2 3 2" xfId="16575"/>
    <cellStyle name="Normal 2 4 2 2 3 3 2 2 3 2 2" xfId="48339"/>
    <cellStyle name="Normal 2 4 2 2 3 3 2 2 3 2 2 2" xfId="51903"/>
    <cellStyle name="Normal 2 4 2 2 3 3 2 2 3 3" xfId="30077"/>
    <cellStyle name="Normal 2 4 2 2 3 3 2 2 4" xfId="26477"/>
    <cellStyle name="Normal 2 4 2 2 3 3 2 2 4 2" xfId="38387"/>
    <cellStyle name="Normal 2 4 2 2 3 3 2 3" xfId="4954"/>
    <cellStyle name="Normal 2 4 2 2 3 3 2 3 2" xfId="16206"/>
    <cellStyle name="Normal 2 4 2 2 3 3 2 3 2 2" xfId="18527"/>
    <cellStyle name="Normal 2 4 2 2 3 3 2 3 2 2 2" xfId="51536"/>
    <cellStyle name="Normal 2 4 2 2 3 3 2 3 2 2 2 2" xfId="53853"/>
    <cellStyle name="Normal 2 4 2 2 3 3 2 3 2 3" xfId="32028"/>
    <cellStyle name="Normal 2 4 2 2 3 3 2 3 3" xfId="29710"/>
    <cellStyle name="Normal 2 4 2 2 3 3 2 3 3 2" xfId="40391"/>
    <cellStyle name="Normal 2 4 2 2 3 3 2 4" xfId="10157"/>
    <cellStyle name="Normal 2 4 2 2 3 3 2 4 2" xfId="38019"/>
    <cellStyle name="Normal 2 4 2 2 3 3 2 4 2 2" xfId="45520"/>
    <cellStyle name="Normal 2 4 2 2 3 3 2 5" xfId="23643"/>
    <cellStyle name="Normal 2 4 2 2 3 3 3" xfId="4580"/>
    <cellStyle name="Normal 2 4 2 2 3 3 3 2" xfId="6185"/>
    <cellStyle name="Normal 2 4 2 2 3 3 3 2 2" xfId="18161"/>
    <cellStyle name="Normal 2 4 2 2 3 3 3 2 2 2" xfId="19744"/>
    <cellStyle name="Normal 2 4 2 2 3 3 3 2 2 2 2" xfId="53487"/>
    <cellStyle name="Normal 2 4 2 2 3 3 3 2 2 2 2 2" xfId="55070"/>
    <cellStyle name="Normal 2 4 2 2 3 3 3 2 2 3" xfId="33246"/>
    <cellStyle name="Normal 2 4 2 2 3 3 3 2 3" xfId="31662"/>
    <cellStyle name="Normal 2 4 2 2 3 3 3 2 3 2" xfId="41615"/>
    <cellStyle name="Normal 2 4 2 2 3 3 3 3" xfId="11410"/>
    <cellStyle name="Normal 2 4 2 2 3 3 3 3 2" xfId="40019"/>
    <cellStyle name="Normal 2 4 2 2 3 3 3 3 2 2" xfId="46761"/>
    <cellStyle name="Normal 2 4 2 2 3 3 3 4" xfId="24898"/>
    <cellStyle name="Normal 2 4 2 2 3 3 4" xfId="9783"/>
    <cellStyle name="Normal 2 4 2 2 3 3 4 2" xfId="14568"/>
    <cellStyle name="Normal 2 4 2 2 3 3 4 2 2" xfId="45154"/>
    <cellStyle name="Normal 2 4 2 2 3 3 4 2 2 2" xfId="49909"/>
    <cellStyle name="Normal 2 4 2 2 3 3 4 3" xfId="28079"/>
    <cellStyle name="Normal 2 4 2 2 3 3 5" xfId="23277"/>
    <cellStyle name="Normal 2 4 2 2 3 3 5 2" xfId="36378"/>
    <cellStyle name="Normal 2 4 2 2 3 4" xfId="1666"/>
    <cellStyle name="Normal 2 4 2 2 3 4 2" xfId="5786"/>
    <cellStyle name="Normal 2 4 2 2 3 4 2 2" xfId="6928"/>
    <cellStyle name="Normal 2 4 2 2 3 4 2 2 2" xfId="19354"/>
    <cellStyle name="Normal 2 4 2 2 3 4 2 2 2 2" xfId="20481"/>
    <cellStyle name="Normal 2 4 2 2 3 4 2 2 2 2 2" xfId="54680"/>
    <cellStyle name="Normal 2 4 2 2 3 4 2 2 2 2 2 2" xfId="55807"/>
    <cellStyle name="Normal 2 4 2 2 3 4 2 2 2 3" xfId="33983"/>
    <cellStyle name="Normal 2 4 2 2 3 4 2 2 3" xfId="32855"/>
    <cellStyle name="Normal 2 4 2 2 3 4 2 2 3 2" xfId="42356"/>
    <cellStyle name="Normal 2 4 2 2 3 4 2 3" xfId="12152"/>
    <cellStyle name="Normal 2 4 2 2 3 4 2 3 2" xfId="41221"/>
    <cellStyle name="Normal 2 4 2 2 3 4 2 3 2 2" xfId="47499"/>
    <cellStyle name="Normal 2 4 2 2 3 4 2 4" xfId="25637"/>
    <cellStyle name="Normal 2 4 2 2 3 4 3" xfId="11007"/>
    <cellStyle name="Normal 2 4 2 2 3 4 3 2" xfId="15339"/>
    <cellStyle name="Normal 2 4 2 2 3 4 3 2 2" xfId="46366"/>
    <cellStyle name="Normal 2 4 2 2 3 4 3 2 2 2" xfId="50674"/>
    <cellStyle name="Normal 2 4 2 2 3 4 3 3" xfId="28848"/>
    <cellStyle name="Normal 2 4 2 2 3 4 4" xfId="24501"/>
    <cellStyle name="Normal 2 4 2 2 3 4 4 2" xfId="37150"/>
    <cellStyle name="Normal 2 4 2 2 3 5" xfId="3671"/>
    <cellStyle name="Normal 2 4 2 2 3 5 2" xfId="14169"/>
    <cellStyle name="Normal 2 4 2 2 3 5 2 2" xfId="17296"/>
    <cellStyle name="Normal 2 4 2 2 3 5 2 2 2" xfId="49514"/>
    <cellStyle name="Normal 2 4 2 2 3 5 2 2 2 2" xfId="52623"/>
    <cellStyle name="Normal 2 4 2 2 3 5 2 3" xfId="30797"/>
    <cellStyle name="Normal 2 4 2 2 3 5 3" xfId="27674"/>
    <cellStyle name="Normal 2 4 2 2 3 5 3 2" xfId="39124"/>
    <cellStyle name="Normal 2 4 2 2 3 6" xfId="8864"/>
    <cellStyle name="Normal 2 4 2 2 3 6 2" xfId="35981"/>
    <cellStyle name="Normal 2 4 2 2 3 6 2 2" xfId="44268"/>
    <cellStyle name="Normal 2 4 2 2 3 7" xfId="22376"/>
    <cellStyle name="Normal 2 4 2 2 4" xfId="768"/>
    <cellStyle name="Normal 2 4 2 2 4 2" xfId="1043"/>
    <cellStyle name="Normal 2 4 2 2 4 2 2" xfId="2825"/>
    <cellStyle name="Normal 2 4 2 2 4 2 2 2" xfId="3079"/>
    <cellStyle name="Normal 2 4 2 2 4 2 2 2 2" xfId="8041"/>
    <cellStyle name="Normal 2 4 2 2 4 2 2 2 2 2" xfId="8294"/>
    <cellStyle name="Normal 2 4 2 2 4 2 2 2 2 2 2" xfId="21593"/>
    <cellStyle name="Normal 2 4 2 2 4 2 2 2 2 2 2 2" xfId="21846"/>
    <cellStyle name="Normal 2 4 2 2 4 2 2 2 2 2 2 2 2" xfId="56919"/>
    <cellStyle name="Normal 2 4 2 2 4 2 2 2 2 2 2 2 2 2" xfId="57172"/>
    <cellStyle name="Normal 2 4 2 2 4 2 2 2 2 2 2 3" xfId="35349"/>
    <cellStyle name="Normal 2 4 2 2 4 2 2 2 2 2 3" xfId="35096"/>
    <cellStyle name="Normal 2 4 2 2 4 2 2 2 2 2 3 2" xfId="43721"/>
    <cellStyle name="Normal 2 4 2 2 4 2 2 2 2 3" xfId="13519"/>
    <cellStyle name="Normal 2 4 2 2 4 2 2 2 2 3 2" xfId="43468"/>
    <cellStyle name="Normal 2 4 2 2 4 2 2 2 2 3 2 2" xfId="48865"/>
    <cellStyle name="Normal 2 4 2 2 4 2 2 2 2 4" xfId="27004"/>
    <cellStyle name="Normal 2 4 2 2 4 2 2 2 3" xfId="13266"/>
    <cellStyle name="Normal 2 4 2 2 4 2 2 2 3 2" xfId="16736"/>
    <cellStyle name="Normal 2 4 2 2 4 2 2 2 3 2 2" xfId="48612"/>
    <cellStyle name="Normal 2 4 2 2 4 2 2 2 3 2 2 2" xfId="52064"/>
    <cellStyle name="Normal 2 4 2 2 4 2 2 2 3 3" xfId="30238"/>
    <cellStyle name="Normal 2 4 2 2 4 2 2 2 4" xfId="26750"/>
    <cellStyle name="Normal 2 4 2 2 4 2 2 2 4 2" xfId="38548"/>
    <cellStyle name="Normal 2 4 2 2 4 2 2 3" xfId="5116"/>
    <cellStyle name="Normal 2 4 2 2 4 2 2 3 2" xfId="16483"/>
    <cellStyle name="Normal 2 4 2 2 4 2 2 3 2 2" xfId="18689"/>
    <cellStyle name="Normal 2 4 2 2 4 2 2 3 2 2 2" xfId="51811"/>
    <cellStyle name="Normal 2 4 2 2 4 2 2 3 2 2 2 2" xfId="54015"/>
    <cellStyle name="Normal 2 4 2 2 4 2 2 3 2 3" xfId="32190"/>
    <cellStyle name="Normal 2 4 2 2 4 2 2 3 3" xfId="29985"/>
    <cellStyle name="Normal 2 4 2 2 4 2 2 3 3 2" xfId="40553"/>
    <cellStyle name="Normal 2 4 2 2 4 2 2 4" xfId="10319"/>
    <cellStyle name="Normal 2 4 2 2 4 2 2 4 2" xfId="38295"/>
    <cellStyle name="Normal 2 4 2 2 4 2 2 4 2 2" xfId="45682"/>
    <cellStyle name="Normal 2 4 2 2 4 2 2 5" xfId="23805"/>
    <cellStyle name="Normal 2 4 2 2 4 2 3" xfId="4861"/>
    <cellStyle name="Normal 2 4 2 2 4 2 3 2" xfId="6353"/>
    <cellStyle name="Normal 2 4 2 2 4 2 3 2 2" xfId="18435"/>
    <cellStyle name="Normal 2 4 2 2 4 2 3 2 2 2" xfId="19910"/>
    <cellStyle name="Normal 2 4 2 2 4 2 3 2 2 2 2" xfId="53761"/>
    <cellStyle name="Normal 2 4 2 2 4 2 3 2 2 2 2 2" xfId="55236"/>
    <cellStyle name="Normal 2 4 2 2 4 2 3 2 2 3" xfId="33412"/>
    <cellStyle name="Normal 2 4 2 2 4 2 3 2 3" xfId="31936"/>
    <cellStyle name="Normal 2 4 2 2 4 2 3 2 3 2" xfId="41782"/>
    <cellStyle name="Normal 2 4 2 2 4 2 3 3" xfId="11579"/>
    <cellStyle name="Normal 2 4 2 2 4 2 3 3 2" xfId="40298"/>
    <cellStyle name="Normal 2 4 2 2 4 2 3 3 2 2" xfId="46928"/>
    <cellStyle name="Normal 2 4 2 2 4 2 3 4" xfId="25065"/>
    <cellStyle name="Normal 2 4 2 2 4 2 4" xfId="10064"/>
    <cellStyle name="Normal 2 4 2 2 4 2 4 2" xfId="14736"/>
    <cellStyle name="Normal 2 4 2 2 4 2 4 2 2" xfId="45428"/>
    <cellStyle name="Normal 2 4 2 2 4 2 4 2 2 2" xfId="50075"/>
    <cellStyle name="Normal 2 4 2 2 4 2 4 3" xfId="28248"/>
    <cellStyle name="Normal 2 4 2 2 4 2 5" xfId="23551"/>
    <cellStyle name="Normal 2 4 2 2 4 2 5 2" xfId="36544"/>
    <cellStyle name="Normal 2 4 2 2 4 3" xfId="1848"/>
    <cellStyle name="Normal 2 4 2 2 4 3 2" xfId="6085"/>
    <cellStyle name="Normal 2 4 2 2 4 3 2 2" xfId="7098"/>
    <cellStyle name="Normal 2 4 2 2 4 3 2 2 2" xfId="19647"/>
    <cellStyle name="Normal 2 4 2 2 4 3 2 2 2 2" xfId="20651"/>
    <cellStyle name="Normal 2 4 2 2 4 3 2 2 2 2 2" xfId="54973"/>
    <cellStyle name="Normal 2 4 2 2 4 3 2 2 2 2 2 2" xfId="55977"/>
    <cellStyle name="Normal 2 4 2 2 4 3 2 2 2 3" xfId="34153"/>
    <cellStyle name="Normal 2 4 2 2 4 3 2 2 3" xfId="33148"/>
    <cellStyle name="Normal 2 4 2 2 4 3 2 2 3 2" xfId="42526"/>
    <cellStyle name="Normal 2 4 2 2 4 3 2 3" xfId="12323"/>
    <cellStyle name="Normal 2 4 2 2 4 3 2 3 2" xfId="41518"/>
    <cellStyle name="Normal 2 4 2 2 4 3 2 3 2 2" xfId="47670"/>
    <cellStyle name="Normal 2 4 2 2 4 3 2 4" xfId="25808"/>
    <cellStyle name="Normal 2 4 2 2 4 3 3" xfId="11311"/>
    <cellStyle name="Normal 2 4 2 2 4 3 3 2" xfId="15519"/>
    <cellStyle name="Normal 2 4 2 2 4 3 3 2 2" xfId="46664"/>
    <cellStyle name="Normal 2 4 2 2 4 3 3 2 2 2" xfId="50852"/>
    <cellStyle name="Normal 2 4 2 2 4 3 3 3" xfId="29026"/>
    <cellStyle name="Normal 2 4 2 2 4 3 4" xfId="24801"/>
    <cellStyle name="Normal 2 4 2 2 4 3 4 2" xfId="37329"/>
    <cellStyle name="Normal 2 4 2 2 4 4" xfId="3861"/>
    <cellStyle name="Normal 2 4 2 2 4 4 2" xfId="14469"/>
    <cellStyle name="Normal 2 4 2 2 4 4 2 2" xfId="17474"/>
    <cellStyle name="Normal 2 4 2 2 4 4 2 2 2" xfId="49811"/>
    <cellStyle name="Normal 2 4 2 2 4 4 2 2 2 2" xfId="52801"/>
    <cellStyle name="Normal 2 4 2 2 4 4 2 3" xfId="30975"/>
    <cellStyle name="Normal 2 4 2 2 4 4 3" xfId="27980"/>
    <cellStyle name="Normal 2 4 2 2 4 4 3 2" xfId="39310"/>
    <cellStyle name="Normal 2 4 2 2 4 5" xfId="9053"/>
    <cellStyle name="Normal 2 4 2 2 4 5 2" xfId="36279"/>
    <cellStyle name="Normal 2 4 2 2 4 5 2 2" xfId="44450"/>
    <cellStyle name="Normal 2 4 2 2 4 6" xfId="22561"/>
    <cellStyle name="Normal 2 4 2 2 5" xfId="1554"/>
    <cellStyle name="Normal 2 4 2 2 5 2" xfId="2306"/>
    <cellStyle name="Normal 2 4 2 2 5 2 2" xfId="6827"/>
    <cellStyle name="Normal 2 4 2 2 5 2 2 2" xfId="7540"/>
    <cellStyle name="Normal 2 4 2 2 5 2 2 2 2" xfId="20380"/>
    <cellStyle name="Normal 2 4 2 2 5 2 2 2 2 2" xfId="21092"/>
    <cellStyle name="Normal 2 4 2 2 5 2 2 2 2 2 2" xfId="55706"/>
    <cellStyle name="Normal 2 4 2 2 5 2 2 2 2 2 2 2" xfId="56418"/>
    <cellStyle name="Normal 2 4 2 2 5 2 2 2 2 3" xfId="34595"/>
    <cellStyle name="Normal 2 4 2 2 5 2 2 2 3" xfId="33882"/>
    <cellStyle name="Normal 2 4 2 2 5 2 2 2 3 2" xfId="42967"/>
    <cellStyle name="Normal 2 4 2 2 5 2 2 3" xfId="12765"/>
    <cellStyle name="Normal 2 4 2 2 5 2 2 3 2" xfId="42255"/>
    <cellStyle name="Normal 2 4 2 2 5 2 2 3 2 2" xfId="48111"/>
    <cellStyle name="Normal 2 4 2 2 5 2 2 4" xfId="26249"/>
    <cellStyle name="Normal 2 4 2 2 5 2 3" xfId="12051"/>
    <cellStyle name="Normal 2 4 2 2 5 2 3 2" xfId="15970"/>
    <cellStyle name="Normal 2 4 2 2 5 2 3 2 2" xfId="47398"/>
    <cellStyle name="Normal 2 4 2 2 5 2 3 2 2 2" xfId="51302"/>
    <cellStyle name="Normal 2 4 2 2 5 2 3 3" xfId="29476"/>
    <cellStyle name="Normal 2 4 2 2 5 2 4" xfId="25536"/>
    <cellStyle name="Normal 2 4 2 2 5 2 4 2" xfId="37784"/>
    <cellStyle name="Normal 2 4 2 2 5 3" xfId="4334"/>
    <cellStyle name="Normal 2 4 2 2 5 3 2" xfId="15230"/>
    <cellStyle name="Normal 2 4 2 2 5 3 2 2" xfId="17927"/>
    <cellStyle name="Normal 2 4 2 2 5 3 2 2 2" xfId="50567"/>
    <cellStyle name="Normal 2 4 2 2 5 3 2 2 2 2" xfId="53254"/>
    <cellStyle name="Normal 2 4 2 2 5 3 2 3" xfId="31429"/>
    <cellStyle name="Normal 2 4 2 2 5 3 3" xfId="28741"/>
    <cellStyle name="Normal 2 4 2 2 5 3 3 2" xfId="39777"/>
    <cellStyle name="Normal 2 4 2 2 5 4" xfId="9530"/>
    <cellStyle name="Normal 2 4 2 2 5 4 2" xfId="37042"/>
    <cellStyle name="Normal 2 4 2 2 5 4 2 2" xfId="44912"/>
    <cellStyle name="Normal 2 4 2 2 5 5" xfId="23028"/>
    <cellStyle name="Normal 2 4 2 2 6" xfId="3555"/>
    <cellStyle name="Normal 2 4 2 2 6 2" xfId="5545"/>
    <cellStyle name="Normal 2 4 2 2 6 2 2" xfId="17192"/>
    <cellStyle name="Normal 2 4 2 2 6 2 2 2" xfId="19118"/>
    <cellStyle name="Normal 2 4 2 2 6 2 2 2 2" xfId="52519"/>
    <cellStyle name="Normal 2 4 2 2 6 2 2 2 2 2" xfId="54444"/>
    <cellStyle name="Normal 2 4 2 2 6 2 2 3" xfId="32619"/>
    <cellStyle name="Normal 2 4 2 2 6 2 3" xfId="30693"/>
    <cellStyle name="Normal 2 4 2 2 6 2 3 2" xfId="40982"/>
    <cellStyle name="Normal 2 4 2 2 6 3" xfId="10752"/>
    <cellStyle name="Normal 2 4 2 2 6 3 2" xfId="39012"/>
    <cellStyle name="Normal 2 4 2 2 6 3 2 2" xfId="46114"/>
    <cellStyle name="Normal 2 4 2 2 6 4" xfId="24239"/>
    <cellStyle name="Normal 2 4 2 2 7" xfId="8746"/>
    <cellStyle name="Normal 2 4 2 2 7 2" xfId="13930"/>
    <cellStyle name="Normal 2 4 2 2 7 2 2" xfId="44160"/>
    <cellStyle name="Normal 2 4 2 2 7 2 2 2" xfId="49276"/>
    <cellStyle name="Normal 2 4 2 2 7 3" xfId="27416"/>
    <cellStyle name="Normal 2 4 2 2 8" xfId="22264"/>
    <cellStyle name="Normal 2 4 2 2 8 2" xfId="27426"/>
    <cellStyle name="Normal 2 4 2 3" xfId="229"/>
    <cellStyle name="Normal 2 4 2 3 2" xfId="511"/>
    <cellStyle name="Normal 2 4 2 3 2 2" xfId="592"/>
    <cellStyle name="Normal 2 4 2 3 2 2 2" xfId="1321"/>
    <cellStyle name="Normal 2 4 2 3 2 2 2 2" xfId="1388"/>
    <cellStyle name="Normal 2 4 2 3 2 2 2 2 2" xfId="3339"/>
    <cellStyle name="Normal 2 4 2 3 2 2 2 2 2 2" xfId="3406"/>
    <cellStyle name="Normal 2 4 2 3 2 2 2 2 2 2 2" xfId="8554"/>
    <cellStyle name="Normal 2 4 2 3 2 2 2 2 2 2 2 2" xfId="8621"/>
    <cellStyle name="Normal 2 4 2 3 2 2 2 2 2 2 2 2 2" xfId="22106"/>
    <cellStyle name="Normal 2 4 2 3 2 2 2 2 2 2 2 2 2 2" xfId="22173"/>
    <cellStyle name="Normal 2 4 2 3 2 2 2 2 2 2 2 2 2 2 2" xfId="57432"/>
    <cellStyle name="Normal 2 4 2 3 2 2 2 2 2 2 2 2 2 2 2 2" xfId="57499"/>
    <cellStyle name="Normal 2 4 2 3 2 2 2 2 2 2 2 2 2 3" xfId="35676"/>
    <cellStyle name="Normal 2 4 2 3 2 2 2 2 2 2 2 2 3" xfId="35609"/>
    <cellStyle name="Normal 2 4 2 3 2 2 2 2 2 2 2 2 3 2" xfId="44048"/>
    <cellStyle name="Normal 2 4 2 3 2 2 2 2 2 2 2 3" xfId="13846"/>
    <cellStyle name="Normal 2 4 2 3 2 2 2 2 2 2 2 3 2" xfId="43981"/>
    <cellStyle name="Normal 2 4 2 3 2 2 2 2 2 2 2 3 2 2" xfId="49192"/>
    <cellStyle name="Normal 2 4 2 3 2 2 2 2 2 2 2 4" xfId="27331"/>
    <cellStyle name="Normal 2 4 2 3 2 2 2 2 2 2 3" xfId="13779"/>
    <cellStyle name="Normal 2 4 2 3 2 2 2 2 2 2 3 2" xfId="17063"/>
    <cellStyle name="Normal 2 4 2 3 2 2 2 2 2 2 3 2 2" xfId="49125"/>
    <cellStyle name="Normal 2 4 2 3 2 2 2 2 2 2 3 2 2 2" xfId="52391"/>
    <cellStyle name="Normal 2 4 2 3 2 2 2 2 2 2 3 3" xfId="30565"/>
    <cellStyle name="Normal 2 4 2 3 2 2 2 2 2 2 4" xfId="27264"/>
    <cellStyle name="Normal 2 4 2 3 2 2 2 2 2 2 4 2" xfId="38875"/>
    <cellStyle name="Normal 2 4 2 3 2 2 2 2 2 3" xfId="5443"/>
    <cellStyle name="Normal 2 4 2 3 2 2 2 2 2 3 2" xfId="16996"/>
    <cellStyle name="Normal 2 4 2 3 2 2 2 2 2 3 2 2" xfId="19016"/>
    <cellStyle name="Normal 2 4 2 3 2 2 2 2 2 3 2 2 2" xfId="52324"/>
    <cellStyle name="Normal 2 4 2 3 2 2 2 2 2 3 2 2 2 2" xfId="54342"/>
    <cellStyle name="Normal 2 4 2 3 2 2 2 2 2 3 2 3" xfId="32517"/>
    <cellStyle name="Normal 2 4 2 3 2 2 2 2 2 3 3" xfId="30498"/>
    <cellStyle name="Normal 2 4 2 3 2 2 2 2 2 3 3 2" xfId="40880"/>
    <cellStyle name="Normal 2 4 2 3 2 2 2 2 2 4" xfId="10646"/>
    <cellStyle name="Normal 2 4 2 3 2 2 2 2 2 4 2" xfId="38808"/>
    <cellStyle name="Normal 2 4 2 3 2 2 2 2 2 4 2 2" xfId="46009"/>
    <cellStyle name="Normal 2 4 2 3 2 2 2 2 2 5" xfId="24132"/>
    <cellStyle name="Normal 2 4 2 3 2 2 2 2 3" xfId="5376"/>
    <cellStyle name="Normal 2 4 2 3 2 2 2 2 3 2" xfId="6696"/>
    <cellStyle name="Normal 2 4 2 3 2 2 2 2 3 2 2" xfId="18949"/>
    <cellStyle name="Normal 2 4 2 3 2 2 2 2 3 2 2 2" xfId="20249"/>
    <cellStyle name="Normal 2 4 2 3 2 2 2 2 3 2 2 2 2" xfId="54275"/>
    <cellStyle name="Normal 2 4 2 3 2 2 2 2 3 2 2 2 2 2" xfId="55575"/>
    <cellStyle name="Normal 2 4 2 3 2 2 2 2 3 2 2 3" xfId="33751"/>
    <cellStyle name="Normal 2 4 2 3 2 2 2 2 3 2 3" xfId="32450"/>
    <cellStyle name="Normal 2 4 2 3 2 2 2 2 3 2 3 2" xfId="42124"/>
    <cellStyle name="Normal 2 4 2 3 2 2 2 2 3 3" xfId="11919"/>
    <cellStyle name="Normal 2 4 2 3 2 2 2 2 3 3 2" xfId="40813"/>
    <cellStyle name="Normal 2 4 2 3 2 2 2 2 3 3 2 2" xfId="47267"/>
    <cellStyle name="Normal 2 4 2 3 2 2 2 2 3 4" xfId="25404"/>
    <cellStyle name="Normal 2 4 2 3 2 2 2 2 4" xfId="10579"/>
    <cellStyle name="Normal 2 4 2 3 2 2 2 2 4 2" xfId="15077"/>
    <cellStyle name="Normal 2 4 2 3 2 2 2 2 4 2 2" xfId="45942"/>
    <cellStyle name="Normal 2 4 2 3 2 2 2 2 4 2 2 2" xfId="50416"/>
    <cellStyle name="Normal 2 4 2 3 2 2 2 2 4 3" xfId="28590"/>
    <cellStyle name="Normal 2 4 2 3 2 2 2 2 5" xfId="24065"/>
    <cellStyle name="Normal 2 4 2 3 2 2 2 2 5 2" xfId="36885"/>
    <cellStyle name="Normal 2 4 2 3 2 2 2 3" xfId="2195"/>
    <cellStyle name="Normal 2 4 2 3 2 2 2 3 2" xfId="6629"/>
    <cellStyle name="Normal 2 4 2 3 2 2 2 3 2 2" xfId="7429"/>
    <cellStyle name="Normal 2 4 2 3 2 2 2 3 2 2 2" xfId="20182"/>
    <cellStyle name="Normal 2 4 2 3 2 2 2 3 2 2 2 2" xfId="20981"/>
    <cellStyle name="Normal 2 4 2 3 2 2 2 3 2 2 2 2 2" xfId="55508"/>
    <cellStyle name="Normal 2 4 2 3 2 2 2 3 2 2 2 2 2 2" xfId="56307"/>
    <cellStyle name="Normal 2 4 2 3 2 2 2 3 2 2 2 3" xfId="34484"/>
    <cellStyle name="Normal 2 4 2 3 2 2 2 3 2 2 3" xfId="33684"/>
    <cellStyle name="Normal 2 4 2 3 2 2 2 3 2 2 3 2" xfId="42856"/>
    <cellStyle name="Normal 2 4 2 3 2 2 2 3 2 3" xfId="12654"/>
    <cellStyle name="Normal 2 4 2 3 2 2 2 3 2 3 2" xfId="42057"/>
    <cellStyle name="Normal 2 4 2 3 2 2 2 3 2 3 2 2" xfId="48000"/>
    <cellStyle name="Normal 2 4 2 3 2 2 2 3 2 4" xfId="26138"/>
    <cellStyle name="Normal 2 4 2 3 2 2 2 3 3" xfId="11852"/>
    <cellStyle name="Normal 2 4 2 3 2 2 2 3 3 2" xfId="15859"/>
    <cellStyle name="Normal 2 4 2 3 2 2 2 3 3 2 2" xfId="47200"/>
    <cellStyle name="Normal 2 4 2 3 2 2 2 3 3 2 2 2" xfId="51191"/>
    <cellStyle name="Normal 2 4 2 3 2 2 2 3 3 3" xfId="29365"/>
    <cellStyle name="Normal 2 4 2 3 2 2 2 3 4" xfId="25337"/>
    <cellStyle name="Normal 2 4 2 3 2 2 2 3 4 2" xfId="37673"/>
    <cellStyle name="Normal 2 4 2 3 2 2 2 4" xfId="4211"/>
    <cellStyle name="Normal 2 4 2 3 2 2 2 4 2" xfId="15010"/>
    <cellStyle name="Normal 2 4 2 3 2 2 2 4 2 2" xfId="17804"/>
    <cellStyle name="Normal 2 4 2 3 2 2 2 4 2 2 2" xfId="50349"/>
    <cellStyle name="Normal 2 4 2 3 2 2 2 4 2 2 2 2" xfId="53131"/>
    <cellStyle name="Normal 2 4 2 3 2 2 2 4 2 3" xfId="31306"/>
    <cellStyle name="Normal 2 4 2 3 2 2 2 4 3" xfId="28523"/>
    <cellStyle name="Normal 2 4 2 3 2 2 2 4 3 2" xfId="39654"/>
    <cellStyle name="Normal 2 4 2 3 2 2 2 5" xfId="9402"/>
    <cellStyle name="Normal 2 4 2 3 2 2 2 5 2" xfId="36818"/>
    <cellStyle name="Normal 2 4 2 3 2 2 2 5 2 2" xfId="44784"/>
    <cellStyle name="Normal 2 4 2 3 2 2 2 6" xfId="22898"/>
    <cellStyle name="Normal 2 4 2 3 2 2 3" xfId="2128"/>
    <cellStyle name="Normal 2 4 2 3 2 2 3 2" xfId="2682"/>
    <cellStyle name="Normal 2 4 2 3 2 2 3 2 2" xfId="7362"/>
    <cellStyle name="Normal 2 4 2 3 2 2 3 2 2 2" xfId="7901"/>
    <cellStyle name="Normal 2 4 2 3 2 2 3 2 2 2 2" xfId="20914"/>
    <cellStyle name="Normal 2 4 2 3 2 2 3 2 2 2 2 2" xfId="21453"/>
    <cellStyle name="Normal 2 4 2 3 2 2 3 2 2 2 2 2 2" xfId="56240"/>
    <cellStyle name="Normal 2 4 2 3 2 2 3 2 2 2 2 2 2 2" xfId="56779"/>
    <cellStyle name="Normal 2 4 2 3 2 2 3 2 2 2 2 3" xfId="34956"/>
    <cellStyle name="Normal 2 4 2 3 2 2 3 2 2 2 3" xfId="34417"/>
    <cellStyle name="Normal 2 4 2 3 2 2 3 2 2 2 3 2" xfId="43328"/>
    <cellStyle name="Normal 2 4 2 3 2 2 3 2 2 3" xfId="13126"/>
    <cellStyle name="Normal 2 4 2 3 2 2 3 2 2 3 2" xfId="42789"/>
    <cellStyle name="Normal 2 4 2 3 2 2 3 2 2 3 2 2" xfId="48472"/>
    <cellStyle name="Normal 2 4 2 3 2 2 3 2 2 4" xfId="26610"/>
    <cellStyle name="Normal 2 4 2 3 2 2 3 2 3" xfId="12587"/>
    <cellStyle name="Normal 2 4 2 3 2 2 3 2 3 2" xfId="16341"/>
    <cellStyle name="Normal 2 4 2 3 2 2 3 2 3 2 2" xfId="47933"/>
    <cellStyle name="Normal 2 4 2 3 2 2 3 2 3 2 2 2" xfId="51671"/>
    <cellStyle name="Normal 2 4 2 3 2 2 3 2 3 3" xfId="29845"/>
    <cellStyle name="Normal 2 4 2 3 2 2 3 2 4" xfId="26071"/>
    <cellStyle name="Normal 2 4 2 3 2 2 3 2 4 2" xfId="38155"/>
    <cellStyle name="Normal 2 4 2 3 2 2 3 3" xfId="4718"/>
    <cellStyle name="Normal 2 4 2 3 2 2 3 3 2" xfId="15792"/>
    <cellStyle name="Normal 2 4 2 3 2 2 3 3 2 2" xfId="18295"/>
    <cellStyle name="Normal 2 4 2 3 2 2 3 3 2 2 2" xfId="51124"/>
    <cellStyle name="Normal 2 4 2 3 2 2 3 3 2 2 2 2" xfId="53621"/>
    <cellStyle name="Normal 2 4 2 3 2 2 3 3 2 3" xfId="31796"/>
    <cellStyle name="Normal 2 4 2 3 2 2 3 3 3" xfId="29298"/>
    <cellStyle name="Normal 2 4 2 3 2 2 3 3 3 2" xfId="40156"/>
    <cellStyle name="Normal 2 4 2 3 2 2 3 4" xfId="9921"/>
    <cellStyle name="Normal 2 4 2 3 2 2 3 4 2" xfId="37606"/>
    <cellStyle name="Normal 2 4 2 3 2 2 3 4 2 2" xfId="45288"/>
    <cellStyle name="Normal 2 4 2 3 2 2 3 5" xfId="23411"/>
    <cellStyle name="Normal 2 4 2 3 2 2 4" xfId="4144"/>
    <cellStyle name="Normal 2 4 2 3 2 2 4 2" xfId="5923"/>
    <cellStyle name="Normal 2 4 2 3 2 2 4 2 2" xfId="17737"/>
    <cellStyle name="Normal 2 4 2 3 2 2 4 2 2 2" xfId="19490"/>
    <cellStyle name="Normal 2 4 2 3 2 2 4 2 2 2 2" xfId="53064"/>
    <cellStyle name="Normal 2 4 2 3 2 2 4 2 2 2 2 2" xfId="54816"/>
    <cellStyle name="Normal 2 4 2 3 2 2 4 2 2 3" xfId="32991"/>
    <cellStyle name="Normal 2 4 2 3 2 2 4 2 3" xfId="31239"/>
    <cellStyle name="Normal 2 4 2 3 2 2 4 2 3 2" xfId="41357"/>
    <cellStyle name="Normal 2 4 2 3 2 2 4 3" xfId="11148"/>
    <cellStyle name="Normal 2 4 2 3 2 2 4 3 2" xfId="39587"/>
    <cellStyle name="Normal 2 4 2 3 2 2 4 3 2 2" xfId="46506"/>
    <cellStyle name="Normal 2 4 2 3 2 2 4 4" xfId="24641"/>
    <cellStyle name="Normal 2 4 2 3 2 2 5" xfId="9335"/>
    <cellStyle name="Normal 2 4 2 3 2 2 5 2" xfId="14307"/>
    <cellStyle name="Normal 2 4 2 3 2 2 5 2 2" xfId="44717"/>
    <cellStyle name="Normal 2 4 2 3 2 2 5 2 2 2" xfId="49652"/>
    <cellStyle name="Normal 2 4 2 3 2 2 5 3" xfId="27817"/>
    <cellStyle name="Normal 2 4 2 3 2 2 6" xfId="22831"/>
    <cellStyle name="Normal 2 4 2 3 2 2 6 2" xfId="36119"/>
    <cellStyle name="Normal 2 4 2 3 2 3" xfId="920"/>
    <cellStyle name="Normal 2 4 2 3 2 3 2" xfId="2607"/>
    <cellStyle name="Normal 2 4 2 3 2 3 2 2" xfId="2958"/>
    <cellStyle name="Normal 2 4 2 3 2 3 2 2 2" xfId="7827"/>
    <cellStyle name="Normal 2 4 2 3 2 3 2 2 2 2" xfId="8173"/>
    <cellStyle name="Normal 2 4 2 3 2 3 2 2 2 2 2" xfId="21379"/>
    <cellStyle name="Normal 2 4 2 3 2 3 2 2 2 2 2 2" xfId="21725"/>
    <cellStyle name="Normal 2 4 2 3 2 3 2 2 2 2 2 2 2" xfId="56705"/>
    <cellStyle name="Normal 2 4 2 3 2 3 2 2 2 2 2 2 2 2" xfId="57051"/>
    <cellStyle name="Normal 2 4 2 3 2 3 2 2 2 2 2 3" xfId="35228"/>
    <cellStyle name="Normal 2 4 2 3 2 3 2 2 2 2 3" xfId="34882"/>
    <cellStyle name="Normal 2 4 2 3 2 3 2 2 2 2 3 2" xfId="43600"/>
    <cellStyle name="Normal 2 4 2 3 2 3 2 2 2 3" xfId="13398"/>
    <cellStyle name="Normal 2 4 2 3 2 3 2 2 2 3 2" xfId="43254"/>
    <cellStyle name="Normal 2 4 2 3 2 3 2 2 2 3 2 2" xfId="48744"/>
    <cellStyle name="Normal 2 4 2 3 2 3 2 2 2 4" xfId="26883"/>
    <cellStyle name="Normal 2 4 2 3 2 3 2 2 3" xfId="13052"/>
    <cellStyle name="Normal 2 4 2 3 2 3 2 2 3 2" xfId="16615"/>
    <cellStyle name="Normal 2 4 2 3 2 3 2 2 3 2 2" xfId="48398"/>
    <cellStyle name="Normal 2 4 2 3 2 3 2 2 3 2 2 2" xfId="51943"/>
    <cellStyle name="Normal 2 4 2 3 2 3 2 2 3 3" xfId="30117"/>
    <cellStyle name="Normal 2 4 2 3 2 3 2 2 4" xfId="26536"/>
    <cellStyle name="Normal 2 4 2 3 2 3 2 2 4 2" xfId="38427"/>
    <cellStyle name="Normal 2 4 2 3 2 3 2 3" xfId="4994"/>
    <cellStyle name="Normal 2 4 2 3 2 3 2 3 2" xfId="16266"/>
    <cellStyle name="Normal 2 4 2 3 2 3 2 3 2 2" xfId="18567"/>
    <cellStyle name="Normal 2 4 2 3 2 3 2 3 2 2 2" xfId="51596"/>
    <cellStyle name="Normal 2 4 2 3 2 3 2 3 2 2 2 2" xfId="53893"/>
    <cellStyle name="Normal 2 4 2 3 2 3 2 3 2 3" xfId="32068"/>
    <cellStyle name="Normal 2 4 2 3 2 3 2 3 3" xfId="29770"/>
    <cellStyle name="Normal 2 4 2 3 2 3 2 3 3 2" xfId="40431"/>
    <cellStyle name="Normal 2 4 2 3 2 3 2 4" xfId="10197"/>
    <cellStyle name="Normal 2 4 2 3 2 3 2 4 2" xfId="38080"/>
    <cellStyle name="Normal 2 4 2 3 2 3 2 4 2 2" xfId="45560"/>
    <cellStyle name="Normal 2 4 2 3 2 3 2 5" xfId="23683"/>
    <cellStyle name="Normal 2 4 2 3 2 3 3" xfId="4641"/>
    <cellStyle name="Normal 2 4 2 3 2 3 3 2" xfId="6231"/>
    <cellStyle name="Normal 2 4 2 3 2 3 3 2 2" xfId="18221"/>
    <cellStyle name="Normal 2 4 2 3 2 3 3 2 2 2" xfId="19788"/>
    <cellStyle name="Normal 2 4 2 3 2 3 3 2 2 2 2" xfId="53547"/>
    <cellStyle name="Normal 2 4 2 3 2 3 3 2 2 2 2 2" xfId="55114"/>
    <cellStyle name="Normal 2 4 2 3 2 3 3 2 2 3" xfId="33290"/>
    <cellStyle name="Normal 2 4 2 3 2 3 3 2 3" xfId="31722"/>
    <cellStyle name="Normal 2 4 2 3 2 3 3 2 3 2" xfId="41660"/>
    <cellStyle name="Normal 2 4 2 3 2 3 3 3" xfId="11456"/>
    <cellStyle name="Normal 2 4 2 3 2 3 3 3 2" xfId="40080"/>
    <cellStyle name="Normal 2 4 2 3 2 3 3 3 2 2" xfId="46805"/>
    <cellStyle name="Normal 2 4 2 3 2 3 3 4" xfId="24942"/>
    <cellStyle name="Normal 2 4 2 3 2 3 4" xfId="9844"/>
    <cellStyle name="Normal 2 4 2 3 2 3 4 2" xfId="14614"/>
    <cellStyle name="Normal 2 4 2 3 2 3 4 2 2" xfId="45214"/>
    <cellStyle name="Normal 2 4 2 3 2 3 4 2 2 2" xfId="49953"/>
    <cellStyle name="Normal 2 4 2 3 2 3 4 3" xfId="28125"/>
    <cellStyle name="Normal 2 4 2 3 2 3 5" xfId="23337"/>
    <cellStyle name="Normal 2 4 2 3 2 3 5 2" xfId="36422"/>
    <cellStyle name="Normal 2 4 2 3 2 4" xfId="1716"/>
    <cellStyle name="Normal 2 4 2 3 2 4 2" xfId="5846"/>
    <cellStyle name="Normal 2 4 2 3 2 4 2 2" xfId="6969"/>
    <cellStyle name="Normal 2 4 2 3 2 4 2 2 2" xfId="19414"/>
    <cellStyle name="Normal 2 4 2 3 2 4 2 2 2 2" xfId="20522"/>
    <cellStyle name="Normal 2 4 2 3 2 4 2 2 2 2 2" xfId="54740"/>
    <cellStyle name="Normal 2 4 2 3 2 4 2 2 2 2 2 2" xfId="55848"/>
    <cellStyle name="Normal 2 4 2 3 2 4 2 2 2 3" xfId="34024"/>
    <cellStyle name="Normal 2 4 2 3 2 4 2 2 3" xfId="32915"/>
    <cellStyle name="Normal 2 4 2 3 2 4 2 2 3 2" xfId="42397"/>
    <cellStyle name="Normal 2 4 2 3 2 4 2 3" xfId="12193"/>
    <cellStyle name="Normal 2 4 2 3 2 4 2 3 2" xfId="41281"/>
    <cellStyle name="Normal 2 4 2 3 2 4 2 3 2 2" xfId="47540"/>
    <cellStyle name="Normal 2 4 2 3 2 4 2 4" xfId="25678"/>
    <cellStyle name="Normal 2 4 2 3 2 4 3" xfId="11069"/>
    <cellStyle name="Normal 2 4 2 3 2 4 3 2" xfId="15388"/>
    <cellStyle name="Normal 2 4 2 3 2 4 3 2 2" xfId="46428"/>
    <cellStyle name="Normal 2 4 2 3 2 4 3 2 2 2" xfId="50721"/>
    <cellStyle name="Normal 2 4 2 3 2 4 3 3" xfId="28895"/>
    <cellStyle name="Normal 2 4 2 3 2 4 4" xfId="24563"/>
    <cellStyle name="Normal 2 4 2 3 2 4 4 2" xfId="37198"/>
    <cellStyle name="Normal 2 4 2 3 2 5" xfId="3721"/>
    <cellStyle name="Normal 2 4 2 3 2 5 2" xfId="14230"/>
    <cellStyle name="Normal 2 4 2 3 2 5 2 2" xfId="17337"/>
    <cellStyle name="Normal 2 4 2 3 2 5 2 2 2" xfId="49575"/>
    <cellStyle name="Normal 2 4 2 3 2 5 2 2 2 2" xfId="52664"/>
    <cellStyle name="Normal 2 4 2 3 2 5 2 3" xfId="30838"/>
    <cellStyle name="Normal 2 4 2 3 2 5 3" xfId="27737"/>
    <cellStyle name="Normal 2 4 2 3 2 5 3 2" xfId="39172"/>
    <cellStyle name="Normal 2 4 2 3 2 6" xfId="8911"/>
    <cellStyle name="Normal 2 4 2 3 2 6 2" xfId="36042"/>
    <cellStyle name="Normal 2 4 2 3 2 6 2 2" xfId="44310"/>
    <cellStyle name="Normal 2 4 2 3 2 7" xfId="22418"/>
    <cellStyle name="Normal 2 4 2 3 3" xfId="838"/>
    <cellStyle name="Normal 2 4 2 3 3 2" xfId="1101"/>
    <cellStyle name="Normal 2 4 2 3 3 2 2" xfId="2890"/>
    <cellStyle name="Normal 2 4 2 3 3 2 2 2" xfId="3131"/>
    <cellStyle name="Normal 2 4 2 3 3 2 2 2 2" xfId="8105"/>
    <cellStyle name="Normal 2 4 2 3 3 2 2 2 2 2" xfId="8346"/>
    <cellStyle name="Normal 2 4 2 3 3 2 2 2 2 2 2" xfId="21657"/>
    <cellStyle name="Normal 2 4 2 3 3 2 2 2 2 2 2 2" xfId="21898"/>
    <cellStyle name="Normal 2 4 2 3 3 2 2 2 2 2 2 2 2" xfId="56983"/>
    <cellStyle name="Normal 2 4 2 3 3 2 2 2 2 2 2 2 2 2" xfId="57224"/>
    <cellStyle name="Normal 2 4 2 3 3 2 2 2 2 2 2 3" xfId="35401"/>
    <cellStyle name="Normal 2 4 2 3 3 2 2 2 2 2 3" xfId="35160"/>
    <cellStyle name="Normal 2 4 2 3 3 2 2 2 2 2 3 2" xfId="43773"/>
    <cellStyle name="Normal 2 4 2 3 3 2 2 2 2 3" xfId="13571"/>
    <cellStyle name="Normal 2 4 2 3 3 2 2 2 2 3 2" xfId="43532"/>
    <cellStyle name="Normal 2 4 2 3 3 2 2 2 2 3 2 2" xfId="48917"/>
    <cellStyle name="Normal 2 4 2 3 3 2 2 2 2 4" xfId="27056"/>
    <cellStyle name="Normal 2 4 2 3 3 2 2 2 3" xfId="13330"/>
    <cellStyle name="Normal 2 4 2 3 3 2 2 2 3 2" xfId="16788"/>
    <cellStyle name="Normal 2 4 2 3 3 2 2 2 3 2 2" xfId="48676"/>
    <cellStyle name="Normal 2 4 2 3 3 2 2 2 3 2 2 2" xfId="52116"/>
    <cellStyle name="Normal 2 4 2 3 3 2 2 2 3 3" xfId="30290"/>
    <cellStyle name="Normal 2 4 2 3 3 2 2 2 4" xfId="26815"/>
    <cellStyle name="Normal 2 4 2 3 3 2 2 2 4 2" xfId="38600"/>
    <cellStyle name="Normal 2 4 2 3 3 2 2 3" xfId="5168"/>
    <cellStyle name="Normal 2 4 2 3 3 2 2 3 2" xfId="16547"/>
    <cellStyle name="Normal 2 4 2 3 3 2 2 3 2 2" xfId="18741"/>
    <cellStyle name="Normal 2 4 2 3 3 2 2 3 2 2 2" xfId="51875"/>
    <cellStyle name="Normal 2 4 2 3 3 2 2 3 2 2 2 2" xfId="54067"/>
    <cellStyle name="Normal 2 4 2 3 3 2 2 3 2 3" xfId="32242"/>
    <cellStyle name="Normal 2 4 2 3 3 2 2 3 3" xfId="30049"/>
    <cellStyle name="Normal 2 4 2 3 3 2 2 3 3 2" xfId="40605"/>
    <cellStyle name="Normal 2 4 2 3 3 2 2 4" xfId="10371"/>
    <cellStyle name="Normal 2 4 2 3 3 2 2 4 2" xfId="38359"/>
    <cellStyle name="Normal 2 4 2 3 3 2 2 4 2 2" xfId="45734"/>
    <cellStyle name="Normal 2 4 2 3 3 2 2 5" xfId="23857"/>
    <cellStyle name="Normal 2 4 2 3 3 2 3" xfId="4926"/>
    <cellStyle name="Normal 2 4 2 3 3 2 3 2" xfId="6410"/>
    <cellStyle name="Normal 2 4 2 3 3 2 3 2 2" xfId="18499"/>
    <cellStyle name="Normal 2 4 2 3 3 2 3 2 2 2" xfId="19966"/>
    <cellStyle name="Normal 2 4 2 3 3 2 3 2 2 2 2" xfId="53825"/>
    <cellStyle name="Normal 2 4 2 3 3 2 3 2 2 2 2 2" xfId="55292"/>
    <cellStyle name="Normal 2 4 2 3 3 2 3 2 2 3" xfId="33468"/>
    <cellStyle name="Normal 2 4 2 3 3 2 3 2 3" xfId="32000"/>
    <cellStyle name="Normal 2 4 2 3 3 2 3 2 3 2" xfId="41839"/>
    <cellStyle name="Normal 2 4 2 3 3 2 3 3" xfId="11635"/>
    <cellStyle name="Normal 2 4 2 3 3 2 3 3 2" xfId="40363"/>
    <cellStyle name="Normal 2 4 2 3 3 2 3 3 2 2" xfId="46984"/>
    <cellStyle name="Normal 2 4 2 3 3 2 3 4" xfId="25121"/>
    <cellStyle name="Normal 2 4 2 3 3 2 4" xfId="10129"/>
    <cellStyle name="Normal 2 4 2 3 3 2 4 2" xfId="14793"/>
    <cellStyle name="Normal 2 4 2 3 3 2 4 2 2" xfId="45492"/>
    <cellStyle name="Normal 2 4 2 3 3 2 4 2 2 2" xfId="50132"/>
    <cellStyle name="Normal 2 4 2 3 3 2 4 3" xfId="28305"/>
    <cellStyle name="Normal 2 4 2 3 3 2 5" xfId="23615"/>
    <cellStyle name="Normal 2 4 2 3 3 2 5 2" xfId="36601"/>
    <cellStyle name="Normal 2 4 2 3 3 3" xfId="1909"/>
    <cellStyle name="Normal 2 4 2 3 3 3 2" xfId="6153"/>
    <cellStyle name="Normal 2 4 2 3 3 3 2 2" xfId="7153"/>
    <cellStyle name="Normal 2 4 2 3 3 3 2 2 2" xfId="19713"/>
    <cellStyle name="Normal 2 4 2 3 3 3 2 2 2 2" xfId="20705"/>
    <cellStyle name="Normal 2 4 2 3 3 3 2 2 2 2 2" xfId="55039"/>
    <cellStyle name="Normal 2 4 2 3 3 3 2 2 2 2 2 2" xfId="56031"/>
    <cellStyle name="Normal 2 4 2 3 3 3 2 2 2 3" xfId="34208"/>
    <cellStyle name="Normal 2 4 2 3 3 3 2 2 3" xfId="33215"/>
    <cellStyle name="Normal 2 4 2 3 3 3 2 2 3 2" xfId="42580"/>
    <cellStyle name="Normal 2 4 2 3 3 3 2 3" xfId="12378"/>
    <cellStyle name="Normal 2 4 2 3 3 3 2 3 2" xfId="41584"/>
    <cellStyle name="Normal 2 4 2 3 3 3 2 3 2 2" xfId="47724"/>
    <cellStyle name="Normal 2 4 2 3 3 3 2 4" xfId="25862"/>
    <cellStyle name="Normal 2 4 2 3 3 3 3" xfId="11379"/>
    <cellStyle name="Normal 2 4 2 3 3 3 3 2" xfId="15576"/>
    <cellStyle name="Normal 2 4 2 3 3 3 3 2 2" xfId="46730"/>
    <cellStyle name="Normal 2 4 2 3 3 3 3 2 2 2" xfId="50908"/>
    <cellStyle name="Normal 2 4 2 3 3 3 3 3" xfId="29082"/>
    <cellStyle name="Normal 2 4 2 3 3 3 4" xfId="24867"/>
    <cellStyle name="Normal 2 4 2 3 3 3 4 2" xfId="37388"/>
    <cellStyle name="Normal 2 4 2 3 3 4" xfId="3923"/>
    <cellStyle name="Normal 2 4 2 3 3 4 2" xfId="14536"/>
    <cellStyle name="Normal 2 4 2 3 3 4 2 2" xfId="17528"/>
    <cellStyle name="Normal 2 4 2 3 3 4 2 2 2" xfId="49877"/>
    <cellStyle name="Normal 2 4 2 3 3 4 2 2 2 2" xfId="52855"/>
    <cellStyle name="Normal 2 4 2 3 3 4 2 3" xfId="31030"/>
    <cellStyle name="Normal 2 4 2 3 3 4 3" xfId="28047"/>
    <cellStyle name="Normal 2 4 2 3 3 4 3 2" xfId="39368"/>
    <cellStyle name="Normal 2 4 2 3 3 5" xfId="9115"/>
    <cellStyle name="Normal 2 4 2 3 3 5 2" xfId="36346"/>
    <cellStyle name="Normal 2 4 2 3 3 5 2 2" xfId="44507"/>
    <cellStyle name="Normal 2 4 2 3 3 6" xfId="22621"/>
    <cellStyle name="Normal 2 4 2 3 4" xfId="1633"/>
    <cellStyle name="Normal 2 4 2 3 4 2" xfId="2358"/>
    <cellStyle name="Normal 2 4 2 3 4 2 2" xfId="6899"/>
    <cellStyle name="Normal 2 4 2 3 4 2 2 2" xfId="7592"/>
    <cellStyle name="Normal 2 4 2 3 4 2 2 2 2" xfId="20452"/>
    <cellStyle name="Normal 2 4 2 3 4 2 2 2 2 2" xfId="21144"/>
    <cellStyle name="Normal 2 4 2 3 4 2 2 2 2 2 2" xfId="55778"/>
    <cellStyle name="Normal 2 4 2 3 4 2 2 2 2 2 2 2" xfId="56470"/>
    <cellStyle name="Normal 2 4 2 3 4 2 2 2 2 3" xfId="34647"/>
    <cellStyle name="Normal 2 4 2 3 4 2 2 2 3" xfId="33954"/>
    <cellStyle name="Normal 2 4 2 3 4 2 2 2 3 2" xfId="43019"/>
    <cellStyle name="Normal 2 4 2 3 4 2 2 3" xfId="12817"/>
    <cellStyle name="Normal 2 4 2 3 4 2 2 3 2" xfId="42327"/>
    <cellStyle name="Normal 2 4 2 3 4 2 2 3 2 2" xfId="48163"/>
    <cellStyle name="Normal 2 4 2 3 4 2 2 4" xfId="26301"/>
    <cellStyle name="Normal 2 4 2 3 4 2 3" xfId="12123"/>
    <cellStyle name="Normal 2 4 2 3 4 2 3 2" xfId="16022"/>
    <cellStyle name="Normal 2 4 2 3 4 2 3 2 2" xfId="47470"/>
    <cellStyle name="Normal 2 4 2 3 4 2 3 2 2 2" xfId="51354"/>
    <cellStyle name="Normal 2 4 2 3 4 2 3 3" xfId="29528"/>
    <cellStyle name="Normal 2 4 2 3 4 2 4" xfId="25608"/>
    <cellStyle name="Normal 2 4 2 3 4 2 4 2" xfId="37836"/>
    <cellStyle name="Normal 2 4 2 3 4 3" xfId="4389"/>
    <cellStyle name="Normal 2 4 2 3 4 3 2" xfId="15307"/>
    <cellStyle name="Normal 2 4 2 3 4 3 2 2" xfId="17981"/>
    <cellStyle name="Normal 2 4 2 3 4 3 2 2 2" xfId="50642"/>
    <cellStyle name="Normal 2 4 2 3 4 3 2 2 2 2" xfId="53307"/>
    <cellStyle name="Normal 2 4 2 3 4 3 2 3" xfId="31482"/>
    <cellStyle name="Normal 2 4 2 3 4 3 3" xfId="28816"/>
    <cellStyle name="Normal 2 4 2 3 4 3 3 2" xfId="39831"/>
    <cellStyle name="Normal 2 4 2 3 4 4" xfId="9591"/>
    <cellStyle name="Normal 2 4 2 3 4 4 2" xfId="37118"/>
    <cellStyle name="Normal 2 4 2 3 4 4 2 2" xfId="44972"/>
    <cellStyle name="Normal 2 4 2 3 4 5" xfId="23092"/>
    <cellStyle name="Normal 2 4 2 3 5" xfId="3637"/>
    <cellStyle name="Normal 2 4 2 3 5 2" xfId="5599"/>
    <cellStyle name="Normal 2 4 2 3 5 2 2" xfId="17267"/>
    <cellStyle name="Normal 2 4 2 3 5 2 2 2" xfId="19171"/>
    <cellStyle name="Normal 2 4 2 3 5 2 2 2 2" xfId="52594"/>
    <cellStyle name="Normal 2 4 2 3 5 2 2 2 2 2" xfId="54497"/>
    <cellStyle name="Normal 2 4 2 3 5 2 2 3" xfId="32672"/>
    <cellStyle name="Normal 2 4 2 3 5 2 3" xfId="30768"/>
    <cellStyle name="Normal 2 4 2 3 5 2 3 2" xfId="41035"/>
    <cellStyle name="Normal 2 4 2 3 5 3" xfId="10811"/>
    <cellStyle name="Normal 2 4 2 3 5 3 2" xfId="39092"/>
    <cellStyle name="Normal 2 4 2 3 5 3 2 2" xfId="46173"/>
    <cellStyle name="Normal 2 4 2 3 5 4" xfId="24301"/>
    <cellStyle name="Normal 2 4 2 3 6" xfId="8832"/>
    <cellStyle name="Normal 2 4 2 3 6 2" xfId="13983"/>
    <cellStyle name="Normal 2 4 2 3 6 2 2" xfId="44239"/>
    <cellStyle name="Normal 2 4 2 3 6 2 2 2" xfId="49329"/>
    <cellStyle name="Normal 2 4 2 3 6 3" xfId="27475"/>
    <cellStyle name="Normal 2 4 2 3 7" xfId="22347"/>
    <cellStyle name="Normal 2 4 2 3 7 2" xfId="35795"/>
    <cellStyle name="Normal 2 4 2 4" xfId="368"/>
    <cellStyle name="Normal 2 4 2 4 2" xfId="1014"/>
    <cellStyle name="Normal 2 4 2 4 2 2" xfId="1216"/>
    <cellStyle name="Normal 2 4 2 4 2 2 2" xfId="3051"/>
    <cellStyle name="Normal 2 4 2 4 2 2 2 2" xfId="3234"/>
    <cellStyle name="Normal 2 4 2 4 2 2 2 2 2" xfId="8266"/>
    <cellStyle name="Normal 2 4 2 4 2 2 2 2 2 2" xfId="8449"/>
    <cellStyle name="Normal 2 4 2 4 2 2 2 2 2 2 2" xfId="21818"/>
    <cellStyle name="Normal 2 4 2 4 2 2 2 2 2 2 2 2" xfId="22001"/>
    <cellStyle name="Normal 2 4 2 4 2 2 2 2 2 2 2 2 2" xfId="57144"/>
    <cellStyle name="Normal 2 4 2 4 2 2 2 2 2 2 2 2 2 2" xfId="57327"/>
    <cellStyle name="Normal 2 4 2 4 2 2 2 2 2 2 2 3" xfId="35504"/>
    <cellStyle name="Normal 2 4 2 4 2 2 2 2 2 2 3" xfId="35321"/>
    <cellStyle name="Normal 2 4 2 4 2 2 2 2 2 2 3 2" xfId="43876"/>
    <cellStyle name="Normal 2 4 2 4 2 2 2 2 2 3" xfId="13674"/>
    <cellStyle name="Normal 2 4 2 4 2 2 2 2 2 3 2" xfId="43693"/>
    <cellStyle name="Normal 2 4 2 4 2 2 2 2 2 3 2 2" xfId="49020"/>
    <cellStyle name="Normal 2 4 2 4 2 2 2 2 2 4" xfId="27159"/>
    <cellStyle name="Normal 2 4 2 4 2 2 2 2 3" xfId="13491"/>
    <cellStyle name="Normal 2 4 2 4 2 2 2 2 3 2" xfId="16891"/>
    <cellStyle name="Normal 2 4 2 4 2 2 2 2 3 2 2" xfId="48837"/>
    <cellStyle name="Normal 2 4 2 4 2 2 2 2 3 2 2 2" xfId="52219"/>
    <cellStyle name="Normal 2 4 2 4 2 2 2 2 3 3" xfId="30393"/>
    <cellStyle name="Normal 2 4 2 4 2 2 2 2 4" xfId="26976"/>
    <cellStyle name="Normal 2 4 2 4 2 2 2 2 4 2" xfId="38703"/>
    <cellStyle name="Normal 2 4 2 4 2 2 2 3" xfId="5271"/>
    <cellStyle name="Normal 2 4 2 4 2 2 2 3 2" xfId="16708"/>
    <cellStyle name="Normal 2 4 2 4 2 2 2 3 2 2" xfId="18844"/>
    <cellStyle name="Normal 2 4 2 4 2 2 2 3 2 2 2" xfId="52036"/>
    <cellStyle name="Normal 2 4 2 4 2 2 2 3 2 2 2 2" xfId="54170"/>
    <cellStyle name="Normal 2 4 2 4 2 2 2 3 2 3" xfId="32345"/>
    <cellStyle name="Normal 2 4 2 4 2 2 2 3 3" xfId="30210"/>
    <cellStyle name="Normal 2 4 2 4 2 2 2 3 3 2" xfId="40708"/>
    <cellStyle name="Normal 2 4 2 4 2 2 2 4" xfId="10474"/>
    <cellStyle name="Normal 2 4 2 4 2 2 2 4 2" xfId="38520"/>
    <cellStyle name="Normal 2 4 2 4 2 2 2 4 2 2" xfId="45837"/>
    <cellStyle name="Normal 2 4 2 4 2 2 2 5" xfId="23960"/>
    <cellStyle name="Normal 2 4 2 4 2 2 3" xfId="5088"/>
    <cellStyle name="Normal 2 4 2 4 2 2 3 2" xfId="6524"/>
    <cellStyle name="Normal 2 4 2 4 2 2 3 2 2" xfId="18661"/>
    <cellStyle name="Normal 2 4 2 4 2 2 3 2 2 2" xfId="20077"/>
    <cellStyle name="Normal 2 4 2 4 2 2 3 2 2 2 2" xfId="53987"/>
    <cellStyle name="Normal 2 4 2 4 2 2 3 2 2 2 2 2" xfId="55403"/>
    <cellStyle name="Normal 2 4 2 4 2 2 3 2 2 3" xfId="33579"/>
    <cellStyle name="Normal 2 4 2 4 2 2 3 2 3" xfId="32162"/>
    <cellStyle name="Normal 2 4 2 4 2 2 3 2 3 2" xfId="41952"/>
    <cellStyle name="Normal 2 4 2 4 2 2 3 3" xfId="11747"/>
    <cellStyle name="Normal 2 4 2 4 2 2 3 3 2" xfId="40525"/>
    <cellStyle name="Normal 2 4 2 4 2 2 3 3 2 2" xfId="47095"/>
    <cellStyle name="Normal 2 4 2 4 2 2 3 4" xfId="25232"/>
    <cellStyle name="Normal 2 4 2 4 2 2 4" xfId="10291"/>
    <cellStyle name="Normal 2 4 2 4 2 2 4 2" xfId="14905"/>
    <cellStyle name="Normal 2 4 2 4 2 2 4 2 2" xfId="45654"/>
    <cellStyle name="Normal 2 4 2 4 2 2 4 2 2 2" xfId="50244"/>
    <cellStyle name="Normal 2 4 2 4 2 2 4 3" xfId="28418"/>
    <cellStyle name="Normal 2 4 2 4 2 2 5" xfId="23777"/>
    <cellStyle name="Normal 2 4 2 4 2 2 5 2" xfId="36713"/>
    <cellStyle name="Normal 2 4 2 4 2 3" xfId="2022"/>
    <cellStyle name="Normal 2 4 2 4 2 3 2" xfId="6324"/>
    <cellStyle name="Normal 2 4 2 4 2 3 2 2" xfId="7256"/>
    <cellStyle name="Normal 2 4 2 4 2 3 2 2 2" xfId="19881"/>
    <cellStyle name="Normal 2 4 2 4 2 3 2 2 2 2" xfId="20808"/>
    <cellStyle name="Normal 2 4 2 4 2 3 2 2 2 2 2" xfId="55207"/>
    <cellStyle name="Normal 2 4 2 4 2 3 2 2 2 2 2 2" xfId="56134"/>
    <cellStyle name="Normal 2 4 2 4 2 3 2 2 2 3" xfId="34311"/>
    <cellStyle name="Normal 2 4 2 4 2 3 2 2 3" xfId="33383"/>
    <cellStyle name="Normal 2 4 2 4 2 3 2 2 3 2" xfId="42683"/>
    <cellStyle name="Normal 2 4 2 4 2 3 2 3" xfId="12481"/>
    <cellStyle name="Normal 2 4 2 4 2 3 2 3 2" xfId="41753"/>
    <cellStyle name="Normal 2 4 2 4 2 3 2 3 2 2" xfId="47827"/>
    <cellStyle name="Normal 2 4 2 4 2 3 2 4" xfId="25965"/>
    <cellStyle name="Normal 2 4 2 4 2 3 3" xfId="11550"/>
    <cellStyle name="Normal 2 4 2 4 2 3 3 2" xfId="15686"/>
    <cellStyle name="Normal 2 4 2 4 2 3 3 2 2" xfId="46899"/>
    <cellStyle name="Normal 2 4 2 4 2 3 3 2 2 2" xfId="51018"/>
    <cellStyle name="Normal 2 4 2 4 2 3 3 3" xfId="29192"/>
    <cellStyle name="Normal 2 4 2 4 2 3 4" xfId="25036"/>
    <cellStyle name="Normal 2 4 2 4 2 3 4 2" xfId="37500"/>
    <cellStyle name="Normal 2 4 2 4 2 4" xfId="4038"/>
    <cellStyle name="Normal 2 4 2 4 2 4 2" xfId="14707"/>
    <cellStyle name="Normal 2 4 2 4 2 4 2 2" xfId="17631"/>
    <cellStyle name="Normal 2 4 2 4 2 4 2 2 2" xfId="50046"/>
    <cellStyle name="Normal 2 4 2 4 2 4 2 2 2 2" xfId="52958"/>
    <cellStyle name="Normal 2 4 2 4 2 4 2 3" xfId="31133"/>
    <cellStyle name="Normal 2 4 2 4 2 4 3" xfId="28219"/>
    <cellStyle name="Normal 2 4 2 4 2 4 3 2" xfId="39481"/>
    <cellStyle name="Normal 2 4 2 4 2 5" xfId="9229"/>
    <cellStyle name="Normal 2 4 2 4 2 5 2" xfId="36515"/>
    <cellStyle name="Normal 2 4 2 4 2 5 2 2" xfId="44611"/>
    <cellStyle name="Normal 2 4 2 4 2 6" xfId="22725"/>
    <cellStyle name="Normal 2 4 2 4 3" xfId="1817"/>
    <cellStyle name="Normal 2 4 2 4 3 2" xfId="2475"/>
    <cellStyle name="Normal 2 4 2 4 3 2 2" xfId="7069"/>
    <cellStyle name="Normal 2 4 2 4 3 2 2 2" xfId="7705"/>
    <cellStyle name="Normal 2 4 2 4 3 2 2 2 2" xfId="20622"/>
    <cellStyle name="Normal 2 4 2 4 3 2 2 2 2 2" xfId="21257"/>
    <cellStyle name="Normal 2 4 2 4 3 2 2 2 2 2 2" xfId="55948"/>
    <cellStyle name="Normal 2 4 2 4 3 2 2 2 2 2 2 2" xfId="56583"/>
    <cellStyle name="Normal 2 4 2 4 3 2 2 2 2 3" xfId="34760"/>
    <cellStyle name="Normal 2 4 2 4 3 2 2 2 3" xfId="34124"/>
    <cellStyle name="Normal 2 4 2 4 3 2 2 2 3 2" xfId="43132"/>
    <cellStyle name="Normal 2 4 2 4 3 2 2 3" xfId="12930"/>
    <cellStyle name="Normal 2 4 2 4 3 2 2 3 2" xfId="42497"/>
    <cellStyle name="Normal 2 4 2 4 3 2 2 3 2 2" xfId="48276"/>
    <cellStyle name="Normal 2 4 2 4 3 2 2 4" xfId="26414"/>
    <cellStyle name="Normal 2 4 2 4 3 2 3" xfId="12293"/>
    <cellStyle name="Normal 2 4 2 4 3 2 3 2" xfId="16138"/>
    <cellStyle name="Normal 2 4 2 4 3 2 3 2 2" xfId="47640"/>
    <cellStyle name="Normal 2 4 2 4 3 2 3 2 2 2" xfId="51469"/>
    <cellStyle name="Normal 2 4 2 4 3 2 3 3" xfId="29643"/>
    <cellStyle name="Normal 2 4 2 4 3 2 4" xfId="25778"/>
    <cellStyle name="Normal 2 4 2 4 3 2 4 2" xfId="37952"/>
    <cellStyle name="Normal 2 4 2 4 3 3" xfId="4510"/>
    <cellStyle name="Normal 2 4 2 4 3 3 2" xfId="15489"/>
    <cellStyle name="Normal 2 4 2 4 3 3 2 2" xfId="18098"/>
    <cellStyle name="Normal 2 4 2 4 3 3 2 2 2" xfId="50822"/>
    <cellStyle name="Normal 2 4 2 4 3 3 2 2 2 2" xfId="53424"/>
    <cellStyle name="Normal 2 4 2 4 3 3 2 3" xfId="31599"/>
    <cellStyle name="Normal 2 4 2 4 3 3 3" xfId="28996"/>
    <cellStyle name="Normal 2 4 2 4 3 3 3 2" xfId="39951"/>
    <cellStyle name="Normal 2 4 2 4 3 4" xfId="9714"/>
    <cellStyle name="Normal 2 4 2 4 3 4 2" xfId="37299"/>
    <cellStyle name="Normal 2 4 2 4 3 4 2 2" xfId="45091"/>
    <cellStyle name="Normal 2 4 2 4 3 5" xfId="23214"/>
    <cellStyle name="Normal 2 4 2 4 4" xfId="3827"/>
    <cellStyle name="Normal 2 4 2 4 4 2" xfId="5718"/>
    <cellStyle name="Normal 2 4 2 4 4 2 2" xfId="17442"/>
    <cellStyle name="Normal 2 4 2 4 4 2 2 2" xfId="19287"/>
    <cellStyle name="Normal 2 4 2 4 4 2 2 2 2" xfId="52769"/>
    <cellStyle name="Normal 2 4 2 4 4 2 2 2 2 2" xfId="54613"/>
    <cellStyle name="Normal 2 4 2 4 4 2 2 3" xfId="32788"/>
    <cellStyle name="Normal 2 4 2 4 4 2 3" xfId="30943"/>
    <cellStyle name="Normal 2 4 2 4 4 2 3 2" xfId="41153"/>
    <cellStyle name="Normal 2 4 2 4 4 3" xfId="10938"/>
    <cellStyle name="Normal 2 4 2 4 4 3 2" xfId="39277"/>
    <cellStyle name="Normal 2 4 2 4 4 3 2 2" xfId="46297"/>
    <cellStyle name="Normal 2 4 2 4 4 4" xfId="24429"/>
    <cellStyle name="Normal 2 4 2 4 5" xfId="9019"/>
    <cellStyle name="Normal 2 4 2 4 5 2" xfId="14101"/>
    <cellStyle name="Normal 2 4 2 4 5 2 2" xfId="44417"/>
    <cellStyle name="Normal 2 4 2 4 5 2 2 2" xfId="49446"/>
    <cellStyle name="Normal 2 4 2 4 5 3" xfId="27601"/>
    <cellStyle name="Normal 2 4 2 4 6" xfId="22528"/>
    <cellStyle name="Normal 2 4 2 4 6 2" xfId="35912"/>
    <cellStyle name="Normal 2 4 2 5" xfId="682"/>
    <cellStyle name="Normal 2 4 2 5 2" xfId="2278"/>
    <cellStyle name="Normal 2 4 2 5 2 2" xfId="2770"/>
    <cellStyle name="Normal 2 4 2 5 2 2 2" xfId="7512"/>
    <cellStyle name="Normal 2 4 2 5 2 2 2 2" xfId="7987"/>
    <cellStyle name="Normal 2 4 2 5 2 2 2 2 2" xfId="21064"/>
    <cellStyle name="Normal 2 4 2 5 2 2 2 2 2 2" xfId="21539"/>
    <cellStyle name="Normal 2 4 2 5 2 2 2 2 2 2 2" xfId="56390"/>
    <cellStyle name="Normal 2 4 2 5 2 2 2 2 2 2 2 2" xfId="56865"/>
    <cellStyle name="Normal 2 4 2 5 2 2 2 2 2 3" xfId="35042"/>
    <cellStyle name="Normal 2 4 2 5 2 2 2 2 3" xfId="34567"/>
    <cellStyle name="Normal 2 4 2 5 2 2 2 2 3 2" xfId="43414"/>
    <cellStyle name="Normal 2 4 2 5 2 2 2 3" xfId="13212"/>
    <cellStyle name="Normal 2 4 2 5 2 2 2 3 2" xfId="42939"/>
    <cellStyle name="Normal 2 4 2 5 2 2 2 3 2 2" xfId="48558"/>
    <cellStyle name="Normal 2 4 2 5 2 2 2 4" xfId="26696"/>
    <cellStyle name="Normal 2 4 2 5 2 2 3" xfId="12737"/>
    <cellStyle name="Normal 2 4 2 5 2 2 3 2" xfId="16429"/>
    <cellStyle name="Normal 2 4 2 5 2 2 3 2 2" xfId="48083"/>
    <cellStyle name="Normal 2 4 2 5 2 2 3 2 2 2" xfId="51757"/>
    <cellStyle name="Normal 2 4 2 5 2 2 3 3" xfId="29931"/>
    <cellStyle name="Normal 2 4 2 5 2 2 4" xfId="26221"/>
    <cellStyle name="Normal 2 4 2 5 2 2 4 2" xfId="38241"/>
    <cellStyle name="Normal 2 4 2 5 2 3" xfId="4806"/>
    <cellStyle name="Normal 2 4 2 5 2 3 2" xfId="15942"/>
    <cellStyle name="Normal 2 4 2 5 2 3 2 2" xfId="18381"/>
    <cellStyle name="Normal 2 4 2 5 2 3 2 2 2" xfId="51274"/>
    <cellStyle name="Normal 2 4 2 5 2 3 2 2 2 2" xfId="53707"/>
    <cellStyle name="Normal 2 4 2 5 2 3 2 3" xfId="31882"/>
    <cellStyle name="Normal 2 4 2 5 2 3 3" xfId="29448"/>
    <cellStyle name="Normal 2 4 2 5 2 3 3 2" xfId="40243"/>
    <cellStyle name="Normal 2 4 2 5 2 4" xfId="10009"/>
    <cellStyle name="Normal 2 4 2 5 2 4 2" xfId="37756"/>
    <cellStyle name="Normal 2 4 2 5 2 4 2 2" xfId="45374"/>
    <cellStyle name="Normal 2 4 2 5 2 5" xfId="23497"/>
    <cellStyle name="Normal 2 4 2 5 3" xfId="4302"/>
    <cellStyle name="Normal 2 4 2 5 3 2" xfId="6011"/>
    <cellStyle name="Normal 2 4 2 5 3 2 2" xfId="17895"/>
    <cellStyle name="Normal 2 4 2 5 3 2 2 2" xfId="19576"/>
    <cellStyle name="Normal 2 4 2 5 3 2 2 2 2" xfId="53222"/>
    <cellStyle name="Normal 2 4 2 5 3 2 2 2 2 2" xfId="54902"/>
    <cellStyle name="Normal 2 4 2 5 3 2 2 3" xfId="33077"/>
    <cellStyle name="Normal 2 4 2 5 3 2 3" xfId="31397"/>
    <cellStyle name="Normal 2 4 2 5 3 2 3 2" xfId="41445"/>
    <cellStyle name="Normal 2 4 2 5 3 3" xfId="11236"/>
    <cellStyle name="Normal 2 4 2 5 3 3 2" xfId="39745"/>
    <cellStyle name="Normal 2 4 2 5 3 3 2 2" xfId="46592"/>
    <cellStyle name="Normal 2 4 2 5 3 4" xfId="24729"/>
    <cellStyle name="Normal 2 4 2 5 4" xfId="9496"/>
    <cellStyle name="Normal 2 4 2 5 4 2" xfId="14393"/>
    <cellStyle name="Normal 2 4 2 5 4 2 2" xfId="44878"/>
    <cellStyle name="Normal 2 4 2 5 4 2 2 2" xfId="49738"/>
    <cellStyle name="Normal 2 4 2 5 4 3" xfId="27905"/>
    <cellStyle name="Normal 2 4 2 5 5" xfId="22993"/>
    <cellStyle name="Normal 2 4 2 5 5 2" xfId="36205"/>
    <cellStyle name="Normal 2 4 2 6" xfId="687"/>
    <cellStyle name="Normal 2 4 2 6 2" xfId="5517"/>
    <cellStyle name="Normal 2 4 2 6 2 2" xfId="6016"/>
    <cellStyle name="Normal 2 4 2 6 2 2 2" xfId="19090"/>
    <cellStyle name="Normal 2 4 2 6 2 2 2 2" xfId="19581"/>
    <cellStyle name="Normal 2 4 2 6 2 2 2 2 2" xfId="54416"/>
    <cellStyle name="Normal 2 4 2 6 2 2 2 2 2 2" xfId="54907"/>
    <cellStyle name="Normal 2 4 2 6 2 2 2 3" xfId="33082"/>
    <cellStyle name="Normal 2 4 2 6 2 2 3" xfId="32591"/>
    <cellStyle name="Normal 2 4 2 6 2 2 3 2" xfId="41450"/>
    <cellStyle name="Normal 2 4 2 6 2 3" xfId="11241"/>
    <cellStyle name="Normal 2 4 2 6 2 3 2" xfId="40954"/>
    <cellStyle name="Normal 2 4 2 6 2 3 2 2" xfId="46597"/>
    <cellStyle name="Normal 2 4 2 6 2 4" xfId="24734"/>
    <cellStyle name="Normal 2 4 2 6 3" xfId="10720"/>
    <cellStyle name="Normal 2 4 2 6 3 2" xfId="14398"/>
    <cellStyle name="Normal 2 4 2 6 3 2 2" xfId="46083"/>
    <cellStyle name="Normal 2 4 2 6 3 2 2 2" xfId="49743"/>
    <cellStyle name="Normal 2 4 2 6 3 3" xfId="27910"/>
    <cellStyle name="Normal 2 4 2 6 4" xfId="24206"/>
    <cellStyle name="Normal 2 4 2 6 4 2" xfId="36210"/>
    <cellStyle name="Normal 2 4 2 7" xfId="483"/>
    <cellStyle name="Normal 2 4 2 7 2" xfId="10733"/>
    <cellStyle name="Normal 2 4 2 7 2 2" xfId="14204"/>
    <cellStyle name="Normal 2 4 2 7 2 2 2" xfId="46096"/>
    <cellStyle name="Normal 2 4 2 7 2 2 2 2" xfId="49549"/>
    <cellStyle name="Normal 2 4 2 7 2 3" xfId="27710"/>
    <cellStyle name="Normal 2 4 2 7 3" xfId="24220"/>
    <cellStyle name="Normal 2 4 2 7 3 2" xfId="36016"/>
    <cellStyle name="Normal 2 4 2 8" xfId="4524"/>
    <cellStyle name="Normal 2 4 2 8 2" xfId="22513"/>
    <cellStyle name="Normal 2 4 2 8 2 2" xfId="39965"/>
    <cellStyle name="Normal 2 4 2 9" xfId="9727"/>
    <cellStyle name="Normal 2 4 3" xfId="160"/>
    <cellStyle name="Normal 2 4 3 2" xfId="264"/>
    <cellStyle name="Normal 2 4 3 2 2" xfId="546"/>
    <cellStyle name="Normal 2 4 3 2 2 2" xfId="610"/>
    <cellStyle name="Normal 2 4 3 2 2 2 2" xfId="1351"/>
    <cellStyle name="Normal 2 4 3 2 2 2 2 2" xfId="1406"/>
    <cellStyle name="Normal 2 4 3 2 2 2 2 2 2" xfId="3369"/>
    <cellStyle name="Normal 2 4 3 2 2 2 2 2 2 2" xfId="3424"/>
    <cellStyle name="Normal 2 4 3 2 2 2 2 2 2 2 2" xfId="8584"/>
    <cellStyle name="Normal 2 4 3 2 2 2 2 2 2 2 2 2" xfId="8639"/>
    <cellStyle name="Normal 2 4 3 2 2 2 2 2 2 2 2 2 2" xfId="22136"/>
    <cellStyle name="Normal 2 4 3 2 2 2 2 2 2 2 2 2 2 2" xfId="22191"/>
    <cellStyle name="Normal 2 4 3 2 2 2 2 2 2 2 2 2 2 2 2" xfId="57462"/>
    <cellStyle name="Normal 2 4 3 2 2 2 2 2 2 2 2 2 2 2 2 2" xfId="57517"/>
    <cellStyle name="Normal 2 4 3 2 2 2 2 2 2 2 2 2 2 3" xfId="35694"/>
    <cellStyle name="Normal 2 4 3 2 2 2 2 2 2 2 2 2 3" xfId="35639"/>
    <cellStyle name="Normal 2 4 3 2 2 2 2 2 2 2 2 2 3 2" xfId="44066"/>
    <cellStyle name="Normal 2 4 3 2 2 2 2 2 2 2 2 3" xfId="13864"/>
    <cellStyle name="Normal 2 4 3 2 2 2 2 2 2 2 2 3 2" xfId="44011"/>
    <cellStyle name="Normal 2 4 3 2 2 2 2 2 2 2 2 3 2 2" xfId="49210"/>
    <cellStyle name="Normal 2 4 3 2 2 2 2 2 2 2 2 4" xfId="27349"/>
    <cellStyle name="Normal 2 4 3 2 2 2 2 2 2 2 3" xfId="13809"/>
    <cellStyle name="Normal 2 4 3 2 2 2 2 2 2 2 3 2" xfId="17081"/>
    <cellStyle name="Normal 2 4 3 2 2 2 2 2 2 2 3 2 2" xfId="49155"/>
    <cellStyle name="Normal 2 4 3 2 2 2 2 2 2 2 3 2 2 2" xfId="52409"/>
    <cellStyle name="Normal 2 4 3 2 2 2 2 2 2 2 3 3" xfId="30583"/>
    <cellStyle name="Normal 2 4 3 2 2 2 2 2 2 2 4" xfId="27294"/>
    <cellStyle name="Normal 2 4 3 2 2 2 2 2 2 2 4 2" xfId="38893"/>
    <cellStyle name="Normal 2 4 3 2 2 2 2 2 2 3" xfId="5461"/>
    <cellStyle name="Normal 2 4 3 2 2 2 2 2 2 3 2" xfId="17026"/>
    <cellStyle name="Normal 2 4 3 2 2 2 2 2 2 3 2 2" xfId="19034"/>
    <cellStyle name="Normal 2 4 3 2 2 2 2 2 2 3 2 2 2" xfId="52354"/>
    <cellStyle name="Normal 2 4 3 2 2 2 2 2 2 3 2 2 2 2" xfId="54360"/>
    <cellStyle name="Normal 2 4 3 2 2 2 2 2 2 3 2 3" xfId="32535"/>
    <cellStyle name="Normal 2 4 3 2 2 2 2 2 2 3 3" xfId="30528"/>
    <cellStyle name="Normal 2 4 3 2 2 2 2 2 2 3 3 2" xfId="40898"/>
    <cellStyle name="Normal 2 4 3 2 2 2 2 2 2 4" xfId="10664"/>
    <cellStyle name="Normal 2 4 3 2 2 2 2 2 2 4 2" xfId="38838"/>
    <cellStyle name="Normal 2 4 3 2 2 2 2 2 2 4 2 2" xfId="46027"/>
    <cellStyle name="Normal 2 4 3 2 2 2 2 2 2 5" xfId="24150"/>
    <cellStyle name="Normal 2 4 3 2 2 2 2 2 3" xfId="5406"/>
    <cellStyle name="Normal 2 4 3 2 2 2 2 2 3 2" xfId="6714"/>
    <cellStyle name="Normal 2 4 3 2 2 2 2 2 3 2 2" xfId="18979"/>
    <cellStyle name="Normal 2 4 3 2 2 2 2 2 3 2 2 2" xfId="20267"/>
    <cellStyle name="Normal 2 4 3 2 2 2 2 2 3 2 2 2 2" xfId="54305"/>
    <cellStyle name="Normal 2 4 3 2 2 2 2 2 3 2 2 2 2 2" xfId="55593"/>
    <cellStyle name="Normal 2 4 3 2 2 2 2 2 3 2 2 3" xfId="33769"/>
    <cellStyle name="Normal 2 4 3 2 2 2 2 2 3 2 3" xfId="32480"/>
    <cellStyle name="Normal 2 4 3 2 2 2 2 2 3 2 3 2" xfId="42142"/>
    <cellStyle name="Normal 2 4 3 2 2 2 2 2 3 3" xfId="11937"/>
    <cellStyle name="Normal 2 4 3 2 2 2 2 2 3 3 2" xfId="40843"/>
    <cellStyle name="Normal 2 4 3 2 2 2 2 2 3 3 2 2" xfId="47285"/>
    <cellStyle name="Normal 2 4 3 2 2 2 2 2 3 4" xfId="25422"/>
    <cellStyle name="Normal 2 4 3 2 2 2 2 2 4" xfId="10609"/>
    <cellStyle name="Normal 2 4 3 2 2 2 2 2 4 2" xfId="15095"/>
    <cellStyle name="Normal 2 4 3 2 2 2 2 2 4 2 2" xfId="45972"/>
    <cellStyle name="Normal 2 4 3 2 2 2 2 2 4 2 2 2" xfId="50434"/>
    <cellStyle name="Normal 2 4 3 2 2 2 2 2 4 3" xfId="28608"/>
    <cellStyle name="Normal 2 4 3 2 2 2 2 2 5" xfId="24095"/>
    <cellStyle name="Normal 2 4 3 2 2 2 2 2 5 2" xfId="36903"/>
    <cellStyle name="Normal 2 4 3 2 2 2 2 3" xfId="2213"/>
    <cellStyle name="Normal 2 4 3 2 2 2 2 3 2" xfId="6659"/>
    <cellStyle name="Normal 2 4 3 2 2 2 2 3 2 2" xfId="7447"/>
    <cellStyle name="Normal 2 4 3 2 2 2 2 3 2 2 2" xfId="20212"/>
    <cellStyle name="Normal 2 4 3 2 2 2 2 3 2 2 2 2" xfId="20999"/>
    <cellStyle name="Normal 2 4 3 2 2 2 2 3 2 2 2 2 2" xfId="55538"/>
    <cellStyle name="Normal 2 4 3 2 2 2 2 3 2 2 2 2 2 2" xfId="56325"/>
    <cellStyle name="Normal 2 4 3 2 2 2 2 3 2 2 2 3" xfId="34502"/>
    <cellStyle name="Normal 2 4 3 2 2 2 2 3 2 2 3" xfId="33714"/>
    <cellStyle name="Normal 2 4 3 2 2 2 2 3 2 2 3 2" xfId="42874"/>
    <cellStyle name="Normal 2 4 3 2 2 2 2 3 2 3" xfId="12672"/>
    <cellStyle name="Normal 2 4 3 2 2 2 2 3 2 3 2" xfId="42087"/>
    <cellStyle name="Normal 2 4 3 2 2 2 2 3 2 3 2 2" xfId="48018"/>
    <cellStyle name="Normal 2 4 3 2 2 2 2 3 2 4" xfId="26156"/>
    <cellStyle name="Normal 2 4 3 2 2 2 2 3 3" xfId="11882"/>
    <cellStyle name="Normal 2 4 3 2 2 2 2 3 3 2" xfId="15877"/>
    <cellStyle name="Normal 2 4 3 2 2 2 2 3 3 2 2" xfId="47230"/>
    <cellStyle name="Normal 2 4 3 2 2 2 2 3 3 2 2 2" xfId="51209"/>
    <cellStyle name="Normal 2 4 3 2 2 2 2 3 3 3" xfId="29383"/>
    <cellStyle name="Normal 2 4 3 2 2 2 2 3 4" xfId="25367"/>
    <cellStyle name="Normal 2 4 3 2 2 2 2 3 4 2" xfId="37691"/>
    <cellStyle name="Normal 2 4 3 2 2 2 2 4" xfId="4229"/>
    <cellStyle name="Normal 2 4 3 2 2 2 2 4 2" xfId="15040"/>
    <cellStyle name="Normal 2 4 3 2 2 2 2 4 2 2" xfId="17822"/>
    <cellStyle name="Normal 2 4 3 2 2 2 2 4 2 2 2" xfId="50379"/>
    <cellStyle name="Normal 2 4 3 2 2 2 2 4 2 2 2 2" xfId="53149"/>
    <cellStyle name="Normal 2 4 3 2 2 2 2 4 2 3" xfId="31324"/>
    <cellStyle name="Normal 2 4 3 2 2 2 2 4 3" xfId="28553"/>
    <cellStyle name="Normal 2 4 3 2 2 2 2 4 3 2" xfId="39672"/>
    <cellStyle name="Normal 2 4 3 2 2 2 2 5" xfId="9420"/>
    <cellStyle name="Normal 2 4 3 2 2 2 2 5 2" xfId="36848"/>
    <cellStyle name="Normal 2 4 3 2 2 2 2 5 2 2" xfId="44802"/>
    <cellStyle name="Normal 2 4 3 2 2 2 2 6" xfId="22916"/>
    <cellStyle name="Normal 2 4 3 2 2 2 3" xfId="2158"/>
    <cellStyle name="Normal 2 4 3 2 2 2 3 2" xfId="2700"/>
    <cellStyle name="Normal 2 4 3 2 2 2 3 2 2" xfId="7392"/>
    <cellStyle name="Normal 2 4 3 2 2 2 3 2 2 2" xfId="7919"/>
    <cellStyle name="Normal 2 4 3 2 2 2 3 2 2 2 2" xfId="20944"/>
    <cellStyle name="Normal 2 4 3 2 2 2 3 2 2 2 2 2" xfId="21471"/>
    <cellStyle name="Normal 2 4 3 2 2 2 3 2 2 2 2 2 2" xfId="56270"/>
    <cellStyle name="Normal 2 4 3 2 2 2 3 2 2 2 2 2 2 2" xfId="56797"/>
    <cellStyle name="Normal 2 4 3 2 2 2 3 2 2 2 2 3" xfId="34974"/>
    <cellStyle name="Normal 2 4 3 2 2 2 3 2 2 2 3" xfId="34447"/>
    <cellStyle name="Normal 2 4 3 2 2 2 3 2 2 2 3 2" xfId="43346"/>
    <cellStyle name="Normal 2 4 3 2 2 2 3 2 2 3" xfId="13144"/>
    <cellStyle name="Normal 2 4 3 2 2 2 3 2 2 3 2" xfId="42819"/>
    <cellStyle name="Normal 2 4 3 2 2 2 3 2 2 3 2 2" xfId="48490"/>
    <cellStyle name="Normal 2 4 3 2 2 2 3 2 2 4" xfId="26628"/>
    <cellStyle name="Normal 2 4 3 2 2 2 3 2 3" xfId="12617"/>
    <cellStyle name="Normal 2 4 3 2 2 2 3 2 3 2" xfId="16359"/>
    <cellStyle name="Normal 2 4 3 2 2 2 3 2 3 2 2" xfId="47963"/>
    <cellStyle name="Normal 2 4 3 2 2 2 3 2 3 2 2 2" xfId="51689"/>
    <cellStyle name="Normal 2 4 3 2 2 2 3 2 3 3" xfId="29863"/>
    <cellStyle name="Normal 2 4 3 2 2 2 3 2 4" xfId="26101"/>
    <cellStyle name="Normal 2 4 3 2 2 2 3 2 4 2" xfId="38173"/>
    <cellStyle name="Normal 2 4 3 2 2 2 3 3" xfId="4736"/>
    <cellStyle name="Normal 2 4 3 2 2 2 3 3 2" xfId="15822"/>
    <cellStyle name="Normal 2 4 3 2 2 2 3 3 2 2" xfId="18313"/>
    <cellStyle name="Normal 2 4 3 2 2 2 3 3 2 2 2" xfId="51154"/>
    <cellStyle name="Normal 2 4 3 2 2 2 3 3 2 2 2 2" xfId="53639"/>
    <cellStyle name="Normal 2 4 3 2 2 2 3 3 2 3" xfId="31814"/>
    <cellStyle name="Normal 2 4 3 2 2 2 3 3 3" xfId="29328"/>
    <cellStyle name="Normal 2 4 3 2 2 2 3 3 3 2" xfId="40174"/>
    <cellStyle name="Normal 2 4 3 2 2 2 3 4" xfId="9939"/>
    <cellStyle name="Normal 2 4 3 2 2 2 3 4 2" xfId="37636"/>
    <cellStyle name="Normal 2 4 3 2 2 2 3 4 2 2" xfId="45306"/>
    <cellStyle name="Normal 2 4 3 2 2 2 3 5" xfId="23429"/>
    <cellStyle name="Normal 2 4 3 2 2 2 4" xfId="4174"/>
    <cellStyle name="Normal 2 4 3 2 2 2 4 2" xfId="5941"/>
    <cellStyle name="Normal 2 4 3 2 2 2 4 2 2" xfId="17767"/>
    <cellStyle name="Normal 2 4 3 2 2 2 4 2 2 2" xfId="19508"/>
    <cellStyle name="Normal 2 4 3 2 2 2 4 2 2 2 2" xfId="53094"/>
    <cellStyle name="Normal 2 4 3 2 2 2 4 2 2 2 2 2" xfId="54834"/>
    <cellStyle name="Normal 2 4 3 2 2 2 4 2 2 3" xfId="33009"/>
    <cellStyle name="Normal 2 4 3 2 2 2 4 2 3" xfId="31269"/>
    <cellStyle name="Normal 2 4 3 2 2 2 4 2 3 2" xfId="41375"/>
    <cellStyle name="Normal 2 4 3 2 2 2 4 3" xfId="11166"/>
    <cellStyle name="Normal 2 4 3 2 2 2 4 3 2" xfId="39617"/>
    <cellStyle name="Normal 2 4 3 2 2 2 4 3 2 2" xfId="46524"/>
    <cellStyle name="Normal 2 4 3 2 2 2 4 4" xfId="24659"/>
    <cellStyle name="Normal 2 4 3 2 2 2 5" xfId="9365"/>
    <cellStyle name="Normal 2 4 3 2 2 2 5 2" xfId="14325"/>
    <cellStyle name="Normal 2 4 3 2 2 2 5 2 2" xfId="44747"/>
    <cellStyle name="Normal 2 4 3 2 2 2 5 2 2 2" xfId="49670"/>
    <cellStyle name="Normal 2 4 3 2 2 2 5 3" xfId="27835"/>
    <cellStyle name="Normal 2 4 3 2 2 2 6" xfId="22861"/>
    <cellStyle name="Normal 2 4 3 2 2 2 6 2" xfId="36137"/>
    <cellStyle name="Normal 2 4 3 2 2 3" xfId="938"/>
    <cellStyle name="Normal 2 4 3 2 2 3 2" xfId="2640"/>
    <cellStyle name="Normal 2 4 3 2 2 3 2 2" xfId="2976"/>
    <cellStyle name="Normal 2 4 3 2 2 3 2 2 2" xfId="7860"/>
    <cellStyle name="Normal 2 4 3 2 2 3 2 2 2 2" xfId="8191"/>
    <cellStyle name="Normal 2 4 3 2 2 3 2 2 2 2 2" xfId="21412"/>
    <cellStyle name="Normal 2 4 3 2 2 3 2 2 2 2 2 2" xfId="21743"/>
    <cellStyle name="Normal 2 4 3 2 2 3 2 2 2 2 2 2 2" xfId="56738"/>
    <cellStyle name="Normal 2 4 3 2 2 3 2 2 2 2 2 2 2 2" xfId="57069"/>
    <cellStyle name="Normal 2 4 3 2 2 3 2 2 2 2 2 3" xfId="35246"/>
    <cellStyle name="Normal 2 4 3 2 2 3 2 2 2 2 3" xfId="34915"/>
    <cellStyle name="Normal 2 4 3 2 2 3 2 2 2 2 3 2" xfId="43618"/>
    <cellStyle name="Normal 2 4 3 2 2 3 2 2 2 3" xfId="13416"/>
    <cellStyle name="Normal 2 4 3 2 2 3 2 2 2 3 2" xfId="43287"/>
    <cellStyle name="Normal 2 4 3 2 2 3 2 2 2 3 2 2" xfId="48762"/>
    <cellStyle name="Normal 2 4 3 2 2 3 2 2 2 4" xfId="26901"/>
    <cellStyle name="Normal 2 4 3 2 2 3 2 2 3" xfId="13085"/>
    <cellStyle name="Normal 2 4 3 2 2 3 2 2 3 2" xfId="16633"/>
    <cellStyle name="Normal 2 4 3 2 2 3 2 2 3 2 2" xfId="48431"/>
    <cellStyle name="Normal 2 4 3 2 2 3 2 2 3 2 2 2" xfId="51961"/>
    <cellStyle name="Normal 2 4 3 2 2 3 2 2 3 3" xfId="30135"/>
    <cellStyle name="Normal 2 4 3 2 2 3 2 2 4" xfId="26569"/>
    <cellStyle name="Normal 2 4 3 2 2 3 2 2 4 2" xfId="38445"/>
    <cellStyle name="Normal 2 4 3 2 2 3 2 3" xfId="5012"/>
    <cellStyle name="Normal 2 4 3 2 2 3 2 3 2" xfId="16299"/>
    <cellStyle name="Normal 2 4 3 2 2 3 2 3 2 2" xfId="18585"/>
    <cellStyle name="Normal 2 4 3 2 2 3 2 3 2 2 2" xfId="51629"/>
    <cellStyle name="Normal 2 4 3 2 2 3 2 3 2 2 2 2" xfId="53911"/>
    <cellStyle name="Normal 2 4 3 2 2 3 2 3 2 3" xfId="32086"/>
    <cellStyle name="Normal 2 4 3 2 2 3 2 3 3" xfId="29803"/>
    <cellStyle name="Normal 2 4 3 2 2 3 2 3 3 2" xfId="40449"/>
    <cellStyle name="Normal 2 4 3 2 2 3 2 4" xfId="10215"/>
    <cellStyle name="Normal 2 4 3 2 2 3 2 4 2" xfId="38113"/>
    <cellStyle name="Normal 2 4 3 2 2 3 2 4 2 2" xfId="45578"/>
    <cellStyle name="Normal 2 4 3 2 2 3 2 5" xfId="23701"/>
    <cellStyle name="Normal 2 4 3 2 2 3 3" xfId="4675"/>
    <cellStyle name="Normal 2 4 3 2 2 3 3 2" xfId="6249"/>
    <cellStyle name="Normal 2 4 3 2 2 3 3 2 2" xfId="18254"/>
    <cellStyle name="Normal 2 4 3 2 2 3 3 2 2 2" xfId="19806"/>
    <cellStyle name="Normal 2 4 3 2 2 3 3 2 2 2 2" xfId="53580"/>
    <cellStyle name="Normal 2 4 3 2 2 3 3 2 2 2 2 2" xfId="55132"/>
    <cellStyle name="Normal 2 4 3 2 2 3 3 2 2 3" xfId="33308"/>
    <cellStyle name="Normal 2 4 3 2 2 3 3 2 3" xfId="31755"/>
    <cellStyle name="Normal 2 4 3 2 2 3 3 2 3 2" xfId="41678"/>
    <cellStyle name="Normal 2 4 3 2 2 3 3 3" xfId="11474"/>
    <cellStyle name="Normal 2 4 3 2 2 3 3 3 2" xfId="40114"/>
    <cellStyle name="Normal 2 4 3 2 2 3 3 3 2 2" xfId="46823"/>
    <cellStyle name="Normal 2 4 3 2 2 3 3 4" xfId="24960"/>
    <cellStyle name="Normal 2 4 3 2 2 3 4" xfId="9878"/>
    <cellStyle name="Normal 2 4 3 2 2 3 4 2" xfId="14632"/>
    <cellStyle name="Normal 2 4 3 2 2 3 4 2 2" xfId="45247"/>
    <cellStyle name="Normal 2 4 3 2 2 3 4 2 2 2" xfId="49971"/>
    <cellStyle name="Normal 2 4 3 2 2 3 4 3" xfId="28143"/>
    <cellStyle name="Normal 2 4 3 2 2 3 5" xfId="23370"/>
    <cellStyle name="Normal 2 4 3 2 2 3 5 2" xfId="36440"/>
    <cellStyle name="Normal 2 4 3 2 2 4" xfId="1734"/>
    <cellStyle name="Normal 2 4 3 2 2 4 2" xfId="5879"/>
    <cellStyle name="Normal 2 4 3 2 2 4 2 2" xfId="6987"/>
    <cellStyle name="Normal 2 4 3 2 2 4 2 2 2" xfId="19447"/>
    <cellStyle name="Normal 2 4 3 2 2 4 2 2 2 2" xfId="20540"/>
    <cellStyle name="Normal 2 4 3 2 2 4 2 2 2 2 2" xfId="54773"/>
    <cellStyle name="Normal 2 4 3 2 2 4 2 2 2 2 2 2" xfId="55866"/>
    <cellStyle name="Normal 2 4 3 2 2 4 2 2 2 3" xfId="34042"/>
    <cellStyle name="Normal 2 4 3 2 2 4 2 2 3" xfId="32948"/>
    <cellStyle name="Normal 2 4 3 2 2 4 2 2 3 2" xfId="42415"/>
    <cellStyle name="Normal 2 4 3 2 2 4 2 3" xfId="12211"/>
    <cellStyle name="Normal 2 4 3 2 2 4 2 3 2" xfId="41314"/>
    <cellStyle name="Normal 2 4 3 2 2 4 2 3 2 2" xfId="47558"/>
    <cellStyle name="Normal 2 4 3 2 2 4 2 4" xfId="25696"/>
    <cellStyle name="Normal 2 4 3 2 2 4 3" xfId="11103"/>
    <cellStyle name="Normal 2 4 3 2 2 4 3 2" xfId="15406"/>
    <cellStyle name="Normal 2 4 3 2 2 4 3 2 2" xfId="46462"/>
    <cellStyle name="Normal 2 4 3 2 2 4 3 2 2 2" xfId="50739"/>
    <cellStyle name="Normal 2 4 3 2 2 4 3 3" xfId="28913"/>
    <cellStyle name="Normal 2 4 3 2 2 4 4" xfId="24597"/>
    <cellStyle name="Normal 2 4 3 2 2 4 4 2" xfId="37216"/>
    <cellStyle name="Normal 2 4 3 2 2 5" xfId="3739"/>
    <cellStyle name="Normal 2 4 3 2 2 5 2" xfId="14264"/>
    <cellStyle name="Normal 2 4 3 2 2 5 2 2" xfId="17355"/>
    <cellStyle name="Normal 2 4 3 2 2 5 2 2 2" xfId="49609"/>
    <cellStyle name="Normal 2 4 3 2 2 5 2 2 2 2" xfId="52682"/>
    <cellStyle name="Normal 2 4 3 2 2 5 2 3" xfId="30856"/>
    <cellStyle name="Normal 2 4 3 2 2 5 3" xfId="27771"/>
    <cellStyle name="Normal 2 4 3 2 2 5 3 2" xfId="39190"/>
    <cellStyle name="Normal 2 4 3 2 2 6" xfId="8929"/>
    <cellStyle name="Normal 2 4 3 2 2 6 2" xfId="36076"/>
    <cellStyle name="Normal 2 4 3 2 2 6 2 2" xfId="44328"/>
    <cellStyle name="Normal 2 4 3 2 2 7" xfId="22436"/>
    <cellStyle name="Normal 2 4 3 2 3" xfId="874"/>
    <cellStyle name="Normal 2 4 3 2 3 2" xfId="1130"/>
    <cellStyle name="Normal 2 4 3 2 3 2 2" xfId="2921"/>
    <cellStyle name="Normal 2 4 3 2 3 2 2 2" xfId="3155"/>
    <cellStyle name="Normal 2 4 3 2 3 2 2 2 2" xfId="8136"/>
    <cellStyle name="Normal 2 4 3 2 3 2 2 2 2 2" xfId="8370"/>
    <cellStyle name="Normal 2 4 3 2 3 2 2 2 2 2 2" xfId="21688"/>
    <cellStyle name="Normal 2 4 3 2 3 2 2 2 2 2 2 2" xfId="21922"/>
    <cellStyle name="Normal 2 4 3 2 3 2 2 2 2 2 2 2 2" xfId="57014"/>
    <cellStyle name="Normal 2 4 3 2 3 2 2 2 2 2 2 2 2 2" xfId="57248"/>
    <cellStyle name="Normal 2 4 3 2 3 2 2 2 2 2 2 3" xfId="35425"/>
    <cellStyle name="Normal 2 4 3 2 3 2 2 2 2 2 3" xfId="35191"/>
    <cellStyle name="Normal 2 4 3 2 3 2 2 2 2 2 3 2" xfId="43797"/>
    <cellStyle name="Normal 2 4 3 2 3 2 2 2 2 3" xfId="13595"/>
    <cellStyle name="Normal 2 4 3 2 3 2 2 2 2 3 2" xfId="43563"/>
    <cellStyle name="Normal 2 4 3 2 3 2 2 2 2 3 2 2" xfId="48941"/>
    <cellStyle name="Normal 2 4 3 2 3 2 2 2 2 4" xfId="27080"/>
    <cellStyle name="Normal 2 4 3 2 3 2 2 2 3" xfId="13361"/>
    <cellStyle name="Normal 2 4 3 2 3 2 2 2 3 2" xfId="16812"/>
    <cellStyle name="Normal 2 4 3 2 3 2 2 2 3 2 2" xfId="48707"/>
    <cellStyle name="Normal 2 4 3 2 3 2 2 2 3 2 2 2" xfId="52140"/>
    <cellStyle name="Normal 2 4 3 2 3 2 2 2 3 3" xfId="30314"/>
    <cellStyle name="Normal 2 4 3 2 3 2 2 2 4" xfId="26846"/>
    <cellStyle name="Normal 2 4 3 2 3 2 2 2 4 2" xfId="38624"/>
    <cellStyle name="Normal 2 4 3 2 3 2 2 3" xfId="5192"/>
    <cellStyle name="Normal 2 4 3 2 3 2 2 3 2" xfId="16578"/>
    <cellStyle name="Normal 2 4 3 2 3 2 2 3 2 2" xfId="18765"/>
    <cellStyle name="Normal 2 4 3 2 3 2 2 3 2 2 2" xfId="51906"/>
    <cellStyle name="Normal 2 4 3 2 3 2 2 3 2 2 2 2" xfId="54091"/>
    <cellStyle name="Normal 2 4 3 2 3 2 2 3 2 3" xfId="32266"/>
    <cellStyle name="Normal 2 4 3 2 3 2 2 3 3" xfId="30080"/>
    <cellStyle name="Normal 2 4 3 2 3 2 2 3 3 2" xfId="40629"/>
    <cellStyle name="Normal 2 4 3 2 3 2 2 4" xfId="10395"/>
    <cellStyle name="Normal 2 4 3 2 3 2 2 4 2" xfId="38390"/>
    <cellStyle name="Normal 2 4 3 2 3 2 2 4 2 2" xfId="45758"/>
    <cellStyle name="Normal 2 4 3 2 3 2 2 5" xfId="23881"/>
    <cellStyle name="Normal 2 4 3 2 3 2 3" xfId="4957"/>
    <cellStyle name="Normal 2 4 3 2 3 2 3 2" xfId="6438"/>
    <cellStyle name="Normal 2 4 3 2 3 2 3 2 2" xfId="18530"/>
    <cellStyle name="Normal 2 4 3 2 3 2 3 2 2 2" xfId="19993"/>
    <cellStyle name="Normal 2 4 3 2 3 2 3 2 2 2 2" xfId="53856"/>
    <cellStyle name="Normal 2 4 3 2 3 2 3 2 2 2 2 2" xfId="55319"/>
    <cellStyle name="Normal 2 4 3 2 3 2 3 2 2 3" xfId="33495"/>
    <cellStyle name="Normal 2 4 3 2 3 2 3 2 3" xfId="32031"/>
    <cellStyle name="Normal 2 4 3 2 3 2 3 2 3 2" xfId="41866"/>
    <cellStyle name="Normal 2 4 3 2 3 2 3 3" xfId="11662"/>
    <cellStyle name="Normal 2 4 3 2 3 2 3 3 2" xfId="40394"/>
    <cellStyle name="Normal 2 4 3 2 3 2 3 3 2 2" xfId="47011"/>
    <cellStyle name="Normal 2 4 3 2 3 2 3 4" xfId="25148"/>
    <cellStyle name="Normal 2 4 3 2 3 2 4" xfId="10160"/>
    <cellStyle name="Normal 2 4 3 2 3 2 4 2" xfId="14821"/>
    <cellStyle name="Normal 2 4 3 2 3 2 4 2 2" xfId="45523"/>
    <cellStyle name="Normal 2 4 3 2 3 2 4 2 2 2" xfId="50160"/>
    <cellStyle name="Normal 2 4 3 2 3 2 4 3" xfId="28333"/>
    <cellStyle name="Normal 2 4 3 2 3 2 5" xfId="23646"/>
    <cellStyle name="Normal 2 4 3 2 3 2 5 2" xfId="36629"/>
    <cellStyle name="Normal 2 4 3 2 3 3" xfId="1938"/>
    <cellStyle name="Normal 2 4 3 2 3 3 2" xfId="6188"/>
    <cellStyle name="Normal 2 4 3 2 3 3 2 2" xfId="7177"/>
    <cellStyle name="Normal 2 4 3 2 3 3 2 2 2" xfId="19747"/>
    <cellStyle name="Normal 2 4 3 2 3 3 2 2 2 2" xfId="20729"/>
    <cellStyle name="Normal 2 4 3 2 3 3 2 2 2 2 2" xfId="55073"/>
    <cellStyle name="Normal 2 4 3 2 3 3 2 2 2 2 2 2" xfId="56055"/>
    <cellStyle name="Normal 2 4 3 2 3 3 2 2 2 3" xfId="34232"/>
    <cellStyle name="Normal 2 4 3 2 3 3 2 2 3" xfId="33249"/>
    <cellStyle name="Normal 2 4 3 2 3 3 2 2 3 2" xfId="42604"/>
    <cellStyle name="Normal 2 4 3 2 3 3 2 3" xfId="12402"/>
    <cellStyle name="Normal 2 4 3 2 3 3 2 3 2" xfId="41618"/>
    <cellStyle name="Normal 2 4 3 2 3 3 2 3 2 2" xfId="47748"/>
    <cellStyle name="Normal 2 4 3 2 3 3 2 4" xfId="25886"/>
    <cellStyle name="Normal 2 4 3 2 3 3 3" xfId="11413"/>
    <cellStyle name="Normal 2 4 3 2 3 3 3 2" xfId="15603"/>
    <cellStyle name="Normal 2 4 3 2 3 3 3 2 2" xfId="46764"/>
    <cellStyle name="Normal 2 4 3 2 3 3 3 2 2 2" xfId="50935"/>
    <cellStyle name="Normal 2 4 3 2 3 3 3 3" xfId="29109"/>
    <cellStyle name="Normal 2 4 3 2 3 3 4" xfId="24901"/>
    <cellStyle name="Normal 2 4 3 2 3 3 4 2" xfId="37416"/>
    <cellStyle name="Normal 2 4 3 2 3 4" xfId="3952"/>
    <cellStyle name="Normal 2 4 3 2 3 4 2" xfId="14571"/>
    <cellStyle name="Normal 2 4 3 2 3 4 2 2" xfId="17552"/>
    <cellStyle name="Normal 2 4 3 2 3 4 2 2 2" xfId="49912"/>
    <cellStyle name="Normal 2 4 3 2 3 4 2 2 2 2" xfId="52879"/>
    <cellStyle name="Normal 2 4 3 2 3 4 2 3" xfId="31054"/>
    <cellStyle name="Normal 2 4 3 2 3 4 3" xfId="28082"/>
    <cellStyle name="Normal 2 4 3 2 3 4 3 2" xfId="39396"/>
    <cellStyle name="Normal 2 4 3 2 3 5" xfId="9144"/>
    <cellStyle name="Normal 2 4 3 2 3 5 2" xfId="36381"/>
    <cellStyle name="Normal 2 4 3 2 3 5 2 2" xfId="44532"/>
    <cellStyle name="Normal 2 4 3 2 3 6" xfId="22646"/>
    <cellStyle name="Normal 2 4 3 2 4" xfId="1669"/>
    <cellStyle name="Normal 2 4 3 2 4 2" xfId="2386"/>
    <cellStyle name="Normal 2 4 3 2 4 2 2" xfId="6931"/>
    <cellStyle name="Normal 2 4 3 2 4 2 2 2" xfId="7619"/>
    <cellStyle name="Normal 2 4 3 2 4 2 2 2 2" xfId="20484"/>
    <cellStyle name="Normal 2 4 3 2 4 2 2 2 2 2" xfId="21171"/>
    <cellStyle name="Normal 2 4 3 2 4 2 2 2 2 2 2" xfId="55810"/>
    <cellStyle name="Normal 2 4 3 2 4 2 2 2 2 2 2 2" xfId="56497"/>
    <cellStyle name="Normal 2 4 3 2 4 2 2 2 2 3" xfId="34674"/>
    <cellStyle name="Normal 2 4 3 2 4 2 2 2 3" xfId="33986"/>
    <cellStyle name="Normal 2 4 3 2 4 2 2 2 3 2" xfId="43046"/>
    <cellStyle name="Normal 2 4 3 2 4 2 2 3" xfId="12844"/>
    <cellStyle name="Normal 2 4 3 2 4 2 2 3 2" xfId="42359"/>
    <cellStyle name="Normal 2 4 3 2 4 2 2 3 2 2" xfId="48190"/>
    <cellStyle name="Normal 2 4 3 2 4 2 2 4" xfId="26328"/>
    <cellStyle name="Normal 2 4 3 2 4 2 3" xfId="12155"/>
    <cellStyle name="Normal 2 4 3 2 4 2 3 2" xfId="16049"/>
    <cellStyle name="Normal 2 4 3 2 4 2 3 2 2" xfId="47502"/>
    <cellStyle name="Normal 2 4 3 2 4 2 3 2 2 2" xfId="51381"/>
    <cellStyle name="Normal 2 4 3 2 4 2 3 3" xfId="29555"/>
    <cellStyle name="Normal 2 4 3 2 4 2 4" xfId="25640"/>
    <cellStyle name="Normal 2 4 3 2 4 2 4 2" xfId="37864"/>
    <cellStyle name="Normal 2 4 3 2 4 3" xfId="4420"/>
    <cellStyle name="Normal 2 4 3 2 4 3 2" xfId="15342"/>
    <cellStyle name="Normal 2 4 3 2 4 3 2 2" xfId="18011"/>
    <cellStyle name="Normal 2 4 3 2 4 3 2 2 2" xfId="50677"/>
    <cellStyle name="Normal 2 4 3 2 4 3 2 2 2 2" xfId="53337"/>
    <cellStyle name="Normal 2 4 3 2 4 3 2 3" xfId="31512"/>
    <cellStyle name="Normal 2 4 3 2 4 3 3" xfId="28851"/>
    <cellStyle name="Normal 2 4 3 2 4 3 3 2" xfId="39862"/>
    <cellStyle name="Normal 2 4 3 2 4 4" xfId="9623"/>
    <cellStyle name="Normal 2 4 3 2 4 4 2" xfId="37153"/>
    <cellStyle name="Normal 2 4 3 2 4 4 2 2" xfId="45003"/>
    <cellStyle name="Normal 2 4 3 2 4 5" xfId="23124"/>
    <cellStyle name="Normal 2 4 3 2 5" xfId="3674"/>
    <cellStyle name="Normal 2 4 3 2 5 2" xfId="5627"/>
    <cellStyle name="Normal 2 4 3 2 5 2 2" xfId="17299"/>
    <cellStyle name="Normal 2 4 3 2 5 2 2 2" xfId="19199"/>
    <cellStyle name="Normal 2 4 3 2 5 2 2 2 2" xfId="52626"/>
    <cellStyle name="Normal 2 4 3 2 5 2 2 2 2 2" xfId="54525"/>
    <cellStyle name="Normal 2 4 3 2 5 2 2 3" xfId="32700"/>
    <cellStyle name="Normal 2 4 3 2 5 2 3" xfId="30800"/>
    <cellStyle name="Normal 2 4 3 2 5 2 3 2" xfId="41063"/>
    <cellStyle name="Normal 2 4 3 2 5 3" xfId="10843"/>
    <cellStyle name="Normal 2 4 3 2 5 3 2" xfId="39127"/>
    <cellStyle name="Normal 2 4 3 2 5 3 2 2" xfId="46205"/>
    <cellStyle name="Normal 2 4 3 2 5 4" xfId="24335"/>
    <cellStyle name="Normal 2 4 3 2 6" xfId="8867"/>
    <cellStyle name="Normal 2 4 3 2 6 2" xfId="14011"/>
    <cellStyle name="Normal 2 4 3 2 6 2 2" xfId="44271"/>
    <cellStyle name="Normal 2 4 3 2 6 2 2 2" xfId="49357"/>
    <cellStyle name="Normal 2 4 3 2 6 3" xfId="27505"/>
    <cellStyle name="Normal 2 4 3 2 7" xfId="22379"/>
    <cellStyle name="Normal 2 4 3 2 7 2" xfId="35823"/>
    <cellStyle name="Normal 2 4 3 3" xfId="406"/>
    <cellStyle name="Normal 2 4 3 3 2" xfId="1046"/>
    <cellStyle name="Normal 2 4 3 3 2 2" xfId="1237"/>
    <cellStyle name="Normal 2 4 3 3 2 2 2" xfId="3082"/>
    <cellStyle name="Normal 2 4 3 3 2 2 2 2" xfId="3255"/>
    <cellStyle name="Normal 2 4 3 3 2 2 2 2 2" xfId="8297"/>
    <cellStyle name="Normal 2 4 3 3 2 2 2 2 2 2" xfId="8470"/>
    <cellStyle name="Normal 2 4 3 3 2 2 2 2 2 2 2" xfId="21849"/>
    <cellStyle name="Normal 2 4 3 3 2 2 2 2 2 2 2 2" xfId="22022"/>
    <cellStyle name="Normal 2 4 3 3 2 2 2 2 2 2 2 2 2" xfId="57175"/>
    <cellStyle name="Normal 2 4 3 3 2 2 2 2 2 2 2 2 2 2" xfId="57348"/>
    <cellStyle name="Normal 2 4 3 3 2 2 2 2 2 2 2 3" xfId="35525"/>
    <cellStyle name="Normal 2 4 3 3 2 2 2 2 2 2 3" xfId="35352"/>
    <cellStyle name="Normal 2 4 3 3 2 2 2 2 2 2 3 2" xfId="43897"/>
    <cellStyle name="Normal 2 4 3 3 2 2 2 2 2 3" xfId="13695"/>
    <cellStyle name="Normal 2 4 3 3 2 2 2 2 2 3 2" xfId="43724"/>
    <cellStyle name="Normal 2 4 3 3 2 2 2 2 2 3 2 2" xfId="49041"/>
    <cellStyle name="Normal 2 4 3 3 2 2 2 2 2 4" xfId="27180"/>
    <cellStyle name="Normal 2 4 3 3 2 2 2 2 3" xfId="13522"/>
    <cellStyle name="Normal 2 4 3 3 2 2 2 2 3 2" xfId="16912"/>
    <cellStyle name="Normal 2 4 3 3 2 2 2 2 3 2 2" xfId="48868"/>
    <cellStyle name="Normal 2 4 3 3 2 2 2 2 3 2 2 2" xfId="52240"/>
    <cellStyle name="Normal 2 4 3 3 2 2 2 2 3 3" xfId="30414"/>
    <cellStyle name="Normal 2 4 3 3 2 2 2 2 4" xfId="27007"/>
    <cellStyle name="Normal 2 4 3 3 2 2 2 2 4 2" xfId="38724"/>
    <cellStyle name="Normal 2 4 3 3 2 2 2 3" xfId="5292"/>
    <cellStyle name="Normal 2 4 3 3 2 2 2 3 2" xfId="16739"/>
    <cellStyle name="Normal 2 4 3 3 2 2 2 3 2 2" xfId="18865"/>
    <cellStyle name="Normal 2 4 3 3 2 2 2 3 2 2 2" xfId="52067"/>
    <cellStyle name="Normal 2 4 3 3 2 2 2 3 2 2 2 2" xfId="54191"/>
    <cellStyle name="Normal 2 4 3 3 2 2 2 3 2 3" xfId="32366"/>
    <cellStyle name="Normal 2 4 3 3 2 2 2 3 3" xfId="30241"/>
    <cellStyle name="Normal 2 4 3 3 2 2 2 3 3 2" xfId="40729"/>
    <cellStyle name="Normal 2 4 3 3 2 2 2 4" xfId="10495"/>
    <cellStyle name="Normal 2 4 3 3 2 2 2 4 2" xfId="38551"/>
    <cellStyle name="Normal 2 4 3 3 2 2 2 4 2 2" xfId="45858"/>
    <cellStyle name="Normal 2 4 3 3 2 2 2 5" xfId="23981"/>
    <cellStyle name="Normal 2 4 3 3 2 2 3" xfId="5119"/>
    <cellStyle name="Normal 2 4 3 3 2 2 3 2" xfId="6545"/>
    <cellStyle name="Normal 2 4 3 3 2 2 3 2 2" xfId="18692"/>
    <cellStyle name="Normal 2 4 3 3 2 2 3 2 2 2" xfId="20098"/>
    <cellStyle name="Normal 2 4 3 3 2 2 3 2 2 2 2" xfId="54018"/>
    <cellStyle name="Normal 2 4 3 3 2 2 3 2 2 2 2 2" xfId="55424"/>
    <cellStyle name="Normal 2 4 3 3 2 2 3 2 2 3" xfId="33600"/>
    <cellStyle name="Normal 2 4 3 3 2 2 3 2 3" xfId="32193"/>
    <cellStyle name="Normal 2 4 3 3 2 2 3 2 3 2" xfId="41973"/>
    <cellStyle name="Normal 2 4 3 3 2 2 3 3" xfId="11768"/>
    <cellStyle name="Normal 2 4 3 3 2 2 3 3 2" xfId="40556"/>
    <cellStyle name="Normal 2 4 3 3 2 2 3 3 2 2" xfId="47116"/>
    <cellStyle name="Normal 2 4 3 3 2 2 3 4" xfId="25253"/>
    <cellStyle name="Normal 2 4 3 3 2 2 4" xfId="10322"/>
    <cellStyle name="Normal 2 4 3 3 2 2 4 2" xfId="14926"/>
    <cellStyle name="Normal 2 4 3 3 2 2 4 2 2" xfId="45685"/>
    <cellStyle name="Normal 2 4 3 3 2 2 4 2 2 2" xfId="50265"/>
    <cellStyle name="Normal 2 4 3 3 2 2 4 3" xfId="28439"/>
    <cellStyle name="Normal 2 4 3 3 2 2 5" xfId="23808"/>
    <cellStyle name="Normal 2 4 3 3 2 2 5 2" xfId="36734"/>
    <cellStyle name="Normal 2 4 3 3 2 3" xfId="2043"/>
    <cellStyle name="Normal 2 4 3 3 2 3 2" xfId="6356"/>
    <cellStyle name="Normal 2 4 3 3 2 3 2 2" xfId="7277"/>
    <cellStyle name="Normal 2 4 3 3 2 3 2 2 2" xfId="19913"/>
    <cellStyle name="Normal 2 4 3 3 2 3 2 2 2 2" xfId="20829"/>
    <cellStyle name="Normal 2 4 3 3 2 3 2 2 2 2 2" xfId="55239"/>
    <cellStyle name="Normal 2 4 3 3 2 3 2 2 2 2 2 2" xfId="56155"/>
    <cellStyle name="Normal 2 4 3 3 2 3 2 2 2 3" xfId="34332"/>
    <cellStyle name="Normal 2 4 3 3 2 3 2 2 3" xfId="33415"/>
    <cellStyle name="Normal 2 4 3 3 2 3 2 2 3 2" xfId="42704"/>
    <cellStyle name="Normal 2 4 3 3 2 3 2 3" xfId="12502"/>
    <cellStyle name="Normal 2 4 3 3 2 3 2 3 2" xfId="41785"/>
    <cellStyle name="Normal 2 4 3 3 2 3 2 3 2 2" xfId="47848"/>
    <cellStyle name="Normal 2 4 3 3 2 3 2 4" xfId="25986"/>
    <cellStyle name="Normal 2 4 3 3 2 3 3" xfId="11582"/>
    <cellStyle name="Normal 2 4 3 3 2 3 3 2" xfId="15707"/>
    <cellStyle name="Normal 2 4 3 3 2 3 3 2 2" xfId="46931"/>
    <cellStyle name="Normal 2 4 3 3 2 3 3 2 2 2" xfId="51039"/>
    <cellStyle name="Normal 2 4 3 3 2 3 3 3" xfId="29213"/>
    <cellStyle name="Normal 2 4 3 3 2 3 4" xfId="25068"/>
    <cellStyle name="Normal 2 4 3 3 2 3 4 2" xfId="37521"/>
    <cellStyle name="Normal 2 4 3 3 2 4" xfId="4059"/>
    <cellStyle name="Normal 2 4 3 3 2 4 2" xfId="14739"/>
    <cellStyle name="Normal 2 4 3 3 2 4 2 2" xfId="17652"/>
    <cellStyle name="Normal 2 4 3 3 2 4 2 2 2" xfId="50078"/>
    <cellStyle name="Normal 2 4 3 3 2 4 2 2 2 2" xfId="52979"/>
    <cellStyle name="Normal 2 4 3 3 2 4 2 3" xfId="31154"/>
    <cellStyle name="Normal 2 4 3 3 2 4 3" xfId="28251"/>
    <cellStyle name="Normal 2 4 3 3 2 4 3 2" xfId="39502"/>
    <cellStyle name="Normal 2 4 3 3 2 5" xfId="9250"/>
    <cellStyle name="Normal 2 4 3 3 2 5 2" xfId="36547"/>
    <cellStyle name="Normal 2 4 3 3 2 5 2 2" xfId="44632"/>
    <cellStyle name="Normal 2 4 3 3 2 6" xfId="22746"/>
    <cellStyle name="Normal 2 4 3 3 3" xfId="1851"/>
    <cellStyle name="Normal 2 4 3 3 3 2" xfId="2508"/>
    <cellStyle name="Normal 2 4 3 3 3 2 2" xfId="7101"/>
    <cellStyle name="Normal 2 4 3 3 3 2 2 2" xfId="7733"/>
    <cellStyle name="Normal 2 4 3 3 3 2 2 2 2" xfId="20654"/>
    <cellStyle name="Normal 2 4 3 3 3 2 2 2 2 2" xfId="21285"/>
    <cellStyle name="Normal 2 4 3 3 3 2 2 2 2 2 2" xfId="55980"/>
    <cellStyle name="Normal 2 4 3 3 3 2 2 2 2 2 2 2" xfId="56611"/>
    <cellStyle name="Normal 2 4 3 3 3 2 2 2 2 3" xfId="34788"/>
    <cellStyle name="Normal 2 4 3 3 3 2 2 2 3" xfId="34156"/>
    <cellStyle name="Normal 2 4 3 3 3 2 2 2 3 2" xfId="43160"/>
    <cellStyle name="Normal 2 4 3 3 3 2 2 3" xfId="12958"/>
    <cellStyle name="Normal 2 4 3 3 3 2 2 3 2" xfId="42529"/>
    <cellStyle name="Normal 2 4 3 3 3 2 2 3 2 2" xfId="48304"/>
    <cellStyle name="Normal 2 4 3 3 3 2 2 4" xfId="26442"/>
    <cellStyle name="Normal 2 4 3 3 3 2 3" xfId="12326"/>
    <cellStyle name="Normal 2 4 3 3 3 2 3 2" xfId="16169"/>
    <cellStyle name="Normal 2 4 3 3 3 2 3 2 2" xfId="47673"/>
    <cellStyle name="Normal 2 4 3 3 3 2 3 2 2 2" xfId="51500"/>
    <cellStyle name="Normal 2 4 3 3 3 2 3 3" xfId="29674"/>
    <cellStyle name="Normal 2 4 3 3 3 2 4" xfId="25811"/>
    <cellStyle name="Normal 2 4 3 3 3 2 4 2" xfId="37983"/>
    <cellStyle name="Normal 2 4 3 3 3 3" xfId="4543"/>
    <cellStyle name="Normal 2 4 3 3 3 3 2" xfId="15522"/>
    <cellStyle name="Normal 2 4 3 3 3 3 2 2" xfId="18126"/>
    <cellStyle name="Normal 2 4 3 3 3 3 2 2 2" xfId="50855"/>
    <cellStyle name="Normal 2 4 3 3 3 3 2 2 2 2" xfId="53452"/>
    <cellStyle name="Normal 2 4 3 3 3 3 2 3" xfId="31627"/>
    <cellStyle name="Normal 2 4 3 3 3 3 3" xfId="29029"/>
    <cellStyle name="Normal 2 4 3 3 3 3 3 2" xfId="39984"/>
    <cellStyle name="Normal 2 4 3 3 3 4" xfId="9746"/>
    <cellStyle name="Normal 2 4 3 3 3 4 2" xfId="37332"/>
    <cellStyle name="Normal 2 4 3 3 3 4 2 2" xfId="45119"/>
    <cellStyle name="Normal 2 4 3 3 3 5" xfId="23242"/>
    <cellStyle name="Normal 2 4 3 3 4" xfId="3864"/>
    <cellStyle name="Normal 2 4 3 3 4 2" xfId="5749"/>
    <cellStyle name="Normal 2 4 3 3 4 2 2" xfId="17477"/>
    <cellStyle name="Normal 2 4 3 3 4 2 2 2" xfId="19318"/>
    <cellStyle name="Normal 2 4 3 3 4 2 2 2 2" xfId="52804"/>
    <cellStyle name="Normal 2 4 3 3 4 2 2 2 2 2" xfId="54644"/>
    <cellStyle name="Normal 2 4 3 3 4 2 2 3" xfId="32819"/>
    <cellStyle name="Normal 2 4 3 3 4 2 3" xfId="30978"/>
    <cellStyle name="Normal 2 4 3 3 4 2 3 2" xfId="41184"/>
    <cellStyle name="Normal 2 4 3 3 4 3" xfId="10970"/>
    <cellStyle name="Normal 2 4 3 3 4 3 2" xfId="39313"/>
    <cellStyle name="Normal 2 4 3 3 4 3 2 2" xfId="46329"/>
    <cellStyle name="Normal 2 4 3 3 4 4" xfId="24463"/>
    <cellStyle name="Normal 2 4 3 3 5" xfId="9056"/>
    <cellStyle name="Normal 2 4 3 3 5 2" xfId="14133"/>
    <cellStyle name="Normal 2 4 3 3 5 2 2" xfId="44453"/>
    <cellStyle name="Normal 2 4 3 3 5 2 2 2" xfId="49478"/>
    <cellStyle name="Normal 2 4 3 3 5 3" xfId="27635"/>
    <cellStyle name="Normal 2 4 3 3 6" xfId="22564"/>
    <cellStyle name="Normal 2 4 3 3 6 2" xfId="35944"/>
    <cellStyle name="Normal 2 4 3 4" xfId="722"/>
    <cellStyle name="Normal 2 4 3 4 2" xfId="2309"/>
    <cellStyle name="Normal 2 4 3 4 2 2" xfId="2794"/>
    <cellStyle name="Normal 2 4 3 4 2 2 2" xfId="7543"/>
    <cellStyle name="Normal 2 4 3 4 2 2 2 2" xfId="8010"/>
    <cellStyle name="Normal 2 4 3 4 2 2 2 2 2" xfId="21095"/>
    <cellStyle name="Normal 2 4 3 4 2 2 2 2 2 2" xfId="21562"/>
    <cellStyle name="Normal 2 4 3 4 2 2 2 2 2 2 2" xfId="56421"/>
    <cellStyle name="Normal 2 4 3 4 2 2 2 2 2 2 2 2" xfId="56888"/>
    <cellStyle name="Normal 2 4 3 4 2 2 2 2 2 3" xfId="35065"/>
    <cellStyle name="Normal 2 4 3 4 2 2 2 2 3" xfId="34598"/>
    <cellStyle name="Normal 2 4 3 4 2 2 2 2 3 2" xfId="43437"/>
    <cellStyle name="Normal 2 4 3 4 2 2 2 3" xfId="13235"/>
    <cellStyle name="Normal 2 4 3 4 2 2 2 3 2" xfId="42970"/>
    <cellStyle name="Normal 2 4 3 4 2 2 2 3 2 2" xfId="48581"/>
    <cellStyle name="Normal 2 4 3 4 2 2 2 4" xfId="26719"/>
    <cellStyle name="Normal 2 4 3 4 2 2 3" xfId="12768"/>
    <cellStyle name="Normal 2 4 3 4 2 2 3 2" xfId="16452"/>
    <cellStyle name="Normal 2 4 3 4 2 2 3 2 2" xfId="48114"/>
    <cellStyle name="Normal 2 4 3 4 2 2 3 2 2 2" xfId="51780"/>
    <cellStyle name="Normal 2 4 3 4 2 2 3 3" xfId="29954"/>
    <cellStyle name="Normal 2 4 3 4 2 2 4" xfId="26252"/>
    <cellStyle name="Normal 2 4 3 4 2 2 4 2" xfId="38264"/>
    <cellStyle name="Normal 2 4 3 4 2 3" xfId="4830"/>
    <cellStyle name="Normal 2 4 3 4 2 3 2" xfId="15973"/>
    <cellStyle name="Normal 2 4 3 4 2 3 2 2" xfId="18404"/>
    <cellStyle name="Normal 2 4 3 4 2 3 2 2 2" xfId="51305"/>
    <cellStyle name="Normal 2 4 3 4 2 3 2 2 2 2" xfId="53730"/>
    <cellStyle name="Normal 2 4 3 4 2 3 2 3" xfId="31905"/>
    <cellStyle name="Normal 2 4 3 4 2 3 3" xfId="29479"/>
    <cellStyle name="Normal 2 4 3 4 2 3 3 2" xfId="40267"/>
    <cellStyle name="Normal 2 4 3 4 2 4" xfId="10033"/>
    <cellStyle name="Normal 2 4 3 4 2 4 2" xfId="37787"/>
    <cellStyle name="Normal 2 4 3 4 2 4 2 2" xfId="45397"/>
    <cellStyle name="Normal 2 4 3 4 2 5" xfId="23520"/>
    <cellStyle name="Normal 2 4 3 4 3" xfId="4337"/>
    <cellStyle name="Normal 2 4 3 4 3 2" xfId="6046"/>
    <cellStyle name="Normal 2 4 3 4 3 2 2" xfId="17930"/>
    <cellStyle name="Normal 2 4 3 4 3 2 2 2" xfId="19610"/>
    <cellStyle name="Normal 2 4 3 4 3 2 2 2 2" xfId="53257"/>
    <cellStyle name="Normal 2 4 3 4 3 2 2 2 2 2" xfId="54936"/>
    <cellStyle name="Normal 2 4 3 4 3 2 2 3" xfId="33111"/>
    <cellStyle name="Normal 2 4 3 4 3 2 3" xfId="31432"/>
    <cellStyle name="Normal 2 4 3 4 3 2 3 2" xfId="41480"/>
    <cellStyle name="Normal 2 4 3 4 3 3" xfId="11272"/>
    <cellStyle name="Normal 2 4 3 4 3 3 2" xfId="39780"/>
    <cellStyle name="Normal 2 4 3 4 3 3 2 2" xfId="46627"/>
    <cellStyle name="Normal 2 4 3 4 3 4" xfId="24764"/>
    <cellStyle name="Normal 2 4 3 4 4" xfId="9533"/>
    <cellStyle name="Normal 2 4 3 4 4 2" xfId="14429"/>
    <cellStyle name="Normal 2 4 3 4 4 2 2" xfId="44915"/>
    <cellStyle name="Normal 2 4 3 4 4 2 2 2" xfId="49774"/>
    <cellStyle name="Normal 2 4 3 4 4 3" xfId="27942"/>
    <cellStyle name="Normal 2 4 3 4 5" xfId="23031"/>
    <cellStyle name="Normal 2 4 3 4 5 2" xfId="36242"/>
    <cellStyle name="Normal 2 4 3 5" xfId="1502"/>
    <cellStyle name="Normal 2 4 3 5 2" xfId="5548"/>
    <cellStyle name="Normal 2 4 3 5 2 2" xfId="6792"/>
    <cellStyle name="Normal 2 4 3 5 2 2 2" xfId="19121"/>
    <cellStyle name="Normal 2 4 3 5 2 2 2 2" xfId="20345"/>
    <cellStyle name="Normal 2 4 3 5 2 2 2 2 2" xfId="54447"/>
    <cellStyle name="Normal 2 4 3 5 2 2 2 2 2 2" xfId="55671"/>
    <cellStyle name="Normal 2 4 3 5 2 2 2 3" xfId="33847"/>
    <cellStyle name="Normal 2 4 3 5 2 2 3" xfId="32622"/>
    <cellStyle name="Normal 2 4 3 5 2 2 3 2" xfId="42220"/>
    <cellStyle name="Normal 2 4 3 5 2 3" xfId="12016"/>
    <cellStyle name="Normal 2 4 3 5 2 3 2" xfId="40985"/>
    <cellStyle name="Normal 2 4 3 5 2 3 2 2" xfId="47363"/>
    <cellStyle name="Normal 2 4 3 5 2 4" xfId="25500"/>
    <cellStyle name="Normal 2 4 3 5 3" xfId="10755"/>
    <cellStyle name="Normal 2 4 3 5 3 2" xfId="15185"/>
    <cellStyle name="Normal 2 4 3 5 3 2 2" xfId="46117"/>
    <cellStyle name="Normal 2 4 3 5 3 2 2 2" xfId="50523"/>
    <cellStyle name="Normal 2 4 3 5 3 3" xfId="28697"/>
    <cellStyle name="Normal 2 4 3 5 4" xfId="24242"/>
    <cellStyle name="Normal 2 4 3 5 4 2" xfId="36995"/>
    <cellStyle name="Normal 2 4 3 6" xfId="3501"/>
    <cellStyle name="Normal 2 4 3 6 2" xfId="13933"/>
    <cellStyle name="Normal 2 4 3 6 2 2" xfId="17155"/>
    <cellStyle name="Normal 2 4 3 6 2 2 2" xfId="49279"/>
    <cellStyle name="Normal 2 4 3 6 2 2 2 2" xfId="52482"/>
    <cellStyle name="Normal 2 4 3 6 2 3" xfId="30656"/>
    <cellStyle name="Normal 2 4 3 6 3" xfId="27419"/>
    <cellStyle name="Normal 2 4 3 6 3 2" xfId="38967"/>
    <cellStyle name="Normal 2 4 3 7" xfId="8695"/>
    <cellStyle name="Normal 2 4 3 7 2" xfId="24440"/>
    <cellStyle name="Normal 2 4 3 7 2 2" xfId="44122"/>
    <cellStyle name="Normal 2 4 3 8" xfId="14452"/>
    <cellStyle name="Normal 2 4 4" xfId="283"/>
    <cellStyle name="Normal 2 4 4 2" xfId="408"/>
    <cellStyle name="Normal 2 4 4 2 2" xfId="1148"/>
    <cellStyle name="Normal 2 4 4 2 2 2" xfId="1239"/>
    <cellStyle name="Normal 2 4 4 2 2 2 2" xfId="3171"/>
    <cellStyle name="Normal 2 4 4 2 2 2 2 2" xfId="3257"/>
    <cellStyle name="Normal 2 4 4 2 2 2 2 2 2" xfId="8386"/>
    <cellStyle name="Normal 2 4 4 2 2 2 2 2 2 2" xfId="8472"/>
    <cellStyle name="Normal 2 4 4 2 2 2 2 2 2 2 2" xfId="21938"/>
    <cellStyle name="Normal 2 4 4 2 2 2 2 2 2 2 2 2" xfId="22024"/>
    <cellStyle name="Normal 2 4 4 2 2 2 2 2 2 2 2 2 2" xfId="57264"/>
    <cellStyle name="Normal 2 4 4 2 2 2 2 2 2 2 2 2 2 2" xfId="57350"/>
    <cellStyle name="Normal 2 4 4 2 2 2 2 2 2 2 2 3" xfId="35527"/>
    <cellStyle name="Normal 2 4 4 2 2 2 2 2 2 2 3" xfId="35441"/>
    <cellStyle name="Normal 2 4 4 2 2 2 2 2 2 2 3 2" xfId="43899"/>
    <cellStyle name="Normal 2 4 4 2 2 2 2 2 2 3" xfId="13697"/>
    <cellStyle name="Normal 2 4 4 2 2 2 2 2 2 3 2" xfId="43813"/>
    <cellStyle name="Normal 2 4 4 2 2 2 2 2 2 3 2 2" xfId="49043"/>
    <cellStyle name="Normal 2 4 4 2 2 2 2 2 2 4" xfId="27182"/>
    <cellStyle name="Normal 2 4 4 2 2 2 2 2 3" xfId="13611"/>
    <cellStyle name="Normal 2 4 4 2 2 2 2 2 3 2" xfId="16914"/>
    <cellStyle name="Normal 2 4 4 2 2 2 2 2 3 2 2" xfId="48957"/>
    <cellStyle name="Normal 2 4 4 2 2 2 2 2 3 2 2 2" xfId="52242"/>
    <cellStyle name="Normal 2 4 4 2 2 2 2 2 3 3" xfId="30416"/>
    <cellStyle name="Normal 2 4 4 2 2 2 2 2 4" xfId="27096"/>
    <cellStyle name="Normal 2 4 4 2 2 2 2 2 4 2" xfId="38726"/>
    <cellStyle name="Normal 2 4 4 2 2 2 2 3" xfId="5294"/>
    <cellStyle name="Normal 2 4 4 2 2 2 2 3 2" xfId="16828"/>
    <cellStyle name="Normal 2 4 4 2 2 2 2 3 2 2" xfId="18867"/>
    <cellStyle name="Normal 2 4 4 2 2 2 2 3 2 2 2" xfId="52156"/>
    <cellStyle name="Normal 2 4 4 2 2 2 2 3 2 2 2 2" xfId="54193"/>
    <cellStyle name="Normal 2 4 4 2 2 2 2 3 2 3" xfId="32368"/>
    <cellStyle name="Normal 2 4 4 2 2 2 2 3 3" xfId="30330"/>
    <cellStyle name="Normal 2 4 4 2 2 2 2 3 3 2" xfId="40731"/>
    <cellStyle name="Normal 2 4 4 2 2 2 2 4" xfId="10497"/>
    <cellStyle name="Normal 2 4 4 2 2 2 2 4 2" xfId="38640"/>
    <cellStyle name="Normal 2 4 4 2 2 2 2 4 2 2" xfId="45860"/>
    <cellStyle name="Normal 2 4 4 2 2 2 2 5" xfId="23983"/>
    <cellStyle name="Normal 2 4 4 2 2 2 3" xfId="5208"/>
    <cellStyle name="Normal 2 4 4 2 2 2 3 2" xfId="6547"/>
    <cellStyle name="Normal 2 4 4 2 2 2 3 2 2" xfId="18781"/>
    <cellStyle name="Normal 2 4 4 2 2 2 3 2 2 2" xfId="20100"/>
    <cellStyle name="Normal 2 4 4 2 2 2 3 2 2 2 2" xfId="54107"/>
    <cellStyle name="Normal 2 4 4 2 2 2 3 2 2 2 2 2" xfId="55426"/>
    <cellStyle name="Normal 2 4 4 2 2 2 3 2 2 3" xfId="33602"/>
    <cellStyle name="Normal 2 4 4 2 2 2 3 2 3" xfId="32282"/>
    <cellStyle name="Normal 2 4 4 2 2 2 3 2 3 2" xfId="41975"/>
    <cellStyle name="Normal 2 4 4 2 2 2 3 3" xfId="11770"/>
    <cellStyle name="Normal 2 4 4 2 2 2 3 3 2" xfId="40645"/>
    <cellStyle name="Normal 2 4 4 2 2 2 3 3 2 2" xfId="47118"/>
    <cellStyle name="Normal 2 4 4 2 2 2 3 4" xfId="25255"/>
    <cellStyle name="Normal 2 4 4 2 2 2 4" xfId="10411"/>
    <cellStyle name="Normal 2 4 4 2 2 2 4 2" xfId="14928"/>
    <cellStyle name="Normal 2 4 4 2 2 2 4 2 2" xfId="45774"/>
    <cellStyle name="Normal 2 4 4 2 2 2 4 2 2 2" xfId="50267"/>
    <cellStyle name="Normal 2 4 4 2 2 2 4 3" xfId="28441"/>
    <cellStyle name="Normal 2 4 4 2 2 2 5" xfId="23897"/>
    <cellStyle name="Normal 2 4 4 2 2 2 5 2" xfId="36736"/>
    <cellStyle name="Normal 2 4 4 2 2 3" xfId="2045"/>
    <cellStyle name="Normal 2 4 4 2 2 3 2" xfId="6456"/>
    <cellStyle name="Normal 2 4 4 2 2 3 2 2" xfId="7279"/>
    <cellStyle name="Normal 2 4 4 2 2 3 2 2 2" xfId="20010"/>
    <cellStyle name="Normal 2 4 4 2 2 3 2 2 2 2" xfId="20831"/>
    <cellStyle name="Normal 2 4 4 2 2 3 2 2 2 2 2" xfId="55336"/>
    <cellStyle name="Normal 2 4 4 2 2 3 2 2 2 2 2 2" xfId="56157"/>
    <cellStyle name="Normal 2 4 4 2 2 3 2 2 2 3" xfId="34334"/>
    <cellStyle name="Normal 2 4 4 2 2 3 2 2 3" xfId="33512"/>
    <cellStyle name="Normal 2 4 4 2 2 3 2 2 3 2" xfId="42706"/>
    <cellStyle name="Normal 2 4 4 2 2 3 2 3" xfId="12504"/>
    <cellStyle name="Normal 2 4 4 2 2 3 2 3 2" xfId="41884"/>
    <cellStyle name="Normal 2 4 4 2 2 3 2 3 2 2" xfId="47850"/>
    <cellStyle name="Normal 2 4 4 2 2 3 2 4" xfId="25988"/>
    <cellStyle name="Normal 2 4 4 2 2 3 3" xfId="11680"/>
    <cellStyle name="Normal 2 4 4 2 2 3 3 2" xfId="15709"/>
    <cellStyle name="Normal 2 4 4 2 2 3 3 2 2" xfId="47028"/>
    <cellStyle name="Normal 2 4 4 2 2 3 3 2 2 2" xfId="51041"/>
    <cellStyle name="Normal 2 4 4 2 2 3 3 3" xfId="29215"/>
    <cellStyle name="Normal 2 4 4 2 2 3 4" xfId="25165"/>
    <cellStyle name="Normal 2 4 4 2 2 3 4 2" xfId="37523"/>
    <cellStyle name="Normal 2 4 4 2 2 4" xfId="4061"/>
    <cellStyle name="Normal 2 4 4 2 2 4 2" xfId="14838"/>
    <cellStyle name="Normal 2 4 4 2 2 4 2 2" xfId="17654"/>
    <cellStyle name="Normal 2 4 4 2 2 4 2 2 2" xfId="50177"/>
    <cellStyle name="Normal 2 4 4 2 2 4 2 2 2 2" xfId="52981"/>
    <cellStyle name="Normal 2 4 4 2 2 4 2 3" xfId="31156"/>
    <cellStyle name="Normal 2 4 4 2 2 4 3" xfId="28351"/>
    <cellStyle name="Normal 2 4 4 2 2 4 3 2" xfId="39504"/>
    <cellStyle name="Normal 2 4 4 2 2 5" xfId="9252"/>
    <cellStyle name="Normal 2 4 4 2 2 5 2" xfId="36646"/>
    <cellStyle name="Normal 2 4 4 2 2 5 2 2" xfId="44634"/>
    <cellStyle name="Normal 2 4 4 2 2 6" xfId="22748"/>
    <cellStyle name="Normal 2 4 4 2 3" xfId="1956"/>
    <cellStyle name="Normal 2 4 4 2 3 2" xfId="2510"/>
    <cellStyle name="Normal 2 4 4 2 3 2 2" xfId="7193"/>
    <cellStyle name="Normal 2 4 4 2 3 2 2 2" xfId="7735"/>
    <cellStyle name="Normal 2 4 4 2 3 2 2 2 2" xfId="20745"/>
    <cellStyle name="Normal 2 4 4 2 3 2 2 2 2 2" xfId="21287"/>
    <cellStyle name="Normal 2 4 4 2 3 2 2 2 2 2 2" xfId="56071"/>
    <cellStyle name="Normal 2 4 4 2 3 2 2 2 2 2 2 2" xfId="56613"/>
    <cellStyle name="Normal 2 4 4 2 3 2 2 2 2 3" xfId="34790"/>
    <cellStyle name="Normal 2 4 4 2 3 2 2 2 3" xfId="34248"/>
    <cellStyle name="Normal 2 4 4 2 3 2 2 2 3 2" xfId="43162"/>
    <cellStyle name="Normal 2 4 4 2 3 2 2 3" xfId="12960"/>
    <cellStyle name="Normal 2 4 4 2 3 2 2 3 2" xfId="42620"/>
    <cellStyle name="Normal 2 4 4 2 3 2 2 3 2 2" xfId="48306"/>
    <cellStyle name="Normal 2 4 4 2 3 2 2 4" xfId="26444"/>
    <cellStyle name="Normal 2 4 4 2 3 2 3" xfId="12418"/>
    <cellStyle name="Normal 2 4 4 2 3 2 3 2" xfId="16171"/>
    <cellStyle name="Normal 2 4 4 2 3 2 3 2 2" xfId="47764"/>
    <cellStyle name="Normal 2 4 4 2 3 2 3 2 2 2" xfId="51502"/>
    <cellStyle name="Normal 2 4 4 2 3 2 3 3" xfId="29676"/>
    <cellStyle name="Normal 2 4 4 2 3 2 4" xfId="25902"/>
    <cellStyle name="Normal 2 4 4 2 3 2 4 2" xfId="37985"/>
    <cellStyle name="Normal 2 4 4 2 3 3" xfId="4545"/>
    <cellStyle name="Normal 2 4 4 2 3 3 2" xfId="15621"/>
    <cellStyle name="Normal 2 4 4 2 3 3 2 2" xfId="18128"/>
    <cellStyle name="Normal 2 4 4 2 3 3 2 2 2" xfId="50953"/>
    <cellStyle name="Normal 2 4 4 2 3 3 2 2 2 2" xfId="53454"/>
    <cellStyle name="Normal 2 4 4 2 3 3 2 3" xfId="31629"/>
    <cellStyle name="Normal 2 4 4 2 3 3 3" xfId="29127"/>
    <cellStyle name="Normal 2 4 4 2 3 3 3 2" xfId="39986"/>
    <cellStyle name="Normal 2 4 4 2 3 4" xfId="9748"/>
    <cellStyle name="Normal 2 4 4 2 3 4 2" xfId="37434"/>
    <cellStyle name="Normal 2 4 4 2 3 4 2 2" xfId="45121"/>
    <cellStyle name="Normal 2 4 4 2 3 5" xfId="23244"/>
    <cellStyle name="Normal 2 4 4 2 4" xfId="3970"/>
    <cellStyle name="Normal 2 4 4 2 4 2" xfId="5751"/>
    <cellStyle name="Normal 2 4 4 2 4 2 2" xfId="17568"/>
    <cellStyle name="Normal 2 4 4 2 4 2 2 2" xfId="19320"/>
    <cellStyle name="Normal 2 4 4 2 4 2 2 2 2" xfId="52895"/>
    <cellStyle name="Normal 2 4 4 2 4 2 2 2 2 2" xfId="54646"/>
    <cellStyle name="Normal 2 4 4 2 4 2 2 3" xfId="32821"/>
    <cellStyle name="Normal 2 4 4 2 4 2 3" xfId="31070"/>
    <cellStyle name="Normal 2 4 4 2 4 2 3 2" xfId="41186"/>
    <cellStyle name="Normal 2 4 4 2 4 3" xfId="10972"/>
    <cellStyle name="Normal 2 4 4 2 4 3 2" xfId="39414"/>
    <cellStyle name="Normal 2 4 4 2 4 3 2 2" xfId="46331"/>
    <cellStyle name="Normal 2 4 4 2 4 4" xfId="24465"/>
    <cellStyle name="Normal 2 4 4 2 5" xfId="9162"/>
    <cellStyle name="Normal 2 4 4 2 5 2" xfId="14135"/>
    <cellStyle name="Normal 2 4 4 2 5 2 2" xfId="44548"/>
    <cellStyle name="Normal 2 4 4 2 5 2 2 2" xfId="49480"/>
    <cellStyle name="Normal 2 4 4 2 5 3" xfId="27637"/>
    <cellStyle name="Normal 2 4 4 2 6" xfId="22662"/>
    <cellStyle name="Normal 2 4 4 2 6 2" xfId="35946"/>
    <cellStyle name="Normal 2 4 4 3" xfId="725"/>
    <cellStyle name="Normal 2 4 4 3 2" xfId="2402"/>
    <cellStyle name="Normal 2 4 4 3 2 2" xfId="2797"/>
    <cellStyle name="Normal 2 4 4 3 2 2 2" xfId="7635"/>
    <cellStyle name="Normal 2 4 4 3 2 2 2 2" xfId="8013"/>
    <cellStyle name="Normal 2 4 4 3 2 2 2 2 2" xfId="21187"/>
    <cellStyle name="Normal 2 4 4 3 2 2 2 2 2 2" xfId="21565"/>
    <cellStyle name="Normal 2 4 4 3 2 2 2 2 2 2 2" xfId="56513"/>
    <cellStyle name="Normal 2 4 4 3 2 2 2 2 2 2 2 2" xfId="56891"/>
    <cellStyle name="Normal 2 4 4 3 2 2 2 2 2 3" xfId="35068"/>
    <cellStyle name="Normal 2 4 4 3 2 2 2 2 3" xfId="34690"/>
    <cellStyle name="Normal 2 4 4 3 2 2 2 2 3 2" xfId="43440"/>
    <cellStyle name="Normal 2 4 4 3 2 2 2 3" xfId="13238"/>
    <cellStyle name="Normal 2 4 4 3 2 2 2 3 2" xfId="43062"/>
    <cellStyle name="Normal 2 4 4 3 2 2 2 3 2 2" xfId="48584"/>
    <cellStyle name="Normal 2 4 4 3 2 2 2 4" xfId="26722"/>
    <cellStyle name="Normal 2 4 4 3 2 2 3" xfId="12860"/>
    <cellStyle name="Normal 2 4 4 3 2 2 3 2" xfId="16455"/>
    <cellStyle name="Normal 2 4 4 3 2 2 3 2 2" xfId="48206"/>
    <cellStyle name="Normal 2 4 4 3 2 2 3 2 2 2" xfId="51783"/>
    <cellStyle name="Normal 2 4 4 3 2 2 3 3" xfId="29957"/>
    <cellStyle name="Normal 2 4 4 3 2 2 4" xfId="26344"/>
    <cellStyle name="Normal 2 4 4 3 2 2 4 2" xfId="38267"/>
    <cellStyle name="Normal 2 4 4 3 2 3" xfId="4833"/>
    <cellStyle name="Normal 2 4 4 3 2 3 2" xfId="16065"/>
    <cellStyle name="Normal 2 4 4 3 2 3 2 2" xfId="18407"/>
    <cellStyle name="Normal 2 4 4 3 2 3 2 2 2" xfId="51397"/>
    <cellStyle name="Normal 2 4 4 3 2 3 2 2 2 2" xfId="53733"/>
    <cellStyle name="Normal 2 4 4 3 2 3 2 3" xfId="31908"/>
    <cellStyle name="Normal 2 4 4 3 2 3 3" xfId="29571"/>
    <cellStyle name="Normal 2 4 4 3 2 3 3 2" xfId="40270"/>
    <cellStyle name="Normal 2 4 4 3 2 4" xfId="10036"/>
    <cellStyle name="Normal 2 4 4 3 2 4 2" xfId="37880"/>
    <cellStyle name="Normal 2 4 4 3 2 4 2 2" xfId="45400"/>
    <cellStyle name="Normal 2 4 4 3 2 5" xfId="23523"/>
    <cellStyle name="Normal 2 4 4 3 3" xfId="4437"/>
    <cellStyle name="Normal 2 4 4 3 3 2" xfId="6049"/>
    <cellStyle name="Normal 2 4 4 3 3 2 2" xfId="18028"/>
    <cellStyle name="Normal 2 4 4 3 3 2 2 2" xfId="19613"/>
    <cellStyle name="Normal 2 4 4 3 3 2 2 2 2" xfId="53354"/>
    <cellStyle name="Normal 2 4 4 3 3 2 2 2 2 2" xfId="54939"/>
    <cellStyle name="Normal 2 4 4 3 3 2 2 3" xfId="33114"/>
    <cellStyle name="Normal 2 4 4 3 3 2 3" xfId="31529"/>
    <cellStyle name="Normal 2 4 4 3 3 2 3 2" xfId="41483"/>
    <cellStyle name="Normal 2 4 4 3 3 3" xfId="11275"/>
    <cellStyle name="Normal 2 4 4 3 3 3 2" xfId="39879"/>
    <cellStyle name="Normal 2 4 4 3 3 3 2 2" xfId="46630"/>
    <cellStyle name="Normal 2 4 4 3 3 4" xfId="24767"/>
    <cellStyle name="Normal 2 4 4 3 4" xfId="9641"/>
    <cellStyle name="Normal 2 4 4 3 4 2" xfId="14432"/>
    <cellStyle name="Normal 2 4 4 3 4 2 2" xfId="45020"/>
    <cellStyle name="Normal 2 4 4 3 4 2 2 2" xfId="49777"/>
    <cellStyle name="Normal 2 4 4 3 4 3" xfId="27945"/>
    <cellStyle name="Normal 2 4 4 3 5" xfId="23143"/>
    <cellStyle name="Normal 2 4 4 3 5 2" xfId="36245"/>
    <cellStyle name="Normal 2 4 4 4" xfId="1509"/>
    <cellStyle name="Normal 2 4 4 4 2" xfId="5643"/>
    <cellStyle name="Normal 2 4 4 4 2 2" xfId="6799"/>
    <cellStyle name="Normal 2 4 4 4 2 2 2" xfId="19215"/>
    <cellStyle name="Normal 2 4 4 4 2 2 2 2" xfId="20352"/>
    <cellStyle name="Normal 2 4 4 4 2 2 2 2 2" xfId="54541"/>
    <cellStyle name="Normal 2 4 4 4 2 2 2 2 2 2" xfId="55678"/>
    <cellStyle name="Normal 2 4 4 4 2 2 2 3" xfId="33854"/>
    <cellStyle name="Normal 2 4 4 4 2 2 3" xfId="32716"/>
    <cellStyle name="Normal 2 4 4 4 2 2 3 2" xfId="42227"/>
    <cellStyle name="Normal 2 4 4 4 2 3" xfId="12023"/>
    <cellStyle name="Normal 2 4 4 4 2 3 2" xfId="41079"/>
    <cellStyle name="Normal 2 4 4 4 2 3 2 2" xfId="47370"/>
    <cellStyle name="Normal 2 4 4 4 2 4" xfId="25507"/>
    <cellStyle name="Normal 2 4 4 4 3" xfId="10859"/>
    <cellStyle name="Normal 2 4 4 4 3 2" xfId="15192"/>
    <cellStyle name="Normal 2 4 4 4 3 2 2" xfId="46221"/>
    <cellStyle name="Normal 2 4 4 4 3 2 2 2" xfId="50530"/>
    <cellStyle name="Normal 2 4 4 4 3 3" xfId="28704"/>
    <cellStyle name="Normal 2 4 4 4 4" xfId="24352"/>
    <cellStyle name="Normal 2 4 4 4 4 2" xfId="37002"/>
    <cellStyle name="Normal 2 4 4 5" xfId="3509"/>
    <cellStyle name="Normal 2 4 4 5 2" xfId="14027"/>
    <cellStyle name="Normal 2 4 4 5 2 2" xfId="17163"/>
    <cellStyle name="Normal 2 4 4 5 2 2 2" xfId="49373"/>
    <cellStyle name="Normal 2 4 4 5 2 2 2 2" xfId="52490"/>
    <cellStyle name="Normal 2 4 4 5 2 3" xfId="30664"/>
    <cellStyle name="Normal 2 4 4 5 3" xfId="27523"/>
    <cellStyle name="Normal 2 4 4 5 3 2" xfId="38975"/>
    <cellStyle name="Normal 2 4 4 6" xfId="8703"/>
    <cellStyle name="Normal 2 4 4 6 2" xfId="35839"/>
    <cellStyle name="Normal 2 4 4 6 2 2" xfId="44130"/>
    <cellStyle name="Normal 2 4 4 7" xfId="9645"/>
    <cellStyle name="Normal 2 4 5" xfId="497"/>
    <cellStyle name="Normal 2 4 5 2" xfId="806"/>
    <cellStyle name="Normal 2 4 5 2 2" xfId="2594"/>
    <cellStyle name="Normal 2 4 5 2 2 2" xfId="2862"/>
    <cellStyle name="Normal 2 4 5 2 2 2 2" xfId="7815"/>
    <cellStyle name="Normal 2 4 5 2 2 2 2 2" xfId="8078"/>
    <cellStyle name="Normal 2 4 5 2 2 2 2 2 2" xfId="21367"/>
    <cellStyle name="Normal 2 4 5 2 2 2 2 2 2 2" xfId="21630"/>
    <cellStyle name="Normal 2 4 5 2 2 2 2 2 2 2 2" xfId="56693"/>
    <cellStyle name="Normal 2 4 5 2 2 2 2 2 2 2 2 2" xfId="56956"/>
    <cellStyle name="Normal 2 4 5 2 2 2 2 2 2 3" xfId="35133"/>
    <cellStyle name="Normal 2 4 5 2 2 2 2 2 3" xfId="34870"/>
    <cellStyle name="Normal 2 4 5 2 2 2 2 2 3 2" xfId="43505"/>
    <cellStyle name="Normal 2 4 5 2 2 2 2 3" xfId="13303"/>
    <cellStyle name="Normal 2 4 5 2 2 2 2 3 2" xfId="43242"/>
    <cellStyle name="Normal 2 4 5 2 2 2 2 3 2 2" xfId="48649"/>
    <cellStyle name="Normal 2 4 5 2 2 2 2 4" xfId="26787"/>
    <cellStyle name="Normal 2 4 5 2 2 2 3" xfId="13040"/>
    <cellStyle name="Normal 2 4 5 2 2 2 3 2" xfId="16520"/>
    <cellStyle name="Normal 2 4 5 2 2 2 3 2 2" xfId="48386"/>
    <cellStyle name="Normal 2 4 5 2 2 2 3 2 2 2" xfId="51848"/>
    <cellStyle name="Normal 2 4 5 2 2 2 3 3" xfId="30022"/>
    <cellStyle name="Normal 2 4 5 2 2 2 4" xfId="26524"/>
    <cellStyle name="Normal 2 4 5 2 2 2 4 2" xfId="38332"/>
    <cellStyle name="Normal 2 4 5 2 2 3" xfId="4898"/>
    <cellStyle name="Normal 2 4 5 2 2 3 2" xfId="16253"/>
    <cellStyle name="Normal 2 4 5 2 2 3 2 2" xfId="18472"/>
    <cellStyle name="Normal 2 4 5 2 2 3 2 2 2" xfId="51583"/>
    <cellStyle name="Normal 2 4 5 2 2 3 2 2 2 2" xfId="53798"/>
    <cellStyle name="Normal 2 4 5 2 2 3 2 3" xfId="31973"/>
    <cellStyle name="Normal 2 4 5 2 2 3 3" xfId="29757"/>
    <cellStyle name="Normal 2 4 5 2 2 3 3 2" xfId="40335"/>
    <cellStyle name="Normal 2 4 5 2 2 4" xfId="10101"/>
    <cellStyle name="Normal 2 4 5 2 2 4 2" xfId="38067"/>
    <cellStyle name="Normal 2 4 5 2 2 4 2 2" xfId="45465"/>
    <cellStyle name="Normal 2 4 5 2 2 5" xfId="23588"/>
    <cellStyle name="Normal 2 4 5 2 3" xfId="4628"/>
    <cellStyle name="Normal 2 4 5 2 3 2" xfId="6122"/>
    <cellStyle name="Normal 2 4 5 2 3 2 2" xfId="18209"/>
    <cellStyle name="Normal 2 4 5 2 3 2 2 2" xfId="19684"/>
    <cellStyle name="Normal 2 4 5 2 3 2 2 2 2" xfId="53535"/>
    <cellStyle name="Normal 2 4 5 2 3 2 2 2 2 2" xfId="55010"/>
    <cellStyle name="Normal 2 4 5 2 3 2 2 3" xfId="33185"/>
    <cellStyle name="Normal 2 4 5 2 3 2 3" xfId="31710"/>
    <cellStyle name="Normal 2 4 5 2 3 2 3 2" xfId="41555"/>
    <cellStyle name="Normal 2 4 5 2 3 3" xfId="11348"/>
    <cellStyle name="Normal 2 4 5 2 3 3 2" xfId="40067"/>
    <cellStyle name="Normal 2 4 5 2 3 3 2 2" xfId="46701"/>
    <cellStyle name="Normal 2 4 5 2 3 4" xfId="24838"/>
    <cellStyle name="Normal 2 4 5 2 4" xfId="9832"/>
    <cellStyle name="Normal 2 4 5 2 4 2" xfId="14506"/>
    <cellStyle name="Normal 2 4 5 2 4 2 2" xfId="45202"/>
    <cellStyle name="Normal 2 4 5 2 4 2 2 2" xfId="49848"/>
    <cellStyle name="Normal 2 4 5 2 4 3" xfId="28017"/>
    <cellStyle name="Normal 2 4 5 2 5" xfId="23325"/>
    <cellStyle name="Normal 2 4 5 2 5 2" xfId="36316"/>
    <cellStyle name="Normal 2 4 5 3" xfId="1594"/>
    <cellStyle name="Normal 2 4 5 3 2" xfId="5833"/>
    <cellStyle name="Normal 2 4 5 3 2 2" xfId="6866"/>
    <cellStyle name="Normal 2 4 5 3 2 2 2" xfId="19401"/>
    <cellStyle name="Normal 2 4 5 3 2 2 2 2" xfId="20419"/>
    <cellStyle name="Normal 2 4 5 3 2 2 2 2 2" xfId="54727"/>
    <cellStyle name="Normal 2 4 5 3 2 2 2 2 2 2" xfId="55745"/>
    <cellStyle name="Normal 2 4 5 3 2 2 2 3" xfId="33921"/>
    <cellStyle name="Normal 2 4 5 3 2 2 3" xfId="32902"/>
    <cellStyle name="Normal 2 4 5 3 2 2 3 2" xfId="42294"/>
    <cellStyle name="Normal 2 4 5 3 2 3" xfId="12090"/>
    <cellStyle name="Normal 2 4 5 3 2 3 2" xfId="41268"/>
    <cellStyle name="Normal 2 4 5 3 2 3 2 2" xfId="47437"/>
    <cellStyle name="Normal 2 4 5 3 2 4" xfId="25575"/>
    <cellStyle name="Normal 2 4 5 3 3" xfId="11056"/>
    <cellStyle name="Normal 2 4 5 3 3 2" xfId="15270"/>
    <cellStyle name="Normal 2 4 5 3 3 2 2" xfId="46415"/>
    <cellStyle name="Normal 2 4 5 3 3 2 2 2" xfId="50607"/>
    <cellStyle name="Normal 2 4 5 3 3 3" xfId="28781"/>
    <cellStyle name="Normal 2 4 5 3 4" xfId="24550"/>
    <cellStyle name="Normal 2 4 5 3 4 2" xfId="37082"/>
    <cellStyle name="Normal 2 4 5 4" xfId="3595"/>
    <cellStyle name="Normal 2 4 5 4 2" xfId="14217"/>
    <cellStyle name="Normal 2 4 5 4 2 2" xfId="17231"/>
    <cellStyle name="Normal 2 4 5 4 2 2 2" xfId="49562"/>
    <cellStyle name="Normal 2 4 5 4 2 2 2 2" xfId="52558"/>
    <cellStyle name="Normal 2 4 5 4 2 3" xfId="30732"/>
    <cellStyle name="Normal 2 4 5 4 3" xfId="27724"/>
    <cellStyle name="Normal 2 4 5 4 3 2" xfId="39052"/>
    <cellStyle name="Normal 2 4 5 5" xfId="8786"/>
    <cellStyle name="Normal 2 4 5 5 2" xfId="36029"/>
    <cellStyle name="Normal 2 4 5 5 2 2" xfId="44199"/>
    <cellStyle name="Normal 2 4 5 6" xfId="22304"/>
    <cellStyle name="Normal 2 4 6" xfId="289"/>
    <cellStyle name="Normal 2 4 6 2" xfId="1504"/>
    <cellStyle name="Normal 2 4 6 2 2" xfId="5648"/>
    <cellStyle name="Normal 2 4 6 2 2 2" xfId="6794"/>
    <cellStyle name="Normal 2 4 6 2 2 2 2" xfId="19220"/>
    <cellStyle name="Normal 2 4 6 2 2 2 2 2" xfId="20347"/>
    <cellStyle name="Normal 2 4 6 2 2 2 2 2 2" xfId="54546"/>
    <cellStyle name="Normal 2 4 6 2 2 2 2 2 2 2" xfId="55673"/>
    <cellStyle name="Normal 2 4 6 2 2 2 2 3" xfId="33849"/>
    <cellStyle name="Normal 2 4 6 2 2 2 3" xfId="32721"/>
    <cellStyle name="Normal 2 4 6 2 2 2 3 2" xfId="42222"/>
    <cellStyle name="Normal 2 4 6 2 2 3" xfId="12018"/>
    <cellStyle name="Normal 2 4 6 2 2 3 2" xfId="41084"/>
    <cellStyle name="Normal 2 4 6 2 2 3 2 2" xfId="47365"/>
    <cellStyle name="Normal 2 4 6 2 2 4" xfId="25502"/>
    <cellStyle name="Normal 2 4 6 2 3" xfId="10865"/>
    <cellStyle name="Normal 2 4 6 2 3 2" xfId="15187"/>
    <cellStyle name="Normal 2 4 6 2 3 2 2" xfId="46227"/>
    <cellStyle name="Normal 2 4 6 2 3 2 2 2" xfId="50525"/>
    <cellStyle name="Normal 2 4 6 2 3 3" xfId="28699"/>
    <cellStyle name="Normal 2 4 6 2 4" xfId="24358"/>
    <cellStyle name="Normal 2 4 6 2 4 2" xfId="36997"/>
    <cellStyle name="Normal 2 4 6 3" xfId="3504"/>
    <cellStyle name="Normal 2 4 6 3 2" xfId="14032"/>
    <cellStyle name="Normal 2 4 6 3 2 2" xfId="17158"/>
    <cellStyle name="Normal 2 4 6 3 2 2 2" xfId="49378"/>
    <cellStyle name="Normal 2 4 6 3 2 2 2 2" xfId="52485"/>
    <cellStyle name="Normal 2 4 6 3 2 3" xfId="30659"/>
    <cellStyle name="Normal 2 4 6 3 3" xfId="27529"/>
    <cellStyle name="Normal 2 4 6 3 3 2" xfId="38970"/>
    <cellStyle name="Normal 2 4 6 4" xfId="8698"/>
    <cellStyle name="Normal 2 4 6 4 2" xfId="35844"/>
    <cellStyle name="Normal 2 4 6 4 2 2" xfId="44125"/>
    <cellStyle name="Normal 2 4 6 5" xfId="8850"/>
    <cellStyle name="Normal 2 4 7" xfId="1916"/>
    <cellStyle name="Normal 2 4 7 2" xfId="3832"/>
    <cellStyle name="Normal 2 4 7 2 2" xfId="15583"/>
    <cellStyle name="Normal 2 4 7 2 2 2" xfId="17447"/>
    <cellStyle name="Normal 2 4 7 2 2 2 2" xfId="50915"/>
    <cellStyle name="Normal 2 4 7 2 2 2 2 2" xfId="52774"/>
    <cellStyle name="Normal 2 4 7 2 2 3" xfId="30948"/>
    <cellStyle name="Normal 2 4 7 2 3" xfId="29089"/>
    <cellStyle name="Normal 2 4 7 2 3 2" xfId="39282"/>
    <cellStyle name="Normal 2 4 7 3" xfId="9024"/>
    <cellStyle name="Normal 2 4 7 3 2" xfId="37395"/>
    <cellStyle name="Normal 2 4 7 3 2 2" xfId="44422"/>
    <cellStyle name="Normal 2 4 7 4" xfId="22533"/>
    <cellStyle name="Normal 2 4 8" xfId="3559"/>
    <cellStyle name="Normal 2 4 8 2" xfId="10760"/>
    <cellStyle name="Normal 2 4 8 2 2" xfId="39016"/>
    <cellStyle name="Normal 2 4 8 2 2 2" xfId="46122"/>
    <cellStyle name="Normal 2 4 8 3" xfId="24248"/>
    <cellStyle name="Normal 2 4 9" xfId="9216"/>
    <cellStyle name="Normal 2 4 9 2" xfId="28112"/>
    <cellStyle name="Normal 2 5" xfId="109"/>
    <cellStyle name="Normal 2 5 2" xfId="158"/>
    <cellStyle name="Normal 2 5 2 2" xfId="292"/>
    <cellStyle name="Normal 2 5 2 2 2" xfId="544"/>
    <cellStyle name="Normal 2 5 2 2 2 2" xfId="628"/>
    <cellStyle name="Normal 2 5 2 2 2 2 2" xfId="1349"/>
    <cellStyle name="Normal 2 5 2 2 2 2 2 2" xfId="1424"/>
    <cellStyle name="Normal 2 5 2 2 2 2 2 2 2" xfId="3367"/>
    <cellStyle name="Normal 2 5 2 2 2 2 2 2 2 2" xfId="3442"/>
    <cellStyle name="Normal 2 5 2 2 2 2 2 2 2 2 2" xfId="8582"/>
    <cellStyle name="Normal 2 5 2 2 2 2 2 2 2 2 2 2" xfId="8657"/>
    <cellStyle name="Normal 2 5 2 2 2 2 2 2 2 2 2 2 2" xfId="22134"/>
    <cellStyle name="Normal 2 5 2 2 2 2 2 2 2 2 2 2 2 2" xfId="22209"/>
    <cellStyle name="Normal 2 5 2 2 2 2 2 2 2 2 2 2 2 2 2" xfId="57460"/>
    <cellStyle name="Normal 2 5 2 2 2 2 2 2 2 2 2 2 2 2 2 2" xfId="57535"/>
    <cellStyle name="Normal 2 5 2 2 2 2 2 2 2 2 2 2 2 3" xfId="35712"/>
    <cellStyle name="Normal 2 5 2 2 2 2 2 2 2 2 2 2 3" xfId="35637"/>
    <cellStyle name="Normal 2 5 2 2 2 2 2 2 2 2 2 2 3 2" xfId="44084"/>
    <cellStyle name="Normal 2 5 2 2 2 2 2 2 2 2 2 3" xfId="13882"/>
    <cellStyle name="Normal 2 5 2 2 2 2 2 2 2 2 2 3 2" xfId="44009"/>
    <cellStyle name="Normal 2 5 2 2 2 2 2 2 2 2 2 3 2 2" xfId="49228"/>
    <cellStyle name="Normal 2 5 2 2 2 2 2 2 2 2 2 4" xfId="27367"/>
    <cellStyle name="Normal 2 5 2 2 2 2 2 2 2 2 3" xfId="13807"/>
    <cellStyle name="Normal 2 5 2 2 2 2 2 2 2 2 3 2" xfId="17099"/>
    <cellStyle name="Normal 2 5 2 2 2 2 2 2 2 2 3 2 2" xfId="49153"/>
    <cellStyle name="Normal 2 5 2 2 2 2 2 2 2 2 3 2 2 2" xfId="52427"/>
    <cellStyle name="Normal 2 5 2 2 2 2 2 2 2 2 3 3" xfId="30601"/>
    <cellStyle name="Normal 2 5 2 2 2 2 2 2 2 2 4" xfId="27292"/>
    <cellStyle name="Normal 2 5 2 2 2 2 2 2 2 2 4 2" xfId="38911"/>
    <cellStyle name="Normal 2 5 2 2 2 2 2 2 2 3" xfId="5479"/>
    <cellStyle name="Normal 2 5 2 2 2 2 2 2 2 3 2" xfId="17024"/>
    <cellStyle name="Normal 2 5 2 2 2 2 2 2 2 3 2 2" xfId="19052"/>
    <cellStyle name="Normal 2 5 2 2 2 2 2 2 2 3 2 2 2" xfId="52352"/>
    <cellStyle name="Normal 2 5 2 2 2 2 2 2 2 3 2 2 2 2" xfId="54378"/>
    <cellStyle name="Normal 2 5 2 2 2 2 2 2 2 3 2 3" xfId="32553"/>
    <cellStyle name="Normal 2 5 2 2 2 2 2 2 2 3 3" xfId="30526"/>
    <cellStyle name="Normal 2 5 2 2 2 2 2 2 2 3 3 2" xfId="40916"/>
    <cellStyle name="Normal 2 5 2 2 2 2 2 2 2 4" xfId="10682"/>
    <cellStyle name="Normal 2 5 2 2 2 2 2 2 2 4 2" xfId="38836"/>
    <cellStyle name="Normal 2 5 2 2 2 2 2 2 2 4 2 2" xfId="46045"/>
    <cellStyle name="Normal 2 5 2 2 2 2 2 2 2 5" xfId="24168"/>
    <cellStyle name="Normal 2 5 2 2 2 2 2 2 3" xfId="5404"/>
    <cellStyle name="Normal 2 5 2 2 2 2 2 2 3 2" xfId="6732"/>
    <cellStyle name="Normal 2 5 2 2 2 2 2 2 3 2 2" xfId="18977"/>
    <cellStyle name="Normal 2 5 2 2 2 2 2 2 3 2 2 2" xfId="20285"/>
    <cellStyle name="Normal 2 5 2 2 2 2 2 2 3 2 2 2 2" xfId="54303"/>
    <cellStyle name="Normal 2 5 2 2 2 2 2 2 3 2 2 2 2 2" xfId="55611"/>
    <cellStyle name="Normal 2 5 2 2 2 2 2 2 3 2 2 3" xfId="33787"/>
    <cellStyle name="Normal 2 5 2 2 2 2 2 2 3 2 3" xfId="32478"/>
    <cellStyle name="Normal 2 5 2 2 2 2 2 2 3 2 3 2" xfId="42160"/>
    <cellStyle name="Normal 2 5 2 2 2 2 2 2 3 3" xfId="11955"/>
    <cellStyle name="Normal 2 5 2 2 2 2 2 2 3 3 2" xfId="40841"/>
    <cellStyle name="Normal 2 5 2 2 2 2 2 2 3 3 2 2" xfId="47303"/>
    <cellStyle name="Normal 2 5 2 2 2 2 2 2 3 4" xfId="25440"/>
    <cellStyle name="Normal 2 5 2 2 2 2 2 2 4" xfId="10607"/>
    <cellStyle name="Normal 2 5 2 2 2 2 2 2 4 2" xfId="15113"/>
    <cellStyle name="Normal 2 5 2 2 2 2 2 2 4 2 2" xfId="45970"/>
    <cellStyle name="Normal 2 5 2 2 2 2 2 2 4 2 2 2" xfId="50452"/>
    <cellStyle name="Normal 2 5 2 2 2 2 2 2 4 3" xfId="28626"/>
    <cellStyle name="Normal 2 5 2 2 2 2 2 2 5" xfId="24093"/>
    <cellStyle name="Normal 2 5 2 2 2 2 2 2 5 2" xfId="36921"/>
    <cellStyle name="Normal 2 5 2 2 2 2 2 3" xfId="2231"/>
    <cellStyle name="Normal 2 5 2 2 2 2 2 3 2" xfId="6657"/>
    <cellStyle name="Normal 2 5 2 2 2 2 2 3 2 2" xfId="7465"/>
    <cellStyle name="Normal 2 5 2 2 2 2 2 3 2 2 2" xfId="20210"/>
    <cellStyle name="Normal 2 5 2 2 2 2 2 3 2 2 2 2" xfId="21017"/>
    <cellStyle name="Normal 2 5 2 2 2 2 2 3 2 2 2 2 2" xfId="55536"/>
    <cellStyle name="Normal 2 5 2 2 2 2 2 3 2 2 2 2 2 2" xfId="56343"/>
    <cellStyle name="Normal 2 5 2 2 2 2 2 3 2 2 2 3" xfId="34520"/>
    <cellStyle name="Normal 2 5 2 2 2 2 2 3 2 2 3" xfId="33712"/>
    <cellStyle name="Normal 2 5 2 2 2 2 2 3 2 2 3 2" xfId="42892"/>
    <cellStyle name="Normal 2 5 2 2 2 2 2 3 2 3" xfId="12690"/>
    <cellStyle name="Normal 2 5 2 2 2 2 2 3 2 3 2" xfId="42085"/>
    <cellStyle name="Normal 2 5 2 2 2 2 2 3 2 3 2 2" xfId="48036"/>
    <cellStyle name="Normal 2 5 2 2 2 2 2 3 2 4" xfId="26174"/>
    <cellStyle name="Normal 2 5 2 2 2 2 2 3 3" xfId="11880"/>
    <cellStyle name="Normal 2 5 2 2 2 2 2 3 3 2" xfId="15895"/>
    <cellStyle name="Normal 2 5 2 2 2 2 2 3 3 2 2" xfId="47228"/>
    <cellStyle name="Normal 2 5 2 2 2 2 2 3 3 2 2 2" xfId="51227"/>
    <cellStyle name="Normal 2 5 2 2 2 2 2 3 3 3" xfId="29401"/>
    <cellStyle name="Normal 2 5 2 2 2 2 2 3 4" xfId="25365"/>
    <cellStyle name="Normal 2 5 2 2 2 2 2 3 4 2" xfId="37709"/>
    <cellStyle name="Normal 2 5 2 2 2 2 2 4" xfId="4247"/>
    <cellStyle name="Normal 2 5 2 2 2 2 2 4 2" xfId="15038"/>
    <cellStyle name="Normal 2 5 2 2 2 2 2 4 2 2" xfId="17840"/>
    <cellStyle name="Normal 2 5 2 2 2 2 2 4 2 2 2" xfId="50377"/>
    <cellStyle name="Normal 2 5 2 2 2 2 2 4 2 2 2 2" xfId="53167"/>
    <cellStyle name="Normal 2 5 2 2 2 2 2 4 2 3" xfId="31342"/>
    <cellStyle name="Normal 2 5 2 2 2 2 2 4 3" xfId="28551"/>
    <cellStyle name="Normal 2 5 2 2 2 2 2 4 3 2" xfId="39690"/>
    <cellStyle name="Normal 2 5 2 2 2 2 2 5" xfId="9438"/>
    <cellStyle name="Normal 2 5 2 2 2 2 2 5 2" xfId="36846"/>
    <cellStyle name="Normal 2 5 2 2 2 2 2 5 2 2" xfId="44820"/>
    <cellStyle name="Normal 2 5 2 2 2 2 2 6" xfId="22934"/>
    <cellStyle name="Normal 2 5 2 2 2 2 3" xfId="2156"/>
    <cellStyle name="Normal 2 5 2 2 2 2 3 2" xfId="2718"/>
    <cellStyle name="Normal 2 5 2 2 2 2 3 2 2" xfId="7390"/>
    <cellStyle name="Normal 2 5 2 2 2 2 3 2 2 2" xfId="7937"/>
    <cellStyle name="Normal 2 5 2 2 2 2 3 2 2 2 2" xfId="20942"/>
    <cellStyle name="Normal 2 5 2 2 2 2 3 2 2 2 2 2" xfId="21489"/>
    <cellStyle name="Normal 2 5 2 2 2 2 3 2 2 2 2 2 2" xfId="56268"/>
    <cellStyle name="Normal 2 5 2 2 2 2 3 2 2 2 2 2 2 2" xfId="56815"/>
    <cellStyle name="Normal 2 5 2 2 2 2 3 2 2 2 2 3" xfId="34992"/>
    <cellStyle name="Normal 2 5 2 2 2 2 3 2 2 2 3" xfId="34445"/>
    <cellStyle name="Normal 2 5 2 2 2 2 3 2 2 2 3 2" xfId="43364"/>
    <cellStyle name="Normal 2 5 2 2 2 2 3 2 2 3" xfId="13162"/>
    <cellStyle name="Normal 2 5 2 2 2 2 3 2 2 3 2" xfId="42817"/>
    <cellStyle name="Normal 2 5 2 2 2 2 3 2 2 3 2 2" xfId="48508"/>
    <cellStyle name="Normal 2 5 2 2 2 2 3 2 2 4" xfId="26646"/>
    <cellStyle name="Normal 2 5 2 2 2 2 3 2 3" xfId="12615"/>
    <cellStyle name="Normal 2 5 2 2 2 2 3 2 3 2" xfId="16377"/>
    <cellStyle name="Normal 2 5 2 2 2 2 3 2 3 2 2" xfId="47961"/>
    <cellStyle name="Normal 2 5 2 2 2 2 3 2 3 2 2 2" xfId="51707"/>
    <cellStyle name="Normal 2 5 2 2 2 2 3 2 3 3" xfId="29881"/>
    <cellStyle name="Normal 2 5 2 2 2 2 3 2 4" xfId="26099"/>
    <cellStyle name="Normal 2 5 2 2 2 2 3 2 4 2" xfId="38191"/>
    <cellStyle name="Normal 2 5 2 2 2 2 3 3" xfId="4754"/>
    <cellStyle name="Normal 2 5 2 2 2 2 3 3 2" xfId="15820"/>
    <cellStyle name="Normal 2 5 2 2 2 2 3 3 2 2" xfId="18331"/>
    <cellStyle name="Normal 2 5 2 2 2 2 3 3 2 2 2" xfId="51152"/>
    <cellStyle name="Normal 2 5 2 2 2 2 3 3 2 2 2 2" xfId="53657"/>
    <cellStyle name="Normal 2 5 2 2 2 2 3 3 2 3" xfId="31832"/>
    <cellStyle name="Normal 2 5 2 2 2 2 3 3 3" xfId="29326"/>
    <cellStyle name="Normal 2 5 2 2 2 2 3 3 3 2" xfId="40192"/>
    <cellStyle name="Normal 2 5 2 2 2 2 3 4" xfId="9957"/>
    <cellStyle name="Normal 2 5 2 2 2 2 3 4 2" xfId="37634"/>
    <cellStyle name="Normal 2 5 2 2 2 2 3 4 2 2" xfId="45324"/>
    <cellStyle name="Normal 2 5 2 2 2 2 3 5" xfId="23447"/>
    <cellStyle name="Normal 2 5 2 2 2 2 4" xfId="4172"/>
    <cellStyle name="Normal 2 5 2 2 2 2 4 2" xfId="5959"/>
    <cellStyle name="Normal 2 5 2 2 2 2 4 2 2" xfId="17765"/>
    <cellStyle name="Normal 2 5 2 2 2 2 4 2 2 2" xfId="19526"/>
    <cellStyle name="Normal 2 5 2 2 2 2 4 2 2 2 2" xfId="53092"/>
    <cellStyle name="Normal 2 5 2 2 2 2 4 2 2 2 2 2" xfId="54852"/>
    <cellStyle name="Normal 2 5 2 2 2 2 4 2 2 3" xfId="33027"/>
    <cellStyle name="Normal 2 5 2 2 2 2 4 2 3" xfId="31267"/>
    <cellStyle name="Normal 2 5 2 2 2 2 4 2 3 2" xfId="41393"/>
    <cellStyle name="Normal 2 5 2 2 2 2 4 3" xfId="11184"/>
    <cellStyle name="Normal 2 5 2 2 2 2 4 3 2" xfId="39615"/>
    <cellStyle name="Normal 2 5 2 2 2 2 4 3 2 2" xfId="46542"/>
    <cellStyle name="Normal 2 5 2 2 2 2 4 4" xfId="24677"/>
    <cellStyle name="Normal 2 5 2 2 2 2 5" xfId="9363"/>
    <cellStyle name="Normal 2 5 2 2 2 2 5 2" xfId="14343"/>
    <cellStyle name="Normal 2 5 2 2 2 2 5 2 2" xfId="44745"/>
    <cellStyle name="Normal 2 5 2 2 2 2 5 2 2 2" xfId="49688"/>
    <cellStyle name="Normal 2 5 2 2 2 2 5 3" xfId="27853"/>
    <cellStyle name="Normal 2 5 2 2 2 2 6" xfId="22859"/>
    <cellStyle name="Normal 2 5 2 2 2 2 6 2" xfId="36155"/>
    <cellStyle name="Normal 2 5 2 2 2 3" xfId="956"/>
    <cellStyle name="Normal 2 5 2 2 2 3 2" xfId="2638"/>
    <cellStyle name="Normal 2 5 2 2 2 3 2 2" xfId="2994"/>
    <cellStyle name="Normal 2 5 2 2 2 3 2 2 2" xfId="7858"/>
    <cellStyle name="Normal 2 5 2 2 2 3 2 2 2 2" xfId="8209"/>
    <cellStyle name="Normal 2 5 2 2 2 3 2 2 2 2 2" xfId="21410"/>
    <cellStyle name="Normal 2 5 2 2 2 3 2 2 2 2 2 2" xfId="21761"/>
    <cellStyle name="Normal 2 5 2 2 2 3 2 2 2 2 2 2 2" xfId="56736"/>
    <cellStyle name="Normal 2 5 2 2 2 3 2 2 2 2 2 2 2 2" xfId="57087"/>
    <cellStyle name="Normal 2 5 2 2 2 3 2 2 2 2 2 3" xfId="35264"/>
    <cellStyle name="Normal 2 5 2 2 2 3 2 2 2 2 3" xfId="34913"/>
    <cellStyle name="Normal 2 5 2 2 2 3 2 2 2 2 3 2" xfId="43636"/>
    <cellStyle name="Normal 2 5 2 2 2 3 2 2 2 3" xfId="13434"/>
    <cellStyle name="Normal 2 5 2 2 2 3 2 2 2 3 2" xfId="43285"/>
    <cellStyle name="Normal 2 5 2 2 2 3 2 2 2 3 2 2" xfId="48780"/>
    <cellStyle name="Normal 2 5 2 2 2 3 2 2 2 4" xfId="26919"/>
    <cellStyle name="Normal 2 5 2 2 2 3 2 2 3" xfId="13083"/>
    <cellStyle name="Normal 2 5 2 2 2 3 2 2 3 2" xfId="16651"/>
    <cellStyle name="Normal 2 5 2 2 2 3 2 2 3 2 2" xfId="48429"/>
    <cellStyle name="Normal 2 5 2 2 2 3 2 2 3 2 2 2" xfId="51979"/>
    <cellStyle name="Normal 2 5 2 2 2 3 2 2 3 3" xfId="30153"/>
    <cellStyle name="Normal 2 5 2 2 2 3 2 2 4" xfId="26567"/>
    <cellStyle name="Normal 2 5 2 2 2 3 2 2 4 2" xfId="38463"/>
    <cellStyle name="Normal 2 5 2 2 2 3 2 3" xfId="5030"/>
    <cellStyle name="Normal 2 5 2 2 2 3 2 3 2" xfId="16297"/>
    <cellStyle name="Normal 2 5 2 2 2 3 2 3 2 2" xfId="18603"/>
    <cellStyle name="Normal 2 5 2 2 2 3 2 3 2 2 2" xfId="51627"/>
    <cellStyle name="Normal 2 5 2 2 2 3 2 3 2 2 2 2" xfId="53929"/>
    <cellStyle name="Normal 2 5 2 2 2 3 2 3 2 3" xfId="32104"/>
    <cellStyle name="Normal 2 5 2 2 2 3 2 3 3" xfId="29801"/>
    <cellStyle name="Normal 2 5 2 2 2 3 2 3 3 2" xfId="40467"/>
    <cellStyle name="Normal 2 5 2 2 2 3 2 4" xfId="10233"/>
    <cellStyle name="Normal 2 5 2 2 2 3 2 4 2" xfId="38111"/>
    <cellStyle name="Normal 2 5 2 2 2 3 2 4 2 2" xfId="45596"/>
    <cellStyle name="Normal 2 5 2 2 2 3 2 5" xfId="23719"/>
    <cellStyle name="Normal 2 5 2 2 2 3 3" xfId="4673"/>
    <cellStyle name="Normal 2 5 2 2 2 3 3 2" xfId="6267"/>
    <cellStyle name="Normal 2 5 2 2 2 3 3 2 2" xfId="18252"/>
    <cellStyle name="Normal 2 5 2 2 2 3 3 2 2 2" xfId="19824"/>
    <cellStyle name="Normal 2 5 2 2 2 3 3 2 2 2 2" xfId="53578"/>
    <cellStyle name="Normal 2 5 2 2 2 3 3 2 2 2 2 2" xfId="55150"/>
    <cellStyle name="Normal 2 5 2 2 2 3 3 2 2 3" xfId="33326"/>
    <cellStyle name="Normal 2 5 2 2 2 3 3 2 3" xfId="31753"/>
    <cellStyle name="Normal 2 5 2 2 2 3 3 2 3 2" xfId="41696"/>
    <cellStyle name="Normal 2 5 2 2 2 3 3 3" xfId="11492"/>
    <cellStyle name="Normal 2 5 2 2 2 3 3 3 2" xfId="40112"/>
    <cellStyle name="Normal 2 5 2 2 2 3 3 3 2 2" xfId="46841"/>
    <cellStyle name="Normal 2 5 2 2 2 3 3 4" xfId="24978"/>
    <cellStyle name="Normal 2 5 2 2 2 3 4" xfId="9876"/>
    <cellStyle name="Normal 2 5 2 2 2 3 4 2" xfId="14650"/>
    <cellStyle name="Normal 2 5 2 2 2 3 4 2 2" xfId="45245"/>
    <cellStyle name="Normal 2 5 2 2 2 3 4 2 2 2" xfId="49989"/>
    <cellStyle name="Normal 2 5 2 2 2 3 4 3" xfId="28161"/>
    <cellStyle name="Normal 2 5 2 2 2 3 5" xfId="23368"/>
    <cellStyle name="Normal 2 5 2 2 2 3 5 2" xfId="36458"/>
    <cellStyle name="Normal 2 5 2 2 2 4" xfId="1752"/>
    <cellStyle name="Normal 2 5 2 2 2 4 2" xfId="5877"/>
    <cellStyle name="Normal 2 5 2 2 2 4 2 2" xfId="7005"/>
    <cellStyle name="Normal 2 5 2 2 2 4 2 2 2" xfId="19445"/>
    <cellStyle name="Normal 2 5 2 2 2 4 2 2 2 2" xfId="20558"/>
    <cellStyle name="Normal 2 5 2 2 2 4 2 2 2 2 2" xfId="54771"/>
    <cellStyle name="Normal 2 5 2 2 2 4 2 2 2 2 2 2" xfId="55884"/>
    <cellStyle name="Normal 2 5 2 2 2 4 2 2 2 3" xfId="34060"/>
    <cellStyle name="Normal 2 5 2 2 2 4 2 2 3" xfId="32946"/>
    <cellStyle name="Normal 2 5 2 2 2 4 2 2 3 2" xfId="42433"/>
    <cellStyle name="Normal 2 5 2 2 2 4 2 3" xfId="12229"/>
    <cellStyle name="Normal 2 5 2 2 2 4 2 3 2" xfId="41312"/>
    <cellStyle name="Normal 2 5 2 2 2 4 2 3 2 2" xfId="47576"/>
    <cellStyle name="Normal 2 5 2 2 2 4 2 4" xfId="25714"/>
    <cellStyle name="Normal 2 5 2 2 2 4 3" xfId="11101"/>
    <cellStyle name="Normal 2 5 2 2 2 4 3 2" xfId="15424"/>
    <cellStyle name="Normal 2 5 2 2 2 4 3 2 2" xfId="46460"/>
    <cellStyle name="Normal 2 5 2 2 2 4 3 2 2 2" xfId="50757"/>
    <cellStyle name="Normal 2 5 2 2 2 4 3 3" xfId="28931"/>
    <cellStyle name="Normal 2 5 2 2 2 4 4" xfId="24595"/>
    <cellStyle name="Normal 2 5 2 2 2 4 4 2" xfId="37234"/>
    <cellStyle name="Normal 2 5 2 2 2 5" xfId="3758"/>
    <cellStyle name="Normal 2 5 2 2 2 5 2" xfId="14262"/>
    <cellStyle name="Normal 2 5 2 2 2 5 2 2" xfId="17374"/>
    <cellStyle name="Normal 2 5 2 2 2 5 2 2 2" xfId="49607"/>
    <cellStyle name="Normal 2 5 2 2 2 5 2 2 2 2" xfId="52701"/>
    <cellStyle name="Normal 2 5 2 2 2 5 2 3" xfId="30875"/>
    <cellStyle name="Normal 2 5 2 2 2 5 3" xfId="27769"/>
    <cellStyle name="Normal 2 5 2 2 2 5 3 2" xfId="39209"/>
    <cellStyle name="Normal 2 5 2 2 2 6" xfId="8948"/>
    <cellStyle name="Normal 2 5 2 2 2 6 2" xfId="36074"/>
    <cellStyle name="Normal 2 5 2 2 2 6 2 2" xfId="44347"/>
    <cellStyle name="Normal 2 5 2 2 2 7" xfId="22455"/>
    <cellStyle name="Normal 2 5 2 2 3" xfId="872"/>
    <cellStyle name="Normal 2 5 2 2 3 2" xfId="1155"/>
    <cellStyle name="Normal 2 5 2 2 3 2 2" xfId="2919"/>
    <cellStyle name="Normal 2 5 2 2 3 2 2 2" xfId="3178"/>
    <cellStyle name="Normal 2 5 2 2 3 2 2 2 2" xfId="8134"/>
    <cellStyle name="Normal 2 5 2 2 3 2 2 2 2 2" xfId="8393"/>
    <cellStyle name="Normal 2 5 2 2 3 2 2 2 2 2 2" xfId="21686"/>
    <cellStyle name="Normal 2 5 2 2 3 2 2 2 2 2 2 2" xfId="21945"/>
    <cellStyle name="Normal 2 5 2 2 3 2 2 2 2 2 2 2 2" xfId="57012"/>
    <cellStyle name="Normal 2 5 2 2 3 2 2 2 2 2 2 2 2 2" xfId="57271"/>
    <cellStyle name="Normal 2 5 2 2 3 2 2 2 2 2 2 3" xfId="35448"/>
    <cellStyle name="Normal 2 5 2 2 3 2 2 2 2 2 3" xfId="35189"/>
    <cellStyle name="Normal 2 5 2 2 3 2 2 2 2 2 3 2" xfId="43820"/>
    <cellStyle name="Normal 2 5 2 2 3 2 2 2 2 3" xfId="13618"/>
    <cellStyle name="Normal 2 5 2 2 3 2 2 2 2 3 2" xfId="43561"/>
    <cellStyle name="Normal 2 5 2 2 3 2 2 2 2 3 2 2" xfId="48964"/>
    <cellStyle name="Normal 2 5 2 2 3 2 2 2 2 4" xfId="27103"/>
    <cellStyle name="Normal 2 5 2 2 3 2 2 2 3" xfId="13359"/>
    <cellStyle name="Normal 2 5 2 2 3 2 2 2 3 2" xfId="16835"/>
    <cellStyle name="Normal 2 5 2 2 3 2 2 2 3 2 2" xfId="48705"/>
    <cellStyle name="Normal 2 5 2 2 3 2 2 2 3 2 2 2" xfId="52163"/>
    <cellStyle name="Normal 2 5 2 2 3 2 2 2 3 3" xfId="30337"/>
    <cellStyle name="Normal 2 5 2 2 3 2 2 2 4" xfId="26844"/>
    <cellStyle name="Normal 2 5 2 2 3 2 2 2 4 2" xfId="38647"/>
    <cellStyle name="Normal 2 5 2 2 3 2 2 3" xfId="5215"/>
    <cellStyle name="Normal 2 5 2 2 3 2 2 3 2" xfId="16576"/>
    <cellStyle name="Normal 2 5 2 2 3 2 2 3 2 2" xfId="18788"/>
    <cellStyle name="Normal 2 5 2 2 3 2 2 3 2 2 2" xfId="51904"/>
    <cellStyle name="Normal 2 5 2 2 3 2 2 3 2 2 2 2" xfId="54114"/>
    <cellStyle name="Normal 2 5 2 2 3 2 2 3 2 3" xfId="32289"/>
    <cellStyle name="Normal 2 5 2 2 3 2 2 3 3" xfId="30078"/>
    <cellStyle name="Normal 2 5 2 2 3 2 2 3 3 2" xfId="40652"/>
    <cellStyle name="Normal 2 5 2 2 3 2 2 4" xfId="10418"/>
    <cellStyle name="Normal 2 5 2 2 3 2 2 4 2" xfId="38388"/>
    <cellStyle name="Normal 2 5 2 2 3 2 2 4 2 2" xfId="45781"/>
    <cellStyle name="Normal 2 5 2 2 3 2 2 5" xfId="23904"/>
    <cellStyle name="Normal 2 5 2 2 3 2 3" xfId="4955"/>
    <cellStyle name="Normal 2 5 2 2 3 2 3 2" xfId="6463"/>
    <cellStyle name="Normal 2 5 2 2 3 2 3 2 2" xfId="18528"/>
    <cellStyle name="Normal 2 5 2 2 3 2 3 2 2 2" xfId="20017"/>
    <cellStyle name="Normal 2 5 2 2 3 2 3 2 2 2 2" xfId="53854"/>
    <cellStyle name="Normal 2 5 2 2 3 2 3 2 2 2 2 2" xfId="55343"/>
    <cellStyle name="Normal 2 5 2 2 3 2 3 2 2 3" xfId="33519"/>
    <cellStyle name="Normal 2 5 2 2 3 2 3 2 3" xfId="32029"/>
    <cellStyle name="Normal 2 5 2 2 3 2 3 2 3 2" xfId="41891"/>
    <cellStyle name="Normal 2 5 2 2 3 2 3 3" xfId="11687"/>
    <cellStyle name="Normal 2 5 2 2 3 2 3 3 2" xfId="40392"/>
    <cellStyle name="Normal 2 5 2 2 3 2 3 3 2 2" xfId="47035"/>
    <cellStyle name="Normal 2 5 2 2 3 2 3 4" xfId="25172"/>
    <cellStyle name="Normal 2 5 2 2 3 2 4" xfId="10158"/>
    <cellStyle name="Normal 2 5 2 2 3 2 4 2" xfId="14845"/>
    <cellStyle name="Normal 2 5 2 2 3 2 4 2 2" xfId="45521"/>
    <cellStyle name="Normal 2 5 2 2 3 2 4 2 2 2" xfId="50184"/>
    <cellStyle name="Normal 2 5 2 2 3 2 4 3" xfId="28358"/>
    <cellStyle name="Normal 2 5 2 2 3 2 5" xfId="23644"/>
    <cellStyle name="Normal 2 5 2 2 3 2 5 2" xfId="36653"/>
    <cellStyle name="Normal 2 5 2 2 3 3" xfId="1963"/>
    <cellStyle name="Normal 2 5 2 2 3 3 2" xfId="6186"/>
    <cellStyle name="Normal 2 5 2 2 3 3 2 2" xfId="7200"/>
    <cellStyle name="Normal 2 5 2 2 3 3 2 2 2" xfId="19745"/>
    <cellStyle name="Normal 2 5 2 2 3 3 2 2 2 2" xfId="20752"/>
    <cellStyle name="Normal 2 5 2 2 3 3 2 2 2 2 2" xfId="55071"/>
    <cellStyle name="Normal 2 5 2 2 3 3 2 2 2 2 2 2" xfId="56078"/>
    <cellStyle name="Normal 2 5 2 2 3 3 2 2 2 3" xfId="34255"/>
    <cellStyle name="Normal 2 5 2 2 3 3 2 2 3" xfId="33247"/>
    <cellStyle name="Normal 2 5 2 2 3 3 2 2 3 2" xfId="42627"/>
    <cellStyle name="Normal 2 5 2 2 3 3 2 3" xfId="12425"/>
    <cellStyle name="Normal 2 5 2 2 3 3 2 3 2" xfId="41616"/>
    <cellStyle name="Normal 2 5 2 2 3 3 2 3 2 2" xfId="47771"/>
    <cellStyle name="Normal 2 5 2 2 3 3 2 4" xfId="25909"/>
    <cellStyle name="Normal 2 5 2 2 3 3 3" xfId="11411"/>
    <cellStyle name="Normal 2 5 2 2 3 3 3 2" xfId="15628"/>
    <cellStyle name="Normal 2 5 2 2 3 3 3 2 2" xfId="46762"/>
    <cellStyle name="Normal 2 5 2 2 3 3 3 2 2 2" xfId="50960"/>
    <cellStyle name="Normal 2 5 2 2 3 3 3 3" xfId="29134"/>
    <cellStyle name="Normal 2 5 2 2 3 3 4" xfId="24899"/>
    <cellStyle name="Normal 2 5 2 2 3 3 4 2" xfId="37441"/>
    <cellStyle name="Normal 2 5 2 2 3 4" xfId="3977"/>
    <cellStyle name="Normal 2 5 2 2 3 4 2" xfId="14569"/>
    <cellStyle name="Normal 2 5 2 2 3 4 2 2" xfId="17575"/>
    <cellStyle name="Normal 2 5 2 2 3 4 2 2 2" xfId="49910"/>
    <cellStyle name="Normal 2 5 2 2 3 4 2 2 2 2" xfId="52902"/>
    <cellStyle name="Normal 2 5 2 2 3 4 2 3" xfId="31077"/>
    <cellStyle name="Normal 2 5 2 2 3 4 3" xfId="28080"/>
    <cellStyle name="Normal 2 5 2 2 3 4 3 2" xfId="39421"/>
    <cellStyle name="Normal 2 5 2 2 3 5" xfId="9169"/>
    <cellStyle name="Normal 2 5 2 2 3 5 2" xfId="36379"/>
    <cellStyle name="Normal 2 5 2 2 3 5 2 2" xfId="44555"/>
    <cellStyle name="Normal 2 5 2 2 3 6" xfId="22669"/>
    <cellStyle name="Normal 2 5 2 2 4" xfId="1667"/>
    <cellStyle name="Normal 2 5 2 2 4 2" xfId="2410"/>
    <cellStyle name="Normal 2 5 2 2 4 2 2" xfId="6929"/>
    <cellStyle name="Normal 2 5 2 2 4 2 2 2" xfId="7642"/>
    <cellStyle name="Normal 2 5 2 2 4 2 2 2 2" xfId="20482"/>
    <cellStyle name="Normal 2 5 2 2 4 2 2 2 2 2" xfId="21194"/>
    <cellStyle name="Normal 2 5 2 2 4 2 2 2 2 2 2" xfId="55808"/>
    <cellStyle name="Normal 2 5 2 2 4 2 2 2 2 2 2 2" xfId="56520"/>
    <cellStyle name="Normal 2 5 2 2 4 2 2 2 2 3" xfId="34697"/>
    <cellStyle name="Normal 2 5 2 2 4 2 2 2 3" xfId="33984"/>
    <cellStyle name="Normal 2 5 2 2 4 2 2 2 3 2" xfId="43069"/>
    <cellStyle name="Normal 2 5 2 2 4 2 2 3" xfId="12867"/>
    <cellStyle name="Normal 2 5 2 2 4 2 2 3 2" xfId="42357"/>
    <cellStyle name="Normal 2 5 2 2 4 2 2 3 2 2" xfId="48213"/>
    <cellStyle name="Normal 2 5 2 2 4 2 2 4" xfId="26351"/>
    <cellStyle name="Normal 2 5 2 2 4 2 3" xfId="12153"/>
    <cellStyle name="Normal 2 5 2 2 4 2 3 2" xfId="16073"/>
    <cellStyle name="Normal 2 5 2 2 4 2 3 2 2" xfId="47500"/>
    <cellStyle name="Normal 2 5 2 2 4 2 3 2 2 2" xfId="51405"/>
    <cellStyle name="Normal 2 5 2 2 4 2 3 3" xfId="29579"/>
    <cellStyle name="Normal 2 5 2 2 4 2 4" xfId="25638"/>
    <cellStyle name="Normal 2 5 2 2 4 2 4 2" xfId="37888"/>
    <cellStyle name="Normal 2 5 2 2 4 3" xfId="4445"/>
    <cellStyle name="Normal 2 5 2 2 4 3 2" xfId="15340"/>
    <cellStyle name="Normal 2 5 2 2 4 3 2 2" xfId="18035"/>
    <cellStyle name="Normal 2 5 2 2 4 3 2 2 2" xfId="50675"/>
    <cellStyle name="Normal 2 5 2 2 4 3 2 2 2 2" xfId="53361"/>
    <cellStyle name="Normal 2 5 2 2 4 3 2 3" xfId="31536"/>
    <cellStyle name="Normal 2 5 2 2 4 3 3" xfId="28849"/>
    <cellStyle name="Normal 2 5 2 2 4 3 3 2" xfId="39887"/>
    <cellStyle name="Normal 2 5 2 2 4 4" xfId="9649"/>
    <cellStyle name="Normal 2 5 2 2 4 4 2" xfId="37151"/>
    <cellStyle name="Normal 2 5 2 2 4 4 2 2" xfId="45027"/>
    <cellStyle name="Normal 2 5 2 2 4 5" xfId="23150"/>
    <cellStyle name="Normal 2 5 2 2 5" xfId="3672"/>
    <cellStyle name="Normal 2 5 2 2 5 2" xfId="5651"/>
    <cellStyle name="Normal 2 5 2 2 5 2 2" xfId="17297"/>
    <cellStyle name="Normal 2 5 2 2 5 2 2 2" xfId="19223"/>
    <cellStyle name="Normal 2 5 2 2 5 2 2 2 2" xfId="52624"/>
    <cellStyle name="Normal 2 5 2 2 5 2 2 2 2 2" xfId="54549"/>
    <cellStyle name="Normal 2 5 2 2 5 2 2 3" xfId="32724"/>
    <cellStyle name="Normal 2 5 2 2 5 2 3" xfId="30798"/>
    <cellStyle name="Normal 2 5 2 2 5 2 3 2" xfId="41087"/>
    <cellStyle name="Normal 2 5 2 2 5 3" xfId="10868"/>
    <cellStyle name="Normal 2 5 2 2 5 3 2" xfId="39125"/>
    <cellStyle name="Normal 2 5 2 2 5 3 2 2" xfId="46230"/>
    <cellStyle name="Normal 2 5 2 2 5 4" xfId="24361"/>
    <cellStyle name="Normal 2 5 2 2 6" xfId="8865"/>
    <cellStyle name="Normal 2 5 2 2 6 2" xfId="14035"/>
    <cellStyle name="Normal 2 5 2 2 6 2 2" xfId="44269"/>
    <cellStyle name="Normal 2 5 2 2 6 2 2 2" xfId="49381"/>
    <cellStyle name="Normal 2 5 2 2 6 3" xfId="27532"/>
    <cellStyle name="Normal 2 5 2 2 7" xfId="22377"/>
    <cellStyle name="Normal 2 5 2 2 7 2" xfId="35847"/>
    <cellStyle name="Normal 2 5 2 3" xfId="437"/>
    <cellStyle name="Normal 2 5 2 3 2" xfId="1044"/>
    <cellStyle name="Normal 2 5 2 3 2 2" xfId="1259"/>
    <cellStyle name="Normal 2 5 2 3 2 2 2" xfId="3080"/>
    <cellStyle name="Normal 2 5 2 3 2 2 2 2" xfId="3277"/>
    <cellStyle name="Normal 2 5 2 3 2 2 2 2 2" xfId="8295"/>
    <cellStyle name="Normal 2 5 2 3 2 2 2 2 2 2" xfId="8492"/>
    <cellStyle name="Normal 2 5 2 3 2 2 2 2 2 2 2" xfId="21847"/>
    <cellStyle name="Normal 2 5 2 3 2 2 2 2 2 2 2 2" xfId="22044"/>
    <cellStyle name="Normal 2 5 2 3 2 2 2 2 2 2 2 2 2" xfId="57173"/>
    <cellStyle name="Normal 2 5 2 3 2 2 2 2 2 2 2 2 2 2" xfId="57370"/>
    <cellStyle name="Normal 2 5 2 3 2 2 2 2 2 2 2 3" xfId="35547"/>
    <cellStyle name="Normal 2 5 2 3 2 2 2 2 2 2 3" xfId="35350"/>
    <cellStyle name="Normal 2 5 2 3 2 2 2 2 2 2 3 2" xfId="43919"/>
    <cellStyle name="Normal 2 5 2 3 2 2 2 2 2 3" xfId="13717"/>
    <cellStyle name="Normal 2 5 2 3 2 2 2 2 2 3 2" xfId="43722"/>
    <cellStyle name="Normal 2 5 2 3 2 2 2 2 2 3 2 2" xfId="49063"/>
    <cellStyle name="Normal 2 5 2 3 2 2 2 2 2 4" xfId="27202"/>
    <cellStyle name="Normal 2 5 2 3 2 2 2 2 3" xfId="13520"/>
    <cellStyle name="Normal 2 5 2 3 2 2 2 2 3 2" xfId="16934"/>
    <cellStyle name="Normal 2 5 2 3 2 2 2 2 3 2 2" xfId="48866"/>
    <cellStyle name="Normal 2 5 2 3 2 2 2 2 3 2 2 2" xfId="52262"/>
    <cellStyle name="Normal 2 5 2 3 2 2 2 2 3 3" xfId="30436"/>
    <cellStyle name="Normal 2 5 2 3 2 2 2 2 4" xfId="27005"/>
    <cellStyle name="Normal 2 5 2 3 2 2 2 2 4 2" xfId="38746"/>
    <cellStyle name="Normal 2 5 2 3 2 2 2 3" xfId="5314"/>
    <cellStyle name="Normal 2 5 2 3 2 2 2 3 2" xfId="16737"/>
    <cellStyle name="Normal 2 5 2 3 2 2 2 3 2 2" xfId="18887"/>
    <cellStyle name="Normal 2 5 2 3 2 2 2 3 2 2 2" xfId="52065"/>
    <cellStyle name="Normal 2 5 2 3 2 2 2 3 2 2 2 2" xfId="54213"/>
    <cellStyle name="Normal 2 5 2 3 2 2 2 3 2 3" xfId="32388"/>
    <cellStyle name="Normal 2 5 2 3 2 2 2 3 3" xfId="30239"/>
    <cellStyle name="Normal 2 5 2 3 2 2 2 3 3 2" xfId="40751"/>
    <cellStyle name="Normal 2 5 2 3 2 2 2 4" xfId="10517"/>
    <cellStyle name="Normal 2 5 2 3 2 2 2 4 2" xfId="38549"/>
    <cellStyle name="Normal 2 5 2 3 2 2 2 4 2 2" xfId="45880"/>
    <cellStyle name="Normal 2 5 2 3 2 2 2 5" xfId="24003"/>
    <cellStyle name="Normal 2 5 2 3 2 2 3" xfId="5117"/>
    <cellStyle name="Normal 2 5 2 3 2 2 3 2" xfId="6567"/>
    <cellStyle name="Normal 2 5 2 3 2 2 3 2 2" xfId="18690"/>
    <cellStyle name="Normal 2 5 2 3 2 2 3 2 2 2" xfId="20120"/>
    <cellStyle name="Normal 2 5 2 3 2 2 3 2 2 2 2" xfId="54016"/>
    <cellStyle name="Normal 2 5 2 3 2 2 3 2 2 2 2 2" xfId="55446"/>
    <cellStyle name="Normal 2 5 2 3 2 2 3 2 2 3" xfId="33622"/>
    <cellStyle name="Normal 2 5 2 3 2 2 3 2 3" xfId="32191"/>
    <cellStyle name="Normal 2 5 2 3 2 2 3 2 3 2" xfId="41995"/>
    <cellStyle name="Normal 2 5 2 3 2 2 3 3" xfId="11790"/>
    <cellStyle name="Normal 2 5 2 3 2 2 3 3 2" xfId="40554"/>
    <cellStyle name="Normal 2 5 2 3 2 2 3 3 2 2" xfId="47138"/>
    <cellStyle name="Normal 2 5 2 3 2 2 3 4" xfId="25275"/>
    <cellStyle name="Normal 2 5 2 3 2 2 4" xfId="10320"/>
    <cellStyle name="Normal 2 5 2 3 2 2 4 2" xfId="14948"/>
    <cellStyle name="Normal 2 5 2 3 2 2 4 2 2" xfId="45683"/>
    <cellStyle name="Normal 2 5 2 3 2 2 4 2 2 2" xfId="50287"/>
    <cellStyle name="Normal 2 5 2 3 2 2 4 3" xfId="28461"/>
    <cellStyle name="Normal 2 5 2 3 2 2 5" xfId="23806"/>
    <cellStyle name="Normal 2 5 2 3 2 2 5 2" xfId="36756"/>
    <cellStyle name="Normal 2 5 2 3 2 3" xfId="2065"/>
    <cellStyle name="Normal 2 5 2 3 2 3 2" xfId="6354"/>
    <cellStyle name="Normal 2 5 2 3 2 3 2 2" xfId="7299"/>
    <cellStyle name="Normal 2 5 2 3 2 3 2 2 2" xfId="19911"/>
    <cellStyle name="Normal 2 5 2 3 2 3 2 2 2 2" xfId="20851"/>
    <cellStyle name="Normal 2 5 2 3 2 3 2 2 2 2 2" xfId="55237"/>
    <cellStyle name="Normal 2 5 2 3 2 3 2 2 2 2 2 2" xfId="56177"/>
    <cellStyle name="Normal 2 5 2 3 2 3 2 2 2 3" xfId="34354"/>
    <cellStyle name="Normal 2 5 2 3 2 3 2 2 3" xfId="33413"/>
    <cellStyle name="Normal 2 5 2 3 2 3 2 2 3 2" xfId="42726"/>
    <cellStyle name="Normal 2 5 2 3 2 3 2 3" xfId="12524"/>
    <cellStyle name="Normal 2 5 2 3 2 3 2 3 2" xfId="41783"/>
    <cellStyle name="Normal 2 5 2 3 2 3 2 3 2 2" xfId="47870"/>
    <cellStyle name="Normal 2 5 2 3 2 3 2 4" xfId="26008"/>
    <cellStyle name="Normal 2 5 2 3 2 3 3" xfId="11580"/>
    <cellStyle name="Normal 2 5 2 3 2 3 3 2" xfId="15729"/>
    <cellStyle name="Normal 2 5 2 3 2 3 3 2 2" xfId="46929"/>
    <cellStyle name="Normal 2 5 2 3 2 3 3 2 2 2" xfId="51061"/>
    <cellStyle name="Normal 2 5 2 3 2 3 3 3" xfId="29235"/>
    <cellStyle name="Normal 2 5 2 3 2 3 4" xfId="25066"/>
    <cellStyle name="Normal 2 5 2 3 2 3 4 2" xfId="37543"/>
    <cellStyle name="Normal 2 5 2 3 2 4" xfId="4081"/>
    <cellStyle name="Normal 2 5 2 3 2 4 2" xfId="14737"/>
    <cellStyle name="Normal 2 5 2 3 2 4 2 2" xfId="17674"/>
    <cellStyle name="Normal 2 5 2 3 2 4 2 2 2" xfId="50076"/>
    <cellStyle name="Normal 2 5 2 3 2 4 2 2 2 2" xfId="53001"/>
    <cellStyle name="Normal 2 5 2 3 2 4 2 3" xfId="31176"/>
    <cellStyle name="Normal 2 5 2 3 2 4 3" xfId="28249"/>
    <cellStyle name="Normal 2 5 2 3 2 4 3 2" xfId="39524"/>
    <cellStyle name="Normal 2 5 2 3 2 5" xfId="9272"/>
    <cellStyle name="Normal 2 5 2 3 2 5 2" xfId="36545"/>
    <cellStyle name="Normal 2 5 2 3 2 5 2 2" xfId="44654"/>
    <cellStyle name="Normal 2 5 2 3 2 6" xfId="22768"/>
    <cellStyle name="Normal 2 5 2 3 3" xfId="1849"/>
    <cellStyle name="Normal 2 5 2 3 3 2" xfId="2537"/>
    <cellStyle name="Normal 2 5 2 3 3 2 2" xfId="7099"/>
    <cellStyle name="Normal 2 5 2 3 3 2 2 2" xfId="7762"/>
    <cellStyle name="Normal 2 5 2 3 3 2 2 2 2" xfId="20652"/>
    <cellStyle name="Normal 2 5 2 3 3 2 2 2 2 2" xfId="21314"/>
    <cellStyle name="Normal 2 5 2 3 3 2 2 2 2 2 2" xfId="55978"/>
    <cellStyle name="Normal 2 5 2 3 3 2 2 2 2 2 2 2" xfId="56640"/>
    <cellStyle name="Normal 2 5 2 3 3 2 2 2 2 3" xfId="34817"/>
    <cellStyle name="Normal 2 5 2 3 3 2 2 2 3" xfId="34154"/>
    <cellStyle name="Normal 2 5 2 3 3 2 2 2 3 2" xfId="43189"/>
    <cellStyle name="Normal 2 5 2 3 3 2 2 3" xfId="12987"/>
    <cellStyle name="Normal 2 5 2 3 3 2 2 3 2" xfId="42527"/>
    <cellStyle name="Normal 2 5 2 3 3 2 2 3 2 2" xfId="48333"/>
    <cellStyle name="Normal 2 5 2 3 3 2 2 4" xfId="26471"/>
    <cellStyle name="Normal 2 5 2 3 3 2 3" xfId="12324"/>
    <cellStyle name="Normal 2 5 2 3 3 2 3 2" xfId="16198"/>
    <cellStyle name="Normal 2 5 2 3 3 2 3 2 2" xfId="47671"/>
    <cellStyle name="Normal 2 5 2 3 3 2 3 2 2 2" xfId="51529"/>
    <cellStyle name="Normal 2 5 2 3 3 2 3 3" xfId="29703"/>
    <cellStyle name="Normal 2 5 2 3 3 2 4" xfId="25809"/>
    <cellStyle name="Normal 2 5 2 3 3 2 4 2" xfId="38012"/>
    <cellStyle name="Normal 2 5 2 3 3 3" xfId="4572"/>
    <cellStyle name="Normal 2 5 2 3 3 3 2" xfId="15520"/>
    <cellStyle name="Normal 2 5 2 3 3 3 2 2" xfId="18155"/>
    <cellStyle name="Normal 2 5 2 3 3 3 2 2 2" xfId="50853"/>
    <cellStyle name="Normal 2 5 2 3 3 3 2 2 2 2" xfId="53481"/>
    <cellStyle name="Normal 2 5 2 3 3 3 2 3" xfId="31656"/>
    <cellStyle name="Normal 2 5 2 3 3 3 3" xfId="29027"/>
    <cellStyle name="Normal 2 5 2 3 3 3 3 2" xfId="40013"/>
    <cellStyle name="Normal 2 5 2 3 3 4" xfId="9775"/>
    <cellStyle name="Normal 2 5 2 3 3 4 2" xfId="37330"/>
    <cellStyle name="Normal 2 5 2 3 3 4 2 2" xfId="45148"/>
    <cellStyle name="Normal 2 5 2 3 3 5" xfId="23271"/>
    <cellStyle name="Normal 2 5 2 3 4" xfId="3862"/>
    <cellStyle name="Normal 2 5 2 3 4 2" xfId="5780"/>
    <cellStyle name="Normal 2 5 2 3 4 2 2" xfId="17475"/>
    <cellStyle name="Normal 2 5 2 3 4 2 2 2" xfId="19348"/>
    <cellStyle name="Normal 2 5 2 3 4 2 2 2 2" xfId="52802"/>
    <cellStyle name="Normal 2 5 2 3 4 2 2 2 2 2" xfId="54674"/>
    <cellStyle name="Normal 2 5 2 3 4 2 2 3" xfId="32849"/>
    <cellStyle name="Normal 2 5 2 3 4 2 3" xfId="30976"/>
    <cellStyle name="Normal 2 5 2 3 4 2 3 2" xfId="41215"/>
    <cellStyle name="Normal 2 5 2 3 4 3" xfId="11000"/>
    <cellStyle name="Normal 2 5 2 3 4 3 2" xfId="39311"/>
    <cellStyle name="Normal 2 5 2 3 4 3 2 2" xfId="46359"/>
    <cellStyle name="Normal 2 5 2 3 4 4" xfId="24493"/>
    <cellStyle name="Normal 2 5 2 3 5" xfId="9054"/>
    <cellStyle name="Normal 2 5 2 3 5 2" xfId="14163"/>
    <cellStyle name="Normal 2 5 2 3 5 2 2" xfId="44451"/>
    <cellStyle name="Normal 2 5 2 3 5 2 2 2" xfId="49508"/>
    <cellStyle name="Normal 2 5 2 3 5 3" xfId="27665"/>
    <cellStyle name="Normal 2 5 2 3 6" xfId="22562"/>
    <cellStyle name="Normal 2 5 2 3 6 2" xfId="35974"/>
    <cellStyle name="Normal 2 5 2 4" xfId="758"/>
    <cellStyle name="Normal 2 5 2 4 2" xfId="2307"/>
    <cellStyle name="Normal 2 5 2 4 2 2" xfId="2821"/>
    <cellStyle name="Normal 2 5 2 4 2 2 2" xfId="7541"/>
    <cellStyle name="Normal 2 5 2 4 2 2 2 2" xfId="8037"/>
    <cellStyle name="Normal 2 5 2 4 2 2 2 2 2" xfId="21093"/>
    <cellStyle name="Normal 2 5 2 4 2 2 2 2 2 2" xfId="21589"/>
    <cellStyle name="Normal 2 5 2 4 2 2 2 2 2 2 2" xfId="56419"/>
    <cellStyle name="Normal 2 5 2 4 2 2 2 2 2 2 2 2" xfId="56915"/>
    <cellStyle name="Normal 2 5 2 4 2 2 2 2 2 3" xfId="35092"/>
    <cellStyle name="Normal 2 5 2 4 2 2 2 2 3" xfId="34596"/>
    <cellStyle name="Normal 2 5 2 4 2 2 2 2 3 2" xfId="43464"/>
    <cellStyle name="Normal 2 5 2 4 2 2 2 3" xfId="13262"/>
    <cellStyle name="Normal 2 5 2 4 2 2 2 3 2" xfId="42968"/>
    <cellStyle name="Normal 2 5 2 4 2 2 2 3 2 2" xfId="48608"/>
    <cellStyle name="Normal 2 5 2 4 2 2 2 4" xfId="26746"/>
    <cellStyle name="Normal 2 5 2 4 2 2 3" xfId="12766"/>
    <cellStyle name="Normal 2 5 2 4 2 2 3 2" xfId="16479"/>
    <cellStyle name="Normal 2 5 2 4 2 2 3 2 2" xfId="48112"/>
    <cellStyle name="Normal 2 5 2 4 2 2 3 2 2 2" xfId="51807"/>
    <cellStyle name="Normal 2 5 2 4 2 2 3 3" xfId="29981"/>
    <cellStyle name="Normal 2 5 2 4 2 2 4" xfId="26250"/>
    <cellStyle name="Normal 2 5 2 4 2 2 4 2" xfId="38291"/>
    <cellStyle name="Normal 2 5 2 4 2 3" xfId="4857"/>
    <cellStyle name="Normal 2 5 2 4 2 3 2" xfId="15971"/>
    <cellStyle name="Normal 2 5 2 4 2 3 2 2" xfId="18431"/>
    <cellStyle name="Normal 2 5 2 4 2 3 2 2 2" xfId="51303"/>
    <cellStyle name="Normal 2 5 2 4 2 3 2 2 2 2" xfId="53757"/>
    <cellStyle name="Normal 2 5 2 4 2 3 2 3" xfId="31932"/>
    <cellStyle name="Normal 2 5 2 4 2 3 3" xfId="29477"/>
    <cellStyle name="Normal 2 5 2 4 2 3 3 2" xfId="40294"/>
    <cellStyle name="Normal 2 5 2 4 2 4" xfId="10060"/>
    <cellStyle name="Normal 2 5 2 4 2 4 2" xfId="37785"/>
    <cellStyle name="Normal 2 5 2 4 2 4 2 2" xfId="45424"/>
    <cellStyle name="Normal 2 5 2 4 2 5" xfId="23547"/>
    <cellStyle name="Normal 2 5 2 4 3" xfId="4335"/>
    <cellStyle name="Normal 2 5 2 4 3 2" xfId="6076"/>
    <cellStyle name="Normal 2 5 2 4 3 2 2" xfId="17928"/>
    <cellStyle name="Normal 2 5 2 4 3 2 2 2" xfId="19640"/>
    <cellStyle name="Normal 2 5 2 4 3 2 2 2 2" xfId="53255"/>
    <cellStyle name="Normal 2 5 2 4 3 2 2 2 2 2" xfId="54966"/>
    <cellStyle name="Normal 2 5 2 4 3 2 2 3" xfId="33141"/>
    <cellStyle name="Normal 2 5 2 4 3 2 3" xfId="31430"/>
    <cellStyle name="Normal 2 5 2 4 3 2 3 2" xfId="41510"/>
    <cellStyle name="Normal 2 5 2 4 3 3" xfId="11302"/>
    <cellStyle name="Normal 2 5 2 4 3 3 2" xfId="39778"/>
    <cellStyle name="Normal 2 5 2 4 3 3 2 2" xfId="46657"/>
    <cellStyle name="Normal 2 5 2 4 3 4" xfId="24794"/>
    <cellStyle name="Normal 2 5 2 4 4" xfId="9531"/>
    <cellStyle name="Normal 2 5 2 4 4 2" xfId="14462"/>
    <cellStyle name="Normal 2 5 2 4 4 2 2" xfId="44913"/>
    <cellStyle name="Normal 2 5 2 4 4 2 2 2" xfId="49804"/>
    <cellStyle name="Normal 2 5 2 4 4 3" xfId="27972"/>
    <cellStyle name="Normal 2 5 2 4 5" xfId="23029"/>
    <cellStyle name="Normal 2 5 2 4 5 2" xfId="36272"/>
    <cellStyle name="Normal 2 5 2 5" xfId="1544"/>
    <cellStyle name="Normal 2 5 2 5 2" xfId="5546"/>
    <cellStyle name="Normal 2 5 2 5 2 2" xfId="6823"/>
    <cellStyle name="Normal 2 5 2 5 2 2 2" xfId="19119"/>
    <cellStyle name="Normal 2 5 2 5 2 2 2 2" xfId="20376"/>
    <cellStyle name="Normal 2 5 2 5 2 2 2 2 2" xfId="54445"/>
    <cellStyle name="Normal 2 5 2 5 2 2 2 2 2 2" xfId="55702"/>
    <cellStyle name="Normal 2 5 2 5 2 2 2 3" xfId="33878"/>
    <cellStyle name="Normal 2 5 2 5 2 2 3" xfId="32620"/>
    <cellStyle name="Normal 2 5 2 5 2 2 3 2" xfId="42251"/>
    <cellStyle name="Normal 2 5 2 5 2 3" xfId="12047"/>
    <cellStyle name="Normal 2 5 2 5 2 3 2" xfId="40983"/>
    <cellStyle name="Normal 2 5 2 5 2 3 2 2" xfId="47394"/>
    <cellStyle name="Normal 2 5 2 5 2 4" xfId="25532"/>
    <cellStyle name="Normal 2 5 2 5 3" xfId="10753"/>
    <cellStyle name="Normal 2 5 2 5 3 2" xfId="15220"/>
    <cellStyle name="Normal 2 5 2 5 3 2 2" xfId="46115"/>
    <cellStyle name="Normal 2 5 2 5 3 2 2 2" xfId="50558"/>
    <cellStyle name="Normal 2 5 2 5 3 3" xfId="28732"/>
    <cellStyle name="Normal 2 5 2 5 4" xfId="24240"/>
    <cellStyle name="Normal 2 5 2 5 4 2" xfId="37033"/>
    <cellStyle name="Normal 2 5 2 6" xfId="3545"/>
    <cellStyle name="Normal 2 5 2 6 2" xfId="13931"/>
    <cellStyle name="Normal 2 5 2 6 2 2" xfId="17188"/>
    <cellStyle name="Normal 2 5 2 6 2 2 2" xfId="49277"/>
    <cellStyle name="Normal 2 5 2 6 2 2 2 2" xfId="52515"/>
    <cellStyle name="Normal 2 5 2 6 2 3" xfId="30689"/>
    <cellStyle name="Normal 2 5 2 6 3" xfId="27417"/>
    <cellStyle name="Normal 2 5 2 6 3 2" xfId="39006"/>
    <cellStyle name="Normal 2 5 2 7" xfId="8737"/>
    <cellStyle name="Normal 2 5 2 7 2" xfId="23038"/>
    <cellStyle name="Normal 2 5 2 7 2 2" xfId="44156"/>
    <cellStyle name="Normal 2 5 2 8" xfId="22260"/>
    <cellStyle name="Normal 2 5 3" xfId="266"/>
    <cellStyle name="Normal 2 5 3 2" xfId="505"/>
    <cellStyle name="Normal 2 5 3 2 2" xfId="1132"/>
    <cellStyle name="Normal 2 5 3 2 2 2" xfId="1316"/>
    <cellStyle name="Normal 2 5 3 2 2 2 2" xfId="3157"/>
    <cellStyle name="Normal 2 5 3 2 2 2 2 2" xfId="3334"/>
    <cellStyle name="Normal 2 5 3 2 2 2 2 2 2" xfId="8372"/>
    <cellStyle name="Normal 2 5 3 2 2 2 2 2 2 2" xfId="8549"/>
    <cellStyle name="Normal 2 5 3 2 2 2 2 2 2 2 2" xfId="21924"/>
    <cellStyle name="Normal 2 5 3 2 2 2 2 2 2 2 2 2" xfId="22101"/>
    <cellStyle name="Normal 2 5 3 2 2 2 2 2 2 2 2 2 2" xfId="57250"/>
    <cellStyle name="Normal 2 5 3 2 2 2 2 2 2 2 2 2 2 2" xfId="57427"/>
    <cellStyle name="Normal 2 5 3 2 2 2 2 2 2 2 2 3" xfId="35604"/>
    <cellStyle name="Normal 2 5 3 2 2 2 2 2 2 2 3" xfId="35427"/>
    <cellStyle name="Normal 2 5 3 2 2 2 2 2 2 2 3 2" xfId="43976"/>
    <cellStyle name="Normal 2 5 3 2 2 2 2 2 2 3" xfId="13774"/>
    <cellStyle name="Normal 2 5 3 2 2 2 2 2 2 3 2" xfId="43799"/>
    <cellStyle name="Normal 2 5 3 2 2 2 2 2 2 3 2 2" xfId="49120"/>
    <cellStyle name="Normal 2 5 3 2 2 2 2 2 2 4" xfId="27259"/>
    <cellStyle name="Normal 2 5 3 2 2 2 2 2 3" xfId="13597"/>
    <cellStyle name="Normal 2 5 3 2 2 2 2 2 3 2" xfId="16991"/>
    <cellStyle name="Normal 2 5 3 2 2 2 2 2 3 2 2" xfId="48943"/>
    <cellStyle name="Normal 2 5 3 2 2 2 2 2 3 2 2 2" xfId="52319"/>
    <cellStyle name="Normal 2 5 3 2 2 2 2 2 3 3" xfId="30493"/>
    <cellStyle name="Normal 2 5 3 2 2 2 2 2 4" xfId="27082"/>
    <cellStyle name="Normal 2 5 3 2 2 2 2 2 4 2" xfId="38803"/>
    <cellStyle name="Normal 2 5 3 2 2 2 2 3" xfId="5371"/>
    <cellStyle name="Normal 2 5 3 2 2 2 2 3 2" xfId="16814"/>
    <cellStyle name="Normal 2 5 3 2 2 2 2 3 2 2" xfId="18944"/>
    <cellStyle name="Normal 2 5 3 2 2 2 2 3 2 2 2" xfId="52142"/>
    <cellStyle name="Normal 2 5 3 2 2 2 2 3 2 2 2 2" xfId="54270"/>
    <cellStyle name="Normal 2 5 3 2 2 2 2 3 2 3" xfId="32445"/>
    <cellStyle name="Normal 2 5 3 2 2 2 2 3 3" xfId="30316"/>
    <cellStyle name="Normal 2 5 3 2 2 2 2 3 3 2" xfId="40808"/>
    <cellStyle name="Normal 2 5 3 2 2 2 2 4" xfId="10574"/>
    <cellStyle name="Normal 2 5 3 2 2 2 2 4 2" xfId="38626"/>
    <cellStyle name="Normal 2 5 3 2 2 2 2 4 2 2" xfId="45937"/>
    <cellStyle name="Normal 2 5 3 2 2 2 2 5" xfId="24060"/>
    <cellStyle name="Normal 2 5 3 2 2 2 3" xfId="5194"/>
    <cellStyle name="Normal 2 5 3 2 2 2 3 2" xfId="6624"/>
    <cellStyle name="Normal 2 5 3 2 2 2 3 2 2" xfId="18767"/>
    <cellStyle name="Normal 2 5 3 2 2 2 3 2 2 2" xfId="20177"/>
    <cellStyle name="Normal 2 5 3 2 2 2 3 2 2 2 2" xfId="54093"/>
    <cellStyle name="Normal 2 5 3 2 2 2 3 2 2 2 2 2" xfId="55503"/>
    <cellStyle name="Normal 2 5 3 2 2 2 3 2 2 3" xfId="33679"/>
    <cellStyle name="Normal 2 5 3 2 2 2 3 2 3" xfId="32268"/>
    <cellStyle name="Normal 2 5 3 2 2 2 3 2 3 2" xfId="42052"/>
    <cellStyle name="Normal 2 5 3 2 2 2 3 3" xfId="11847"/>
    <cellStyle name="Normal 2 5 3 2 2 2 3 3 2" xfId="40631"/>
    <cellStyle name="Normal 2 5 3 2 2 2 3 3 2 2" xfId="47195"/>
    <cellStyle name="Normal 2 5 3 2 2 2 3 4" xfId="25332"/>
    <cellStyle name="Normal 2 5 3 2 2 2 4" xfId="10397"/>
    <cellStyle name="Normal 2 5 3 2 2 2 4 2" xfId="15005"/>
    <cellStyle name="Normal 2 5 3 2 2 2 4 2 2" xfId="45760"/>
    <cellStyle name="Normal 2 5 3 2 2 2 4 2 2 2" xfId="50344"/>
    <cellStyle name="Normal 2 5 3 2 2 2 4 3" xfId="28518"/>
    <cellStyle name="Normal 2 5 3 2 2 2 5" xfId="23883"/>
    <cellStyle name="Normal 2 5 3 2 2 2 5 2" xfId="36813"/>
    <cellStyle name="Normal 2 5 3 2 2 3" xfId="2123"/>
    <cellStyle name="Normal 2 5 3 2 2 3 2" xfId="6440"/>
    <cellStyle name="Normal 2 5 3 2 2 3 2 2" xfId="7357"/>
    <cellStyle name="Normal 2 5 3 2 2 3 2 2 2" xfId="19995"/>
    <cellStyle name="Normal 2 5 3 2 2 3 2 2 2 2" xfId="20909"/>
    <cellStyle name="Normal 2 5 3 2 2 3 2 2 2 2 2" xfId="55321"/>
    <cellStyle name="Normal 2 5 3 2 2 3 2 2 2 2 2 2" xfId="56235"/>
    <cellStyle name="Normal 2 5 3 2 2 3 2 2 2 3" xfId="34412"/>
    <cellStyle name="Normal 2 5 3 2 2 3 2 2 3" xfId="33497"/>
    <cellStyle name="Normal 2 5 3 2 2 3 2 2 3 2" xfId="42784"/>
    <cellStyle name="Normal 2 5 3 2 2 3 2 3" xfId="12582"/>
    <cellStyle name="Normal 2 5 3 2 2 3 2 3 2" xfId="41868"/>
    <cellStyle name="Normal 2 5 3 2 2 3 2 3 2 2" xfId="47928"/>
    <cellStyle name="Normal 2 5 3 2 2 3 2 4" xfId="26066"/>
    <cellStyle name="Normal 2 5 3 2 2 3 3" xfId="11664"/>
    <cellStyle name="Normal 2 5 3 2 2 3 3 2" xfId="15787"/>
    <cellStyle name="Normal 2 5 3 2 2 3 3 2 2" xfId="47013"/>
    <cellStyle name="Normal 2 5 3 2 2 3 3 2 2 2" xfId="51119"/>
    <cellStyle name="Normal 2 5 3 2 2 3 3 3" xfId="29293"/>
    <cellStyle name="Normal 2 5 3 2 2 3 4" xfId="25150"/>
    <cellStyle name="Normal 2 5 3 2 2 3 4 2" xfId="37601"/>
    <cellStyle name="Normal 2 5 3 2 2 4" xfId="4139"/>
    <cellStyle name="Normal 2 5 3 2 2 4 2" xfId="14823"/>
    <cellStyle name="Normal 2 5 3 2 2 4 2 2" xfId="17732"/>
    <cellStyle name="Normal 2 5 3 2 2 4 2 2 2" xfId="50162"/>
    <cellStyle name="Normal 2 5 3 2 2 4 2 2 2 2" xfId="53059"/>
    <cellStyle name="Normal 2 5 3 2 2 4 2 3" xfId="31234"/>
    <cellStyle name="Normal 2 5 3 2 2 4 3" xfId="28335"/>
    <cellStyle name="Normal 2 5 3 2 2 4 3 2" xfId="39582"/>
    <cellStyle name="Normal 2 5 3 2 2 5" xfId="9330"/>
    <cellStyle name="Normal 2 5 3 2 2 5 2" xfId="36631"/>
    <cellStyle name="Normal 2 5 3 2 2 5 2 2" xfId="44712"/>
    <cellStyle name="Normal 2 5 3 2 2 6" xfId="22826"/>
    <cellStyle name="Normal 2 5 3 2 3" xfId="1940"/>
    <cellStyle name="Normal 2 5 3 2 3 2" xfId="2602"/>
    <cellStyle name="Normal 2 5 3 2 3 2 2" xfId="7179"/>
    <cellStyle name="Normal 2 5 3 2 3 2 2 2" xfId="7822"/>
    <cellStyle name="Normal 2 5 3 2 3 2 2 2 2" xfId="20731"/>
    <cellStyle name="Normal 2 5 3 2 3 2 2 2 2 2" xfId="21374"/>
    <cellStyle name="Normal 2 5 3 2 3 2 2 2 2 2 2" xfId="56057"/>
    <cellStyle name="Normal 2 5 3 2 3 2 2 2 2 2 2 2" xfId="56700"/>
    <cellStyle name="Normal 2 5 3 2 3 2 2 2 2 3" xfId="34877"/>
    <cellStyle name="Normal 2 5 3 2 3 2 2 2 3" xfId="34234"/>
    <cellStyle name="Normal 2 5 3 2 3 2 2 2 3 2" xfId="43249"/>
    <cellStyle name="Normal 2 5 3 2 3 2 2 3" xfId="13047"/>
    <cellStyle name="Normal 2 5 3 2 3 2 2 3 2" xfId="42606"/>
    <cellStyle name="Normal 2 5 3 2 3 2 2 3 2 2" xfId="48393"/>
    <cellStyle name="Normal 2 5 3 2 3 2 2 4" xfId="26531"/>
    <cellStyle name="Normal 2 5 3 2 3 2 3" xfId="12404"/>
    <cellStyle name="Normal 2 5 3 2 3 2 3 2" xfId="16261"/>
    <cellStyle name="Normal 2 5 3 2 3 2 3 2 2" xfId="47750"/>
    <cellStyle name="Normal 2 5 3 2 3 2 3 2 2 2" xfId="51591"/>
    <cellStyle name="Normal 2 5 3 2 3 2 3 3" xfId="29765"/>
    <cellStyle name="Normal 2 5 3 2 3 2 4" xfId="25888"/>
    <cellStyle name="Normal 2 5 3 2 3 2 4 2" xfId="38075"/>
    <cellStyle name="Normal 2 5 3 2 3 3" xfId="4636"/>
    <cellStyle name="Normal 2 5 3 2 3 3 2" xfId="15605"/>
    <cellStyle name="Normal 2 5 3 2 3 3 2 2" xfId="18216"/>
    <cellStyle name="Normal 2 5 3 2 3 3 2 2 2" xfId="50937"/>
    <cellStyle name="Normal 2 5 3 2 3 3 2 2 2 2" xfId="53542"/>
    <cellStyle name="Normal 2 5 3 2 3 3 2 3" xfId="31717"/>
    <cellStyle name="Normal 2 5 3 2 3 3 3" xfId="29111"/>
    <cellStyle name="Normal 2 5 3 2 3 3 3 2" xfId="40075"/>
    <cellStyle name="Normal 2 5 3 2 3 4" xfId="9839"/>
    <cellStyle name="Normal 2 5 3 2 3 4 2" xfId="37418"/>
    <cellStyle name="Normal 2 5 3 2 3 4 2 2" xfId="45209"/>
    <cellStyle name="Normal 2 5 3 2 3 5" xfId="23332"/>
    <cellStyle name="Normal 2 5 3 2 4" xfId="3954"/>
    <cellStyle name="Normal 2 5 3 2 4 2" xfId="5840"/>
    <cellStyle name="Normal 2 5 3 2 4 2 2" xfId="17554"/>
    <cellStyle name="Normal 2 5 3 2 4 2 2 2" xfId="19408"/>
    <cellStyle name="Normal 2 5 3 2 4 2 2 2 2" xfId="52881"/>
    <cellStyle name="Normal 2 5 3 2 4 2 2 2 2 2" xfId="54734"/>
    <cellStyle name="Normal 2 5 3 2 4 2 2 3" xfId="32909"/>
    <cellStyle name="Normal 2 5 3 2 4 2 3" xfId="31056"/>
    <cellStyle name="Normal 2 5 3 2 4 2 3 2" xfId="41275"/>
    <cellStyle name="Normal 2 5 3 2 4 3" xfId="11063"/>
    <cellStyle name="Normal 2 5 3 2 4 3 2" xfId="39398"/>
    <cellStyle name="Normal 2 5 3 2 4 3 2 2" xfId="46422"/>
    <cellStyle name="Normal 2 5 3 2 4 4" xfId="24557"/>
    <cellStyle name="Normal 2 5 3 2 5" xfId="9146"/>
    <cellStyle name="Normal 2 5 3 2 5 2" xfId="14224"/>
    <cellStyle name="Normal 2 5 3 2 5 2 2" xfId="44534"/>
    <cellStyle name="Normal 2 5 3 2 5 2 2 2" xfId="49569"/>
    <cellStyle name="Normal 2 5 3 2 5 3" xfId="27731"/>
    <cellStyle name="Normal 2 5 3 2 6" xfId="22648"/>
    <cellStyle name="Normal 2 5 3 2 6 2" xfId="36036"/>
    <cellStyle name="Normal 2 5 3 3" xfId="831"/>
    <cellStyle name="Normal 2 5 3 3 2" xfId="2388"/>
    <cellStyle name="Normal 2 5 3 3 2 2" xfId="2883"/>
    <cellStyle name="Normal 2 5 3 3 2 2 2" xfId="7621"/>
    <cellStyle name="Normal 2 5 3 3 2 2 2 2" xfId="8099"/>
    <cellStyle name="Normal 2 5 3 3 2 2 2 2 2" xfId="21173"/>
    <cellStyle name="Normal 2 5 3 3 2 2 2 2 2 2" xfId="21651"/>
    <cellStyle name="Normal 2 5 3 3 2 2 2 2 2 2 2" xfId="56499"/>
    <cellStyle name="Normal 2 5 3 3 2 2 2 2 2 2 2 2" xfId="56977"/>
    <cellStyle name="Normal 2 5 3 3 2 2 2 2 2 3" xfId="35154"/>
    <cellStyle name="Normal 2 5 3 3 2 2 2 2 3" xfId="34676"/>
    <cellStyle name="Normal 2 5 3 3 2 2 2 2 3 2" xfId="43526"/>
    <cellStyle name="Normal 2 5 3 3 2 2 2 3" xfId="13324"/>
    <cellStyle name="Normal 2 5 3 3 2 2 2 3 2" xfId="43048"/>
    <cellStyle name="Normal 2 5 3 3 2 2 2 3 2 2" xfId="48670"/>
    <cellStyle name="Normal 2 5 3 3 2 2 2 4" xfId="26808"/>
    <cellStyle name="Normal 2 5 3 3 2 2 3" xfId="12846"/>
    <cellStyle name="Normal 2 5 3 3 2 2 3 2" xfId="16541"/>
    <cellStyle name="Normal 2 5 3 3 2 2 3 2 2" xfId="48192"/>
    <cellStyle name="Normal 2 5 3 3 2 2 3 2 2 2" xfId="51869"/>
    <cellStyle name="Normal 2 5 3 3 2 2 3 3" xfId="30043"/>
    <cellStyle name="Normal 2 5 3 3 2 2 4" xfId="26330"/>
    <cellStyle name="Normal 2 5 3 3 2 2 4 2" xfId="38353"/>
    <cellStyle name="Normal 2 5 3 3 2 3" xfId="4919"/>
    <cellStyle name="Normal 2 5 3 3 2 3 2" xfId="16051"/>
    <cellStyle name="Normal 2 5 3 3 2 3 2 2" xfId="18493"/>
    <cellStyle name="Normal 2 5 3 3 2 3 2 2 2" xfId="51383"/>
    <cellStyle name="Normal 2 5 3 3 2 3 2 2 2 2" xfId="53819"/>
    <cellStyle name="Normal 2 5 3 3 2 3 2 3" xfId="31994"/>
    <cellStyle name="Normal 2 5 3 3 2 3 3" xfId="29557"/>
    <cellStyle name="Normal 2 5 3 3 2 3 3 2" xfId="40356"/>
    <cellStyle name="Normal 2 5 3 3 2 4" xfId="10122"/>
    <cellStyle name="Normal 2 5 3 3 2 4 2" xfId="37866"/>
    <cellStyle name="Normal 2 5 3 3 2 4 2 2" xfId="45486"/>
    <cellStyle name="Normal 2 5 3 3 2 5" xfId="23609"/>
    <cellStyle name="Normal 2 5 3 3 3" xfId="4422"/>
    <cellStyle name="Normal 2 5 3 3 3 2" xfId="6146"/>
    <cellStyle name="Normal 2 5 3 3 3 2 2" xfId="18013"/>
    <cellStyle name="Normal 2 5 3 3 3 2 2 2" xfId="19707"/>
    <cellStyle name="Normal 2 5 3 3 3 2 2 2 2" xfId="53339"/>
    <cellStyle name="Normal 2 5 3 3 3 2 2 2 2 2" xfId="55033"/>
    <cellStyle name="Normal 2 5 3 3 3 2 2 3" xfId="33208"/>
    <cellStyle name="Normal 2 5 3 3 3 2 3" xfId="31514"/>
    <cellStyle name="Normal 2 5 3 3 3 2 3 2" xfId="41578"/>
    <cellStyle name="Normal 2 5 3 3 3 3" xfId="11372"/>
    <cellStyle name="Normal 2 5 3 3 3 3 2" xfId="39864"/>
    <cellStyle name="Normal 2 5 3 3 3 3 2 2" xfId="46724"/>
    <cellStyle name="Normal 2 5 3 3 3 4" xfId="24861"/>
    <cellStyle name="Normal 2 5 3 3 4" xfId="9625"/>
    <cellStyle name="Normal 2 5 3 3 4 2" xfId="14529"/>
    <cellStyle name="Normal 2 5 3 3 4 2 2" xfId="45005"/>
    <cellStyle name="Normal 2 5 3 3 4 2 2 2" xfId="49871"/>
    <cellStyle name="Normal 2 5 3 3 4 3" xfId="28041"/>
    <cellStyle name="Normal 2 5 3 3 5" xfId="23126"/>
    <cellStyle name="Normal 2 5 3 3 5 2" xfId="36339"/>
    <cellStyle name="Normal 2 5 3 4" xfId="1624"/>
    <cellStyle name="Normal 2 5 3 4 2" xfId="5629"/>
    <cellStyle name="Normal 2 5 3 4 2 2" xfId="6892"/>
    <cellStyle name="Normal 2 5 3 4 2 2 2" xfId="19201"/>
    <cellStyle name="Normal 2 5 3 4 2 2 2 2" xfId="20445"/>
    <cellStyle name="Normal 2 5 3 4 2 2 2 2 2" xfId="54527"/>
    <cellStyle name="Normal 2 5 3 4 2 2 2 2 2 2" xfId="55771"/>
    <cellStyle name="Normal 2 5 3 4 2 2 2 3" xfId="33947"/>
    <cellStyle name="Normal 2 5 3 4 2 2 3" xfId="32702"/>
    <cellStyle name="Normal 2 5 3 4 2 2 3 2" xfId="42320"/>
    <cellStyle name="Normal 2 5 3 4 2 3" xfId="12116"/>
    <cellStyle name="Normal 2 5 3 4 2 3 2" xfId="41065"/>
    <cellStyle name="Normal 2 5 3 4 2 3 2 2" xfId="47463"/>
    <cellStyle name="Normal 2 5 3 4 2 4" xfId="25601"/>
    <cellStyle name="Normal 2 5 3 4 3" xfId="10845"/>
    <cellStyle name="Normal 2 5 3 4 3 2" xfId="15299"/>
    <cellStyle name="Normal 2 5 3 4 3 2 2" xfId="46207"/>
    <cellStyle name="Normal 2 5 3 4 3 2 2 2" xfId="50634"/>
    <cellStyle name="Normal 2 5 3 4 3 3" xfId="28808"/>
    <cellStyle name="Normal 2 5 3 4 4" xfId="24337"/>
    <cellStyle name="Normal 2 5 3 4 4 2" xfId="37110"/>
    <cellStyle name="Normal 2 5 3 5" xfId="3628"/>
    <cellStyle name="Normal 2 5 3 5 2" xfId="14013"/>
    <cellStyle name="Normal 2 5 3 5 2 2" xfId="17260"/>
    <cellStyle name="Normal 2 5 3 5 2 2 2" xfId="49359"/>
    <cellStyle name="Normal 2 5 3 5 2 2 2 2" xfId="52587"/>
    <cellStyle name="Normal 2 5 3 5 2 3" xfId="30761"/>
    <cellStyle name="Normal 2 5 3 5 3" xfId="27507"/>
    <cellStyle name="Normal 2 5 3 5 3 2" xfId="39083"/>
    <cellStyle name="Normal 2 5 3 6" xfId="8824"/>
    <cellStyle name="Normal 2 5 3 6 2" xfId="35825"/>
    <cellStyle name="Normal 2 5 3 6 2 2" xfId="44232"/>
    <cellStyle name="Normal 2 5 3 7" xfId="22340"/>
    <cellStyle name="Normal 2 5 4" xfId="382"/>
    <cellStyle name="Normal 2 5 4 2" xfId="1009"/>
    <cellStyle name="Normal 2 5 4 2 2" xfId="2485"/>
    <cellStyle name="Normal 2 5 4 2 2 2" xfId="3046"/>
    <cellStyle name="Normal 2 5 4 2 2 2 2" xfId="7714"/>
    <cellStyle name="Normal 2 5 4 2 2 2 2 2" xfId="8261"/>
    <cellStyle name="Normal 2 5 4 2 2 2 2 2 2" xfId="21266"/>
    <cellStyle name="Normal 2 5 4 2 2 2 2 2 2 2" xfId="21813"/>
    <cellStyle name="Normal 2 5 4 2 2 2 2 2 2 2 2" xfId="56592"/>
    <cellStyle name="Normal 2 5 4 2 2 2 2 2 2 2 2 2" xfId="57139"/>
    <cellStyle name="Normal 2 5 4 2 2 2 2 2 2 3" xfId="35316"/>
    <cellStyle name="Normal 2 5 4 2 2 2 2 2 3" xfId="34769"/>
    <cellStyle name="Normal 2 5 4 2 2 2 2 2 3 2" xfId="43688"/>
    <cellStyle name="Normal 2 5 4 2 2 2 2 3" xfId="13486"/>
    <cellStyle name="Normal 2 5 4 2 2 2 2 3 2" xfId="43141"/>
    <cellStyle name="Normal 2 5 4 2 2 2 2 3 2 2" xfId="48832"/>
    <cellStyle name="Normal 2 5 4 2 2 2 2 4" xfId="26971"/>
    <cellStyle name="Normal 2 5 4 2 2 2 3" xfId="12939"/>
    <cellStyle name="Normal 2 5 4 2 2 2 3 2" xfId="16703"/>
    <cellStyle name="Normal 2 5 4 2 2 2 3 2 2" xfId="48285"/>
    <cellStyle name="Normal 2 5 4 2 2 2 3 2 2 2" xfId="52031"/>
    <cellStyle name="Normal 2 5 4 2 2 2 3 3" xfId="30205"/>
    <cellStyle name="Normal 2 5 4 2 2 2 4" xfId="26423"/>
    <cellStyle name="Normal 2 5 4 2 2 2 4 2" xfId="38515"/>
    <cellStyle name="Normal 2 5 4 2 2 3" xfId="5083"/>
    <cellStyle name="Normal 2 5 4 2 2 3 2" xfId="16148"/>
    <cellStyle name="Normal 2 5 4 2 2 3 2 2" xfId="18656"/>
    <cellStyle name="Normal 2 5 4 2 2 3 2 2 2" xfId="51479"/>
    <cellStyle name="Normal 2 5 4 2 2 3 2 2 2 2" xfId="53982"/>
    <cellStyle name="Normal 2 5 4 2 2 3 2 3" xfId="32157"/>
    <cellStyle name="Normal 2 5 4 2 2 3 3" xfId="29653"/>
    <cellStyle name="Normal 2 5 4 2 2 3 3 2" xfId="40520"/>
    <cellStyle name="Normal 2 5 4 2 2 4" xfId="10286"/>
    <cellStyle name="Normal 2 5 4 2 2 4 2" xfId="37962"/>
    <cellStyle name="Normal 2 5 4 2 2 4 2 2" xfId="45649"/>
    <cellStyle name="Normal 2 5 4 2 2 5" xfId="23772"/>
    <cellStyle name="Normal 2 5 4 2 3" xfId="4520"/>
    <cellStyle name="Normal 2 5 4 2 3 2" xfId="6319"/>
    <cellStyle name="Normal 2 5 4 2 3 2 2" xfId="18107"/>
    <cellStyle name="Normal 2 5 4 2 3 2 2 2" xfId="19876"/>
    <cellStyle name="Normal 2 5 4 2 3 2 2 2 2" xfId="53433"/>
    <cellStyle name="Normal 2 5 4 2 3 2 2 2 2 2" xfId="55202"/>
    <cellStyle name="Normal 2 5 4 2 3 2 2 3" xfId="33378"/>
    <cellStyle name="Normal 2 5 4 2 3 2 3" xfId="31608"/>
    <cellStyle name="Normal 2 5 4 2 3 2 3 2" xfId="41748"/>
    <cellStyle name="Normal 2 5 4 2 3 3" xfId="11545"/>
    <cellStyle name="Normal 2 5 4 2 3 3 2" xfId="39961"/>
    <cellStyle name="Normal 2 5 4 2 3 3 2 2" xfId="46894"/>
    <cellStyle name="Normal 2 5 4 2 3 4" xfId="25031"/>
    <cellStyle name="Normal 2 5 4 2 4" xfId="9724"/>
    <cellStyle name="Normal 2 5 4 2 4 2" xfId="14702"/>
    <cellStyle name="Normal 2 5 4 2 4 2 2" xfId="45100"/>
    <cellStyle name="Normal 2 5 4 2 4 2 2 2" xfId="50041"/>
    <cellStyle name="Normal 2 5 4 2 4 3" xfId="28214"/>
    <cellStyle name="Normal 2 5 4 2 5" xfId="23223"/>
    <cellStyle name="Normal 2 5 4 2 5 2" xfId="36510"/>
    <cellStyle name="Normal 2 5 4 3" xfId="1810"/>
    <cellStyle name="Normal 2 5 4 3 2" xfId="5729"/>
    <cellStyle name="Normal 2 5 4 3 2 2" xfId="7062"/>
    <cellStyle name="Normal 2 5 4 3 2 2 2" xfId="19298"/>
    <cellStyle name="Normal 2 5 4 3 2 2 2 2" xfId="20615"/>
    <cellStyle name="Normal 2 5 4 3 2 2 2 2 2" xfId="54624"/>
    <cellStyle name="Normal 2 5 4 3 2 2 2 2 2 2" xfId="55941"/>
    <cellStyle name="Normal 2 5 4 3 2 2 2 3" xfId="34117"/>
    <cellStyle name="Normal 2 5 4 3 2 2 3" xfId="32799"/>
    <cellStyle name="Normal 2 5 4 3 2 2 3 2" xfId="42490"/>
    <cellStyle name="Normal 2 5 4 3 2 3" xfId="12286"/>
    <cellStyle name="Normal 2 5 4 3 2 3 2" xfId="41164"/>
    <cellStyle name="Normal 2 5 4 3 2 3 2 2" xfId="47633"/>
    <cellStyle name="Normal 2 5 4 3 2 4" xfId="25771"/>
    <cellStyle name="Normal 2 5 4 3 3" xfId="10949"/>
    <cellStyle name="Normal 2 5 4 3 3 2" xfId="15482"/>
    <cellStyle name="Normal 2 5 4 3 3 2 2" xfId="46308"/>
    <cellStyle name="Normal 2 5 4 3 3 2 2 2" xfId="50815"/>
    <cellStyle name="Normal 2 5 4 3 3 3" xfId="28989"/>
    <cellStyle name="Normal 2 5 4 3 4" xfId="24441"/>
    <cellStyle name="Normal 2 5 4 3 4 2" xfId="37292"/>
    <cellStyle name="Normal 2 5 4 4" xfId="3818"/>
    <cellStyle name="Normal 2 5 4 4 2" xfId="14113"/>
    <cellStyle name="Normal 2 5 4 4 2 2" xfId="17433"/>
    <cellStyle name="Normal 2 5 4 4 2 2 2" xfId="49458"/>
    <cellStyle name="Normal 2 5 4 4 2 2 2 2" xfId="52760"/>
    <cellStyle name="Normal 2 5 4 4 2 3" xfId="30934"/>
    <cellStyle name="Normal 2 5 4 4 3" xfId="27613"/>
    <cellStyle name="Normal 2 5 4 4 3 2" xfId="39268"/>
    <cellStyle name="Normal 2 5 4 5" xfId="9009"/>
    <cellStyle name="Normal 2 5 4 5 2" xfId="35924"/>
    <cellStyle name="Normal 2 5 4 5 2 2" xfId="44407"/>
    <cellStyle name="Normal 2 5 4 6" xfId="22518"/>
    <cellStyle name="Normal 2 5 5" xfId="880"/>
    <cellStyle name="Normal 2 5 5 2" xfId="2273"/>
    <cellStyle name="Normal 2 5 5 2 2" xfId="6193"/>
    <cellStyle name="Normal 2 5 5 2 2 2" xfId="7507"/>
    <cellStyle name="Normal 2 5 5 2 2 2 2" xfId="19752"/>
    <cellStyle name="Normal 2 5 5 2 2 2 2 2" xfId="21059"/>
    <cellStyle name="Normal 2 5 5 2 2 2 2 2 2" xfId="55078"/>
    <cellStyle name="Normal 2 5 5 2 2 2 2 2 2 2" xfId="56385"/>
    <cellStyle name="Normal 2 5 5 2 2 2 2 3" xfId="34562"/>
    <cellStyle name="Normal 2 5 5 2 2 2 3" xfId="33254"/>
    <cellStyle name="Normal 2 5 5 2 2 2 3 2" xfId="42934"/>
    <cellStyle name="Normal 2 5 5 2 2 3" xfId="12732"/>
    <cellStyle name="Normal 2 5 5 2 2 3 2" xfId="41623"/>
    <cellStyle name="Normal 2 5 5 2 2 3 2 2" xfId="48078"/>
    <cellStyle name="Normal 2 5 5 2 2 4" xfId="26216"/>
    <cellStyle name="Normal 2 5 5 2 3" xfId="11418"/>
    <cellStyle name="Normal 2 5 5 2 3 2" xfId="15937"/>
    <cellStyle name="Normal 2 5 5 2 3 2 2" xfId="46769"/>
    <cellStyle name="Normal 2 5 5 2 3 2 2 2" xfId="51269"/>
    <cellStyle name="Normal 2 5 5 2 3 3" xfId="29443"/>
    <cellStyle name="Normal 2 5 5 2 4" xfId="24906"/>
    <cellStyle name="Normal 2 5 5 2 4 2" xfId="37751"/>
    <cellStyle name="Normal 2 5 5 3" xfId="4293"/>
    <cellStyle name="Normal 2 5 5 3 2" xfId="14576"/>
    <cellStyle name="Normal 2 5 5 3 2 2" xfId="17886"/>
    <cellStyle name="Normal 2 5 5 3 2 2 2" xfId="49917"/>
    <cellStyle name="Normal 2 5 5 3 2 2 2 2" xfId="53213"/>
    <cellStyle name="Normal 2 5 5 3 2 3" xfId="31388"/>
    <cellStyle name="Normal 2 5 5 3 3" xfId="28088"/>
    <cellStyle name="Normal 2 5 5 3 3 2" xfId="39736"/>
    <cellStyle name="Normal 2 5 5 4" xfId="9485"/>
    <cellStyle name="Normal 2 5 5 4 2" xfId="36386"/>
    <cellStyle name="Normal 2 5 5 4 2 2" xfId="44867"/>
    <cellStyle name="Normal 2 5 5 5" xfId="22981"/>
    <cellStyle name="Normal 2 5 6" xfId="1550"/>
    <cellStyle name="Normal 2 5 6 2" xfId="2540"/>
    <cellStyle name="Normal 2 5 6 2 2" xfId="15226"/>
    <cellStyle name="Normal 2 5 6 2 2 2" xfId="16200"/>
    <cellStyle name="Normal 2 5 6 2 2 2 2" xfId="50563"/>
    <cellStyle name="Normal 2 5 6 2 2 2 2 2" xfId="51531"/>
    <cellStyle name="Normal 2 5 6 2 2 3" xfId="29705"/>
    <cellStyle name="Normal 2 5 6 2 3" xfId="28737"/>
    <cellStyle name="Normal 2 5 6 2 3 2" xfId="38014"/>
    <cellStyle name="Normal 2 5 6 3" xfId="3681"/>
    <cellStyle name="Normal 2 5 6 3 2" xfId="37038"/>
    <cellStyle name="Normal 2 5 6 3 2 2" xfId="39132"/>
    <cellStyle name="Normal 2 5 6 4" xfId="17150"/>
    <cellStyle name="Normal 2 5 7" xfId="4659"/>
    <cellStyle name="Normal 2 5 7 2" xfId="11047"/>
    <cellStyle name="Normal 2 5 7 2 2" xfId="40098"/>
    <cellStyle name="Normal 2 5 7 2 2 2" xfId="46406"/>
    <cellStyle name="Normal 2 5 7 3" xfId="24541"/>
    <cellStyle name="Normal 2 5 8" xfId="14577"/>
    <cellStyle name="Normal 2 5 8 2" xfId="28084"/>
    <cellStyle name="Normal 2 6" xfId="20"/>
    <cellStyle name="Normal 2 6 10" xfId="3676"/>
    <cellStyle name="Normal 2 6 11" xfId="11434"/>
    <cellStyle name="Normal 2 6 2" xfId="50"/>
    <cellStyle name="Normal 2 6 3" xfId="72"/>
    <cellStyle name="Normal 2 6 4" xfId="93"/>
    <cellStyle name="Normal 2 6 5" xfId="94"/>
    <cellStyle name="Normal 2 6 6" xfId="209"/>
    <cellStyle name="Normal 2 6 7" xfId="570"/>
    <cellStyle name="Normal 2 6 8" xfId="807"/>
    <cellStyle name="Normal 2 6 9" xfId="737"/>
    <cellStyle name="Normal 2 7" xfId="174"/>
    <cellStyle name="Normal 2 7 2" xfId="414"/>
    <cellStyle name="Normal 2 7 2 2" xfId="557"/>
    <cellStyle name="Normal 2 7 2 2 2" xfId="1244"/>
    <cellStyle name="Normal 2 7 2 2 2 2" xfId="1355"/>
    <cellStyle name="Normal 2 7 2 2 2 2 2" xfId="3262"/>
    <cellStyle name="Normal 2 7 2 2 2 2 2 2" xfId="3373"/>
    <cellStyle name="Normal 2 7 2 2 2 2 2 2 2" xfId="8477"/>
    <cellStyle name="Normal 2 7 2 2 2 2 2 2 2 2" xfId="8588"/>
    <cellStyle name="Normal 2 7 2 2 2 2 2 2 2 2 2" xfId="22029"/>
    <cellStyle name="Normal 2 7 2 2 2 2 2 2 2 2 2 2" xfId="22140"/>
    <cellStyle name="Normal 2 7 2 2 2 2 2 2 2 2 2 2 2" xfId="57355"/>
    <cellStyle name="Normal 2 7 2 2 2 2 2 2 2 2 2 2 2 2" xfId="57466"/>
    <cellStyle name="Normal 2 7 2 2 2 2 2 2 2 2 2 3" xfId="35643"/>
    <cellStyle name="Normal 2 7 2 2 2 2 2 2 2 2 3" xfId="35532"/>
    <cellStyle name="Normal 2 7 2 2 2 2 2 2 2 2 3 2" xfId="44015"/>
    <cellStyle name="Normal 2 7 2 2 2 2 2 2 2 3" xfId="13813"/>
    <cellStyle name="Normal 2 7 2 2 2 2 2 2 2 3 2" xfId="43904"/>
    <cellStyle name="Normal 2 7 2 2 2 2 2 2 2 3 2 2" xfId="49159"/>
    <cellStyle name="Normal 2 7 2 2 2 2 2 2 2 4" xfId="27298"/>
    <cellStyle name="Normal 2 7 2 2 2 2 2 2 3" xfId="13702"/>
    <cellStyle name="Normal 2 7 2 2 2 2 2 2 3 2" xfId="17030"/>
    <cellStyle name="Normal 2 7 2 2 2 2 2 2 3 2 2" xfId="49048"/>
    <cellStyle name="Normal 2 7 2 2 2 2 2 2 3 2 2 2" xfId="52358"/>
    <cellStyle name="Normal 2 7 2 2 2 2 2 2 3 3" xfId="30532"/>
    <cellStyle name="Normal 2 7 2 2 2 2 2 2 4" xfId="27187"/>
    <cellStyle name="Normal 2 7 2 2 2 2 2 2 4 2" xfId="38842"/>
    <cellStyle name="Normal 2 7 2 2 2 2 2 3" xfId="5410"/>
    <cellStyle name="Normal 2 7 2 2 2 2 2 3 2" xfId="16919"/>
    <cellStyle name="Normal 2 7 2 2 2 2 2 3 2 2" xfId="18983"/>
    <cellStyle name="Normal 2 7 2 2 2 2 2 3 2 2 2" xfId="52247"/>
    <cellStyle name="Normal 2 7 2 2 2 2 2 3 2 2 2 2" xfId="54309"/>
    <cellStyle name="Normal 2 7 2 2 2 2 2 3 2 3" xfId="32484"/>
    <cellStyle name="Normal 2 7 2 2 2 2 2 3 3" xfId="30421"/>
    <cellStyle name="Normal 2 7 2 2 2 2 2 3 3 2" xfId="40847"/>
    <cellStyle name="Normal 2 7 2 2 2 2 2 4" xfId="10613"/>
    <cellStyle name="Normal 2 7 2 2 2 2 2 4 2" xfId="38731"/>
    <cellStyle name="Normal 2 7 2 2 2 2 2 4 2 2" xfId="45976"/>
    <cellStyle name="Normal 2 7 2 2 2 2 2 5" xfId="24099"/>
    <cellStyle name="Normal 2 7 2 2 2 2 3" xfId="5299"/>
    <cellStyle name="Normal 2 7 2 2 2 2 3 2" xfId="6663"/>
    <cellStyle name="Normal 2 7 2 2 2 2 3 2 2" xfId="18872"/>
    <cellStyle name="Normal 2 7 2 2 2 2 3 2 2 2" xfId="20216"/>
    <cellStyle name="Normal 2 7 2 2 2 2 3 2 2 2 2" xfId="54198"/>
    <cellStyle name="Normal 2 7 2 2 2 2 3 2 2 2 2 2" xfId="55542"/>
    <cellStyle name="Normal 2 7 2 2 2 2 3 2 2 3" xfId="33718"/>
    <cellStyle name="Normal 2 7 2 2 2 2 3 2 3" xfId="32373"/>
    <cellStyle name="Normal 2 7 2 2 2 2 3 2 3 2" xfId="42091"/>
    <cellStyle name="Normal 2 7 2 2 2 2 3 3" xfId="11886"/>
    <cellStyle name="Normal 2 7 2 2 2 2 3 3 2" xfId="40736"/>
    <cellStyle name="Normal 2 7 2 2 2 2 3 3 2 2" xfId="47234"/>
    <cellStyle name="Normal 2 7 2 2 2 2 3 4" xfId="25371"/>
    <cellStyle name="Normal 2 7 2 2 2 2 4" xfId="10502"/>
    <cellStyle name="Normal 2 7 2 2 2 2 4 2" xfId="15044"/>
    <cellStyle name="Normal 2 7 2 2 2 2 4 2 2" xfId="45865"/>
    <cellStyle name="Normal 2 7 2 2 2 2 4 2 2 2" xfId="50383"/>
    <cellStyle name="Normal 2 7 2 2 2 2 4 3" xfId="28557"/>
    <cellStyle name="Normal 2 7 2 2 2 2 5" xfId="23988"/>
    <cellStyle name="Normal 2 7 2 2 2 2 5 2" xfId="36852"/>
    <cellStyle name="Normal 2 7 2 2 2 3" xfId="2162"/>
    <cellStyle name="Normal 2 7 2 2 2 3 2" xfId="6552"/>
    <cellStyle name="Normal 2 7 2 2 2 3 2 2" xfId="7396"/>
    <cellStyle name="Normal 2 7 2 2 2 3 2 2 2" xfId="20105"/>
    <cellStyle name="Normal 2 7 2 2 2 3 2 2 2 2" xfId="20948"/>
    <cellStyle name="Normal 2 7 2 2 2 3 2 2 2 2 2" xfId="55431"/>
    <cellStyle name="Normal 2 7 2 2 2 3 2 2 2 2 2 2" xfId="56274"/>
    <cellStyle name="Normal 2 7 2 2 2 3 2 2 2 3" xfId="34451"/>
    <cellStyle name="Normal 2 7 2 2 2 3 2 2 3" xfId="33607"/>
    <cellStyle name="Normal 2 7 2 2 2 3 2 2 3 2" xfId="42823"/>
    <cellStyle name="Normal 2 7 2 2 2 3 2 3" xfId="12621"/>
    <cellStyle name="Normal 2 7 2 2 2 3 2 3 2" xfId="41980"/>
    <cellStyle name="Normal 2 7 2 2 2 3 2 3 2 2" xfId="47967"/>
    <cellStyle name="Normal 2 7 2 2 2 3 2 4" xfId="26105"/>
    <cellStyle name="Normal 2 7 2 2 2 3 3" xfId="11775"/>
    <cellStyle name="Normal 2 7 2 2 2 3 3 2" xfId="15826"/>
    <cellStyle name="Normal 2 7 2 2 2 3 3 2 2" xfId="47123"/>
    <cellStyle name="Normal 2 7 2 2 2 3 3 2 2 2" xfId="51158"/>
    <cellStyle name="Normal 2 7 2 2 2 3 3 3" xfId="29332"/>
    <cellStyle name="Normal 2 7 2 2 2 3 4" xfId="25260"/>
    <cellStyle name="Normal 2 7 2 2 2 3 4 2" xfId="37640"/>
    <cellStyle name="Normal 2 7 2 2 2 4" xfId="4178"/>
    <cellStyle name="Normal 2 7 2 2 2 4 2" xfId="14933"/>
    <cellStyle name="Normal 2 7 2 2 2 4 2 2" xfId="17771"/>
    <cellStyle name="Normal 2 7 2 2 2 4 2 2 2" xfId="50272"/>
    <cellStyle name="Normal 2 7 2 2 2 4 2 2 2 2" xfId="53098"/>
    <cellStyle name="Normal 2 7 2 2 2 4 2 3" xfId="31273"/>
    <cellStyle name="Normal 2 7 2 2 2 4 3" xfId="28446"/>
    <cellStyle name="Normal 2 7 2 2 2 4 3 2" xfId="39621"/>
    <cellStyle name="Normal 2 7 2 2 2 5" xfId="9369"/>
    <cellStyle name="Normal 2 7 2 2 2 5 2" xfId="36741"/>
    <cellStyle name="Normal 2 7 2 2 2 5 2 2" xfId="44751"/>
    <cellStyle name="Normal 2 7 2 2 2 6" xfId="22865"/>
    <cellStyle name="Normal 2 7 2 2 3" xfId="2050"/>
    <cellStyle name="Normal 2 7 2 2 3 2" xfId="2648"/>
    <cellStyle name="Normal 2 7 2 2 3 2 2" xfId="7284"/>
    <cellStyle name="Normal 2 7 2 2 3 2 2 2" xfId="7867"/>
    <cellStyle name="Normal 2 7 2 2 3 2 2 2 2" xfId="20836"/>
    <cellStyle name="Normal 2 7 2 2 3 2 2 2 2 2" xfId="21419"/>
    <cellStyle name="Normal 2 7 2 2 3 2 2 2 2 2 2" xfId="56162"/>
    <cellStyle name="Normal 2 7 2 2 3 2 2 2 2 2 2 2" xfId="56745"/>
    <cellStyle name="Normal 2 7 2 2 3 2 2 2 2 3" xfId="34922"/>
    <cellStyle name="Normal 2 7 2 2 3 2 2 2 3" xfId="34339"/>
    <cellStyle name="Normal 2 7 2 2 3 2 2 2 3 2" xfId="43294"/>
    <cellStyle name="Normal 2 7 2 2 3 2 2 3" xfId="13092"/>
    <cellStyle name="Normal 2 7 2 2 3 2 2 3 2" xfId="42711"/>
    <cellStyle name="Normal 2 7 2 2 3 2 2 3 2 2" xfId="48438"/>
    <cellStyle name="Normal 2 7 2 2 3 2 2 4" xfId="26576"/>
    <cellStyle name="Normal 2 7 2 2 3 2 3" xfId="12509"/>
    <cellStyle name="Normal 2 7 2 2 3 2 3 2" xfId="16307"/>
    <cellStyle name="Normal 2 7 2 2 3 2 3 2 2" xfId="47855"/>
    <cellStyle name="Normal 2 7 2 2 3 2 3 2 2 2" xfId="51637"/>
    <cellStyle name="Normal 2 7 2 2 3 2 3 3" xfId="29811"/>
    <cellStyle name="Normal 2 7 2 2 3 2 4" xfId="25993"/>
    <cellStyle name="Normal 2 7 2 2 3 2 4 2" xfId="38121"/>
    <cellStyle name="Normal 2 7 2 2 3 3" xfId="4683"/>
    <cellStyle name="Normal 2 7 2 2 3 3 2" xfId="15714"/>
    <cellStyle name="Normal 2 7 2 2 3 3 2 2" xfId="18261"/>
    <cellStyle name="Normal 2 7 2 2 3 3 2 2 2" xfId="51046"/>
    <cellStyle name="Normal 2 7 2 2 3 3 2 2 2 2" xfId="53587"/>
    <cellStyle name="Normal 2 7 2 2 3 3 2 3" xfId="31762"/>
    <cellStyle name="Normal 2 7 2 2 3 3 3" xfId="29220"/>
    <cellStyle name="Normal 2 7 2 2 3 3 3 2" xfId="40122"/>
    <cellStyle name="Normal 2 7 2 2 3 4" xfId="9886"/>
    <cellStyle name="Normal 2 7 2 2 3 4 2" xfId="37528"/>
    <cellStyle name="Normal 2 7 2 2 3 4 2 2" xfId="45254"/>
    <cellStyle name="Normal 2 7 2 2 3 5" xfId="23377"/>
    <cellStyle name="Normal 2 7 2 2 4" xfId="4066"/>
    <cellStyle name="Normal 2 7 2 2 4 2" xfId="5889"/>
    <cellStyle name="Normal 2 7 2 2 4 2 2" xfId="17659"/>
    <cellStyle name="Normal 2 7 2 2 4 2 2 2" xfId="19456"/>
    <cellStyle name="Normal 2 7 2 2 4 2 2 2 2" xfId="52986"/>
    <cellStyle name="Normal 2 7 2 2 4 2 2 2 2 2" xfId="54782"/>
    <cellStyle name="Normal 2 7 2 2 4 2 2 3" xfId="32957"/>
    <cellStyle name="Normal 2 7 2 2 4 2 3" xfId="31161"/>
    <cellStyle name="Normal 2 7 2 2 4 2 3 2" xfId="41323"/>
    <cellStyle name="Normal 2 7 2 2 4 3" xfId="11114"/>
    <cellStyle name="Normal 2 7 2 2 4 3 2" xfId="39509"/>
    <cellStyle name="Normal 2 7 2 2 4 3 2 2" xfId="46472"/>
    <cellStyle name="Normal 2 7 2 2 4 4" xfId="24606"/>
    <cellStyle name="Normal 2 7 2 2 5" xfId="9257"/>
    <cellStyle name="Normal 2 7 2 2 5 2" xfId="14273"/>
    <cellStyle name="Normal 2 7 2 2 5 2 2" xfId="44639"/>
    <cellStyle name="Normal 2 7 2 2 5 2 2 2" xfId="49618"/>
    <cellStyle name="Normal 2 7 2 2 5 3" xfId="27782"/>
    <cellStyle name="Normal 2 7 2 2 6" xfId="22753"/>
    <cellStyle name="Normal 2 7 2 2 6 2" xfId="36085"/>
    <cellStyle name="Normal 2 7 2 3" xfId="885"/>
    <cellStyle name="Normal 2 7 2 3 2" xfId="2516"/>
    <cellStyle name="Normal 2 7 2 3 2 2" xfId="2925"/>
    <cellStyle name="Normal 2 7 2 3 2 2 2" xfId="7741"/>
    <cellStyle name="Normal 2 7 2 3 2 2 2 2" xfId="8140"/>
    <cellStyle name="Normal 2 7 2 3 2 2 2 2 2" xfId="21293"/>
    <cellStyle name="Normal 2 7 2 3 2 2 2 2 2 2" xfId="21692"/>
    <cellStyle name="Normal 2 7 2 3 2 2 2 2 2 2 2" xfId="56619"/>
    <cellStyle name="Normal 2 7 2 3 2 2 2 2 2 2 2 2" xfId="57018"/>
    <cellStyle name="Normal 2 7 2 3 2 2 2 2 2 3" xfId="35195"/>
    <cellStyle name="Normal 2 7 2 3 2 2 2 2 3" xfId="34796"/>
    <cellStyle name="Normal 2 7 2 3 2 2 2 2 3 2" xfId="43567"/>
    <cellStyle name="Normal 2 7 2 3 2 2 2 3" xfId="13365"/>
    <cellStyle name="Normal 2 7 2 3 2 2 2 3 2" xfId="43168"/>
    <cellStyle name="Normal 2 7 2 3 2 2 2 3 2 2" xfId="48711"/>
    <cellStyle name="Normal 2 7 2 3 2 2 2 4" xfId="26850"/>
    <cellStyle name="Normal 2 7 2 3 2 2 3" xfId="12966"/>
    <cellStyle name="Normal 2 7 2 3 2 2 3 2" xfId="16582"/>
    <cellStyle name="Normal 2 7 2 3 2 2 3 2 2" xfId="48312"/>
    <cellStyle name="Normal 2 7 2 3 2 2 3 2 2 2" xfId="51910"/>
    <cellStyle name="Normal 2 7 2 3 2 2 3 3" xfId="30084"/>
    <cellStyle name="Normal 2 7 2 3 2 2 4" xfId="26450"/>
    <cellStyle name="Normal 2 7 2 3 2 2 4 2" xfId="38394"/>
    <cellStyle name="Normal 2 7 2 3 2 3" xfId="4961"/>
    <cellStyle name="Normal 2 7 2 3 2 3 2" xfId="16177"/>
    <cellStyle name="Normal 2 7 2 3 2 3 2 2" xfId="18534"/>
    <cellStyle name="Normal 2 7 2 3 2 3 2 2 2" xfId="51508"/>
    <cellStyle name="Normal 2 7 2 3 2 3 2 2 2 2" xfId="53860"/>
    <cellStyle name="Normal 2 7 2 3 2 3 2 3" xfId="32035"/>
    <cellStyle name="Normal 2 7 2 3 2 3 3" xfId="29682"/>
    <cellStyle name="Normal 2 7 2 3 2 3 3 2" xfId="40398"/>
    <cellStyle name="Normal 2 7 2 3 2 4" xfId="10164"/>
    <cellStyle name="Normal 2 7 2 3 2 4 2" xfId="37991"/>
    <cellStyle name="Normal 2 7 2 3 2 4 2 2" xfId="45527"/>
    <cellStyle name="Normal 2 7 2 3 2 5" xfId="23650"/>
    <cellStyle name="Normal 2 7 2 3 3" xfId="4551"/>
    <cellStyle name="Normal 2 7 2 3 3 2" xfId="6196"/>
    <cellStyle name="Normal 2 7 2 3 3 2 2" xfId="18134"/>
    <cellStyle name="Normal 2 7 2 3 3 2 2 2" xfId="19755"/>
    <cellStyle name="Normal 2 7 2 3 3 2 2 2 2" xfId="53460"/>
    <cellStyle name="Normal 2 7 2 3 3 2 2 2 2 2" xfId="55081"/>
    <cellStyle name="Normal 2 7 2 3 3 2 2 3" xfId="33257"/>
    <cellStyle name="Normal 2 7 2 3 3 2 3" xfId="31635"/>
    <cellStyle name="Normal 2 7 2 3 3 2 3 2" xfId="41626"/>
    <cellStyle name="Normal 2 7 2 3 3 3" xfId="11421"/>
    <cellStyle name="Normal 2 7 2 3 3 3 2" xfId="39992"/>
    <cellStyle name="Normal 2 7 2 3 3 3 2 2" xfId="46772"/>
    <cellStyle name="Normal 2 7 2 3 3 4" xfId="24909"/>
    <cellStyle name="Normal 2 7 2 3 4" xfId="9754"/>
    <cellStyle name="Normal 2 7 2 3 4 2" xfId="14581"/>
    <cellStyle name="Normal 2 7 2 3 4 2 2" xfId="45127"/>
    <cellStyle name="Normal 2 7 2 3 4 2 2 2" xfId="49920"/>
    <cellStyle name="Normal 2 7 2 3 4 3" xfId="28091"/>
    <cellStyle name="Normal 2 7 2 3 5" xfId="23250"/>
    <cellStyle name="Normal 2 7 2 3 5 2" xfId="36389"/>
    <cellStyle name="Normal 2 7 2 4" xfId="1680"/>
    <cellStyle name="Normal 2 7 2 4 2" xfId="5757"/>
    <cellStyle name="Normal 2 7 2 4 2 2" xfId="6935"/>
    <cellStyle name="Normal 2 7 2 4 2 2 2" xfId="19326"/>
    <cellStyle name="Normal 2 7 2 4 2 2 2 2" xfId="20488"/>
    <cellStyle name="Normal 2 7 2 4 2 2 2 2 2" xfId="54652"/>
    <cellStyle name="Normal 2 7 2 4 2 2 2 2 2 2" xfId="55814"/>
    <cellStyle name="Normal 2 7 2 4 2 2 2 3" xfId="33990"/>
    <cellStyle name="Normal 2 7 2 4 2 2 3" xfId="32827"/>
    <cellStyle name="Normal 2 7 2 4 2 2 3 2" xfId="42363"/>
    <cellStyle name="Normal 2 7 2 4 2 3" xfId="12159"/>
    <cellStyle name="Normal 2 7 2 4 2 3 2" xfId="41192"/>
    <cellStyle name="Normal 2 7 2 4 2 3 2 2" xfId="47506"/>
    <cellStyle name="Normal 2 7 2 4 2 4" xfId="25644"/>
    <cellStyle name="Normal 2 7 2 4 3" xfId="10978"/>
    <cellStyle name="Normal 2 7 2 4 3 2" xfId="15352"/>
    <cellStyle name="Normal 2 7 2 4 3 2 2" xfId="46337"/>
    <cellStyle name="Normal 2 7 2 4 3 2 2 2" xfId="50686"/>
    <cellStyle name="Normal 2 7 2 4 3 3" xfId="28860"/>
    <cellStyle name="Normal 2 7 2 4 4" xfId="24471"/>
    <cellStyle name="Normal 2 7 2 4 4 2" xfId="37163"/>
    <cellStyle name="Normal 2 7 2 5" xfId="3685"/>
    <cellStyle name="Normal 2 7 2 5 2" xfId="14141"/>
    <cellStyle name="Normal 2 7 2 5 2 2" xfId="17303"/>
    <cellStyle name="Normal 2 7 2 5 2 2 2" xfId="49486"/>
    <cellStyle name="Normal 2 7 2 5 2 2 2 2" xfId="52630"/>
    <cellStyle name="Normal 2 7 2 5 2 3" xfId="30804"/>
    <cellStyle name="Normal 2 7 2 5 3" xfId="27643"/>
    <cellStyle name="Normal 2 7 2 5 3 2" xfId="39136"/>
    <cellStyle name="Normal 2 7 2 6" xfId="8874"/>
    <cellStyle name="Normal 2 7 2 6 2" xfId="35952"/>
    <cellStyle name="Normal 2 7 2 6 2 2" xfId="44275"/>
    <cellStyle name="Normal 2 7 2 7" xfId="22383"/>
    <cellStyle name="Normal 2 7 3" xfId="732"/>
    <cellStyle name="Normal 2 7 3 2" xfId="1052"/>
    <cellStyle name="Normal 2 7 3 2 2" xfId="2803"/>
    <cellStyle name="Normal 2 7 3 2 2 2" xfId="3088"/>
    <cellStyle name="Normal 2 7 3 2 2 2 2" xfId="8019"/>
    <cellStyle name="Normal 2 7 3 2 2 2 2 2" xfId="8303"/>
    <cellStyle name="Normal 2 7 3 2 2 2 2 2 2" xfId="21571"/>
    <cellStyle name="Normal 2 7 3 2 2 2 2 2 2 2" xfId="21855"/>
    <cellStyle name="Normal 2 7 3 2 2 2 2 2 2 2 2" xfId="56897"/>
    <cellStyle name="Normal 2 7 3 2 2 2 2 2 2 2 2 2" xfId="57181"/>
    <cellStyle name="Normal 2 7 3 2 2 2 2 2 2 3" xfId="35358"/>
    <cellStyle name="Normal 2 7 3 2 2 2 2 2 3" xfId="35074"/>
    <cellStyle name="Normal 2 7 3 2 2 2 2 2 3 2" xfId="43730"/>
    <cellStyle name="Normal 2 7 3 2 2 2 2 3" xfId="13528"/>
    <cellStyle name="Normal 2 7 3 2 2 2 2 3 2" xfId="43446"/>
    <cellStyle name="Normal 2 7 3 2 2 2 2 3 2 2" xfId="48874"/>
    <cellStyle name="Normal 2 7 3 2 2 2 2 4" xfId="27013"/>
    <cellStyle name="Normal 2 7 3 2 2 2 3" xfId="13244"/>
    <cellStyle name="Normal 2 7 3 2 2 2 3 2" xfId="16745"/>
    <cellStyle name="Normal 2 7 3 2 2 2 3 2 2" xfId="48590"/>
    <cellStyle name="Normal 2 7 3 2 2 2 3 2 2 2" xfId="52073"/>
    <cellStyle name="Normal 2 7 3 2 2 2 3 3" xfId="30247"/>
    <cellStyle name="Normal 2 7 3 2 2 2 4" xfId="26728"/>
    <cellStyle name="Normal 2 7 3 2 2 2 4 2" xfId="38557"/>
    <cellStyle name="Normal 2 7 3 2 2 3" xfId="5125"/>
    <cellStyle name="Normal 2 7 3 2 2 3 2" xfId="16461"/>
    <cellStyle name="Normal 2 7 3 2 2 3 2 2" xfId="18698"/>
    <cellStyle name="Normal 2 7 3 2 2 3 2 2 2" xfId="51789"/>
    <cellStyle name="Normal 2 7 3 2 2 3 2 2 2 2" xfId="54024"/>
    <cellStyle name="Normal 2 7 3 2 2 3 2 3" xfId="32199"/>
    <cellStyle name="Normal 2 7 3 2 2 3 3" xfId="29963"/>
    <cellStyle name="Normal 2 7 3 2 2 3 3 2" xfId="40562"/>
    <cellStyle name="Normal 2 7 3 2 2 4" xfId="10328"/>
    <cellStyle name="Normal 2 7 3 2 2 4 2" xfId="38273"/>
    <cellStyle name="Normal 2 7 3 2 2 4 2 2" xfId="45691"/>
    <cellStyle name="Normal 2 7 3 2 2 5" xfId="23814"/>
    <cellStyle name="Normal 2 7 3 2 3" xfId="4839"/>
    <cellStyle name="Normal 2 7 3 2 3 2" xfId="6362"/>
    <cellStyle name="Normal 2 7 3 2 3 2 2" xfId="18413"/>
    <cellStyle name="Normal 2 7 3 2 3 2 2 2" xfId="19919"/>
    <cellStyle name="Normal 2 7 3 2 3 2 2 2 2" xfId="53739"/>
    <cellStyle name="Normal 2 7 3 2 3 2 2 2 2 2" xfId="55245"/>
    <cellStyle name="Normal 2 7 3 2 3 2 2 3" xfId="33421"/>
    <cellStyle name="Normal 2 7 3 2 3 2 3" xfId="31914"/>
    <cellStyle name="Normal 2 7 3 2 3 2 3 2" xfId="41791"/>
    <cellStyle name="Normal 2 7 3 2 3 3" xfId="11588"/>
    <cellStyle name="Normal 2 7 3 2 3 3 2" xfId="40276"/>
    <cellStyle name="Normal 2 7 3 2 3 3 2 2" xfId="46937"/>
    <cellStyle name="Normal 2 7 3 2 3 4" xfId="25074"/>
    <cellStyle name="Normal 2 7 3 2 4" xfId="10042"/>
    <cellStyle name="Normal 2 7 3 2 4 2" xfId="14745"/>
    <cellStyle name="Normal 2 7 3 2 4 2 2" xfId="45406"/>
    <cellStyle name="Normal 2 7 3 2 4 2 2 2" xfId="50084"/>
    <cellStyle name="Normal 2 7 3 2 4 3" xfId="28257"/>
    <cellStyle name="Normal 2 7 3 2 5" xfId="23529"/>
    <cellStyle name="Normal 2 7 3 2 5 2" xfId="36553"/>
    <cellStyle name="Normal 2 7 3 3" xfId="1860"/>
    <cellStyle name="Normal 2 7 3 3 2" xfId="6055"/>
    <cellStyle name="Normal 2 7 3 3 2 2" xfId="7110"/>
    <cellStyle name="Normal 2 7 3 3 2 2 2" xfId="19619"/>
    <cellStyle name="Normal 2 7 3 3 2 2 2 2" xfId="20662"/>
    <cellStyle name="Normal 2 7 3 3 2 2 2 2 2" xfId="54945"/>
    <cellStyle name="Normal 2 7 3 3 2 2 2 2 2 2" xfId="55988"/>
    <cellStyle name="Normal 2 7 3 3 2 2 2 3" xfId="34165"/>
    <cellStyle name="Normal 2 7 3 3 2 2 3" xfId="33120"/>
    <cellStyle name="Normal 2 7 3 3 2 2 3 2" xfId="42537"/>
    <cellStyle name="Normal 2 7 3 3 2 3" xfId="12335"/>
    <cellStyle name="Normal 2 7 3 3 2 3 2" xfId="41489"/>
    <cellStyle name="Normal 2 7 3 3 2 3 2 2" xfId="47681"/>
    <cellStyle name="Normal 2 7 3 3 2 4" xfId="25819"/>
    <cellStyle name="Normal 2 7 3 3 3" xfId="11281"/>
    <cellStyle name="Normal 2 7 3 3 3 2" xfId="15531"/>
    <cellStyle name="Normal 2 7 3 3 3 2 2" xfId="46636"/>
    <cellStyle name="Normal 2 7 3 3 3 2 2 2" xfId="50863"/>
    <cellStyle name="Normal 2 7 3 3 3 3" xfId="29037"/>
    <cellStyle name="Normal 2 7 3 3 4" xfId="24773"/>
    <cellStyle name="Normal 2 7 3 3 4 2" xfId="37341"/>
    <cellStyle name="Normal 2 7 3 4" xfId="3874"/>
    <cellStyle name="Normal 2 7 3 4 2" xfId="14438"/>
    <cellStyle name="Normal 2 7 3 4 2 2" xfId="17485"/>
    <cellStyle name="Normal 2 7 3 4 2 2 2" xfId="49783"/>
    <cellStyle name="Normal 2 7 3 4 2 2 2 2" xfId="52812"/>
    <cellStyle name="Normal 2 7 3 4 2 3" xfId="30987"/>
    <cellStyle name="Normal 2 7 3 4 3" xfId="27951"/>
    <cellStyle name="Normal 2 7 3 4 3 2" xfId="39322"/>
    <cellStyle name="Normal 2 7 3 5" xfId="9068"/>
    <cellStyle name="Normal 2 7 3 5 2" xfId="36251"/>
    <cellStyle name="Normal 2 7 3 5 2 2" xfId="44464"/>
    <cellStyle name="Normal 2 7 3 6" xfId="22575"/>
    <cellStyle name="Normal 2 7 4" xfId="1516"/>
    <cellStyle name="Normal 2 7 4 2" xfId="2315"/>
    <cellStyle name="Normal 2 7 4 2 2" xfId="6805"/>
    <cellStyle name="Normal 2 7 4 2 2 2" xfId="7549"/>
    <cellStyle name="Normal 2 7 4 2 2 2 2" xfId="20358"/>
    <cellStyle name="Normal 2 7 4 2 2 2 2 2" xfId="21101"/>
    <cellStyle name="Normal 2 7 4 2 2 2 2 2 2" xfId="55684"/>
    <cellStyle name="Normal 2 7 4 2 2 2 2 2 2 2" xfId="56427"/>
    <cellStyle name="Normal 2 7 4 2 2 2 2 3" xfId="34604"/>
    <cellStyle name="Normal 2 7 4 2 2 2 3" xfId="33860"/>
    <cellStyle name="Normal 2 7 4 2 2 2 3 2" xfId="42976"/>
    <cellStyle name="Normal 2 7 4 2 2 3" xfId="12774"/>
    <cellStyle name="Normal 2 7 4 2 2 3 2" xfId="42233"/>
    <cellStyle name="Normal 2 7 4 2 2 3 2 2" xfId="48120"/>
    <cellStyle name="Normal 2 7 4 2 2 4" xfId="26258"/>
    <cellStyle name="Normal 2 7 4 2 3" xfId="12029"/>
    <cellStyle name="Normal 2 7 4 2 3 2" xfId="15979"/>
    <cellStyle name="Normal 2 7 4 2 3 2 2" xfId="47376"/>
    <cellStyle name="Normal 2 7 4 2 3 2 2 2" xfId="51311"/>
    <cellStyle name="Normal 2 7 4 2 3 3" xfId="29485"/>
    <cellStyle name="Normal 2 7 4 2 4" xfId="25513"/>
    <cellStyle name="Normal 2 7 4 2 4 2" xfId="37793"/>
    <cellStyle name="Normal 2 7 4 3" xfId="4344"/>
    <cellStyle name="Normal 2 7 4 3 2" xfId="15198"/>
    <cellStyle name="Normal 2 7 4 3 2 2" xfId="17937"/>
    <cellStyle name="Normal 2 7 4 3 2 2 2" xfId="50536"/>
    <cellStyle name="Normal 2 7 4 3 2 2 2 2" xfId="53264"/>
    <cellStyle name="Normal 2 7 4 3 2 3" xfId="31439"/>
    <cellStyle name="Normal 2 7 4 3 3" xfId="28710"/>
    <cellStyle name="Normal 2 7 4 3 3 2" xfId="39787"/>
    <cellStyle name="Normal 2 7 4 4" xfId="9543"/>
    <cellStyle name="Normal 2 7 4 4 2" xfId="37008"/>
    <cellStyle name="Normal 2 7 4 4 2 2" xfId="44925"/>
    <cellStyle name="Normal 2 7 4 5" xfId="23043"/>
    <cellStyle name="Normal 2 7 5" xfId="3516"/>
    <cellStyle name="Normal 2 7 5 2" xfId="5555"/>
    <cellStyle name="Normal 2 7 5 2 2" xfId="17169"/>
    <cellStyle name="Normal 2 7 5 2 2 2" xfId="19128"/>
    <cellStyle name="Normal 2 7 5 2 2 2 2" xfId="52496"/>
    <cellStyle name="Normal 2 7 5 2 2 2 2 2" xfId="54454"/>
    <cellStyle name="Normal 2 7 5 2 2 3" xfId="32629"/>
    <cellStyle name="Normal 2 7 5 2 3" xfId="30670"/>
    <cellStyle name="Normal 2 7 5 2 3 2" xfId="40992"/>
    <cellStyle name="Normal 2 7 5 3" xfId="10765"/>
    <cellStyle name="Normal 2 7 5 3 2" xfId="38982"/>
    <cellStyle name="Normal 2 7 5 3 2 2" xfId="46127"/>
    <cellStyle name="Normal 2 7 5 4" xfId="24253"/>
    <cellStyle name="Normal 2 7 6" xfId="8709"/>
    <cellStyle name="Normal 2 7 6 2" xfId="13940"/>
    <cellStyle name="Normal 2 7 6 2 2" xfId="44136"/>
    <cellStyle name="Normal 2 7 6 2 2 2" xfId="49286"/>
    <cellStyle name="Normal 2 7 6 3" xfId="27428"/>
    <cellStyle name="Normal 2 7 7" xfId="9572"/>
    <cellStyle name="Normal 2 7 7 2" xfId="35752"/>
    <cellStyle name="Normal 2 8" xfId="297"/>
    <cellStyle name="Normal 2 8 2" xfId="843"/>
    <cellStyle name="Normal 2 8 2 2" xfId="1160"/>
    <cellStyle name="Normal 2 8 2 2 2" xfId="2895"/>
    <cellStyle name="Normal 2 8 2 2 2 2" xfId="3180"/>
    <cellStyle name="Normal 2 8 2 2 2 2 2" xfId="8110"/>
    <cellStyle name="Normal 2 8 2 2 2 2 2 2" xfId="8395"/>
    <cellStyle name="Normal 2 8 2 2 2 2 2 2 2" xfId="21662"/>
    <cellStyle name="Normal 2 8 2 2 2 2 2 2 2 2" xfId="21947"/>
    <cellStyle name="Normal 2 8 2 2 2 2 2 2 2 2 2" xfId="56988"/>
    <cellStyle name="Normal 2 8 2 2 2 2 2 2 2 2 2 2" xfId="57273"/>
    <cellStyle name="Normal 2 8 2 2 2 2 2 2 2 3" xfId="35450"/>
    <cellStyle name="Normal 2 8 2 2 2 2 2 2 3" xfId="35165"/>
    <cellStyle name="Normal 2 8 2 2 2 2 2 2 3 2" xfId="43822"/>
    <cellStyle name="Normal 2 8 2 2 2 2 2 3" xfId="13620"/>
    <cellStyle name="Normal 2 8 2 2 2 2 2 3 2" xfId="43537"/>
    <cellStyle name="Normal 2 8 2 2 2 2 2 3 2 2" xfId="48966"/>
    <cellStyle name="Normal 2 8 2 2 2 2 2 4" xfId="27105"/>
    <cellStyle name="Normal 2 8 2 2 2 2 3" xfId="13335"/>
    <cellStyle name="Normal 2 8 2 2 2 2 3 2" xfId="16837"/>
    <cellStyle name="Normal 2 8 2 2 2 2 3 2 2" xfId="48681"/>
    <cellStyle name="Normal 2 8 2 2 2 2 3 2 2 2" xfId="52165"/>
    <cellStyle name="Normal 2 8 2 2 2 2 3 3" xfId="30339"/>
    <cellStyle name="Normal 2 8 2 2 2 2 4" xfId="26820"/>
    <cellStyle name="Normal 2 8 2 2 2 2 4 2" xfId="38649"/>
    <cellStyle name="Normal 2 8 2 2 2 3" xfId="5217"/>
    <cellStyle name="Normal 2 8 2 2 2 3 2" xfId="16552"/>
    <cellStyle name="Normal 2 8 2 2 2 3 2 2" xfId="18790"/>
    <cellStyle name="Normal 2 8 2 2 2 3 2 2 2" xfId="51880"/>
    <cellStyle name="Normal 2 8 2 2 2 3 2 2 2 2" xfId="54116"/>
    <cellStyle name="Normal 2 8 2 2 2 3 2 3" xfId="32291"/>
    <cellStyle name="Normal 2 8 2 2 2 3 3" xfId="30054"/>
    <cellStyle name="Normal 2 8 2 2 2 3 3 2" xfId="40654"/>
    <cellStyle name="Normal 2 8 2 2 2 4" xfId="10420"/>
    <cellStyle name="Normal 2 8 2 2 2 4 2" xfId="38364"/>
    <cellStyle name="Normal 2 8 2 2 2 4 2 2" xfId="45783"/>
    <cellStyle name="Normal 2 8 2 2 2 5" xfId="23906"/>
    <cellStyle name="Normal 2 8 2 2 3" xfId="4931"/>
    <cellStyle name="Normal 2 8 2 2 3 2" xfId="6468"/>
    <cellStyle name="Normal 2 8 2 2 3 2 2" xfId="18504"/>
    <cellStyle name="Normal 2 8 2 2 3 2 2 2" xfId="20022"/>
    <cellStyle name="Normal 2 8 2 2 3 2 2 2 2" xfId="53830"/>
    <cellStyle name="Normal 2 8 2 2 3 2 2 2 2 2" xfId="55348"/>
    <cellStyle name="Normal 2 8 2 2 3 2 2 3" xfId="33524"/>
    <cellStyle name="Normal 2 8 2 2 3 2 3" xfId="32005"/>
    <cellStyle name="Normal 2 8 2 2 3 2 3 2" xfId="41896"/>
    <cellStyle name="Normal 2 8 2 2 3 3" xfId="11692"/>
    <cellStyle name="Normal 2 8 2 2 3 3 2" xfId="40368"/>
    <cellStyle name="Normal 2 8 2 2 3 3 2 2" xfId="47040"/>
    <cellStyle name="Normal 2 8 2 2 3 4" xfId="25177"/>
    <cellStyle name="Normal 2 8 2 2 4" xfId="10134"/>
    <cellStyle name="Normal 2 8 2 2 4 2" xfId="14850"/>
    <cellStyle name="Normal 2 8 2 2 4 2 2" xfId="45497"/>
    <cellStyle name="Normal 2 8 2 2 4 2 2 2" xfId="50189"/>
    <cellStyle name="Normal 2 8 2 2 4 3" xfId="28363"/>
    <cellStyle name="Normal 2 8 2 2 5" xfId="23620"/>
    <cellStyle name="Normal 2 8 2 2 5 2" xfId="36658"/>
    <cellStyle name="Normal 2 8 2 3" xfId="1968"/>
    <cellStyle name="Normal 2 8 2 3 2" xfId="6158"/>
    <cellStyle name="Normal 2 8 2 3 2 2" xfId="7202"/>
    <cellStyle name="Normal 2 8 2 3 2 2 2" xfId="19718"/>
    <cellStyle name="Normal 2 8 2 3 2 2 2 2" xfId="20754"/>
    <cellStyle name="Normal 2 8 2 3 2 2 2 2 2" xfId="55044"/>
    <cellStyle name="Normal 2 8 2 3 2 2 2 2 2 2" xfId="56080"/>
    <cellStyle name="Normal 2 8 2 3 2 2 2 3" xfId="34257"/>
    <cellStyle name="Normal 2 8 2 3 2 2 3" xfId="33220"/>
    <cellStyle name="Normal 2 8 2 3 2 2 3 2" xfId="42629"/>
    <cellStyle name="Normal 2 8 2 3 2 3" xfId="12427"/>
    <cellStyle name="Normal 2 8 2 3 2 3 2" xfId="41589"/>
    <cellStyle name="Normal 2 8 2 3 2 3 2 2" xfId="47773"/>
    <cellStyle name="Normal 2 8 2 3 2 4" xfId="25911"/>
    <cellStyle name="Normal 2 8 2 3 3" xfId="11384"/>
    <cellStyle name="Normal 2 8 2 3 3 2" xfId="15632"/>
    <cellStyle name="Normal 2 8 2 3 3 2 2" xfId="46735"/>
    <cellStyle name="Normal 2 8 2 3 3 2 2 2" xfId="50964"/>
    <cellStyle name="Normal 2 8 2 3 3 3" xfId="29138"/>
    <cellStyle name="Normal 2 8 2 3 4" xfId="24872"/>
    <cellStyle name="Normal 2 8 2 3 4 2" xfId="37446"/>
    <cellStyle name="Normal 2 8 2 4" xfId="3982"/>
    <cellStyle name="Normal 2 8 2 4 2" xfId="14541"/>
    <cellStyle name="Normal 2 8 2 4 2 2" xfId="17577"/>
    <cellStyle name="Normal 2 8 2 4 2 2 2" xfId="49882"/>
    <cellStyle name="Normal 2 8 2 4 2 2 2 2" xfId="52904"/>
    <cellStyle name="Normal 2 8 2 4 2 3" xfId="31079"/>
    <cellStyle name="Normal 2 8 2 4 3" xfId="28052"/>
    <cellStyle name="Normal 2 8 2 4 3 2" xfId="39426"/>
    <cellStyle name="Normal 2 8 2 5" xfId="9174"/>
    <cellStyle name="Normal 2 8 2 5 2" xfId="36351"/>
    <cellStyle name="Normal 2 8 2 5 2 2" xfId="44557"/>
    <cellStyle name="Normal 2 8 2 6" xfId="22671"/>
    <cellStyle name="Normal 2 8 3" xfId="1638"/>
    <cellStyle name="Normal 2 8 3 2" xfId="2412"/>
    <cellStyle name="Normal 2 8 3 2 2" xfId="6904"/>
    <cellStyle name="Normal 2 8 3 2 2 2" xfId="7644"/>
    <cellStyle name="Normal 2 8 3 2 2 2 2" xfId="20457"/>
    <cellStyle name="Normal 2 8 3 2 2 2 2 2" xfId="21196"/>
    <cellStyle name="Normal 2 8 3 2 2 2 2 2 2" xfId="55783"/>
    <cellStyle name="Normal 2 8 3 2 2 2 2 2 2 2" xfId="56522"/>
    <cellStyle name="Normal 2 8 3 2 2 2 2 3" xfId="34699"/>
    <cellStyle name="Normal 2 8 3 2 2 2 3" xfId="33959"/>
    <cellStyle name="Normal 2 8 3 2 2 2 3 2" xfId="43071"/>
    <cellStyle name="Normal 2 8 3 2 2 3" xfId="12869"/>
    <cellStyle name="Normal 2 8 3 2 2 3 2" xfId="42332"/>
    <cellStyle name="Normal 2 8 3 2 2 3 2 2" xfId="48215"/>
    <cellStyle name="Normal 2 8 3 2 2 4" xfId="26353"/>
    <cellStyle name="Normal 2 8 3 2 3" xfId="12128"/>
    <cellStyle name="Normal 2 8 3 2 3 2" xfId="16075"/>
    <cellStyle name="Normal 2 8 3 2 3 2 2" xfId="47475"/>
    <cellStyle name="Normal 2 8 3 2 3 2 2 2" xfId="51407"/>
    <cellStyle name="Normal 2 8 3 2 3 3" xfId="29581"/>
    <cellStyle name="Normal 2 8 3 2 4" xfId="25613"/>
    <cellStyle name="Normal 2 8 3 2 4 2" xfId="37890"/>
    <cellStyle name="Normal 2 8 3 3" xfId="4447"/>
    <cellStyle name="Normal 2 8 3 3 2" xfId="15312"/>
    <cellStyle name="Normal 2 8 3 3 2 2" xfId="18037"/>
    <cellStyle name="Normal 2 8 3 3 2 2 2" xfId="50647"/>
    <cellStyle name="Normal 2 8 3 3 2 2 2 2" xfId="53363"/>
    <cellStyle name="Normal 2 8 3 3 2 3" xfId="31538"/>
    <cellStyle name="Normal 2 8 3 3 3" xfId="28821"/>
    <cellStyle name="Normal 2 8 3 3 3 2" xfId="39889"/>
    <cellStyle name="Normal 2 8 3 4" xfId="9652"/>
    <cellStyle name="Normal 2 8 3 4 2" xfId="37123"/>
    <cellStyle name="Normal 2 8 3 4 2 2" xfId="45030"/>
    <cellStyle name="Normal 2 8 3 5" xfId="23153"/>
    <cellStyle name="Normal 2 8 4" xfId="3642"/>
    <cellStyle name="Normal 2 8 4 2" xfId="5653"/>
    <cellStyle name="Normal 2 8 4 2 2" xfId="17272"/>
    <cellStyle name="Normal 2 8 4 2 2 2" xfId="19225"/>
    <cellStyle name="Normal 2 8 4 2 2 2 2" xfId="52599"/>
    <cellStyle name="Normal 2 8 4 2 2 2 2 2" xfId="54551"/>
    <cellStyle name="Normal 2 8 4 2 2 3" xfId="32726"/>
    <cellStyle name="Normal 2 8 4 2 3" xfId="30773"/>
    <cellStyle name="Normal 2 8 4 2 3 2" xfId="41089"/>
    <cellStyle name="Normal 2 8 4 3" xfId="10871"/>
    <cellStyle name="Normal 2 8 4 3 2" xfId="39097"/>
    <cellStyle name="Normal 2 8 4 3 2 2" xfId="46233"/>
    <cellStyle name="Normal 2 8 4 4" xfId="24364"/>
    <cellStyle name="Normal 2 8 5" xfId="8837"/>
    <cellStyle name="Normal 2 8 5 2" xfId="14037"/>
    <cellStyle name="Normal 2 8 5 2 2" xfId="44244"/>
    <cellStyle name="Normal 2 8 5 2 2 2" xfId="49383"/>
    <cellStyle name="Normal 2 8 5 3" xfId="27536"/>
    <cellStyle name="Normal 2 8 6" xfId="22352"/>
    <cellStyle name="Normal 2 8 6 2" xfId="35849"/>
    <cellStyle name="Normal 2 9" xfId="547"/>
    <cellStyle name="Normal 2 9 2" xfId="1811"/>
    <cellStyle name="Normal 2 9 2 2" xfId="2641"/>
    <cellStyle name="Normal 2 9 2 2 2" xfId="7063"/>
    <cellStyle name="Normal 2 9 2 2 2 2" xfId="7861"/>
    <cellStyle name="Normal 2 9 2 2 2 2 2" xfId="20616"/>
    <cellStyle name="Normal 2 9 2 2 2 2 2 2" xfId="21413"/>
    <cellStyle name="Normal 2 9 2 2 2 2 2 2 2" xfId="55942"/>
    <cellStyle name="Normal 2 9 2 2 2 2 2 2 2 2" xfId="56739"/>
    <cellStyle name="Normal 2 9 2 2 2 2 2 3" xfId="34916"/>
    <cellStyle name="Normal 2 9 2 2 2 2 3" xfId="34118"/>
    <cellStyle name="Normal 2 9 2 2 2 2 3 2" xfId="43288"/>
    <cellStyle name="Normal 2 9 2 2 2 3" xfId="13086"/>
    <cellStyle name="Normal 2 9 2 2 2 3 2" xfId="42491"/>
    <cellStyle name="Normal 2 9 2 2 2 3 2 2" xfId="48432"/>
    <cellStyle name="Normal 2 9 2 2 2 4" xfId="26570"/>
    <cellStyle name="Normal 2 9 2 2 3" xfId="12287"/>
    <cellStyle name="Normal 2 9 2 2 3 2" xfId="16300"/>
    <cellStyle name="Normal 2 9 2 2 3 2 2" xfId="47634"/>
    <cellStyle name="Normal 2 9 2 2 3 2 2 2" xfId="51630"/>
    <cellStyle name="Normal 2 9 2 2 3 3" xfId="29804"/>
    <cellStyle name="Normal 2 9 2 2 4" xfId="25772"/>
    <cellStyle name="Normal 2 9 2 2 4 2" xfId="38114"/>
    <cellStyle name="Normal 2 9 2 3" xfId="4676"/>
    <cellStyle name="Normal 2 9 2 3 2" xfId="15483"/>
    <cellStyle name="Normal 2 9 2 3 2 2" xfId="18255"/>
    <cellStyle name="Normal 2 9 2 3 2 2 2" xfId="50816"/>
    <cellStyle name="Normal 2 9 2 3 2 2 2 2" xfId="53581"/>
    <cellStyle name="Normal 2 9 2 3 2 3" xfId="31756"/>
    <cellStyle name="Normal 2 9 2 3 3" xfId="28990"/>
    <cellStyle name="Normal 2 9 2 3 3 2" xfId="40115"/>
    <cellStyle name="Normal 2 9 2 4" xfId="9879"/>
    <cellStyle name="Normal 2 9 2 4 2" xfId="37293"/>
    <cellStyle name="Normal 2 9 2 4 2 2" xfId="45248"/>
    <cellStyle name="Normal 2 9 2 5" xfId="23371"/>
    <cellStyle name="Normal 2 9 3" xfId="3820"/>
    <cellStyle name="Normal 2 9 3 2" xfId="5880"/>
    <cellStyle name="Normal 2 9 3 2 2" xfId="17435"/>
    <cellStyle name="Normal 2 9 3 2 2 2" xfId="19448"/>
    <cellStyle name="Normal 2 9 3 2 2 2 2" xfId="52762"/>
    <cellStyle name="Normal 2 9 3 2 2 2 2 2" xfId="54774"/>
    <cellStyle name="Normal 2 9 3 2 2 3" xfId="32949"/>
    <cellStyle name="Normal 2 9 3 2 3" xfId="30936"/>
    <cellStyle name="Normal 2 9 3 2 3 2" xfId="41315"/>
    <cellStyle name="Normal 2 9 3 3" xfId="11104"/>
    <cellStyle name="Normal 2 9 3 3 2" xfId="39270"/>
    <cellStyle name="Normal 2 9 3 3 2 2" xfId="46463"/>
    <cellStyle name="Normal 2 9 3 4" xfId="24598"/>
    <cellStyle name="Normal 2 9 4" xfId="9011"/>
    <cellStyle name="Normal 2 9 4 2" xfId="14265"/>
    <cellStyle name="Normal 2 9 4 2 2" xfId="44409"/>
    <cellStyle name="Normal 2 9 4 2 2 2" xfId="49610"/>
    <cellStyle name="Normal 2 9 4 3" xfId="27772"/>
    <cellStyle name="Normal 2 9 5" xfId="22520"/>
    <cellStyle name="Normal 2 9 5 2" xfId="36077"/>
    <cellStyle name="Normal 3" xfId="21"/>
    <cellStyle name="Normal 3 10" xfId="451"/>
    <cellStyle name="Normal 3 11" xfId="761"/>
    <cellStyle name="Normal 3 12" xfId="2764"/>
    <cellStyle name="Normal 3 13" xfId="3549"/>
    <cellStyle name="Normal 3 14" xfId="9726"/>
    <cellStyle name="Normal 3 2" xfId="22"/>
    <cellStyle name="Normal 3 3" xfId="23"/>
    <cellStyle name="Normal 3 3 10" xfId="729"/>
    <cellStyle name="Normal 3 3 11" xfId="8868"/>
    <cellStyle name="Normal 3 3 2" xfId="53"/>
    <cellStyle name="Normal 3 3 3" xfId="75"/>
    <cellStyle name="Normal 3 3 4" xfId="37"/>
    <cellStyle name="Normal 3 3 5" xfId="164"/>
    <cellStyle name="Normal 3 3 6" xfId="206"/>
    <cellStyle name="Normal 3 3 7" xfId="443"/>
    <cellStyle name="Normal 3 3 8" xfId="197"/>
    <cellStyle name="Normal 3 3 9" xfId="2539"/>
    <cellStyle name="Normal 3 4" xfId="24"/>
    <cellStyle name="Normal 3 4 10" xfId="6172"/>
    <cellStyle name="Normal 3 4 11" xfId="8740"/>
    <cellStyle name="Normal 3 4 2" xfId="54"/>
    <cellStyle name="Normal 3 4 3" xfId="76"/>
    <cellStyle name="Normal 3 4 4" xfId="110"/>
    <cellStyle name="Normal 3 4 5" xfId="136"/>
    <cellStyle name="Normal 3 4 6" xfId="293"/>
    <cellStyle name="Normal 3 4 7" xfId="388"/>
    <cellStyle name="Normal 3 4 8" xfId="1202"/>
    <cellStyle name="Normal 3 4 9" xfId="1890"/>
    <cellStyle name="Normal 3 5" xfId="51"/>
    <cellStyle name="Normal 3 6" xfId="73"/>
    <cellStyle name="Normal 3 7" xfId="95"/>
    <cellStyle name="Normal 3 8" xfId="167"/>
    <cellStyle name="Normal 3 9" xfId="280"/>
    <cellStyle name="Normal 4" xfId="25"/>
    <cellStyle name="Normal 4 10" xfId="4800"/>
    <cellStyle name="Normal 4 11" xfId="3658"/>
    <cellStyle name="Normal 4 2" xfId="55"/>
    <cellStyle name="Normal 4 3" xfId="77"/>
    <cellStyle name="Normal 4 4" xfId="111"/>
    <cellStyle name="Normal 4 5" xfId="98"/>
    <cellStyle name="Normal 4 6" xfId="242"/>
    <cellStyle name="Normal 4 7" xfId="499"/>
    <cellStyle name="Normal 4 8" xfId="907"/>
    <cellStyle name="Normal 4 9" xfId="1595"/>
    <cellStyle name="Normal 5 10" xfId="15223"/>
    <cellStyle name="Normal 5 2" xfId="82"/>
    <cellStyle name="Normal 5 3" xfId="116"/>
    <cellStyle name="Normal 5 4" xfId="117"/>
    <cellStyle name="Normal 5 5" xfId="279"/>
    <cellStyle name="Normal 5 6" xfId="381"/>
    <cellStyle name="Normal 5 7" xfId="764"/>
    <cellStyle name="Normal 5 8" xfId="1703"/>
    <cellStyle name="Normal 5 9" xfId="3548"/>
    <cellStyle name="Normal 6 2" xfId="126"/>
    <cellStyle name="Normal 6 3" xfId="191"/>
    <cellStyle name="Normal 6 4" xfId="230"/>
    <cellStyle name="Normal 6 5" xfId="529"/>
    <cellStyle name="Normal 6 6" xfId="694"/>
    <cellStyle name="Normal 6 7" xfId="2542"/>
    <cellStyle name="Normal 6 8" xfId="2488"/>
    <cellStyle name="Normal 6 9" xfId="9123"/>
    <cellStyle name="Normal 7 2" xfId="215"/>
    <cellStyle name="Normal 7 3" xfId="353"/>
    <cellStyle name="Normal 7 4" xfId="667"/>
    <cellStyle name="Normal 7 5" xfId="431"/>
    <cellStyle name="Normal 7 6" xfId="881"/>
    <cellStyle name="Normal 7 7" xfId="5888"/>
    <cellStyle name="Normal 7 8" xfId="11305"/>
    <cellStyle name="Normal 8" xfId="26"/>
    <cellStyle name="Normal 8 10" xfId="4032"/>
    <cellStyle name="Normal 8 11" xfId="3905"/>
    <cellStyle name="Normal 8 2" xfId="56"/>
    <cellStyle name="Normal 8 3" xfId="78"/>
    <cellStyle name="Normal 8 4" xfId="112"/>
    <cellStyle name="Normal 8 5" xfId="67"/>
    <cellStyle name="Normal 8 6" xfId="208"/>
    <cellStyle name="Normal 8 7" xfId="439"/>
    <cellStyle name="Normal 8 8" xfId="1102"/>
    <cellStyle name="Normal 8 9" xfId="1547"/>
    <cellStyle name="Normal 9 2" xfId="361"/>
    <cellStyle name="Normal 9 3" xfId="675"/>
    <cellStyle name="Normal 9 4" xfId="858"/>
    <cellStyle name="Normal 9 5" xfId="1603"/>
    <cellStyle name="Normal 9 6" xfId="2487"/>
    <cellStyle name="Normal 9 7" xfId="1921"/>
    <cellStyle name="Normal_Final cover - LG Reporting" xfId="27"/>
    <cellStyle name="Percent" xfId="28" builtinId="5"/>
    <cellStyle name="Percent 10 2" xfId="29"/>
    <cellStyle name="Percent 10 2 10" xfId="6411"/>
    <cellStyle name="Percent 10 2 11" xfId="15279"/>
    <cellStyle name="Percent 10 2 2" xfId="57"/>
    <cellStyle name="Percent 10 2 3" xfId="79"/>
    <cellStyle name="Percent 10 2 4" xfId="113"/>
    <cellStyle name="Percent 10 2 5" xfId="163"/>
    <cellStyle name="Percent 10 2 6" xfId="187"/>
    <cellStyle name="Percent 10 2 7" xfId="384"/>
    <cellStyle name="Percent 10 2 8" xfId="898"/>
    <cellStyle name="Percent 10 2 9" xfId="1478"/>
    <cellStyle name="Percent 2" xfId="30"/>
    <cellStyle name="Percent 2 10" xfId="9150"/>
    <cellStyle name="Percent 2 11" xfId="27667"/>
    <cellStyle name="Percent 2 2" xfId="58"/>
    <cellStyle name="Percent 2 3" xfId="88"/>
    <cellStyle name="Percent 2 4" xfId="147"/>
    <cellStyle name="Percent 2 5" xfId="223"/>
    <cellStyle name="Percent 2 6" xfId="235"/>
    <cellStyle name="Percent 2 7" xfId="190"/>
    <cellStyle name="Percent 2 8" xfId="1526"/>
    <cellStyle name="Percent 2 9" xfId="4358"/>
    <cellStyle name="Percent 3" xfId="31"/>
    <cellStyle name="Percent 3 10" xfId="3904"/>
    <cellStyle name="Percent 3 11" xfId="10003"/>
    <cellStyle name="Percent 3 2" xfId="59"/>
    <cellStyle name="Percent 3 3" xfId="81"/>
    <cellStyle name="Percent 3 4" xfId="115"/>
    <cellStyle name="Percent 3 5" xfId="162"/>
    <cellStyle name="Percent 3 6" xfId="207"/>
    <cellStyle name="Percent 3 7" xfId="552"/>
    <cellStyle name="Percent 3 8" xfId="1144"/>
    <cellStyle name="Percent 3 9" xfId="2756"/>
    <cellStyle name="Percent 4" xfId="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2.xml"/><Relationship Id="rId68" Type="http://schemas.openxmlformats.org/officeDocument/2006/relationships/externalLink" Target="externalLinks/externalLink7.xml"/><Relationship Id="rId7" Type="http://schemas.openxmlformats.org/officeDocument/2006/relationships/worksheet" Target="worksheets/sheet7.xml"/><Relationship Id="rId71"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5.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4.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3.xml"/><Relationship Id="rId69" Type="http://schemas.openxmlformats.org/officeDocument/2006/relationships/externalLink" Target="externalLinks/externalLink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70" Type="http://schemas.openxmlformats.org/officeDocument/2006/relationships/externalLink" Target="externalLinks/externalLink9.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60-EC42-11CE-9E0D-00AA006002F3}" ax:persistence="persistStreamInit" r:id="rId1"/>
</file>

<file path=xl/activeX/activeX2.xml><?xml version="1.0" encoding="utf-8"?>
<ax:ocx xmlns:ax="http://schemas.microsoft.com/office/2006/activeX" xmlns:r="http://schemas.openxmlformats.org/officeDocument/2006/relationships" ax:classid="{8BD21D60-EC42-11CE-9E0D-00AA006002F3}" ax:persistence="persistStreamInit" r:id="rId1"/>
</file>

<file path=xl/activeX/activeX3.xml><?xml version="1.0" encoding="utf-8"?>
<ax:ocx xmlns:ax="http://schemas.microsoft.com/office/2006/activeX" xmlns:r="http://schemas.openxmlformats.org/officeDocument/2006/relationships" ax:classid="{8BD21D6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Drop" dropLines="2" dropStyle="combo" dx="16" fmlaLink="MuniEntities" fmlaRange="$X$4:$X$5" noThreeD="1" sel="2" val="0"/>
</file>

<file path=xl/ctrlProps/ctrlProp2.xml><?xml version="1.0" encoding="utf-8"?>
<formControlPr xmlns="http://schemas.microsoft.com/office/spreadsheetml/2009/9/main" objectType="Drop" dropLines="2" dropStyle="combo" dx="16" fmlaLink="MuniType" fmlaRange="$X$7:$X$15" noThreeD="1" val="0"/>
</file>

<file path=xl/ctrlProps/ctrlProp3.xml><?xml version="1.0" encoding="utf-8"?>
<formControlPr xmlns="http://schemas.microsoft.com/office/spreadsheetml/2009/9/main" objectType="Drop" dropLines="6" dropStyle="combo" dx="16" fmlaLink="$X$33" fmlaRange="$X$17:$X$31" noThreeD="1" sel="4" val="3"/>
</file>

<file path=xl/ctrlProps/ctrlProp4.xml><?xml version="1.0" encoding="utf-8"?>
<formControlPr xmlns="http://schemas.microsoft.com/office/spreadsheetml/2009/9/main" objectType="Drop" dropLines="10" dropStyle="combo" dx="16" fmlaLink="'Lookup and lists'!$B$27" fmlaRange="'Lookup and lists'!$B$29:$C$312" noThreeD="1" sel="219" val="217"/>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6.emf"/><Relationship Id="rId3" Type="http://schemas.openxmlformats.org/officeDocument/2006/relationships/hyperlink" Target="http://mfma.treasury.gov.za/Circulars/Pages/default.aspx" TargetMode="External"/><Relationship Id="rId7" Type="http://schemas.openxmlformats.org/officeDocument/2006/relationships/hyperlink" Target="http://mfma.treasury.gov.za/MFMA/Circulars/Circular%2051/MFMA%20Circular%20No%2051%20-%20Municipal%20Budget%20Circular%20for%20the%20201011%20MTREF.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MFMA/Regulations%20and%20Gazettes/Municipal%20Budget%20and%20Reporting%20Regulations/Version%20of%20formats%20to%20be%20used%20for%20201011%20tabled%20and%20approved%20budgets/Budget%20Format%20Guidelines%2024022010.pdf" TargetMode="External"/><Relationship Id="rId5" Type="http://schemas.openxmlformats.org/officeDocument/2006/relationships/hyperlink" Target="http://mfma.treasury.gov.za/MFMA/Circulars/Circular%2048/MFMA%20Circular%20No%2048%20-%20Municipal%20Budget%20Circular%20for%20the%20200910%20MTREF%20-%202%20March%202009.pdf" TargetMode="External"/><Relationship Id="rId4" Type="http://schemas.openxmlformats.org/officeDocument/2006/relationships/hyperlink" Target="http://mfma.treasury.gov.za/Return_Forms/Pages/default.aspx" TargetMode="Externa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3.emf"/><Relationship Id="rId7" Type="http://schemas.openxmlformats.org/officeDocument/2006/relationships/image" Target="../media/image9.emf"/><Relationship Id="rId2" Type="http://schemas.openxmlformats.org/officeDocument/2006/relationships/image" Target="../media/image14.emf"/><Relationship Id="rId1" Type="http://schemas.openxmlformats.org/officeDocument/2006/relationships/image" Target="../media/image15.emf"/><Relationship Id="rId6" Type="http://schemas.openxmlformats.org/officeDocument/2006/relationships/image" Target="../media/image10.emf"/><Relationship Id="rId5" Type="http://schemas.openxmlformats.org/officeDocument/2006/relationships/image" Target="../media/image11.emf"/><Relationship Id="rId4"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66675</xdr:colOff>
      <xdr:row>39</xdr:row>
      <xdr:rowOff>85725</xdr:rowOff>
    </xdr:to>
    <xdr:grpSp>
      <xdr:nvGrpSpPr>
        <xdr:cNvPr id="168822" name="Group 316"/>
        <xdr:cNvGrpSpPr>
          <a:grpSpLocks/>
        </xdr:cNvGrpSpPr>
      </xdr:nvGrpSpPr>
      <xdr:grpSpPr bwMode="auto">
        <a:xfrm>
          <a:off x="0" y="0"/>
          <a:ext cx="7623175" cy="6276975"/>
          <a:chOff x="0" y="0"/>
          <a:chExt cx="791" cy="672"/>
        </a:xfrm>
      </xdr:grpSpPr>
      <xdr:grpSp>
        <xdr:nvGrpSpPr>
          <xdr:cNvPr id="168824" name="Group 11"/>
          <xdr:cNvGrpSpPr>
            <a:grpSpLocks/>
          </xdr:cNvGrpSpPr>
        </xdr:nvGrpSpPr>
        <xdr:grpSpPr bwMode="auto">
          <a:xfrm>
            <a:off x="0" y="0"/>
            <a:ext cx="791" cy="672"/>
            <a:chOff x="0" y="0"/>
            <a:chExt cx="791" cy="672"/>
          </a:xfrm>
        </xdr:grpSpPr>
        <xdr:grpSp>
          <xdr:nvGrpSpPr>
            <xdr:cNvPr id="168826" name="Group 12"/>
            <xdr:cNvGrpSpPr>
              <a:grpSpLocks/>
            </xdr:cNvGrpSpPr>
          </xdr:nvGrpSpPr>
          <xdr:grpSpPr bwMode="auto">
            <a:xfrm>
              <a:off x="0" y="0"/>
              <a:ext cx="791" cy="672"/>
              <a:chOff x="12" y="17"/>
              <a:chExt cx="791" cy="672"/>
            </a:xfrm>
          </xdr:grpSpPr>
          <xdr:pic>
            <xdr:nvPicPr>
              <xdr:cNvPr id="168828" name="Picture 13" descr="Untitled-1 copy"/>
              <xdr:cNvPicPr>
                <a:picLocks noChangeAspect="1" noChangeArrowheads="1"/>
              </xdr:cNvPicPr>
            </xdr:nvPicPr>
            <xdr:blipFill>
              <a:blip xmlns:r="http://schemas.openxmlformats.org/officeDocument/2006/relationships" r:embed="rId1"/>
              <a:srcRect/>
              <a:stretch>
                <a:fillRect/>
              </a:stretch>
            </xdr:blipFill>
            <xdr:spPr bwMode="auto">
              <a:xfrm>
                <a:off x="12" y="17"/>
                <a:ext cx="791" cy="672"/>
              </a:xfrm>
              <a:prstGeom prst="rect">
                <a:avLst/>
              </a:prstGeom>
              <a:noFill/>
              <a:ln w="9525">
                <a:noFill/>
                <a:miter lim="800000"/>
                <a:headEnd/>
                <a:tailEnd/>
              </a:ln>
            </xdr:spPr>
          </xdr:pic>
          <xdr:pic>
            <xdr:nvPicPr>
              <xdr:cNvPr id="168829" name="Picture 14" descr="1 copy"/>
              <xdr:cNvPicPr>
                <a:picLocks noChangeAspect="1" noChangeArrowheads="1"/>
              </xdr:cNvPicPr>
            </xdr:nvPicPr>
            <xdr:blipFill>
              <a:blip xmlns:r="http://schemas.openxmlformats.org/officeDocument/2006/relationships" r:embed="rId2"/>
              <a:srcRect/>
              <a:stretch>
                <a:fillRect/>
              </a:stretch>
            </xdr:blipFill>
            <xdr:spPr bwMode="auto">
              <a:xfrm>
                <a:off x="23" y="249"/>
                <a:ext cx="770" cy="431"/>
              </a:xfrm>
              <a:prstGeom prst="rect">
                <a:avLst/>
              </a:prstGeom>
              <a:noFill/>
              <a:ln w="9525">
                <a:noFill/>
                <a:miter lim="800000"/>
                <a:headEnd/>
                <a:tailEnd/>
              </a:ln>
            </xdr:spPr>
          </xdr:pic>
          <xdr:grpSp>
            <xdr:nvGrpSpPr>
              <xdr:cNvPr id="168830" name="Group 15"/>
              <xdr:cNvGrpSpPr>
                <a:grpSpLocks/>
              </xdr:cNvGrpSpPr>
            </xdr:nvGrpSpPr>
            <xdr:grpSpPr bwMode="auto">
              <a:xfrm>
                <a:off x="416" y="255"/>
                <a:ext cx="367" cy="413"/>
                <a:chOff x="416" y="255"/>
                <a:chExt cx="367" cy="413"/>
              </a:xfrm>
            </xdr:grpSpPr>
            <xdr:pic>
              <xdr:nvPicPr>
                <xdr:cNvPr id="168835" name="Picture 48" descr="Untitled-4-2"/>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blip>
                <a:srcRect l="3902" t="4648" r="53714" b="11395"/>
                <a:stretch>
                  <a:fillRect/>
                </a:stretch>
              </xdr:blipFill>
              <xdr:spPr bwMode="auto">
                <a:xfrm>
                  <a:off x="416" y="255"/>
                  <a:ext cx="367" cy="413"/>
                </a:xfrm>
                <a:prstGeom prst="rect">
                  <a:avLst/>
                </a:prstGeom>
                <a:noFill/>
                <a:ln w="9525">
                  <a:noFill/>
                  <a:miter lim="800000"/>
                  <a:headEnd/>
                  <a:tailEnd/>
                </a:ln>
              </xdr:spPr>
            </xdr:pic>
            <xdr:grpSp>
              <xdr:nvGrpSpPr>
                <xdr:cNvPr id="168836" name="Group 17"/>
                <xdr:cNvGrpSpPr>
                  <a:grpSpLocks/>
                </xdr:cNvGrpSpPr>
              </xdr:nvGrpSpPr>
              <xdr:grpSpPr bwMode="auto">
                <a:xfrm>
                  <a:off x="432" y="264"/>
                  <a:ext cx="286" cy="128"/>
                  <a:chOff x="426" y="263"/>
                  <a:chExt cx="290" cy="130"/>
                </a:xfrm>
              </xdr:grpSpPr>
              <xdr:pic>
                <xdr:nvPicPr>
                  <xdr:cNvPr id="168838" name="Picture 52" descr="Letter Head"/>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blip>
                  <a:srcRect l="7806" t="23810" r="4646" b="24339"/>
                  <a:stretch>
                    <a:fillRect/>
                  </a:stretch>
                </xdr:blipFill>
                <xdr:spPr bwMode="auto">
                  <a:xfrm>
                    <a:off x="426" y="263"/>
                    <a:ext cx="290" cy="130"/>
                  </a:xfrm>
                  <a:prstGeom prst="rect">
                    <a:avLst/>
                  </a:prstGeom>
                  <a:noFill/>
                  <a:ln w="9525">
                    <a:noFill/>
                    <a:miter lim="800000"/>
                    <a:headEnd/>
                    <a:tailEnd/>
                  </a:ln>
                </xdr:spPr>
              </xdr:pic>
              <xdr:sp macro="" textlink="">
                <xdr:nvSpPr>
                  <xdr:cNvPr id="168839" name="Line 53"/>
                  <xdr:cNvSpPr>
                    <a:spLocks noChangeShapeType="1"/>
                  </xdr:cNvSpPr>
                </xdr:nvSpPr>
                <xdr:spPr bwMode="auto">
                  <a:xfrm>
                    <a:off x="515" y="325"/>
                    <a:ext cx="187" cy="0"/>
                  </a:xfrm>
                  <a:prstGeom prst="line">
                    <a:avLst/>
                  </a:prstGeom>
                  <a:noFill/>
                  <a:ln w="12700">
                    <a:solidFill>
                      <a:srgbClr val="000000"/>
                    </a:solidFill>
                    <a:round/>
                    <a:headEnd/>
                    <a:tailEnd/>
                  </a:ln>
                </xdr:spPr>
              </xdr:sp>
            </xdr:grpSp>
            <xdr:sp macro="" textlink="">
              <xdr:nvSpPr>
                <xdr:cNvPr id="122900" name="Text Box 20"/>
                <xdr:cNvSpPr txBox="1">
                  <a:spLocks noChangeArrowheads="1"/>
                </xdr:cNvSpPr>
              </xdr:nvSpPr>
              <xdr:spPr bwMode="auto">
                <a:xfrm>
                  <a:off x="435" y="393"/>
                  <a:ext cx="333" cy="254"/>
                </a:xfrm>
                <a:prstGeom prst="rect">
                  <a:avLst/>
                </a:prstGeom>
                <a:noFill/>
                <a:ln w="9525">
                  <a:noFill/>
                  <a:miter lim="800000"/>
                  <a:headEnd/>
                  <a:tailEnd/>
                </a:ln>
              </xdr:spPr>
              <xdr:txBody>
                <a:bodyPr vertOverflow="clip" wrap="square" lIns="27432" tIns="27432" rIns="0" bIns="0" anchor="t" upright="1"/>
                <a:lstStyle/>
                <a:p>
                  <a:pPr algn="l" rtl="1">
                    <a:defRPr sz="1000"/>
                  </a:pPr>
                  <a:endParaRPr lang="en-US" sz="1200" b="1" i="0" u="sng" strike="noStrike">
                    <a:solidFill>
                      <a:srgbClr val="000000"/>
                    </a:solidFill>
                    <a:latin typeface="Calibri"/>
                  </a:endParaRPr>
                </a:p>
                <a:p>
                  <a:pPr algn="l" rtl="1">
                    <a:defRPr sz="1000"/>
                  </a:pPr>
                  <a:r>
                    <a:rPr lang="en-US" sz="1200" b="1" i="0" u="sng" strike="noStrike">
                      <a:solidFill>
                        <a:srgbClr val="000000"/>
                      </a:solidFill>
                      <a:latin typeface="Calibri"/>
                    </a:rPr>
                    <a:t>Contact details:</a:t>
                  </a:r>
                  <a:endParaRPr lang="en-US" sz="1200" b="0" i="0" strike="noStrike">
                    <a:solidFill>
                      <a:srgbClr val="000000"/>
                    </a:solidFill>
                    <a:latin typeface="Calibri"/>
                  </a:endParaRPr>
                </a:p>
                <a:p>
                  <a:pPr algn="l" rtl="1">
                    <a:defRPr sz="1000"/>
                  </a:pPr>
                  <a:endParaRPr lang="en-US" sz="1200" b="0" i="0" strike="noStrike">
                    <a:solidFill>
                      <a:srgbClr val="000000"/>
                    </a:solidFill>
                    <a:latin typeface="Calibri"/>
                  </a:endParaRPr>
                </a:p>
                <a:p>
                  <a:pPr algn="l" rtl="1">
                    <a:defRPr sz="1000"/>
                  </a:pPr>
                  <a:r>
                    <a:rPr lang="en-US" sz="1000" b="0" i="0" strike="noStrike">
                      <a:solidFill>
                        <a:srgbClr val="000000"/>
                      </a:solidFill>
                      <a:latin typeface="Calibri"/>
                    </a:rPr>
                    <a:t>Technical enquiries to the MFMA Helpline at:</a:t>
                  </a:r>
                </a:p>
                <a:p>
                  <a:pPr algn="l" rtl="1">
                    <a:defRPr sz="1000"/>
                  </a:pPr>
                  <a:r>
                    <a:rPr lang="en-US" sz="1000" b="0" i="0" strike="noStrike">
                      <a:solidFill>
                        <a:srgbClr val="000000"/>
                      </a:solidFill>
                      <a:latin typeface="Calibri"/>
                    </a:rPr>
                    <a:t>mfma@treasury.gov.za</a:t>
                  </a:r>
                </a:p>
                <a:p>
                  <a:pPr algn="l" rtl="1">
                    <a:defRPr sz="1000"/>
                  </a:pPr>
                  <a:endParaRPr lang="en-US" sz="1000" b="0" i="0" strike="noStrike">
                    <a:solidFill>
                      <a:srgbClr val="000000"/>
                    </a:solidFill>
                    <a:latin typeface="Calibri"/>
                  </a:endParaRPr>
                </a:p>
                <a:p>
                  <a:pPr algn="l" rtl="1">
                    <a:defRPr sz="1000"/>
                  </a:pPr>
                  <a:r>
                    <a:rPr lang="en-US" sz="1000" b="0" i="0" strike="noStrike">
                      <a:solidFill>
                        <a:srgbClr val="000000"/>
                      </a:solidFill>
                      <a:latin typeface="Calibri"/>
                    </a:rPr>
                    <a:t>Data submission enquiries:</a:t>
                  </a:r>
                </a:p>
                <a:p>
                  <a:pPr algn="l" rtl="1">
                    <a:defRPr sz="1000"/>
                  </a:pPr>
                  <a:r>
                    <a:rPr lang="en-US" sz="1000" b="0" i="0" strike="noStrike">
                      <a:solidFill>
                        <a:srgbClr val="000000"/>
                      </a:solidFill>
                      <a:latin typeface="Calibri"/>
                    </a:rPr>
                    <a:t>Elsabé Rossouw </a:t>
                  </a:r>
                </a:p>
                <a:p>
                  <a:pPr algn="l" rtl="1">
                    <a:defRPr sz="1000"/>
                  </a:pPr>
                  <a:r>
                    <a:rPr lang="en-US" sz="1000" b="0" i="0" strike="noStrike">
                      <a:solidFill>
                        <a:srgbClr val="000000"/>
                      </a:solidFill>
                      <a:latin typeface="Calibri"/>
                    </a:rPr>
                    <a:t>National Treasury </a:t>
                  </a:r>
                </a:p>
                <a:p>
                  <a:pPr algn="l" rtl="1">
                    <a:defRPr sz="1000"/>
                  </a:pPr>
                  <a:r>
                    <a:rPr lang="en-US" sz="1000" b="0" i="0" strike="noStrike">
                      <a:solidFill>
                        <a:srgbClr val="000000"/>
                      </a:solidFill>
                      <a:latin typeface="Calibri"/>
                    </a:rPr>
                    <a:t>Tel: (012) 315-5534 </a:t>
                  </a:r>
                </a:p>
                <a:p>
                  <a:pPr algn="l" rtl="1">
                    <a:defRPr sz="1000"/>
                  </a:pPr>
                  <a:r>
                    <a:rPr lang="en-US" sz="1000" b="0" i="0" strike="noStrike">
                      <a:solidFill>
                        <a:srgbClr val="000000"/>
                      </a:solidFill>
                      <a:latin typeface="Calibri"/>
                    </a:rPr>
                    <a:t>Electronic documents: lgdocuments@treasury.gov.za</a:t>
                  </a:r>
                </a:p>
                <a:p>
                  <a:pPr algn="l" rtl="1">
                    <a:defRPr sz="1000"/>
                  </a:pPr>
                  <a:r>
                    <a:rPr lang="en-US" sz="1000" b="0" i="0" strike="noStrike">
                      <a:solidFill>
                        <a:srgbClr val="000000"/>
                      </a:solidFill>
                      <a:latin typeface="Calibri"/>
                    </a:rPr>
                    <a:t>Queries on formats: lgdataqueries@treasury.gov.za</a:t>
                  </a:r>
                </a:p>
                <a:p>
                  <a:pPr algn="l" rtl="1">
                    <a:defRPr sz="1000"/>
                  </a:pPr>
                  <a:endParaRPr lang="en-US" sz="1000" b="0" i="0" strike="noStrike">
                    <a:solidFill>
                      <a:srgbClr val="000000"/>
                    </a:solidFill>
                    <a:latin typeface="Calibri"/>
                  </a:endParaRPr>
                </a:p>
              </xdr:txBody>
            </xdr:sp>
          </xdr:grpSp>
          <xdr:grpSp>
            <xdr:nvGrpSpPr>
              <xdr:cNvPr id="168831" name="Group 21"/>
              <xdr:cNvGrpSpPr>
                <a:grpSpLocks/>
              </xdr:cNvGrpSpPr>
            </xdr:nvGrpSpPr>
            <xdr:grpSpPr bwMode="auto">
              <a:xfrm>
                <a:off x="76" y="364"/>
                <a:ext cx="289" cy="256"/>
                <a:chOff x="76" y="364"/>
                <a:chExt cx="289" cy="256"/>
              </a:xfrm>
            </xdr:grpSpPr>
            <xdr:pic>
              <xdr:nvPicPr>
                <xdr:cNvPr id="168832" name="Picture 22" descr="J1c"/>
                <xdr:cNvPicPr>
                  <a:picLocks noChangeAspect="1" noChangeArrowheads="1"/>
                </xdr:cNvPicPr>
              </xdr:nvPicPr>
              <xdr:blipFill>
                <a:blip xmlns:r="http://schemas.openxmlformats.org/officeDocument/2006/relationships" r:embed="rId5" cstate="print"/>
                <a:srcRect/>
                <a:stretch>
                  <a:fillRect/>
                </a:stretch>
              </xdr:blipFill>
              <xdr:spPr bwMode="auto">
                <a:xfrm>
                  <a:off x="76" y="364"/>
                  <a:ext cx="289" cy="84"/>
                </a:xfrm>
                <a:prstGeom prst="rect">
                  <a:avLst/>
                </a:prstGeom>
                <a:noFill/>
                <a:ln w="9525">
                  <a:noFill/>
                  <a:miter lim="800000"/>
                  <a:headEnd/>
                  <a:tailEnd/>
                </a:ln>
              </xdr:spPr>
            </xdr:pic>
            <xdr:pic>
              <xdr:nvPicPr>
                <xdr:cNvPr id="168833" name="Picture 23" descr="J1a"/>
                <xdr:cNvPicPr>
                  <a:picLocks noChangeAspect="1" noChangeArrowheads="1"/>
                </xdr:cNvPicPr>
              </xdr:nvPicPr>
              <xdr:blipFill>
                <a:blip xmlns:r="http://schemas.openxmlformats.org/officeDocument/2006/relationships" r:embed="rId6" cstate="print"/>
                <a:srcRect/>
                <a:stretch>
                  <a:fillRect/>
                </a:stretch>
              </xdr:blipFill>
              <xdr:spPr bwMode="auto">
                <a:xfrm>
                  <a:off x="76" y="536"/>
                  <a:ext cx="289" cy="84"/>
                </a:xfrm>
                <a:prstGeom prst="rect">
                  <a:avLst/>
                </a:prstGeom>
                <a:noFill/>
                <a:ln w="9525">
                  <a:noFill/>
                  <a:miter lim="800000"/>
                  <a:headEnd/>
                  <a:tailEnd/>
                </a:ln>
              </xdr:spPr>
            </xdr:pic>
            <xdr:pic>
              <xdr:nvPicPr>
                <xdr:cNvPr id="168834" name="Picture 24" descr="J1b"/>
                <xdr:cNvPicPr>
                  <a:picLocks noChangeAspect="1" noChangeArrowheads="1"/>
                </xdr:cNvPicPr>
              </xdr:nvPicPr>
              <xdr:blipFill>
                <a:blip xmlns:r="http://schemas.openxmlformats.org/officeDocument/2006/relationships" r:embed="rId7" cstate="print"/>
                <a:srcRect/>
                <a:stretch>
                  <a:fillRect/>
                </a:stretch>
              </xdr:blipFill>
              <xdr:spPr bwMode="auto">
                <a:xfrm>
                  <a:off x="76" y="450"/>
                  <a:ext cx="289" cy="84"/>
                </a:xfrm>
                <a:prstGeom prst="rect">
                  <a:avLst/>
                </a:prstGeom>
                <a:noFill/>
                <a:ln w="9525">
                  <a:noFill/>
                  <a:miter lim="800000"/>
                  <a:headEnd/>
                  <a:tailEnd/>
                </a:ln>
              </xdr:spPr>
            </xdr:pic>
          </xdr:grpSp>
        </xdr:grpSp>
        <xdr:pic>
          <xdr:nvPicPr>
            <xdr:cNvPr id="168827" name="Picture 25" descr="A1 light"/>
            <xdr:cNvPicPr>
              <a:picLocks noChangeAspect="1" noChangeArrowheads="1"/>
            </xdr:cNvPicPr>
          </xdr:nvPicPr>
          <xdr:blipFill>
            <a:blip xmlns:r="http://schemas.openxmlformats.org/officeDocument/2006/relationships" r:embed="rId8"/>
            <a:srcRect/>
            <a:stretch>
              <a:fillRect/>
            </a:stretch>
          </xdr:blipFill>
          <xdr:spPr bwMode="auto">
            <a:xfrm>
              <a:off x="11" y="11"/>
              <a:ext cx="770" cy="215"/>
            </a:xfrm>
            <a:prstGeom prst="rect">
              <a:avLst/>
            </a:prstGeom>
            <a:noFill/>
            <a:ln w="9525">
              <a:noFill/>
              <a:miter lim="800000"/>
              <a:headEnd/>
              <a:tailEnd/>
            </a:ln>
          </xdr:spPr>
        </xdr:pic>
      </xdr:grpSp>
      <xdr:sp macro="" textlink="">
        <xdr:nvSpPr>
          <xdr:cNvPr id="123193" name="Text Box 313"/>
          <xdr:cNvSpPr txBox="1">
            <a:spLocks noChangeArrowheads="1"/>
          </xdr:cNvSpPr>
        </xdr:nvSpPr>
        <xdr:spPr bwMode="auto">
          <a:xfrm>
            <a:off x="666" y="196"/>
            <a:ext cx="109" cy="18"/>
          </a:xfrm>
          <a:prstGeom prst="rect">
            <a:avLst/>
          </a:prstGeom>
          <a:noFill/>
          <a:ln>
            <a:noFill/>
          </a:ln>
          <a:extLst/>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Version 2.3.</a:t>
            </a:r>
          </a:p>
        </xdr:txBody>
      </xdr:sp>
    </xdr:grpSp>
    <xdr:clientData/>
  </xdr:twoCellAnchor>
  <xdr:twoCellAnchor>
    <xdr:from>
      <xdr:col>1</xdr:col>
      <xdr:colOff>85725</xdr:colOff>
      <xdr:row>15</xdr:row>
      <xdr:rowOff>152400</xdr:rowOff>
    </xdr:from>
    <xdr:to>
      <xdr:col>4</xdr:col>
      <xdr:colOff>485775</xdr:colOff>
      <xdr:row>19</xdr:row>
      <xdr:rowOff>0</xdr:rowOff>
    </xdr:to>
    <xdr:sp macro="[0]!GoToInstructions" textlink="">
      <xdr:nvSpPr>
        <xdr:cNvPr id="122906" name="Text Box 26"/>
        <xdr:cNvSpPr txBox="1">
          <a:spLocks noChangeArrowheads="1"/>
        </xdr:cNvSpPr>
      </xdr:nvSpPr>
      <xdr:spPr bwMode="auto">
        <a:xfrm>
          <a:off x="619125" y="2581275"/>
          <a:ext cx="200025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Click for Instructions!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419100</xdr:colOff>
      <xdr:row>46</xdr:row>
      <xdr:rowOff>66675</xdr:rowOff>
    </xdr:to>
    <xdr:pic>
      <xdr:nvPicPr>
        <xdr:cNvPr id="169358" name="Picture 3" descr="Untitled-1 copy"/>
        <xdr:cNvPicPr>
          <a:picLocks noChangeAspect="1" noChangeArrowheads="1"/>
        </xdr:cNvPicPr>
      </xdr:nvPicPr>
      <xdr:blipFill>
        <a:blip xmlns:r="http://schemas.openxmlformats.org/officeDocument/2006/relationships" r:embed="rId1"/>
        <a:srcRect/>
        <a:stretch>
          <a:fillRect/>
        </a:stretch>
      </xdr:blipFill>
      <xdr:spPr bwMode="auto">
        <a:xfrm>
          <a:off x="0" y="0"/>
          <a:ext cx="7734300" cy="7515225"/>
        </a:xfrm>
        <a:prstGeom prst="rect">
          <a:avLst/>
        </a:prstGeom>
        <a:noFill/>
        <a:ln w="9525">
          <a:noFill/>
          <a:miter lim="800000"/>
          <a:headEnd/>
          <a:tailEnd/>
        </a:ln>
      </xdr:spPr>
    </xdr:pic>
    <xdr:clientData/>
  </xdr:twoCellAnchor>
  <xdr:twoCellAnchor>
    <xdr:from>
      <xdr:col>0</xdr:col>
      <xdr:colOff>171450</xdr:colOff>
      <xdr:row>28</xdr:row>
      <xdr:rowOff>38100</xdr:rowOff>
    </xdr:from>
    <xdr:to>
      <xdr:col>6</xdr:col>
      <xdr:colOff>381000</xdr:colOff>
      <xdr:row>45</xdr:row>
      <xdr:rowOff>66675</xdr:rowOff>
    </xdr:to>
    <xdr:pic>
      <xdr:nvPicPr>
        <xdr:cNvPr id="169359" name="Picture 4" descr="1 copy"/>
        <xdr:cNvPicPr>
          <a:picLocks noChangeAspect="1" noChangeArrowheads="1"/>
        </xdr:cNvPicPr>
      </xdr:nvPicPr>
      <xdr:blipFill>
        <a:blip xmlns:r="http://schemas.openxmlformats.org/officeDocument/2006/relationships" r:embed="rId2"/>
        <a:srcRect/>
        <a:stretch>
          <a:fillRect/>
        </a:stretch>
      </xdr:blipFill>
      <xdr:spPr bwMode="auto">
        <a:xfrm>
          <a:off x="171450" y="4572000"/>
          <a:ext cx="3867150" cy="2781300"/>
        </a:xfrm>
        <a:prstGeom prst="rect">
          <a:avLst/>
        </a:prstGeom>
        <a:noFill/>
        <a:ln w="9525">
          <a:noFill/>
          <a:miter lim="800000"/>
          <a:headEnd/>
          <a:tailEnd/>
        </a:ln>
      </xdr:spPr>
    </xdr:pic>
    <xdr:clientData/>
  </xdr:twoCellAnchor>
  <xdr:twoCellAnchor>
    <xdr:from>
      <xdr:col>7</xdr:col>
      <xdr:colOff>66675</xdr:colOff>
      <xdr:row>24</xdr:row>
      <xdr:rowOff>104775</xdr:rowOff>
    </xdr:from>
    <xdr:to>
      <xdr:col>11</xdr:col>
      <xdr:colOff>561975</xdr:colOff>
      <xdr:row>27</xdr:row>
      <xdr:rowOff>114300</xdr:rowOff>
    </xdr:to>
    <xdr:sp macro="[0]!GoToOrgstructure" textlink="">
      <xdr:nvSpPr>
        <xdr:cNvPr id="123920" name="Text Box 16"/>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161925</xdr:colOff>
      <xdr:row>0</xdr:row>
      <xdr:rowOff>123825</xdr:rowOff>
    </xdr:from>
    <xdr:to>
      <xdr:col>11</xdr:col>
      <xdr:colOff>552450</xdr:colOff>
      <xdr:row>3</xdr:row>
      <xdr:rowOff>133350</xdr:rowOff>
    </xdr:to>
    <xdr:sp macro="" textlink="">
      <xdr:nvSpPr>
        <xdr:cNvPr id="123921" name="Text Box 17"/>
        <xdr:cNvSpPr txBox="1">
          <a:spLocks noChangeArrowheads="1"/>
        </xdr:cNvSpPr>
      </xdr:nvSpPr>
      <xdr:spPr bwMode="auto">
        <a:xfrm>
          <a:off x="161925" y="123825"/>
          <a:ext cx="7096125"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209550</xdr:colOff>
      <xdr:row>28</xdr:row>
      <xdr:rowOff>66675</xdr:rowOff>
    </xdr:from>
    <xdr:to>
      <xdr:col>6</xdr:col>
      <xdr:colOff>342900</xdr:colOff>
      <xdr:row>31</xdr:row>
      <xdr:rowOff>114300</xdr:rowOff>
    </xdr:to>
    <xdr:sp macro="" textlink="">
      <xdr:nvSpPr>
        <xdr:cNvPr id="124127" name="Text Box 18"/>
        <xdr:cNvSpPr txBox="1">
          <a:spLocks noChangeArrowheads="1"/>
        </xdr:cNvSpPr>
      </xdr:nvSpPr>
      <xdr:spPr bwMode="auto">
        <a:xfrm>
          <a:off x="209550" y="4600575"/>
          <a:ext cx="3790950" cy="533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0</xdr:col>
      <xdr:colOff>190500</xdr:colOff>
      <xdr:row>4</xdr:row>
      <xdr:rowOff>0</xdr:rowOff>
    </xdr:from>
    <xdr:to>
      <xdr:col>5</xdr:col>
      <xdr:colOff>76200</xdr:colOff>
      <xdr:row>6</xdr:row>
      <xdr:rowOff>57150</xdr:rowOff>
    </xdr:to>
    <xdr:sp macro="" textlink="">
      <xdr:nvSpPr>
        <xdr:cNvPr id="123923" name="Text Box 19"/>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xdr:from>
      <xdr:col>0</xdr:col>
      <xdr:colOff>161925</xdr:colOff>
      <xdr:row>14</xdr:row>
      <xdr:rowOff>85725</xdr:rowOff>
    </xdr:from>
    <xdr:to>
      <xdr:col>5</xdr:col>
      <xdr:colOff>47625</xdr:colOff>
      <xdr:row>17</xdr:row>
      <xdr:rowOff>95250</xdr:rowOff>
    </xdr:to>
    <xdr:sp macro="" textlink="">
      <xdr:nvSpPr>
        <xdr:cNvPr id="123926" name="Text Box 22"/>
        <xdr:cNvSpPr txBox="1">
          <a:spLocks noChangeArrowheads="1"/>
        </xdr:cNvSpPr>
      </xdr:nvSpPr>
      <xdr:spPr bwMode="auto">
        <a:xfrm>
          <a:off x="161925" y="2352675"/>
          <a:ext cx="2933700" cy="495300"/>
        </a:xfrm>
        <a:prstGeom prst="rect">
          <a:avLst/>
        </a:prstGeom>
        <a:noFill/>
        <a:ln w="9525">
          <a:noFill/>
          <a:miter lim="800000"/>
          <a:headEnd/>
          <a:tailEnd/>
        </a:ln>
      </xdr:spPr>
      <xdr:txBody>
        <a:bodyPr vertOverflow="clip" wrap="square" lIns="0" tIns="32004" rIns="36576" bIns="32004" anchor="ctr" upright="1"/>
        <a:lstStyle/>
        <a:p>
          <a:pPr algn="r" rtl="0">
            <a:defRPr sz="1000"/>
          </a:pPr>
          <a:r>
            <a:rPr lang="en-GB" sz="1400" b="1" i="0" u="none" strike="noStrike" baseline="0">
              <a:solidFill>
                <a:srgbClr val="FFFFFF"/>
              </a:solidFill>
              <a:latin typeface="Calibri"/>
              <a:cs typeface="Calibri"/>
            </a:rPr>
            <a:t>Budget for MTREF starting:</a:t>
          </a:r>
        </a:p>
      </xdr:txBody>
    </xdr:sp>
    <xdr:clientData/>
  </xdr:twoCellAnchor>
  <xdr:twoCellAnchor>
    <xdr:from>
      <xdr:col>7</xdr:col>
      <xdr:colOff>257175</xdr:colOff>
      <xdr:row>14</xdr:row>
      <xdr:rowOff>85725</xdr:rowOff>
    </xdr:from>
    <xdr:to>
      <xdr:col>9</xdr:col>
      <xdr:colOff>476250</xdr:colOff>
      <xdr:row>17</xdr:row>
      <xdr:rowOff>95250</xdr:rowOff>
    </xdr:to>
    <xdr:sp macro="" textlink="">
      <xdr:nvSpPr>
        <xdr:cNvPr id="123928" name="Text Box 24"/>
        <xdr:cNvSpPr txBox="1">
          <a:spLocks noChangeArrowheads="1"/>
        </xdr:cNvSpPr>
      </xdr:nvSpPr>
      <xdr:spPr bwMode="auto">
        <a:xfrm>
          <a:off x="4524375" y="2352675"/>
          <a:ext cx="1438275"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Budget Year:</a:t>
          </a:r>
        </a:p>
      </xdr:txBody>
    </xdr:sp>
    <xdr:clientData/>
  </xdr:twoCellAnchor>
  <xdr:twoCellAnchor>
    <xdr:from>
      <xdr:col>0</xdr:col>
      <xdr:colOff>161925</xdr:colOff>
      <xdr:row>17</xdr:row>
      <xdr:rowOff>57150</xdr:rowOff>
    </xdr:from>
    <xdr:to>
      <xdr:col>5</xdr:col>
      <xdr:colOff>47625</xdr:colOff>
      <xdr:row>20</xdr:row>
      <xdr:rowOff>66675</xdr:rowOff>
    </xdr:to>
    <xdr:sp macro="" textlink="">
      <xdr:nvSpPr>
        <xdr:cNvPr id="123929" name="Text Box 25"/>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161925</xdr:colOff>
      <xdr:row>20</xdr:row>
      <xdr:rowOff>104775</xdr:rowOff>
    </xdr:from>
    <xdr:to>
      <xdr:col>5</xdr:col>
      <xdr:colOff>47625</xdr:colOff>
      <xdr:row>22</xdr:row>
      <xdr:rowOff>152400</xdr:rowOff>
    </xdr:to>
    <xdr:sp macro="" textlink="">
      <xdr:nvSpPr>
        <xdr:cNvPr id="123930" name="Text Box 26"/>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200025</xdr:colOff>
      <xdr:row>7</xdr:row>
      <xdr:rowOff>0</xdr:rowOff>
    </xdr:from>
    <xdr:to>
      <xdr:col>5</xdr:col>
      <xdr:colOff>85725</xdr:colOff>
      <xdr:row>8</xdr:row>
      <xdr:rowOff>133350</xdr:rowOff>
    </xdr:to>
    <xdr:sp macro="" textlink="">
      <xdr:nvSpPr>
        <xdr:cNvPr id="123943" name="Text Box 39"/>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428625</xdr:colOff>
      <xdr:row>9</xdr:row>
      <xdr:rowOff>57150</xdr:rowOff>
    </xdr:from>
    <xdr:to>
      <xdr:col>5</xdr:col>
      <xdr:colOff>85725</xdr:colOff>
      <xdr:row>11</xdr:row>
      <xdr:rowOff>28575</xdr:rowOff>
    </xdr:to>
    <xdr:sp macro="" textlink="">
      <xdr:nvSpPr>
        <xdr:cNvPr id="123944" name="Text Box 40"/>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209550</xdr:colOff>
      <xdr:row>11</xdr:row>
      <xdr:rowOff>123825</xdr:rowOff>
    </xdr:from>
    <xdr:to>
      <xdr:col>5</xdr:col>
      <xdr:colOff>95250</xdr:colOff>
      <xdr:row>13</xdr:row>
      <xdr:rowOff>114300</xdr:rowOff>
    </xdr:to>
    <xdr:sp macro="" textlink="">
      <xdr:nvSpPr>
        <xdr:cNvPr id="123945" name="Text Box 41"/>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9525</xdr:colOff>
      <xdr:row>9</xdr:row>
      <xdr:rowOff>76200</xdr:rowOff>
    </xdr:from>
    <xdr:to>
      <xdr:col>8</xdr:col>
      <xdr:colOff>552450</xdr:colOff>
      <xdr:row>11</xdr:row>
      <xdr:rowOff>47625</xdr:rowOff>
    </xdr:to>
    <xdr:sp macro="" textlink="">
      <xdr:nvSpPr>
        <xdr:cNvPr id="123949" name="Text Box 45"/>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xdr:twoCellAnchor>
    <xdr:from>
      <xdr:col>1</xdr:col>
      <xdr:colOff>142875</xdr:colOff>
      <xdr:row>33</xdr:row>
      <xdr:rowOff>0</xdr:rowOff>
    </xdr:from>
    <xdr:to>
      <xdr:col>5</xdr:col>
      <xdr:colOff>381000</xdr:colOff>
      <xdr:row>34</xdr:row>
      <xdr:rowOff>152399</xdr:rowOff>
    </xdr:to>
    <xdr:sp macro="" textlink="">
      <xdr:nvSpPr>
        <xdr:cNvPr id="124137" name="Text Box 233"/>
        <xdr:cNvSpPr txBox="1">
          <a:spLocks noChangeArrowheads="1"/>
        </xdr:cNvSpPr>
      </xdr:nvSpPr>
      <xdr:spPr bwMode="auto">
        <a:xfrm>
          <a:off x="752475" y="5343525"/>
          <a:ext cx="2676525" cy="314324"/>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590550</xdr:colOff>
      <xdr:row>39</xdr:row>
      <xdr:rowOff>95250</xdr:rowOff>
    </xdr:from>
    <xdr:to>
      <xdr:col>5</xdr:col>
      <xdr:colOff>571500</xdr:colOff>
      <xdr:row>41</xdr:row>
      <xdr:rowOff>142875</xdr:rowOff>
    </xdr:to>
    <xdr:sp macro="" textlink="">
      <xdr:nvSpPr>
        <xdr:cNvPr id="124138" name="Text Box 234"/>
        <xdr:cNvSpPr txBox="1">
          <a:spLocks noChangeArrowheads="1"/>
        </xdr:cNvSpPr>
      </xdr:nvSpPr>
      <xdr:spPr bwMode="auto">
        <a:xfrm>
          <a:off x="590550" y="6410325"/>
          <a:ext cx="3028950" cy="371475"/>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xdr:twoCellAnchor>
    <xdr:from>
      <xdr:col>6</xdr:col>
      <xdr:colOff>381000</xdr:colOff>
      <xdr:row>28</xdr:row>
      <xdr:rowOff>47625</xdr:rowOff>
    </xdr:from>
    <xdr:to>
      <xdr:col>12</xdr:col>
      <xdr:colOff>257175</xdr:colOff>
      <xdr:row>45</xdr:row>
      <xdr:rowOff>66675</xdr:rowOff>
    </xdr:to>
    <xdr:pic>
      <xdr:nvPicPr>
        <xdr:cNvPr id="169374" name="Picture 4" descr="1 copy"/>
        <xdr:cNvPicPr>
          <a:picLocks noChangeAspect="1" noChangeArrowheads="1"/>
        </xdr:cNvPicPr>
      </xdr:nvPicPr>
      <xdr:blipFill>
        <a:blip xmlns:r="http://schemas.openxmlformats.org/officeDocument/2006/relationships" r:embed="rId2"/>
        <a:srcRect/>
        <a:stretch>
          <a:fillRect/>
        </a:stretch>
      </xdr:blipFill>
      <xdr:spPr bwMode="auto">
        <a:xfrm>
          <a:off x="4038600" y="4581525"/>
          <a:ext cx="3533775" cy="2771775"/>
        </a:xfrm>
        <a:prstGeom prst="rect">
          <a:avLst/>
        </a:prstGeom>
        <a:noFill/>
        <a:ln w="9525">
          <a:noFill/>
          <a:miter lim="800000"/>
          <a:headEnd/>
          <a:tailEnd/>
        </a:ln>
      </xdr:spPr>
    </xdr:pic>
    <xdr:clientData/>
  </xdr:twoCellAnchor>
  <xdr:twoCellAnchor>
    <xdr:from>
      <xdr:col>6</xdr:col>
      <xdr:colOff>390525</xdr:colOff>
      <xdr:row>28</xdr:row>
      <xdr:rowOff>66675</xdr:rowOff>
    </xdr:from>
    <xdr:to>
      <xdr:col>12</xdr:col>
      <xdr:colOff>209550</xdr:colOff>
      <xdr:row>32</xdr:row>
      <xdr:rowOff>28575</xdr:rowOff>
    </xdr:to>
    <xdr:sp macro="" textlink="">
      <xdr:nvSpPr>
        <xdr:cNvPr id="39" name="Text Box 18"/>
        <xdr:cNvSpPr txBox="1">
          <a:spLocks noChangeArrowheads="1"/>
        </xdr:cNvSpPr>
      </xdr:nvSpPr>
      <xdr:spPr bwMode="auto">
        <a:xfrm>
          <a:off x="4048125" y="4600575"/>
          <a:ext cx="3476625" cy="6096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Important documents which </a:t>
          </a:r>
        </a:p>
        <a:p>
          <a:pPr algn="ctr" rtl="0">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495300</xdr:colOff>
      <xdr:row>32</xdr:row>
      <xdr:rowOff>133350</xdr:rowOff>
    </xdr:from>
    <xdr:to>
      <xdr:col>10</xdr:col>
      <xdr:colOff>390525</xdr:colOff>
      <xdr:row>35</xdr:row>
      <xdr:rowOff>19050</xdr:rowOff>
    </xdr:to>
    <xdr:sp macro="" textlink="">
      <xdr:nvSpPr>
        <xdr:cNvPr id="40" name="Text Box 233"/>
        <xdr:cNvSpPr txBox="1">
          <a:spLocks noChangeArrowheads="1"/>
        </xdr:cNvSpPr>
      </xdr:nvSpPr>
      <xdr:spPr bwMode="auto">
        <a:xfrm>
          <a:off x="4152900" y="5314950"/>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Budget Circular 2011/12 </a:t>
          </a:r>
        </a:p>
      </xdr:txBody>
    </xdr:sp>
    <xdr:clientData/>
  </xdr:twoCellAnchor>
  <xdr:twoCellAnchor>
    <xdr:from>
      <xdr:col>6</xdr:col>
      <xdr:colOff>514351</xdr:colOff>
      <xdr:row>37</xdr:row>
      <xdr:rowOff>76200</xdr:rowOff>
    </xdr:from>
    <xdr:to>
      <xdr:col>9</xdr:col>
      <xdr:colOff>304801</xdr:colOff>
      <xdr:row>39</xdr:row>
      <xdr:rowOff>123825</xdr:rowOff>
    </xdr:to>
    <xdr:sp macro="" textlink="">
      <xdr:nvSpPr>
        <xdr:cNvPr id="41" name="Text Box 233"/>
        <xdr:cNvSpPr txBox="1">
          <a:spLocks noChangeArrowheads="1"/>
        </xdr:cNvSpPr>
      </xdr:nvSpPr>
      <xdr:spPr bwMode="auto">
        <a:xfrm>
          <a:off x="4171951" y="6067425"/>
          <a:ext cx="1619250"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Circular 48 </a:t>
          </a:r>
        </a:p>
      </xdr:txBody>
    </xdr:sp>
    <xdr:clientData/>
  </xdr:twoCellAnchor>
  <xdr:twoCellAnchor>
    <xdr:from>
      <xdr:col>6</xdr:col>
      <xdr:colOff>504825</xdr:colOff>
      <xdr:row>35</xdr:row>
      <xdr:rowOff>19050</xdr:rowOff>
    </xdr:from>
    <xdr:to>
      <xdr:col>10</xdr:col>
      <xdr:colOff>133350</xdr:colOff>
      <xdr:row>37</xdr:row>
      <xdr:rowOff>66675</xdr:rowOff>
    </xdr:to>
    <xdr:sp macro="" textlink="">
      <xdr:nvSpPr>
        <xdr:cNvPr id="42" name="Text Box 233"/>
        <xdr:cNvSpPr txBox="1">
          <a:spLocks noChangeArrowheads="1"/>
        </xdr:cNvSpPr>
      </xdr:nvSpPr>
      <xdr:spPr bwMode="auto">
        <a:xfrm>
          <a:off x="4162425" y="5686425"/>
          <a:ext cx="20669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MBRR Budget Formats Guide </a:t>
          </a:r>
        </a:p>
      </xdr:txBody>
    </xdr:sp>
    <xdr:clientData/>
  </xdr:twoCellAnchor>
  <xdr:twoCellAnchor>
    <xdr:from>
      <xdr:col>6</xdr:col>
      <xdr:colOff>514351</xdr:colOff>
      <xdr:row>39</xdr:row>
      <xdr:rowOff>142875</xdr:rowOff>
    </xdr:from>
    <xdr:to>
      <xdr:col>9</xdr:col>
      <xdr:colOff>114301</xdr:colOff>
      <xdr:row>41</xdr:row>
      <xdr:rowOff>142875</xdr:rowOff>
    </xdr:to>
    <xdr:sp macro="" textlink="">
      <xdr:nvSpPr>
        <xdr:cNvPr id="44" name="Text Box 233"/>
        <xdr:cNvSpPr txBox="1">
          <a:spLocks noChangeArrowheads="1"/>
        </xdr:cNvSpPr>
      </xdr:nvSpPr>
      <xdr:spPr bwMode="auto">
        <a:xfrm>
          <a:off x="4171951" y="6457950"/>
          <a:ext cx="1428750" cy="323850"/>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a:t>
          </a:r>
          <a:r>
            <a:rPr lang="en-GB" sz="1400" b="1" i="0" u="sng" strike="noStrike" baseline="0">
              <a:solidFill>
                <a:srgbClr val="FFFFFF"/>
              </a:solidFill>
              <a:latin typeface="Calibri"/>
              <a:cs typeface="Calibri"/>
            </a:rPr>
            <a:t> </a:t>
          </a:r>
          <a:r>
            <a:rPr lang="en-GB" sz="1200" b="1" i="0" u="sng" strike="noStrike" baseline="0">
              <a:solidFill>
                <a:srgbClr val="FFFFFF"/>
              </a:solidFill>
              <a:latin typeface="Calibri"/>
              <a:cs typeface="Calibri"/>
            </a:rPr>
            <a:t>Circular</a:t>
          </a:r>
          <a:r>
            <a:rPr lang="en-GB" sz="1400" b="1" i="0" u="sng" strike="noStrike" baseline="0">
              <a:solidFill>
                <a:srgbClr val="FFFFFF"/>
              </a:solidFill>
              <a:latin typeface="Calibri"/>
              <a:cs typeface="Calibri"/>
            </a:rPr>
            <a:t> 51</a:t>
          </a:r>
        </a:p>
      </xdr:txBody>
    </xdr:sp>
    <xdr:clientData/>
  </xdr:twoCellAnchor>
  <xdr:twoCellAnchor>
    <xdr:from>
      <xdr:col>6</xdr:col>
      <xdr:colOff>514350</xdr:colOff>
      <xdr:row>42</xdr:row>
      <xdr:rowOff>9525</xdr:rowOff>
    </xdr:from>
    <xdr:to>
      <xdr:col>9</xdr:col>
      <xdr:colOff>390525</xdr:colOff>
      <xdr:row>44</xdr:row>
      <xdr:rowOff>57150</xdr:rowOff>
    </xdr:to>
    <xdr:sp macro="" textlink="">
      <xdr:nvSpPr>
        <xdr:cNvPr id="37" name="Text Box 233"/>
        <xdr:cNvSpPr txBox="1">
          <a:spLocks noChangeArrowheads="1"/>
        </xdr:cNvSpPr>
      </xdr:nvSpPr>
      <xdr:spPr bwMode="auto">
        <a:xfrm>
          <a:off x="4171950" y="6810375"/>
          <a:ext cx="170497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Return Forms </a:t>
          </a:r>
        </a:p>
      </xdr:txBody>
    </xdr:sp>
    <xdr:clientData/>
  </xdr:twoCellAnchor>
  <xdr:twoCellAnchor>
    <xdr:from>
      <xdr:col>10</xdr:col>
      <xdr:colOff>552451</xdr:colOff>
      <xdr:row>32</xdr:row>
      <xdr:rowOff>142875</xdr:rowOff>
    </xdr:from>
    <xdr:to>
      <xdr:col>12</xdr:col>
      <xdr:colOff>133351</xdr:colOff>
      <xdr:row>35</xdr:row>
      <xdr:rowOff>28575</xdr:rowOff>
    </xdr:to>
    <xdr:sp macro="" textlink="">
      <xdr:nvSpPr>
        <xdr:cNvPr id="38" name="Text Box 233">
          <a:hlinkClick xmlns:r="http://schemas.openxmlformats.org/officeDocument/2006/relationships" r:id="rId3"/>
        </xdr:cNvPr>
        <xdr:cNvSpPr txBox="1">
          <a:spLocks noChangeArrowheads="1"/>
        </xdr:cNvSpPr>
      </xdr:nvSpPr>
      <xdr:spPr bwMode="auto">
        <a:xfrm>
          <a:off x="6648451" y="5324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42</xdr:row>
      <xdr:rowOff>0</xdr:rowOff>
    </xdr:from>
    <xdr:to>
      <xdr:col>12</xdr:col>
      <xdr:colOff>152400</xdr:colOff>
      <xdr:row>44</xdr:row>
      <xdr:rowOff>47625</xdr:rowOff>
    </xdr:to>
    <xdr:sp macro="" textlink="">
      <xdr:nvSpPr>
        <xdr:cNvPr id="43" name="Text Box 233">
          <a:hlinkClick xmlns:r="http://schemas.openxmlformats.org/officeDocument/2006/relationships" r:id="rId4"/>
        </xdr:cNvPr>
        <xdr:cNvSpPr txBox="1">
          <a:spLocks noChangeArrowheads="1"/>
        </xdr:cNvSpPr>
      </xdr:nvSpPr>
      <xdr:spPr bwMode="auto">
        <a:xfrm>
          <a:off x="6667500" y="68008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552450</xdr:colOff>
      <xdr:row>37</xdr:row>
      <xdr:rowOff>85725</xdr:rowOff>
    </xdr:from>
    <xdr:to>
      <xdr:col>12</xdr:col>
      <xdr:colOff>133350</xdr:colOff>
      <xdr:row>39</xdr:row>
      <xdr:rowOff>133350</xdr:rowOff>
    </xdr:to>
    <xdr:sp macro="" textlink="">
      <xdr:nvSpPr>
        <xdr:cNvPr id="46" name="Text Box 233">
          <a:hlinkClick xmlns:r="http://schemas.openxmlformats.org/officeDocument/2006/relationships" r:id="rId5"/>
        </xdr:cNvPr>
        <xdr:cNvSpPr txBox="1">
          <a:spLocks noChangeArrowheads="1"/>
        </xdr:cNvSpPr>
      </xdr:nvSpPr>
      <xdr:spPr bwMode="auto">
        <a:xfrm>
          <a:off x="6648450" y="60769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542925</xdr:colOff>
      <xdr:row>35</xdr:row>
      <xdr:rowOff>76200</xdr:rowOff>
    </xdr:from>
    <xdr:to>
      <xdr:col>12</xdr:col>
      <xdr:colOff>123825</xdr:colOff>
      <xdr:row>37</xdr:row>
      <xdr:rowOff>123825</xdr:rowOff>
    </xdr:to>
    <xdr:sp macro="" textlink="">
      <xdr:nvSpPr>
        <xdr:cNvPr id="48" name="Text Box 233">
          <a:hlinkClick xmlns:r="http://schemas.openxmlformats.org/officeDocument/2006/relationships" r:id="rId6"/>
        </xdr:cNvPr>
        <xdr:cNvSpPr txBox="1">
          <a:spLocks noChangeArrowheads="1"/>
        </xdr:cNvSpPr>
      </xdr:nvSpPr>
      <xdr:spPr bwMode="auto">
        <a:xfrm>
          <a:off x="6638925" y="57435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39</xdr:row>
      <xdr:rowOff>152400</xdr:rowOff>
    </xdr:from>
    <xdr:to>
      <xdr:col>12</xdr:col>
      <xdr:colOff>152400</xdr:colOff>
      <xdr:row>42</xdr:row>
      <xdr:rowOff>38100</xdr:rowOff>
    </xdr:to>
    <xdr:sp macro="" textlink="">
      <xdr:nvSpPr>
        <xdr:cNvPr id="49" name="Text Box 233">
          <a:hlinkClick xmlns:r="http://schemas.openxmlformats.org/officeDocument/2006/relationships" r:id="rId7"/>
        </xdr:cNvPr>
        <xdr:cNvSpPr txBox="1">
          <a:spLocks noChangeArrowheads="1"/>
        </xdr:cNvSpPr>
      </xdr:nvSpPr>
      <xdr:spPr bwMode="auto">
        <a:xfrm>
          <a:off x="6667500" y="6467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mc:AlternateContent xmlns:mc="http://schemas.openxmlformats.org/markup-compatibility/2006">
    <mc:Choice xmlns:a14="http://schemas.microsoft.com/office/drawing/2010/main" Requires="a14">
      <xdr:twoCellAnchor editAs="oneCell">
        <xdr:from>
          <xdr:col>5</xdr:col>
          <xdr:colOff>209550</xdr:colOff>
          <xdr:row>18</xdr:row>
          <xdr:rowOff>28575</xdr:rowOff>
        </xdr:from>
        <xdr:to>
          <xdr:col>6</xdr:col>
          <xdr:colOff>485775</xdr:colOff>
          <xdr:row>19</xdr:row>
          <xdr:rowOff>123825</xdr:rowOff>
        </xdr:to>
        <xdr:sp macro="" textlink="">
          <xdr:nvSpPr>
            <xdr:cNvPr id="123931" name="Drop Down 27" hidden="1">
              <a:extLst>
                <a:ext uri="{63B3BB69-23CF-44E3-9099-C40C66FF867C}">
                  <a14:compatExt spid="_x0000_s1239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20</xdr:row>
          <xdr:rowOff>114300</xdr:rowOff>
        </xdr:from>
        <xdr:to>
          <xdr:col>7</xdr:col>
          <xdr:colOff>600075</xdr:colOff>
          <xdr:row>22</xdr:row>
          <xdr:rowOff>47625</xdr:rowOff>
        </xdr:to>
        <xdr:sp macro="" textlink="">
          <xdr:nvSpPr>
            <xdr:cNvPr id="123932" name="Drop Down 28" hidden="1">
              <a:extLst>
                <a:ext uri="{63B3BB69-23CF-44E3-9099-C40C66FF867C}">
                  <a14:compatExt spid="_x0000_s1239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15</xdr:row>
          <xdr:rowOff>57150</xdr:rowOff>
        </xdr:from>
        <xdr:to>
          <xdr:col>7</xdr:col>
          <xdr:colOff>247650</xdr:colOff>
          <xdr:row>16</xdr:row>
          <xdr:rowOff>152400</xdr:rowOff>
        </xdr:to>
        <xdr:sp macro="" textlink="">
          <xdr:nvSpPr>
            <xdr:cNvPr id="123936" name="Drop Down 32" hidden="1">
              <a:extLst>
                <a:ext uri="{63B3BB69-23CF-44E3-9099-C40C66FF867C}">
                  <a14:compatExt spid="_x0000_s1239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581025</xdr:colOff>
          <xdr:row>15</xdr:row>
          <xdr:rowOff>28575</xdr:rowOff>
        </xdr:from>
        <xdr:to>
          <xdr:col>11</xdr:col>
          <xdr:colOff>466725</xdr:colOff>
          <xdr:row>17</xdr:row>
          <xdr:rowOff>28575</xdr:rowOff>
        </xdr:to>
        <xdr:pic>
          <xdr:nvPicPr>
            <xdr:cNvPr id="136597" name="TextBox2"/>
            <xdr:cNvPicPr preferRelativeResize="0">
              <a:picLocks noChangeArrowheads="1" noChangeShapeType="1"/>
              <a:extLst>
                <a:ext uri="{84589F7E-364E-4C9E-8A38-B11213B215E9}">
                  <a14:cameraTool cellRange="FinYear" spid="_x0000_s136602"/>
                </a:ext>
              </a:extLst>
            </xdr:cNvPicPr>
          </xdr:nvPicPr>
          <xdr:blipFill>
            <a:blip xmlns:r="http://schemas.openxmlformats.org/officeDocument/2006/relationships" r:embed="rId8">
              <a:grayscl/>
              <a:biLevel thresh="50000"/>
            </a:blip>
            <a:srcRect/>
            <a:stretch>
              <a:fillRect/>
            </a:stretch>
          </xdr:blipFill>
          <xdr:spPr bwMode="auto">
            <a:xfrm>
              <a:off x="6067425" y="2457450"/>
              <a:ext cx="1104900" cy="3238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xdr:row>
          <xdr:rowOff>47625</xdr:rowOff>
        </xdr:from>
        <xdr:to>
          <xdr:col>11</xdr:col>
          <xdr:colOff>247650</xdr:colOff>
          <xdr:row>8</xdr:row>
          <xdr:rowOff>142875</xdr:rowOff>
        </xdr:to>
        <xdr:sp macro="" textlink="">
          <xdr:nvSpPr>
            <xdr:cNvPr id="123946" name="TextBox3" hidden="1">
              <a:extLst>
                <a:ext uri="{63B3BB69-23CF-44E3-9099-C40C66FF867C}">
                  <a14:compatExt spid="_x0000_s1239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9</xdr:row>
          <xdr:rowOff>123825</xdr:rowOff>
        </xdr:from>
        <xdr:to>
          <xdr:col>7</xdr:col>
          <xdr:colOff>533400</xdr:colOff>
          <xdr:row>11</xdr:row>
          <xdr:rowOff>57150</xdr:rowOff>
        </xdr:to>
        <xdr:sp macro="" textlink="">
          <xdr:nvSpPr>
            <xdr:cNvPr id="123947" name="TextBox4" hidden="1">
              <a:extLst>
                <a:ext uri="{63B3BB69-23CF-44E3-9099-C40C66FF867C}">
                  <a14:compatExt spid="_x0000_s1239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xdr:row>
          <xdr:rowOff>28575</xdr:rowOff>
        </xdr:from>
        <xdr:to>
          <xdr:col>11</xdr:col>
          <xdr:colOff>247650</xdr:colOff>
          <xdr:row>13</xdr:row>
          <xdr:rowOff>123825</xdr:rowOff>
        </xdr:to>
        <xdr:sp macro="" textlink="">
          <xdr:nvSpPr>
            <xdr:cNvPr id="123948" name="TextBox5" hidden="1">
              <a:extLst>
                <a:ext uri="{63B3BB69-23CF-44E3-9099-C40C66FF867C}">
                  <a14:compatExt spid="_x0000_s1239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9</xdr:row>
          <xdr:rowOff>142875</xdr:rowOff>
        </xdr:from>
        <xdr:to>
          <xdr:col>11</xdr:col>
          <xdr:colOff>247650</xdr:colOff>
          <xdr:row>11</xdr:row>
          <xdr:rowOff>76200</xdr:rowOff>
        </xdr:to>
        <xdr:sp macro="" textlink="">
          <xdr:nvSpPr>
            <xdr:cNvPr id="123950" name="TextBox6" hidden="1">
              <a:extLst>
                <a:ext uri="{63B3BB69-23CF-44E3-9099-C40C66FF867C}">
                  <a14:compatExt spid="_x0000_s1239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37</xdr:row>
          <xdr:rowOff>66675</xdr:rowOff>
        </xdr:from>
        <xdr:to>
          <xdr:col>5</xdr:col>
          <xdr:colOff>228600</xdr:colOff>
          <xdr:row>39</xdr:row>
          <xdr:rowOff>57150</xdr:rowOff>
        </xdr:to>
        <xdr:sp macro="" textlink="">
          <xdr:nvSpPr>
            <xdr:cNvPr id="124039" name="ToggleReferenceColumns" hidden="1">
              <a:extLst>
                <a:ext uri="{63B3BB69-23CF-44E3-9099-C40C66FF867C}">
                  <a14:compatExt spid="_x0000_s124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35</xdr:row>
          <xdr:rowOff>19050</xdr:rowOff>
        </xdr:from>
        <xdr:to>
          <xdr:col>5</xdr:col>
          <xdr:colOff>238125</xdr:colOff>
          <xdr:row>37</xdr:row>
          <xdr:rowOff>19050</xdr:rowOff>
        </xdr:to>
        <xdr:sp macro="" textlink="">
          <xdr:nvSpPr>
            <xdr:cNvPr id="124040" name="TogglePreAuditColums" hidden="1">
              <a:extLst>
                <a:ext uri="{63B3BB69-23CF-44E3-9099-C40C66FF867C}">
                  <a14:compatExt spid="_x0000_s124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42</xdr:row>
          <xdr:rowOff>9525</xdr:rowOff>
        </xdr:from>
        <xdr:to>
          <xdr:col>5</xdr:col>
          <xdr:colOff>209550</xdr:colOff>
          <xdr:row>44</xdr:row>
          <xdr:rowOff>28575</xdr:rowOff>
        </xdr:to>
        <xdr:sp macro="" textlink="">
          <xdr:nvSpPr>
            <xdr:cNvPr id="124042" name="ToggleHiddenColumns" hidden="1">
              <a:extLst>
                <a:ext uri="{63B3BB69-23CF-44E3-9099-C40C66FF867C}">
                  <a14:compatExt spid="_x0000_s124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4</xdr:row>
          <xdr:rowOff>76200</xdr:rowOff>
        </xdr:from>
        <xdr:to>
          <xdr:col>11</xdr:col>
          <xdr:colOff>247650</xdr:colOff>
          <xdr:row>6</xdr:row>
          <xdr:rowOff>0</xdr:rowOff>
        </xdr:to>
        <xdr:sp macro="" textlink="">
          <xdr:nvSpPr>
            <xdr:cNvPr id="124151" name="Drop Down 247" hidden="1">
              <a:extLst>
                <a:ext uri="{63B3BB69-23CF-44E3-9099-C40C66FF867C}">
                  <a14:compatExt spid="_x0000_s12415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285750</xdr:colOff>
          <xdr:row>2</xdr:row>
          <xdr:rowOff>9525</xdr:rowOff>
        </xdr:from>
        <xdr:to>
          <xdr:col>4</xdr:col>
          <xdr:colOff>1990725</xdr:colOff>
          <xdr:row>4</xdr:row>
          <xdr:rowOff>9525</xdr:rowOff>
        </xdr:to>
        <xdr:sp macro="" textlink="">
          <xdr:nvSpPr>
            <xdr:cNvPr id="75786" name="Button 10" hidden="1">
              <a:extLst>
                <a:ext uri="{63B3BB69-23CF-44E3-9099-C40C66FF867C}">
                  <a14:compatExt spid="_x0000_s75786"/>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Save for USERS</a:t>
              </a:r>
              <a:endParaRPr lang="en-ZA"/>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1209675</xdr:colOff>
      <xdr:row>0</xdr:row>
      <xdr:rowOff>0</xdr:rowOff>
    </xdr:from>
    <xdr:to>
      <xdr:col>1</xdr:col>
      <xdr:colOff>228600</xdr:colOff>
      <xdr:row>0</xdr:row>
      <xdr:rowOff>0</xdr:rowOff>
    </xdr:to>
    <xdr:sp macro="" textlink="">
      <xdr:nvSpPr>
        <xdr:cNvPr id="55297" name="AutoShape 1"/>
        <xdr:cNvSpPr>
          <a:spLocks noChangeArrowheads="1"/>
        </xdr:cNvSpPr>
      </xdr:nvSpPr>
      <xdr:spPr bwMode="auto">
        <a:xfrm>
          <a:off x="1209675" y="0"/>
          <a:ext cx="838200" cy="0"/>
        </a:xfrm>
        <a:prstGeom prst="wedgeRoundRectCallout">
          <a:avLst>
            <a:gd name="adj1" fmla="val -41176"/>
            <a:gd name="adj2" fmla="val -57574"/>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AU" sz="800" b="0" i="0" strike="noStrike">
              <a:solidFill>
                <a:srgbClr val="000000"/>
              </a:solidFill>
              <a:latin typeface="Arial"/>
              <a:cs typeface="Arial"/>
            </a:rPr>
            <a:t>Headings compulsory, but detailed line items possibly to be specified in the guidelines</a:t>
          </a:r>
        </a:p>
      </xdr:txBody>
    </xdr:sp>
    <xdr:clientData/>
  </xdr:twoCellAnchor>
  <xdr:twoCellAnchor>
    <xdr:from>
      <xdr:col>0</xdr:col>
      <xdr:colOff>1238250</xdr:colOff>
      <xdr:row>0</xdr:row>
      <xdr:rowOff>0</xdr:rowOff>
    </xdr:from>
    <xdr:to>
      <xdr:col>2</xdr:col>
      <xdr:colOff>19050</xdr:colOff>
      <xdr:row>0</xdr:row>
      <xdr:rowOff>0</xdr:rowOff>
    </xdr:to>
    <xdr:sp macro="" textlink="">
      <xdr:nvSpPr>
        <xdr:cNvPr id="55312" name="AutoShape 16"/>
        <xdr:cNvSpPr>
          <a:spLocks noChangeArrowheads="1"/>
        </xdr:cNvSpPr>
      </xdr:nvSpPr>
      <xdr:spPr bwMode="auto">
        <a:xfrm>
          <a:off x="1238250" y="0"/>
          <a:ext cx="828675" cy="0"/>
        </a:xfrm>
        <a:prstGeom prst="wedgeRoundRectCallout">
          <a:avLst>
            <a:gd name="adj1" fmla="val -40440"/>
            <a:gd name="adj2" fmla="val 86366"/>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AU" sz="800" b="0" i="0" strike="noStrike">
              <a:solidFill>
                <a:srgbClr val="000000"/>
              </a:solidFill>
              <a:latin typeface="Arial"/>
              <a:cs typeface="Arial"/>
            </a:rPr>
            <a:t>R&amp;M should be distributed to other cost types and this line is then obsolete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miicoryf007\private\Financial%20Manager\NigelG\2%20MFMTAP\LTFS\2004_2005%20development\Budgeted%20financial%20statements%20Cash%20flow%20&amp;%20Balance%20Sheet%20Final%207%20Ma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Levona/AppData/Local/Microsoft/Windows/Temporary%20Internet%20Files/Low/Content.IE5/9JSOIFO9/Ubuntu/Monthly%20Reports/Jan%20-%20March%202011/NC071_AC_2011_M08(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C%20Tshwane\EM%2010day%20report%20Dec%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obus/Documents/Kaap%20Agulhas/Begroting/B%20Schedule%20-%20Ver%202.3.%20-%2002%20December%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Budget%20regulations\Regulations\Tshwane\Budget%20Regulations%20Tshwane%20Draft%20NT%2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Levona/AppData/Local/Microsoft/Windows/Temporary%20Internet%20Files/Low/Content.IE5/9JSOIFO9/A1%20Schedule%20Municipal%20Budget%20-%202010%202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Levona/AppData/Local/Microsoft/Windows/Temporary%20Internet%20Files/Content.Outlook/X3FY29TQ/A1%20Schedule%20Municipal%20Budget%20-%20Ver%202-2%20%20-%2028%20November%202009%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Levona/AppData/Local/Microsoft/Windows/Temporary%20Internet%20Files/Low/Content.IE5/9JSOIFO9/Ubuntu/Monthly%20Reports/Jan%20-%20March%202011/Investments%20FEB%2020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Levona/AppData/Local/Microsoft/Windows/Temporary%20Internet%20Files/Low/Content.IE5/9JSOIFO9/Ubuntu/Monthly%20Reports/Jan%20-%20March%202011/NC071_AD_2011_M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Levona/AppData/Local/Temp/Temp1_Fixed%20Asset%20Register%20(Final).zip/Fixed%20Asset%20Register%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Cash Flow"/>
    </sheetNames>
    <sheetDataSet>
      <sheetData sheetId="0" refreshError="1">
        <row r="50">
          <cell r="D50">
            <v>1.07</v>
          </cell>
          <cell r="E50">
            <v>1.0649999999999999</v>
          </cell>
          <cell r="F50">
            <v>1.06</v>
          </cell>
        </row>
      </sheetData>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28">
          <cell r="N28">
            <v>2095753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s>
    <sheetDataSet>
      <sheetData sheetId="0" refreshError="1">
        <row r="1">
          <cell r="B1" t="str">
            <v>December</v>
          </cell>
        </row>
        <row r="2">
          <cell r="B2">
            <v>31</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B1-Sum"/>
      <sheetName val="B2-FinPerf SC"/>
      <sheetName val="B2B"/>
      <sheetName val="B3-FinPerf V"/>
      <sheetName val="B3B"/>
      <sheetName val="B4-FinPerf RE"/>
      <sheetName val="B5-Capex"/>
      <sheetName val="B5B"/>
      <sheetName val="B6-FinPos"/>
      <sheetName val="B7-CFlow"/>
      <sheetName val="B8-ResRecon"/>
      <sheetName val="B9-Asset"/>
      <sheetName val="B10-SerDel"/>
      <sheetName val="SB1"/>
      <sheetName val="SB2"/>
      <sheetName val="SB3"/>
      <sheetName val="SB4"/>
      <sheetName val="SB5"/>
      <sheetName val="SB6"/>
      <sheetName val="SB7"/>
      <sheetName val="SB8"/>
      <sheetName val="SB9"/>
      <sheetName val="SB10"/>
      <sheetName val="SB11"/>
      <sheetName val="SB12"/>
      <sheetName val="SB13"/>
      <sheetName val="SB14"/>
      <sheetName val="SB15"/>
      <sheetName val="SB16"/>
      <sheetName val="SB17"/>
      <sheetName val="SB18a"/>
      <sheetName val="SB18b"/>
      <sheetName val="SB18c"/>
      <sheetName val="SB19"/>
      <sheetName val="SB20"/>
    </sheetNames>
    <sheetDataSet>
      <sheetData sheetId="0"/>
      <sheetData sheetId="1"/>
      <sheetData sheetId="2"/>
      <sheetData sheetId="3">
        <row r="2">
          <cell r="R2" t="str">
            <v>Equitable share</v>
          </cell>
        </row>
        <row r="3">
          <cell r="R3" t="str">
            <v>Levy replacement</v>
          </cell>
        </row>
        <row r="4">
          <cell r="R4" t="str">
            <v>Finance Management</v>
          </cell>
        </row>
        <row r="5">
          <cell r="R5" t="str">
            <v>Municipal Systems Improvement</v>
          </cell>
        </row>
        <row r="6">
          <cell r="R6" t="str">
            <v>Restructuring</v>
          </cell>
        </row>
        <row r="7">
          <cell r="R7" t="str">
            <v>Department of Water Affairs</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 &amp;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5"/>
      <sheetName val="SA36"/>
      <sheetName val="SA37"/>
      <sheetName val="NERF"/>
      <sheetName val="MSCOA"/>
      <sheetName val="Compliance assessment"/>
    </sheetNames>
    <sheetDataSet>
      <sheetData sheetId="0" refreshError="1"/>
      <sheetData sheetId="1" refreshError="1"/>
      <sheetData sheetId="2" refreshError="1"/>
      <sheetData sheetId="3" refreshError="1"/>
      <sheetData sheetId="4" refreshError="1"/>
      <sheetData sheetId="5" refreshError="1"/>
      <sheetData sheetId="6">
        <row r="8">
          <cell r="I8">
            <v>16605000</v>
          </cell>
        </row>
      </sheetData>
      <sheetData sheetId="7" refreshError="1"/>
      <sheetData sheetId="8" refreshError="1"/>
      <sheetData sheetId="9" refreshError="1"/>
      <sheetData sheetId="10" refreshError="1"/>
      <sheetData sheetId="11">
        <row r="29">
          <cell r="J29">
            <v>8783000</v>
          </cell>
        </row>
      </sheetData>
      <sheetData sheetId="12" refreshError="1"/>
      <sheetData sheetId="13" refreshError="1"/>
      <sheetData sheetId="14">
        <row r="9">
          <cell r="E9">
            <v>4612530</v>
          </cell>
        </row>
      </sheetData>
      <sheetData sheetId="15" refreshError="1"/>
      <sheetData sheetId="16" refreshError="1"/>
      <sheetData sheetId="17" refreshError="1"/>
      <sheetData sheetId="18">
        <row r="6">
          <cell r="E6">
            <v>123000</v>
          </cell>
          <cell r="F6">
            <v>123000</v>
          </cell>
          <cell r="I6">
            <v>146000</v>
          </cell>
        </row>
        <row r="7">
          <cell r="E7">
            <v>4513000</v>
          </cell>
          <cell r="F7">
            <v>4513000</v>
          </cell>
          <cell r="I7">
            <v>4513000</v>
          </cell>
        </row>
        <row r="17">
          <cell r="E17">
            <v>3509000</v>
          </cell>
          <cell r="F17">
            <v>3509000</v>
          </cell>
        </row>
        <row r="19">
          <cell r="E19">
            <v>92000</v>
          </cell>
          <cell r="F19">
            <v>36000</v>
          </cell>
        </row>
        <row r="23">
          <cell r="E23">
            <v>1608000</v>
          </cell>
          <cell r="F23">
            <v>400000</v>
          </cell>
        </row>
        <row r="29">
          <cell r="E29">
            <v>950000</v>
          </cell>
          <cell r="F29">
            <v>950000</v>
          </cell>
        </row>
        <row r="30">
          <cell r="E30">
            <v>1613000</v>
          </cell>
          <cell r="F30">
            <v>1613000</v>
          </cell>
        </row>
        <row r="38">
          <cell r="E38">
            <v>4288000</v>
          </cell>
          <cell r="F38">
            <v>4288000</v>
          </cell>
        </row>
        <row r="49">
          <cell r="E49">
            <v>1929000</v>
          </cell>
          <cell r="F49">
            <v>1929000</v>
          </cell>
          <cell r="G49">
            <v>1929000</v>
          </cell>
          <cell r="H49">
            <v>1929000</v>
          </cell>
        </row>
        <row r="50">
          <cell r="E50">
            <v>1929000</v>
          </cell>
          <cell r="F50">
            <v>1929000</v>
          </cell>
        </row>
        <row r="51">
          <cell r="E51">
            <v>1929000</v>
          </cell>
          <cell r="F51">
            <v>1929000</v>
          </cell>
        </row>
        <row r="52">
          <cell r="E52">
            <v>1929000</v>
          </cell>
          <cell r="F52">
            <v>1929000</v>
          </cell>
        </row>
        <row r="55">
          <cell r="E55">
            <v>96083000</v>
          </cell>
          <cell r="F55">
            <v>96083000</v>
          </cell>
        </row>
        <row r="56">
          <cell r="E56">
            <v>139756000</v>
          </cell>
          <cell r="F56">
            <v>139756000</v>
          </cell>
        </row>
        <row r="57">
          <cell r="E57">
            <v>139756000</v>
          </cell>
          <cell r="F57">
            <v>139756000</v>
          </cell>
        </row>
        <row r="58">
          <cell r="E58">
            <v>46296000</v>
          </cell>
          <cell r="F58">
            <v>46296000</v>
          </cell>
        </row>
        <row r="63">
          <cell r="E63">
            <v>6000</v>
          </cell>
          <cell r="F63">
            <v>6000</v>
          </cell>
        </row>
        <row r="64">
          <cell r="E64">
            <v>6000</v>
          </cell>
          <cell r="F64">
            <v>6000</v>
          </cell>
        </row>
        <row r="65">
          <cell r="E65">
            <v>6000</v>
          </cell>
          <cell r="F65">
            <v>6000</v>
          </cell>
        </row>
        <row r="66">
          <cell r="E66">
            <v>50000</v>
          </cell>
          <cell r="F66">
            <v>50000</v>
          </cell>
        </row>
        <row r="71">
          <cell r="E71">
            <v>918502</v>
          </cell>
          <cell r="F71">
            <v>918502</v>
          </cell>
        </row>
        <row r="72">
          <cell r="E72">
            <v>499442</v>
          </cell>
          <cell r="F72">
            <v>499442</v>
          </cell>
        </row>
        <row r="74">
          <cell r="E74">
            <v>499442</v>
          </cell>
          <cell r="F74">
            <v>499442</v>
          </cell>
          <cell r="G74">
            <v>499442</v>
          </cell>
        </row>
      </sheetData>
      <sheetData sheetId="19">
        <row r="58">
          <cell r="J58">
            <v>204800</v>
          </cell>
        </row>
        <row r="69">
          <cell r="J69">
            <v>40000</v>
          </cell>
        </row>
        <row r="70">
          <cell r="J70">
            <v>50000</v>
          </cell>
        </row>
        <row r="82">
          <cell r="J82">
            <v>560000</v>
          </cell>
        </row>
        <row r="83">
          <cell r="J83">
            <v>1000000</v>
          </cell>
        </row>
        <row r="84">
          <cell r="J84">
            <v>1600000</v>
          </cell>
        </row>
        <row r="85">
          <cell r="J85">
            <v>1117000</v>
          </cell>
        </row>
      </sheetData>
      <sheetData sheetId="20" refreshError="1"/>
      <sheetData sheetId="21">
        <row r="23">
          <cell r="E23">
            <v>92609993</v>
          </cell>
        </row>
        <row r="24">
          <cell r="E24">
            <v>16634242</v>
          </cell>
        </row>
        <row r="25">
          <cell r="E25">
            <v>-97852</v>
          </cell>
        </row>
        <row r="54">
          <cell r="E54">
            <v>5072892</v>
          </cell>
        </row>
      </sheetData>
      <sheetData sheetId="22" refreshError="1"/>
      <sheetData sheetId="23" refreshError="1"/>
      <sheetData sheetId="24" refreshError="1"/>
      <sheetData sheetId="25" refreshError="1"/>
      <sheetData sheetId="26" refreshError="1"/>
      <sheetData sheetId="27">
        <row r="4">
          <cell r="F4">
            <v>16375000</v>
          </cell>
          <cell r="G4">
            <v>16912000</v>
          </cell>
          <cell r="H4">
            <v>16417000</v>
          </cell>
          <cell r="I4">
            <v>16375000</v>
          </cell>
          <cell r="J4">
            <v>16375000</v>
          </cell>
        </row>
        <row r="5">
          <cell r="I5">
            <v>1890000</v>
          </cell>
          <cell r="J5">
            <v>1890000</v>
          </cell>
        </row>
        <row r="6">
          <cell r="I6">
            <v>1778000</v>
          </cell>
          <cell r="J6">
            <v>1778000</v>
          </cell>
        </row>
        <row r="7">
          <cell r="I7">
            <v>2619000</v>
          </cell>
          <cell r="J7">
            <v>2619000</v>
          </cell>
        </row>
        <row r="8">
          <cell r="I8">
            <v>2983000</v>
          </cell>
          <cell r="J8">
            <v>2983000</v>
          </cell>
        </row>
        <row r="9">
          <cell r="I9">
            <v>2061000</v>
          </cell>
          <cell r="J9">
            <v>2061000</v>
          </cell>
        </row>
        <row r="13">
          <cell r="I13">
            <v>710</v>
          </cell>
          <cell r="J13">
            <v>710</v>
          </cell>
        </row>
        <row r="14">
          <cell r="I14">
            <v>405</v>
          </cell>
          <cell r="J14">
            <v>405</v>
          </cell>
        </row>
        <row r="20">
          <cell r="F20">
            <v>16375000</v>
          </cell>
          <cell r="G20">
            <v>16912000</v>
          </cell>
          <cell r="I20">
            <v>16375000</v>
          </cell>
          <cell r="J20">
            <v>16375000</v>
          </cell>
        </row>
        <row r="21">
          <cell r="F21">
            <v>1693000</v>
          </cell>
          <cell r="G21">
            <v>1560000</v>
          </cell>
          <cell r="I21">
            <v>1929000</v>
          </cell>
          <cell r="J21">
            <v>1929000</v>
          </cell>
        </row>
        <row r="22">
          <cell r="F22">
            <v>4155000</v>
          </cell>
          <cell r="G22">
            <v>4219000</v>
          </cell>
          <cell r="I22">
            <v>4662000</v>
          </cell>
          <cell r="J22">
            <v>4662000</v>
          </cell>
        </row>
        <row r="23">
          <cell r="F23">
            <v>1693000</v>
          </cell>
          <cell r="G23">
            <v>1560000</v>
          </cell>
          <cell r="I23">
            <v>1929000</v>
          </cell>
          <cell r="J23">
            <v>1929000</v>
          </cell>
        </row>
        <row r="24">
          <cell r="F24">
            <v>188.94</v>
          </cell>
          <cell r="G24">
            <v>210.6</v>
          </cell>
          <cell r="I24">
            <v>194.75</v>
          </cell>
          <cell r="J24">
            <v>194.75</v>
          </cell>
        </row>
        <row r="27">
          <cell r="F27">
            <v>2862</v>
          </cell>
          <cell r="G27">
            <v>2862</v>
          </cell>
          <cell r="H27">
            <v>2862</v>
          </cell>
          <cell r="I27">
            <v>2862</v>
          </cell>
          <cell r="J27">
            <v>2862</v>
          </cell>
        </row>
        <row r="28">
          <cell r="F28">
            <v>308</v>
          </cell>
          <cell r="G28">
            <v>308</v>
          </cell>
          <cell r="H28">
            <v>308</v>
          </cell>
          <cell r="I28">
            <v>308</v>
          </cell>
          <cell r="J28">
            <v>308</v>
          </cell>
        </row>
        <row r="29">
          <cell r="F29">
            <v>3170</v>
          </cell>
          <cell r="G29">
            <v>3170</v>
          </cell>
          <cell r="H29">
            <v>3170</v>
          </cell>
          <cell r="I29">
            <v>3170</v>
          </cell>
          <cell r="J29">
            <v>3170</v>
          </cell>
        </row>
        <row r="44">
          <cell r="G44">
            <v>3.6700000000000003E-2</v>
          </cell>
          <cell r="H44">
            <v>3.6069999999999998E-2</v>
          </cell>
          <cell r="I44">
            <v>1.1010000000000001E-2</v>
          </cell>
          <cell r="J44">
            <v>1.167E-2</v>
          </cell>
        </row>
      </sheetData>
      <sheetData sheetId="28" refreshError="1"/>
      <sheetData sheetId="29">
        <row r="18">
          <cell r="F18">
            <v>4841</v>
          </cell>
        </row>
        <row r="25">
          <cell r="E25">
            <v>0</v>
          </cell>
          <cell r="F25">
            <v>0</v>
          </cell>
        </row>
        <row r="50">
          <cell r="I50">
            <v>3036296</v>
          </cell>
        </row>
        <row r="54">
          <cell r="I54">
            <v>4500000</v>
          </cell>
          <cell r="J54">
            <v>4500000</v>
          </cell>
        </row>
        <row r="55">
          <cell r="I55">
            <v>4500000</v>
          </cell>
          <cell r="J55">
            <v>4500000</v>
          </cell>
        </row>
      </sheetData>
      <sheetData sheetId="30">
        <row r="5">
          <cell r="C5">
            <v>3009</v>
          </cell>
          <cell r="F5">
            <v>1434</v>
          </cell>
          <cell r="G5">
            <v>67</v>
          </cell>
          <cell r="H5">
            <v>331</v>
          </cell>
        </row>
        <row r="38">
          <cell r="C38">
            <v>1.1010000000000001E-2</v>
          </cell>
          <cell r="E38">
            <v>1.1010000000000001E-2</v>
          </cell>
          <cell r="F38">
            <v>2.7499999999999998E-3</v>
          </cell>
          <cell r="G38">
            <v>1.1010000000000001E-2</v>
          </cell>
          <cell r="H38">
            <v>1.1010000000000001E-2</v>
          </cell>
        </row>
        <row r="41">
          <cell r="C41">
            <v>0.75</v>
          </cell>
          <cell r="E41">
            <v>0.75</v>
          </cell>
          <cell r="F41">
            <v>0.4</v>
          </cell>
          <cell r="G41">
            <v>0.75</v>
          </cell>
          <cell r="H41">
            <v>1</v>
          </cell>
        </row>
        <row r="45">
          <cell r="C45">
            <v>556606</v>
          </cell>
        </row>
        <row r="46">
          <cell r="C46">
            <v>424375</v>
          </cell>
        </row>
      </sheetData>
      <sheetData sheetId="31">
        <row r="7">
          <cell r="D7">
            <v>162.80000000000001</v>
          </cell>
          <cell r="E7">
            <v>172.85</v>
          </cell>
          <cell r="F7">
            <v>183.56</v>
          </cell>
        </row>
        <row r="8">
          <cell r="D8">
            <v>43</v>
          </cell>
          <cell r="E8">
            <v>45</v>
          </cell>
          <cell r="F8">
            <v>47.79</v>
          </cell>
        </row>
        <row r="9">
          <cell r="D9">
            <v>578.85</v>
          </cell>
          <cell r="E9">
            <v>675.89</v>
          </cell>
          <cell r="F9">
            <v>717.79</v>
          </cell>
        </row>
        <row r="10">
          <cell r="D10">
            <v>30.75</v>
          </cell>
          <cell r="E10">
            <v>30.75</v>
          </cell>
          <cell r="F10">
            <v>32.65</v>
          </cell>
        </row>
        <row r="11">
          <cell r="D11">
            <v>134.25</v>
          </cell>
          <cell r="E11">
            <v>157.85</v>
          </cell>
          <cell r="F11">
            <v>167.63</v>
          </cell>
        </row>
        <row r="12">
          <cell r="D12">
            <v>60.5</v>
          </cell>
          <cell r="E12">
            <v>72.45</v>
          </cell>
          <cell r="F12">
            <v>76.94</v>
          </cell>
        </row>
        <row r="13">
          <cell r="D13">
            <v>60.5</v>
          </cell>
          <cell r="E13">
            <v>72.45</v>
          </cell>
          <cell r="F13">
            <v>76.94</v>
          </cell>
        </row>
        <row r="22">
          <cell r="D22">
            <v>125.95</v>
          </cell>
          <cell r="E22">
            <v>133.75</v>
          </cell>
          <cell r="F22">
            <v>142.04</v>
          </cell>
        </row>
        <row r="23">
          <cell r="D23">
            <v>43</v>
          </cell>
          <cell r="E23">
            <v>45</v>
          </cell>
          <cell r="F23">
            <v>47.79</v>
          </cell>
        </row>
        <row r="24">
          <cell r="D24">
            <v>431.25</v>
          </cell>
          <cell r="E24">
            <v>592.04999999999995</v>
          </cell>
          <cell r="F24">
            <v>628.75</v>
          </cell>
        </row>
        <row r="25">
          <cell r="D25">
            <v>30.75</v>
          </cell>
          <cell r="E25">
            <v>30.75</v>
          </cell>
          <cell r="F25">
            <v>32.65</v>
          </cell>
        </row>
        <row r="26">
          <cell r="D26">
            <v>49.6</v>
          </cell>
          <cell r="E26">
            <v>69.75</v>
          </cell>
          <cell r="F26">
            <v>95.52</v>
          </cell>
        </row>
        <row r="27">
          <cell r="D27">
            <v>60.5</v>
          </cell>
          <cell r="E27">
            <v>72.45</v>
          </cell>
          <cell r="F27">
            <v>76.94</v>
          </cell>
        </row>
        <row r="28">
          <cell r="D28">
            <v>60.5</v>
          </cell>
          <cell r="E28">
            <v>92.45</v>
          </cell>
          <cell r="F28">
            <v>76.94</v>
          </cell>
        </row>
        <row r="37">
          <cell r="D37">
            <v>82.1</v>
          </cell>
          <cell r="E37">
            <v>87.15</v>
          </cell>
          <cell r="F37">
            <v>92.55</v>
          </cell>
        </row>
        <row r="39">
          <cell r="D39">
            <v>251.8</v>
          </cell>
          <cell r="E39">
            <v>232.25</v>
          </cell>
          <cell r="F39">
            <v>246.64</v>
          </cell>
        </row>
        <row r="40">
          <cell r="D40">
            <v>30.75</v>
          </cell>
          <cell r="E40">
            <v>30.75</v>
          </cell>
          <cell r="F40">
            <v>32.65</v>
          </cell>
        </row>
        <row r="41">
          <cell r="D41">
            <v>43.95</v>
          </cell>
          <cell r="E41">
            <v>48.65</v>
          </cell>
          <cell r="F41">
            <v>51.66</v>
          </cell>
        </row>
        <row r="42">
          <cell r="D42">
            <v>60.5</v>
          </cell>
          <cell r="E42">
            <v>72.45</v>
          </cell>
          <cell r="F42">
            <v>76.94</v>
          </cell>
        </row>
        <row r="43">
          <cell r="D43">
            <v>60.5</v>
          </cell>
          <cell r="E43">
            <v>72.45</v>
          </cell>
          <cell r="F43">
            <v>76.94</v>
          </cell>
        </row>
      </sheetData>
      <sheetData sheetId="32">
        <row r="8">
          <cell r="E8">
            <v>2536434</v>
          </cell>
          <cell r="F8">
            <v>2373000</v>
          </cell>
          <cell r="I8">
            <v>4920000</v>
          </cell>
          <cell r="J8">
            <v>5035000</v>
          </cell>
        </row>
      </sheetData>
      <sheetData sheetId="33" refreshError="1"/>
      <sheetData sheetId="34" refreshError="1"/>
      <sheetData sheetId="35" refreshError="1"/>
      <sheetData sheetId="36" refreshError="1"/>
      <sheetData sheetId="37">
        <row r="6">
          <cell r="E6">
            <v>1390173</v>
          </cell>
        </row>
        <row r="7">
          <cell r="E7">
            <v>10024000</v>
          </cell>
          <cell r="I7">
            <v>15936000</v>
          </cell>
        </row>
        <row r="12">
          <cell r="E12">
            <v>368000</v>
          </cell>
          <cell r="I12">
            <v>669000</v>
          </cell>
        </row>
        <row r="31">
          <cell r="E31">
            <v>5973000</v>
          </cell>
          <cell r="I31">
            <v>7889000</v>
          </cell>
        </row>
        <row r="36">
          <cell r="I36">
            <v>3034000</v>
          </cell>
        </row>
      </sheetData>
      <sheetData sheetId="38" refreshError="1"/>
      <sheetData sheetId="39">
        <row r="6">
          <cell r="E6">
            <v>912269</v>
          </cell>
          <cell r="F6">
            <v>930168</v>
          </cell>
          <cell r="I6">
            <v>1014693</v>
          </cell>
        </row>
        <row r="7">
          <cell r="E7">
            <v>160988</v>
          </cell>
          <cell r="F7">
            <v>120938</v>
          </cell>
          <cell r="I7">
            <v>160938</v>
          </cell>
        </row>
        <row r="8">
          <cell r="F8">
            <v>103680</v>
          </cell>
          <cell r="I8">
            <v>144680</v>
          </cell>
        </row>
        <row r="9">
          <cell r="E9">
            <v>357752</v>
          </cell>
          <cell r="F9">
            <v>268751</v>
          </cell>
          <cell r="I9">
            <v>308751</v>
          </cell>
        </row>
        <row r="10">
          <cell r="E10">
            <v>81553</v>
          </cell>
          <cell r="F10">
            <v>120938</v>
          </cell>
          <cell r="I10">
            <v>150938</v>
          </cell>
        </row>
        <row r="13">
          <cell r="E13">
            <v>70445</v>
          </cell>
        </row>
        <row r="18">
          <cell r="E18">
            <v>1327041</v>
          </cell>
          <cell r="F18">
            <v>1484512</v>
          </cell>
          <cell r="I18">
            <v>1683770</v>
          </cell>
        </row>
        <row r="19">
          <cell r="E19">
            <v>195566</v>
          </cell>
          <cell r="F19">
            <v>199706</v>
          </cell>
          <cell r="I19">
            <v>226510</v>
          </cell>
        </row>
        <row r="20">
          <cell r="E20">
            <v>41146</v>
          </cell>
          <cell r="F20">
            <v>71924</v>
          </cell>
          <cell r="I20">
            <v>81577</v>
          </cell>
        </row>
        <row r="21">
          <cell r="E21">
            <v>384297</v>
          </cell>
          <cell r="F21">
            <v>384297</v>
          </cell>
          <cell r="I21">
            <v>435878</v>
          </cell>
        </row>
        <row r="22">
          <cell r="E22">
            <v>16597</v>
          </cell>
          <cell r="F22">
            <v>16597</v>
          </cell>
          <cell r="I22">
            <v>18823</v>
          </cell>
        </row>
        <row r="23">
          <cell r="E23">
            <v>12346</v>
          </cell>
          <cell r="F23">
            <v>12346</v>
          </cell>
          <cell r="I23">
            <v>14002</v>
          </cell>
        </row>
        <row r="24">
          <cell r="E24">
            <v>212480</v>
          </cell>
          <cell r="F24">
            <v>226291</v>
          </cell>
          <cell r="I24">
            <v>256663</v>
          </cell>
        </row>
        <row r="25">
          <cell r="E25">
            <v>15563</v>
          </cell>
        </row>
        <row r="31">
          <cell r="E31">
            <v>8302318</v>
          </cell>
        </row>
        <row r="32">
          <cell r="E32">
            <v>1228657</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 &amp;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5"/>
      <sheetName val="SA36"/>
      <sheetName val="SA37"/>
      <sheetName val="NERF"/>
      <sheetName val="MSCOA"/>
      <sheetName val="Compliance assessment"/>
    </sheetNames>
    <sheetDataSet>
      <sheetData sheetId="0"/>
      <sheetData sheetId="1"/>
      <sheetData sheetId="2"/>
      <sheetData sheetId="3"/>
      <sheetData sheetId="4"/>
      <sheetData sheetId="5"/>
      <sheetData sheetId="6"/>
      <sheetData sheetId="7"/>
      <sheetData sheetId="8"/>
      <sheetData sheetId="9"/>
      <sheetData sheetId="10"/>
      <sheetData sheetId="11">
        <row r="12">
          <cell r="J12">
            <v>393920</v>
          </cell>
        </row>
      </sheetData>
      <sheetData sheetId="12"/>
      <sheetData sheetId="13"/>
      <sheetData sheetId="14"/>
      <sheetData sheetId="15">
        <row r="6">
          <cell r="D6">
            <v>19207369</v>
          </cell>
        </row>
      </sheetData>
      <sheetData sheetId="16"/>
      <sheetData sheetId="17"/>
      <sheetData sheetId="18"/>
      <sheetData sheetId="19">
        <row r="12">
          <cell r="J12">
            <v>6821175</v>
          </cell>
        </row>
        <row r="17">
          <cell r="J17">
            <v>3906885</v>
          </cell>
        </row>
        <row r="34">
          <cell r="J34">
            <v>1356000</v>
          </cell>
        </row>
      </sheetData>
      <sheetData sheetId="20"/>
      <sheetData sheetId="21">
        <row r="7">
          <cell r="E7">
            <v>141546</v>
          </cell>
          <cell r="J7">
            <v>150000</v>
          </cell>
        </row>
        <row r="8">
          <cell r="E8">
            <v>2394434</v>
          </cell>
          <cell r="J8">
            <v>1970000</v>
          </cell>
        </row>
        <row r="12">
          <cell r="E12">
            <v>19620735</v>
          </cell>
          <cell r="J12">
            <v>24500000</v>
          </cell>
        </row>
        <row r="13">
          <cell r="E13">
            <v>-14000000</v>
          </cell>
          <cell r="J13">
            <v>-10000000</v>
          </cell>
        </row>
        <row r="23">
          <cell r="J23">
            <v>105000000</v>
          </cell>
        </row>
        <row r="24">
          <cell r="J24">
            <v>10789000</v>
          </cell>
        </row>
        <row r="25">
          <cell r="J25">
            <v>-4870000</v>
          </cell>
        </row>
        <row r="31">
          <cell r="E31">
            <v>99382</v>
          </cell>
          <cell r="J31">
            <v>99382</v>
          </cell>
        </row>
        <row r="35">
          <cell r="E35">
            <v>1301197</v>
          </cell>
          <cell r="J35">
            <v>1305000</v>
          </cell>
        </row>
        <row r="36">
          <cell r="E36">
            <v>1390173</v>
          </cell>
        </row>
        <row r="41">
          <cell r="E41">
            <v>1436000</v>
          </cell>
          <cell r="J41">
            <v>1436000</v>
          </cell>
        </row>
        <row r="54">
          <cell r="J54">
            <v>5000000</v>
          </cell>
        </row>
        <row r="65">
          <cell r="E65">
            <v>1170094</v>
          </cell>
          <cell r="J65">
            <v>1170000</v>
          </cell>
        </row>
        <row r="66">
          <cell r="E66">
            <v>74926630</v>
          </cell>
          <cell r="J66">
            <v>74927000</v>
          </cell>
        </row>
        <row r="67">
          <cell r="E67">
            <v>34416376</v>
          </cell>
          <cell r="J67">
            <v>24242000</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NB"/>
      <sheetName val="UBUNTU"/>
      <sheetName val="opening bal 2010"/>
      <sheetName val="opsomming 2011"/>
      <sheetName val="ENB - PROJEK CONSOLIDATE"/>
      <sheetName val="ELEK PROJEK RICHMOND"/>
      <sheetName val="ENB-EIE FONDSE"/>
      <sheetName val="BIBLIOTEEK PROJEK"/>
      <sheetName val="NATIONALE TESOURIE"/>
      <sheetName val="DEERNIS FONDSE (IOT)"/>
      <sheetName val="WENTELFONDS"/>
      <sheetName val="KERKSTRAAT SUBSIDIE"/>
      <sheetName val="VERSEKERINGS EISE"/>
      <sheetName val="VERLOF RESERWE FONDS"/>
      <sheetName val="HOEMAS BELIGTING"/>
      <sheetName val="DROOGTEHULP FONDS"/>
      <sheetName val="PAD PROJEK LOXTON"/>
      <sheetName val="VAARDIGHEIDS ONTWIKKELINGSFONDS"/>
      <sheetName val="MIG FONDSE"/>
      <sheetName val="DME PROJEKTE"/>
      <sheetName val="BANK EIE FONDSE"/>
      <sheetName val="SPEELPARK"/>
      <sheetName val="TOERISME PLAN"/>
      <sheetName val="VULLISDROMME"/>
      <sheetName val="RESERVOIR VICTORIA WES"/>
      <sheetName val="RESERVOIR RICHMOND"/>
      <sheetName val="BRANDWEER TOERUSTING"/>
      <sheetName val="OKSIEDASIEDAM"/>
      <sheetName val="DEVILLESTRAAT PROJEK"/>
      <sheetName val="Sheet4"/>
    </sheetNames>
    <sheetDataSet>
      <sheetData sheetId="0" refreshError="1"/>
      <sheetData sheetId="1" refreshError="1"/>
      <sheetData sheetId="2" refreshError="1"/>
      <sheetData sheetId="3">
        <row r="6">
          <cell r="I6">
            <v>726050</v>
          </cell>
        </row>
        <row r="9">
          <cell r="I9">
            <v>400349.84</v>
          </cell>
        </row>
        <row r="10">
          <cell r="I10">
            <v>756694.51000000024</v>
          </cell>
        </row>
        <row r="12">
          <cell r="I12">
            <v>1344218.8130000001</v>
          </cell>
        </row>
        <row r="32">
          <cell r="I32">
            <v>10416599.363000004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22">
          <cell r="N22">
            <v>20575239</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TEREGISTER 30  06  2010"/>
      <sheetName val="Asset Classification"/>
    </sheetNames>
    <sheetDataSet>
      <sheetData sheetId="0" refreshError="1">
        <row r="3172">
          <cell r="W3172">
            <v>108510467.66192767</v>
          </cell>
          <cell r="AD3172">
            <v>5292733.0649144258</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3.emf"/><Relationship Id="rId18" Type="http://schemas.openxmlformats.org/officeDocument/2006/relationships/ctrlProp" Target="../ctrlProps/ctrlProp1.xml"/><Relationship Id="rId3" Type="http://schemas.openxmlformats.org/officeDocument/2006/relationships/vmlDrawing" Target="../drawings/vmlDrawing1.vml"/><Relationship Id="rId21" Type="http://schemas.openxmlformats.org/officeDocument/2006/relationships/ctrlProp" Target="../ctrlProps/ctrlProp4.xml"/><Relationship Id="rId7" Type="http://schemas.openxmlformats.org/officeDocument/2006/relationships/image" Target="../media/image10.emf"/><Relationship Id="rId12" Type="http://schemas.openxmlformats.org/officeDocument/2006/relationships/control" Target="../activeX/activeX5.xml"/><Relationship Id="rId17" Type="http://schemas.openxmlformats.org/officeDocument/2006/relationships/image" Target="../media/image15.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trlProp" Target="../ctrlProps/ctrlProp3.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2.emf"/><Relationship Id="rId5" Type="http://schemas.openxmlformats.org/officeDocument/2006/relationships/image" Target="../media/image9.emf"/><Relationship Id="rId15" Type="http://schemas.openxmlformats.org/officeDocument/2006/relationships/image" Target="../media/image14.emf"/><Relationship Id="rId10" Type="http://schemas.openxmlformats.org/officeDocument/2006/relationships/control" Target="../activeX/activeX4.xml"/><Relationship Id="rId19" Type="http://schemas.openxmlformats.org/officeDocument/2006/relationships/ctrlProp" Target="../ctrlProps/ctrlProp2.xml"/><Relationship Id="rId4" Type="http://schemas.openxmlformats.org/officeDocument/2006/relationships/control" Target="../activeX/activeX1.xml"/><Relationship Id="rId9" Type="http://schemas.openxmlformats.org/officeDocument/2006/relationships/image" Target="../media/image11.emf"/><Relationship Id="rId14" Type="http://schemas.openxmlformats.org/officeDocument/2006/relationships/control" Target="../activeX/activeX6.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5.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8" Type="http://schemas.openxmlformats.org/officeDocument/2006/relationships/hyperlink" Target="mailto:pjantjies@ubuntu.gov.za" TargetMode="External"/><Relationship Id="rId3" Type="http://schemas.openxmlformats.org/officeDocument/2006/relationships/hyperlink" Target="mailto:mayor@ubuntu.gov.za" TargetMode="External"/><Relationship Id="rId7" Type="http://schemas.openxmlformats.org/officeDocument/2006/relationships/hyperlink" Target="mailto:cfo@ubuntu.gov.za" TargetMode="External"/><Relationship Id="rId2" Type="http://schemas.openxmlformats.org/officeDocument/2006/relationships/hyperlink" Target="mailto:info@ubuntu.gov.za" TargetMode="External"/><Relationship Id="rId1" Type="http://schemas.openxmlformats.org/officeDocument/2006/relationships/hyperlink" Target="http://www.ubuntu.gov.za/" TargetMode="External"/><Relationship Id="rId6" Type="http://schemas.openxmlformats.org/officeDocument/2006/relationships/hyperlink" Target="mailto:bnhahalua@ubuntu.gov.za" TargetMode="External"/><Relationship Id="rId5" Type="http://schemas.openxmlformats.org/officeDocument/2006/relationships/hyperlink" Target="mailto:mfillis@ubuntu.gov.za" TargetMode="External"/><Relationship Id="rId4" Type="http://schemas.openxmlformats.org/officeDocument/2006/relationships/hyperlink" Target="mailto:xmalgas@ubuntu.gov.za" TargetMode="External"/><Relationship Id="rId9"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enableFormatConditionsCalculation="0">
    <tabColor indexed="46"/>
  </sheetPr>
  <dimension ref="A1"/>
  <sheetViews>
    <sheetView showGridLines="0" view="pageBreakPreview" zoomScale="60" workbookViewId="0">
      <selection activeCell="R31" sqref="R31"/>
    </sheetView>
  </sheetViews>
  <sheetFormatPr defaultColWidth="8" defaultRowHeight="12.75"/>
  <cols>
    <col min="1" max="16384" width="8" style="1318"/>
  </cols>
  <sheetData>
    <row r="1" spans="1:1">
      <c r="A1" s="1318" t="str">
        <f>muni</f>
        <v>NC071 Ubuntu</v>
      </c>
    </row>
  </sheetData>
  <sheetProtection sheet="1" objects="1" scenarios="1"/>
  <phoneticPr fontId="27" type="noConversion"/>
  <pageMargins left="0.75" right="0.75" top="1" bottom="1" header="0.5" footer="0.5"/>
  <pageSetup scale="75" orientation="portrait" horizontalDpi="4294967293" verticalDpi="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indexed="44"/>
    <pageSetUpPr fitToPage="1"/>
  </sheetPr>
  <dimension ref="A1:K77"/>
  <sheetViews>
    <sheetView showGridLines="0" workbookViewId="0">
      <selection activeCell="J39" sqref="J39"/>
    </sheetView>
  </sheetViews>
  <sheetFormatPr defaultRowHeight="12.75"/>
  <cols>
    <col min="1" max="1" width="30.7109375" style="150" customWidth="1"/>
    <col min="2" max="2" width="3" style="1043" hidden="1" customWidth="1"/>
    <col min="3" max="11" width="9.28515625" style="150" customWidth="1"/>
    <col min="12" max="12" width="15.7109375" style="150" customWidth="1"/>
    <col min="13" max="16384" width="9.140625" style="150"/>
  </cols>
  <sheetData>
    <row r="1" spans="1:11" s="168" customFormat="1">
      <c r="A1" s="1122" t="str">
        <f>muni&amp;" - "&amp;Approve2</f>
        <v>NC071 Ubuntu - Table A3 Budgeted Financial Performance (revenue and expenditure by municipal vote)</v>
      </c>
      <c r="B1" s="1122"/>
      <c r="C1" s="1122"/>
      <c r="D1" s="1122"/>
      <c r="E1" s="1122"/>
      <c r="F1" s="1122"/>
      <c r="G1" s="1122"/>
      <c r="H1" s="1122"/>
      <c r="I1" s="1122"/>
      <c r="J1" s="1122"/>
      <c r="K1" s="1122"/>
    </row>
    <row r="2" spans="1:11" ht="28.5" customHeight="1">
      <c r="A2" s="1205" t="str">
        <f>Vdesc</f>
        <v>Vote Description</v>
      </c>
      <c r="B2" s="1206" t="str">
        <f>head27</f>
        <v>Ref</v>
      </c>
      <c r="C2" s="1124" t="str">
        <f>head1b</f>
        <v>2007/8</v>
      </c>
      <c r="D2" s="1124" t="str">
        <f>head1A</f>
        <v>2008/9</v>
      </c>
      <c r="E2" s="1125" t="str">
        <f>Head1</f>
        <v>2009/10</v>
      </c>
      <c r="F2" s="2778" t="str">
        <f>Head2</f>
        <v>Current Year 2010/11</v>
      </c>
      <c r="G2" s="2779"/>
      <c r="H2" s="2779"/>
      <c r="I2" s="2780" t="str">
        <f>Head3</f>
        <v>2011/12 Medium Term Revenue &amp; Expenditure Framework</v>
      </c>
      <c r="J2" s="2781"/>
      <c r="K2" s="2782"/>
    </row>
    <row r="3" spans="1:11" ht="25.5">
      <c r="A3" s="1207" t="s">
        <v>697</v>
      </c>
      <c r="B3" s="1208"/>
      <c r="C3" s="1126" t="str">
        <f>Head5</f>
        <v>Audited Outcome</v>
      </c>
      <c r="D3" s="1126" t="str">
        <f>Head5</f>
        <v>Audited Outcome</v>
      </c>
      <c r="E3" s="1127" t="str">
        <f>Head5</f>
        <v>Audited Outcome</v>
      </c>
      <c r="F3" s="1128" t="str">
        <f>Head6</f>
        <v>Original Budget</v>
      </c>
      <c r="G3" s="1126" t="str">
        <f>Head7</f>
        <v>Adjusted Budget</v>
      </c>
      <c r="H3" s="1127" t="str">
        <f>Head8</f>
        <v>Full Year Forecast</v>
      </c>
      <c r="I3" s="1128" t="str">
        <f>Head9</f>
        <v>Budget Year 2011/12</v>
      </c>
      <c r="J3" s="1126" t="str">
        <f>Head10</f>
        <v>Budget Year +1 2012/13</v>
      </c>
      <c r="K3" s="1127" t="str">
        <f>Head11</f>
        <v>Budget Year +2 2013/14</v>
      </c>
    </row>
    <row r="4" spans="1:11" ht="11.25" customHeight="1">
      <c r="A4" s="1209" t="s">
        <v>1473</v>
      </c>
      <c r="B4" s="1194">
        <v>1</v>
      </c>
      <c r="C4" s="1210"/>
      <c r="D4" s="1210"/>
      <c r="E4" s="1211"/>
      <c r="F4" s="1212"/>
      <c r="G4" s="1210"/>
      <c r="H4" s="1213"/>
      <c r="I4" s="1214"/>
      <c r="J4" s="1210"/>
      <c r="K4" s="1739"/>
    </row>
    <row r="5" spans="1:11" ht="11.25" customHeight="1">
      <c r="A5" s="1215" t="str">
        <f>A3A!A5</f>
        <v>Vote1 - Health</v>
      </c>
      <c r="B5" s="1194"/>
      <c r="C5" s="2377">
        <v>120900</v>
      </c>
      <c r="D5" s="2377">
        <v>137600</v>
      </c>
      <c r="E5" s="2378">
        <v>68600</v>
      </c>
      <c r="F5" s="2379">
        <v>136600</v>
      </c>
      <c r="G5" s="2377">
        <v>136600</v>
      </c>
      <c r="H5" s="2380">
        <v>51496</v>
      </c>
      <c r="I5" s="2381">
        <v>149600</v>
      </c>
      <c r="J5" s="2377">
        <v>174600</v>
      </c>
      <c r="K5" s="2408">
        <v>189600</v>
      </c>
    </row>
    <row r="6" spans="1:11" ht="11.25" customHeight="1">
      <c r="A6" s="1215" t="str">
        <f>A3A!A16</f>
        <v>Vote2 - Planning &amp; Development</v>
      </c>
      <c r="B6" s="1194"/>
      <c r="C6" s="2377">
        <v>80171.429999999993</v>
      </c>
      <c r="D6" s="2377">
        <v>1493289.4</v>
      </c>
      <c r="E6" s="2378">
        <v>1936652.0290000001</v>
      </c>
      <c r="F6" s="2379">
        <v>94715</v>
      </c>
      <c r="G6" s="2377">
        <v>100315</v>
      </c>
      <c r="H6" s="2380">
        <v>50345</v>
      </c>
      <c r="I6" s="2381">
        <v>95400</v>
      </c>
      <c r="J6" s="2377">
        <v>95110</v>
      </c>
      <c r="K6" s="2408">
        <v>95340</v>
      </c>
    </row>
    <row r="7" spans="1:11" ht="11.25" customHeight="1">
      <c r="A7" s="1215" t="str">
        <f>A3A!A27</f>
        <v>Vote3 - Budget &amp; Treasury</v>
      </c>
      <c r="B7" s="1194"/>
      <c r="C7" s="2377">
        <v>16767235.890000001</v>
      </c>
      <c r="D7" s="2377">
        <v>48033850.077341273</v>
      </c>
      <c r="E7" s="2378">
        <v>26095842.018112946</v>
      </c>
      <c r="F7" s="2379">
        <v>33468680</v>
      </c>
      <c r="G7" s="2377">
        <v>34768680</v>
      </c>
      <c r="H7" s="2380">
        <v>59762125</v>
      </c>
      <c r="I7" s="2381">
        <v>40925898.829999998</v>
      </c>
      <c r="J7" s="2377">
        <v>43927441.559799999</v>
      </c>
      <c r="K7" s="2408">
        <v>46834745.461387999</v>
      </c>
    </row>
    <row r="8" spans="1:11" ht="11.25" customHeight="1">
      <c r="A8" s="1215" t="str">
        <f>A3A!A38</f>
        <v>Vote4 - Community &amp; Social Services</v>
      </c>
      <c r="B8" s="1194"/>
      <c r="C8" s="2377">
        <v>66100.45</v>
      </c>
      <c r="D8" s="2377">
        <v>474910.34380000003</v>
      </c>
      <c r="E8" s="2378">
        <v>294922.41000000003</v>
      </c>
      <c r="F8" s="2379">
        <v>606820</v>
      </c>
      <c r="G8" s="2377">
        <v>610520</v>
      </c>
      <c r="H8" s="2380">
        <v>231072</v>
      </c>
      <c r="I8" s="2381">
        <v>715000</v>
      </c>
      <c r="J8" s="2377">
        <v>760580</v>
      </c>
      <c r="K8" s="2408">
        <v>777584.8</v>
      </c>
    </row>
    <row r="9" spans="1:11" ht="11.25" customHeight="1">
      <c r="A9" s="1215" t="str">
        <f>A3A!A49</f>
        <v>Vote5 - Executive &amp; Council</v>
      </c>
      <c r="B9" s="1194"/>
      <c r="C9" s="2377">
        <v>0</v>
      </c>
      <c r="D9" s="2377">
        <v>13070</v>
      </c>
      <c r="E9" s="2378">
        <v>900</v>
      </c>
      <c r="F9" s="2379">
        <v>523000</v>
      </c>
      <c r="G9" s="2377">
        <v>831880</v>
      </c>
      <c r="H9" s="2380">
        <v>484608</v>
      </c>
      <c r="I9" s="2381">
        <v>873000</v>
      </c>
      <c r="J9" s="2377">
        <v>595000</v>
      </c>
      <c r="K9" s="2408">
        <v>629000</v>
      </c>
    </row>
    <row r="10" spans="1:11" ht="11.25" customHeight="1">
      <c r="A10" s="1215" t="str">
        <f>A3A!A60</f>
        <v>Vote6 - Public Safety</v>
      </c>
      <c r="B10" s="1194"/>
      <c r="C10" s="2377">
        <v>0</v>
      </c>
      <c r="D10" s="2377">
        <v>0</v>
      </c>
      <c r="E10" s="2378">
        <v>1368</v>
      </c>
      <c r="F10" s="2379">
        <v>5000</v>
      </c>
      <c r="G10" s="2377">
        <v>5000</v>
      </c>
      <c r="H10" s="2380">
        <v>1794</v>
      </c>
      <c r="I10" s="2381">
        <v>2000</v>
      </c>
      <c r="J10" s="2377">
        <v>5000</v>
      </c>
      <c r="K10" s="2408">
        <v>5000</v>
      </c>
    </row>
    <row r="11" spans="1:11" ht="11.25" customHeight="1">
      <c r="A11" s="1215" t="str">
        <f>A3A!A71</f>
        <v>Vote7 - Sport &amp; Recreation</v>
      </c>
      <c r="B11" s="1194"/>
      <c r="C11" s="2377">
        <v>5515</v>
      </c>
      <c r="D11" s="2377">
        <v>492423.89</v>
      </c>
      <c r="E11" s="2378">
        <v>21280</v>
      </c>
      <c r="F11" s="2379">
        <v>14000</v>
      </c>
      <c r="G11" s="2377">
        <v>14000</v>
      </c>
      <c r="H11" s="2380">
        <v>13444</v>
      </c>
      <c r="I11" s="2381">
        <v>12000</v>
      </c>
      <c r="J11" s="2377">
        <v>14000</v>
      </c>
      <c r="K11" s="2408">
        <v>14000</v>
      </c>
    </row>
    <row r="12" spans="1:11" ht="11.25" customHeight="1">
      <c r="A12" s="1215" t="str">
        <f>A3A!A82</f>
        <v>Vote8 - Waste Management</v>
      </c>
      <c r="B12" s="1194"/>
      <c r="C12" s="2377">
        <v>3788003.4799999995</v>
      </c>
      <c r="D12" s="2377">
        <v>4473029.2300000004</v>
      </c>
      <c r="E12" s="2378">
        <v>4076222.62</v>
      </c>
      <c r="F12" s="2379">
        <v>4740135</v>
      </c>
      <c r="G12" s="2377">
        <v>4740135</v>
      </c>
      <c r="H12" s="2380">
        <v>4835287</v>
      </c>
      <c r="I12" s="2381">
        <v>4195867.2149999999</v>
      </c>
      <c r="J12" s="2377">
        <v>5277548.2709999997</v>
      </c>
      <c r="K12" s="2408">
        <v>5567020.6845500004</v>
      </c>
    </row>
    <row r="13" spans="1:11" ht="11.25" customHeight="1">
      <c r="A13" s="1215" t="str">
        <f>A3A!A93</f>
        <v>Vote9 - Electricity</v>
      </c>
      <c r="B13" s="1194"/>
      <c r="C13" s="2377">
        <v>3821820.7</v>
      </c>
      <c r="D13" s="2377">
        <v>9356402.3500000015</v>
      </c>
      <c r="E13" s="2378">
        <v>7893831.9999999991</v>
      </c>
      <c r="F13" s="2379">
        <v>6821175</v>
      </c>
      <c r="G13" s="2377">
        <v>6821175</v>
      </c>
      <c r="H13" s="2380">
        <v>6992407</v>
      </c>
      <c r="I13" s="2381">
        <v>5315062.8486000011</v>
      </c>
      <c r="J13" s="2377">
        <v>8361129.267376001</v>
      </c>
      <c r="K13" s="2408">
        <v>9138620</v>
      </c>
    </row>
    <row r="14" spans="1:11" ht="11.25" customHeight="1">
      <c r="A14" s="1215" t="str">
        <f>A3A!A104</f>
        <v>Vote10 - Water</v>
      </c>
      <c r="B14" s="1194"/>
      <c r="C14" s="2377">
        <v>2511230.62</v>
      </c>
      <c r="D14" s="2377">
        <v>5503983.0099999998</v>
      </c>
      <c r="E14" s="2378">
        <v>13895927.555000003</v>
      </c>
      <c r="F14" s="2379">
        <v>3906885</v>
      </c>
      <c r="G14" s="2377">
        <v>3906885</v>
      </c>
      <c r="H14" s="2380">
        <v>4877752</v>
      </c>
      <c r="I14" s="2381">
        <v>2116520.77</v>
      </c>
      <c r="J14" s="2411">
        <v>2343187.8470000001</v>
      </c>
      <c r="K14" s="2408">
        <v>2620523.5886400002</v>
      </c>
    </row>
    <row r="15" spans="1:11" ht="11.25" customHeight="1">
      <c r="A15" s="1215" t="str">
        <f>A3A!A115</f>
        <v>Vote11 - Subvote example 10</v>
      </c>
      <c r="B15" s="1194"/>
      <c r="C15" s="2372">
        <v>0</v>
      </c>
      <c r="D15" s="2372">
        <v>0</v>
      </c>
      <c r="E15" s="2371">
        <v>0</v>
      </c>
      <c r="F15" s="2374">
        <v>0</v>
      </c>
      <c r="G15" s="2372">
        <v>0</v>
      </c>
      <c r="H15" s="2373">
        <v>0</v>
      </c>
      <c r="I15" s="2392">
        <v>0</v>
      </c>
      <c r="J15" s="2371">
        <v>0</v>
      </c>
      <c r="K15" s="2393">
        <v>0</v>
      </c>
    </row>
    <row r="16" spans="1:11" ht="11.25" customHeight="1">
      <c r="A16" s="1215" t="str">
        <f>A3A!A126</f>
        <v>Vote12 - Subvote example 10</v>
      </c>
      <c r="B16" s="1194"/>
      <c r="C16" s="2372">
        <v>0</v>
      </c>
      <c r="D16" s="2372">
        <v>0</v>
      </c>
      <c r="E16" s="2371">
        <v>0</v>
      </c>
      <c r="F16" s="2374">
        <v>0</v>
      </c>
      <c r="G16" s="2372">
        <v>0</v>
      </c>
      <c r="H16" s="2373">
        <v>0</v>
      </c>
      <c r="I16" s="2392">
        <v>0</v>
      </c>
      <c r="J16" s="2371">
        <v>0</v>
      </c>
      <c r="K16" s="2393">
        <v>0</v>
      </c>
    </row>
    <row r="17" spans="1:11" ht="11.25" customHeight="1">
      <c r="A17" s="1215" t="str">
        <f>A3A!A137</f>
        <v>Vote13 - Subvote example 10</v>
      </c>
      <c r="B17" s="1194"/>
      <c r="C17" s="2372">
        <v>0</v>
      </c>
      <c r="D17" s="2372">
        <v>0</v>
      </c>
      <c r="E17" s="2371">
        <v>0</v>
      </c>
      <c r="F17" s="2374">
        <v>0</v>
      </c>
      <c r="G17" s="2372">
        <v>0</v>
      </c>
      <c r="H17" s="2373">
        <v>0</v>
      </c>
      <c r="I17" s="2392">
        <v>0</v>
      </c>
      <c r="J17" s="2371">
        <v>0</v>
      </c>
      <c r="K17" s="2393">
        <v>0</v>
      </c>
    </row>
    <row r="18" spans="1:11" ht="11.25" customHeight="1">
      <c r="A18" s="1215" t="str">
        <f>A3A!A148</f>
        <v>Vote14 - Example 14</v>
      </c>
      <c r="B18" s="1194"/>
      <c r="C18" s="2372">
        <v>0</v>
      </c>
      <c r="D18" s="2372">
        <v>0</v>
      </c>
      <c r="E18" s="2371">
        <v>0</v>
      </c>
      <c r="F18" s="2374">
        <v>0</v>
      </c>
      <c r="G18" s="2372">
        <v>0</v>
      </c>
      <c r="H18" s="2373">
        <v>0</v>
      </c>
      <c r="I18" s="2392">
        <v>0</v>
      </c>
      <c r="J18" s="2371">
        <v>0</v>
      </c>
      <c r="K18" s="2393">
        <v>0</v>
      </c>
    </row>
    <row r="19" spans="1:11" ht="11.25" customHeight="1">
      <c r="A19" s="1215" t="str">
        <f>A3A!A159</f>
        <v>Vote15 - Example 15</v>
      </c>
      <c r="B19" s="1194"/>
      <c r="C19" s="2372">
        <v>0</v>
      </c>
      <c r="D19" s="2372">
        <v>0</v>
      </c>
      <c r="E19" s="2371">
        <v>0</v>
      </c>
      <c r="F19" s="2374">
        <v>0</v>
      </c>
      <c r="G19" s="2372">
        <v>0</v>
      </c>
      <c r="H19" s="2373">
        <v>0</v>
      </c>
      <c r="I19" s="2412">
        <v>0</v>
      </c>
      <c r="J19" s="2371">
        <v>0</v>
      </c>
      <c r="K19" s="2393">
        <v>0</v>
      </c>
    </row>
    <row r="20" spans="1:11" ht="11.25" customHeight="1">
      <c r="A20" s="1313" t="s">
        <v>182</v>
      </c>
      <c r="B20" s="1312">
        <v>2</v>
      </c>
      <c r="C20" s="2394">
        <v>27160977.57</v>
      </c>
      <c r="D20" s="2394">
        <v>69978558.301141277</v>
      </c>
      <c r="E20" s="2395">
        <v>54285546.63211295</v>
      </c>
      <c r="F20" s="2396">
        <v>50317010</v>
      </c>
      <c r="G20" s="2394">
        <v>51935190</v>
      </c>
      <c r="H20" s="2397">
        <v>77300330</v>
      </c>
      <c r="I20" s="2398">
        <v>54400349.663600005</v>
      </c>
      <c r="J20" s="2394">
        <v>61553596.945175998</v>
      </c>
      <c r="K20" s="2413">
        <v>65871434.534577996</v>
      </c>
    </row>
    <row r="21" spans="1:11" ht="5.0999999999999996" customHeight="1">
      <c r="A21" s="1217"/>
      <c r="B21" s="1194"/>
      <c r="C21" s="2382"/>
      <c r="D21" s="2382"/>
      <c r="E21" s="2383"/>
      <c r="F21" s="2384"/>
      <c r="G21" s="2382"/>
      <c r="H21" s="2385"/>
      <c r="I21" s="2386"/>
      <c r="J21" s="2382"/>
      <c r="K21" s="2414"/>
    </row>
    <row r="22" spans="1:11" ht="11.25" customHeight="1">
      <c r="A22" s="1209" t="s">
        <v>1010</v>
      </c>
      <c r="B22" s="1194">
        <v>1</v>
      </c>
      <c r="C22" s="2382"/>
      <c r="D22" s="2382"/>
      <c r="E22" s="2383"/>
      <c r="F22" s="2384"/>
      <c r="G22" s="2382"/>
      <c r="H22" s="2385"/>
      <c r="I22" s="2386"/>
      <c r="J22" s="2382"/>
      <c r="K22" s="2414"/>
    </row>
    <row r="23" spans="1:11" ht="11.25" customHeight="1">
      <c r="A23" s="1215" t="str">
        <f>A3A!A173</f>
        <v>Vote1 - Health</v>
      </c>
      <c r="B23" s="1194"/>
      <c r="C23" s="2377">
        <v>126811.14</v>
      </c>
      <c r="D23" s="2377">
        <v>139843.54</v>
      </c>
      <c r="E23" s="2378">
        <v>148555.74</v>
      </c>
      <c r="F23" s="2379">
        <v>296105</v>
      </c>
      <c r="G23" s="2377">
        <v>307370</v>
      </c>
      <c r="H23" s="2380">
        <v>157343</v>
      </c>
      <c r="I23" s="2381">
        <v>322915.06088630401</v>
      </c>
      <c r="J23" s="2377">
        <v>331779.73100799997</v>
      </c>
      <c r="K23" s="2408">
        <v>338395</v>
      </c>
    </row>
    <row r="24" spans="1:11" ht="11.25" customHeight="1">
      <c r="A24" s="1215" t="str">
        <f>A3A!A184</f>
        <v>Vote2 - Planning &amp; Development</v>
      </c>
      <c r="B24" s="1194"/>
      <c r="C24" s="2377">
        <v>3452180.7800000007</v>
      </c>
      <c r="D24" s="2377">
        <v>4787776.7418619581</v>
      </c>
      <c r="E24" s="2378">
        <v>5511392.1564780828</v>
      </c>
      <c r="F24" s="2379">
        <v>8211175</v>
      </c>
      <c r="G24" s="2377">
        <v>6504160</v>
      </c>
      <c r="H24" s="2380">
        <v>4932472</v>
      </c>
      <c r="I24" s="2381">
        <v>7059161.2728321599</v>
      </c>
      <c r="J24" s="2377">
        <v>9220418.2443865594</v>
      </c>
      <c r="K24" s="2408">
        <v>9181406.9039374851</v>
      </c>
    </row>
    <row r="25" spans="1:11" ht="11.25" customHeight="1">
      <c r="A25" s="1215" t="str">
        <f>A3A!A195</f>
        <v>Vote3 - Budget &amp; Treasury</v>
      </c>
      <c r="B25" s="1194"/>
      <c r="C25" s="2377">
        <v>7394553.8299999991</v>
      </c>
      <c r="D25" s="2377">
        <v>25478851.807982765</v>
      </c>
      <c r="E25" s="2378">
        <v>13605029.588010162</v>
      </c>
      <c r="F25" s="2379">
        <v>15672220</v>
      </c>
      <c r="G25" s="2377">
        <v>16137495</v>
      </c>
      <c r="H25" s="2380">
        <v>47738522</v>
      </c>
      <c r="I25" s="2381">
        <v>33690213.633008167</v>
      </c>
      <c r="J25" s="2377">
        <v>26827069.431651283</v>
      </c>
      <c r="K25" s="2408">
        <v>28715800.04152846</v>
      </c>
    </row>
    <row r="26" spans="1:11" ht="11.25" customHeight="1">
      <c r="A26" s="1215" t="str">
        <f>A3A!A206</f>
        <v>Vote4 - Community &amp; Social Services</v>
      </c>
      <c r="B26" s="1194"/>
      <c r="C26" s="2377">
        <v>416309.33999999997</v>
      </c>
      <c r="D26" s="2377">
        <v>884722.69</v>
      </c>
      <c r="E26" s="2378">
        <v>665752.14</v>
      </c>
      <c r="F26" s="2379">
        <v>1480985</v>
      </c>
      <c r="G26" s="2377">
        <v>1306590</v>
      </c>
      <c r="H26" s="2380">
        <v>790361</v>
      </c>
      <c r="I26" s="2381">
        <v>1694922.842094752</v>
      </c>
      <c r="J26" s="2377">
        <v>1844179.5734116803</v>
      </c>
      <c r="K26" s="2408">
        <v>1932502.1392846145</v>
      </c>
    </row>
    <row r="27" spans="1:11" ht="11.25" customHeight="1">
      <c r="A27" s="1215" t="str">
        <f>A3A!A217</f>
        <v>Vote5 - Executive &amp; Council</v>
      </c>
      <c r="B27" s="1194"/>
      <c r="C27" s="2377">
        <v>2256640.3800000004</v>
      </c>
      <c r="D27" s="2377">
        <v>2751651.0900000003</v>
      </c>
      <c r="E27" s="2378">
        <v>3231262.1914259489</v>
      </c>
      <c r="F27" s="2379">
        <v>3717100</v>
      </c>
      <c r="G27" s="2377">
        <v>3953775</v>
      </c>
      <c r="H27" s="2380">
        <v>3536111</v>
      </c>
      <c r="I27" s="2381">
        <v>4277883.5493879998</v>
      </c>
      <c r="J27" s="2377">
        <v>4007049.2333390401</v>
      </c>
      <c r="K27" s="2408">
        <v>4228593.5720061632</v>
      </c>
    </row>
    <row r="28" spans="1:11" ht="11.25" customHeight="1">
      <c r="A28" s="1215" t="str">
        <f>A3A!A228</f>
        <v>Vote6 - Public Safety</v>
      </c>
      <c r="B28" s="1194"/>
      <c r="C28" s="2377">
        <v>49511.18</v>
      </c>
      <c r="D28" s="2377">
        <v>28629.749999999996</v>
      </c>
      <c r="E28" s="2378">
        <v>14895.75</v>
      </c>
      <c r="F28" s="2379">
        <v>228285</v>
      </c>
      <c r="G28" s="2377">
        <v>190300</v>
      </c>
      <c r="H28" s="2380">
        <v>71742</v>
      </c>
      <c r="I28" s="2381">
        <v>181500</v>
      </c>
      <c r="J28" s="2377">
        <v>230485</v>
      </c>
      <c r="K28" s="2408">
        <v>232995</v>
      </c>
    </row>
    <row r="29" spans="1:11" ht="11.25" customHeight="1">
      <c r="A29" s="1215" t="str">
        <f>A3A!A239</f>
        <v>Vote7 - Sport &amp; Recreation</v>
      </c>
      <c r="B29" s="1194"/>
      <c r="C29" s="2377">
        <v>45893.610000000008</v>
      </c>
      <c r="D29" s="2377">
        <v>512695.67</v>
      </c>
      <c r="E29" s="2378">
        <v>69734.47</v>
      </c>
      <c r="F29" s="2379">
        <v>196805</v>
      </c>
      <c r="G29" s="2377">
        <v>172100</v>
      </c>
      <c r="H29" s="2380">
        <v>72632</v>
      </c>
      <c r="I29" s="2381">
        <v>169000</v>
      </c>
      <c r="J29" s="2377">
        <v>209762</v>
      </c>
      <c r="K29" s="2408">
        <v>224435.37760000001</v>
      </c>
    </row>
    <row r="30" spans="1:11" ht="11.25" customHeight="1">
      <c r="A30" s="1215" t="str">
        <f>A3A!A250</f>
        <v>Vote8 - Waste Management</v>
      </c>
      <c r="B30" s="1194"/>
      <c r="C30" s="2377">
        <v>6101455.4299999997</v>
      </c>
      <c r="D30" s="2377">
        <v>5184835.25</v>
      </c>
      <c r="E30" s="2378">
        <v>6649831.3109034095</v>
      </c>
      <c r="F30" s="2379">
        <v>7140560</v>
      </c>
      <c r="G30" s="2377">
        <v>6746575</v>
      </c>
      <c r="H30" s="2380">
        <v>6362450</v>
      </c>
      <c r="I30" s="2381">
        <v>7645472.4195329593</v>
      </c>
      <c r="J30" s="2377">
        <v>8113576.7565943999</v>
      </c>
      <c r="K30" s="2408">
        <v>8460327.7146067508</v>
      </c>
    </row>
    <row r="31" spans="1:11" ht="11.25" customHeight="1">
      <c r="A31" s="1215" t="str">
        <f>A3A!A261</f>
        <v>Vote9 - Electricity</v>
      </c>
      <c r="B31" s="1194"/>
      <c r="C31" s="2377">
        <v>4070768.49</v>
      </c>
      <c r="D31" s="2377">
        <v>5834376.9472365445</v>
      </c>
      <c r="E31" s="2378">
        <v>7554092.6025565658</v>
      </c>
      <c r="F31" s="2379">
        <v>9514540</v>
      </c>
      <c r="G31" s="2377">
        <v>10523815</v>
      </c>
      <c r="H31" s="2380">
        <v>9859736</v>
      </c>
      <c r="I31" s="2381">
        <v>12312051.994175136</v>
      </c>
      <c r="J31" s="2377">
        <v>13126941.65229008</v>
      </c>
      <c r="K31" s="2408">
        <v>15451828.395809285</v>
      </c>
    </row>
    <row r="32" spans="1:11" ht="11.25" customHeight="1">
      <c r="A32" s="1215" t="str">
        <f>A3A!A272</f>
        <v>Vote10 - Water</v>
      </c>
      <c r="B32" s="1194"/>
      <c r="C32" s="2377">
        <v>2012909.1499999997</v>
      </c>
      <c r="D32" s="2377">
        <v>5088514.5595011823</v>
      </c>
      <c r="E32" s="2378">
        <v>5716399.0572535926</v>
      </c>
      <c r="F32" s="2379">
        <v>3859235</v>
      </c>
      <c r="G32" s="2377">
        <v>4181975</v>
      </c>
      <c r="H32" s="2380">
        <v>3690900</v>
      </c>
      <c r="I32" s="2381">
        <v>3719860.2492079996</v>
      </c>
      <c r="J32" s="2377">
        <v>3296876.55397696</v>
      </c>
      <c r="K32" s="2408">
        <v>3349207.5842247172</v>
      </c>
    </row>
    <row r="33" spans="1:11" ht="11.25" customHeight="1">
      <c r="A33" s="1215" t="str">
        <f>A3A!A283</f>
        <v>Vote11 - Subvote example 10</v>
      </c>
      <c r="B33" s="1194"/>
      <c r="C33" s="2375">
        <v>0</v>
      </c>
      <c r="D33" s="2375">
        <v>0</v>
      </c>
      <c r="E33" s="2373">
        <v>0</v>
      </c>
      <c r="F33" s="2374">
        <v>0</v>
      </c>
      <c r="G33" s="2372">
        <v>0</v>
      </c>
      <c r="H33" s="2373">
        <v>0</v>
      </c>
      <c r="I33" s="2392">
        <v>0</v>
      </c>
      <c r="J33" s="2372">
        <v>0</v>
      </c>
      <c r="K33" s="2393">
        <v>0</v>
      </c>
    </row>
    <row r="34" spans="1:11" ht="11.25" customHeight="1">
      <c r="A34" s="1215" t="str">
        <f>A3A!A294</f>
        <v>Vote12 - Subvote example 10</v>
      </c>
      <c r="B34" s="1194"/>
      <c r="C34" s="2375">
        <v>0</v>
      </c>
      <c r="D34" s="2375">
        <v>0</v>
      </c>
      <c r="E34" s="2373">
        <v>0</v>
      </c>
      <c r="F34" s="2374">
        <v>0</v>
      </c>
      <c r="G34" s="2372">
        <v>0</v>
      </c>
      <c r="H34" s="2373">
        <v>0</v>
      </c>
      <c r="I34" s="2392">
        <v>0</v>
      </c>
      <c r="J34" s="2372">
        <v>0</v>
      </c>
      <c r="K34" s="2393">
        <v>0</v>
      </c>
    </row>
    <row r="35" spans="1:11" ht="11.25" customHeight="1">
      <c r="A35" s="1215" t="str">
        <f>A3A!A305</f>
        <v>Vote13 - Subvote example 10</v>
      </c>
      <c r="B35" s="1194"/>
      <c r="C35" s="2405">
        <v>0</v>
      </c>
      <c r="D35" s="2405">
        <v>0</v>
      </c>
      <c r="E35" s="2406">
        <v>0</v>
      </c>
      <c r="F35" s="2407">
        <v>0</v>
      </c>
      <c r="G35" s="2404">
        <v>0</v>
      </c>
      <c r="H35" s="2406">
        <v>0</v>
      </c>
      <c r="I35" s="2409">
        <v>0</v>
      </c>
      <c r="J35" s="2404">
        <v>0</v>
      </c>
      <c r="K35" s="2415">
        <v>0</v>
      </c>
    </row>
    <row r="36" spans="1:11" ht="11.25" customHeight="1">
      <c r="A36" s="1215" t="str">
        <f>A3A!A316</f>
        <v>Vote14 - Example 14</v>
      </c>
      <c r="B36" s="1194"/>
      <c r="C36" s="2405">
        <v>0</v>
      </c>
      <c r="D36" s="2405">
        <v>0</v>
      </c>
      <c r="E36" s="2406">
        <v>0</v>
      </c>
      <c r="F36" s="2407">
        <v>0</v>
      </c>
      <c r="G36" s="2404">
        <v>0</v>
      </c>
      <c r="H36" s="2406">
        <v>0</v>
      </c>
      <c r="I36" s="2409">
        <v>0</v>
      </c>
      <c r="J36" s="2404">
        <v>0</v>
      </c>
      <c r="K36" s="2415">
        <v>0</v>
      </c>
    </row>
    <row r="37" spans="1:11" ht="11.25" customHeight="1">
      <c r="A37" s="1215" t="str">
        <f>A3A!A327</f>
        <v>Vote15 - Example 15</v>
      </c>
      <c r="B37" s="1194"/>
      <c r="C37" s="2405">
        <v>0</v>
      </c>
      <c r="D37" s="2405">
        <v>0</v>
      </c>
      <c r="E37" s="2406">
        <v>0</v>
      </c>
      <c r="F37" s="2407">
        <v>0</v>
      </c>
      <c r="G37" s="2404">
        <v>0</v>
      </c>
      <c r="H37" s="2406">
        <v>0</v>
      </c>
      <c r="I37" s="2409">
        <v>0</v>
      </c>
      <c r="J37" s="2404">
        <v>0</v>
      </c>
      <c r="K37" s="2415">
        <v>0</v>
      </c>
    </row>
    <row r="38" spans="1:11" ht="11.25" customHeight="1">
      <c r="A38" s="1313" t="s">
        <v>181</v>
      </c>
      <c r="B38" s="1312">
        <v>2</v>
      </c>
      <c r="C38" s="2399">
        <v>25927033.329999998</v>
      </c>
      <c r="D38" s="2399">
        <v>50691898.04658246</v>
      </c>
      <c r="E38" s="2400">
        <v>43166945.006627761</v>
      </c>
      <c r="F38" s="2401">
        <v>50317010</v>
      </c>
      <c r="G38" s="2399">
        <v>50024155</v>
      </c>
      <c r="H38" s="2402">
        <v>77212269</v>
      </c>
      <c r="I38" s="2403">
        <v>71072981.021125481</v>
      </c>
      <c r="J38" s="2399">
        <v>67208138.17665799</v>
      </c>
      <c r="K38" s="2410">
        <v>72115491.728997484</v>
      </c>
    </row>
    <row r="39" spans="1:11">
      <c r="A39" s="1219" t="str">
        <f>result</f>
        <v>Surplus/(Deficit) for the year</v>
      </c>
      <c r="B39" s="1198">
        <v>2</v>
      </c>
      <c r="C39" s="2376">
        <v>1233944.2400000021</v>
      </c>
      <c r="D39" s="2376">
        <v>19286660.254558817</v>
      </c>
      <c r="E39" s="2387">
        <v>11118601.625485189</v>
      </c>
      <c r="F39" s="2388">
        <v>0</v>
      </c>
      <c r="G39" s="2389">
        <v>1911035</v>
      </c>
      <c r="H39" s="2390">
        <v>88061</v>
      </c>
      <c r="I39" s="2391">
        <v>-16672631.357525475</v>
      </c>
      <c r="J39" s="2389">
        <v>-5654541.2314819917</v>
      </c>
      <c r="K39" s="2416">
        <v>-6244057.1944194883</v>
      </c>
    </row>
    <row r="40" spans="1:11" s="693" customFormat="1" ht="11.25" hidden="1" customHeight="1">
      <c r="A40" s="1220" t="str">
        <f>head27a</f>
        <v>References</v>
      </c>
      <c r="B40" s="1221"/>
      <c r="C40" s="1162"/>
      <c r="D40" s="1222"/>
      <c r="E40" s="1223"/>
      <c r="F40" s="1223"/>
      <c r="G40" s="1223"/>
      <c r="H40" s="1223"/>
      <c r="I40" s="1223"/>
      <c r="J40" s="1223"/>
      <c r="K40" s="1223"/>
    </row>
    <row r="41" spans="1:11" s="693" customFormat="1" ht="11.25" hidden="1" customHeight="1">
      <c r="A41" s="1204" t="s">
        <v>192</v>
      </c>
      <c r="B41" s="1221"/>
      <c r="C41" s="1224"/>
      <c r="D41" s="1224"/>
      <c r="E41" s="1225"/>
      <c r="F41" s="1225"/>
      <c r="G41" s="1225"/>
      <c r="H41" s="1225"/>
      <c r="I41" s="1225"/>
      <c r="J41" s="1225"/>
      <c r="K41" s="1225"/>
    </row>
    <row r="42" spans="1:11" s="693" customFormat="1" ht="11.25" hidden="1" customHeight="1">
      <c r="A42" s="1226" t="s">
        <v>191</v>
      </c>
      <c r="B42" s="1221"/>
      <c r="C42" s="1224"/>
      <c r="D42" s="1224"/>
      <c r="E42" s="1225"/>
      <c r="F42" s="1225"/>
      <c r="G42" s="1225"/>
      <c r="H42" s="1225"/>
      <c r="I42" s="1225"/>
      <c r="J42" s="1225"/>
      <c r="K42" s="1225"/>
    </row>
    <row r="43" spans="1:11" s="693" customFormat="1" ht="11.25" hidden="1" customHeight="1">
      <c r="A43" s="1226" t="s">
        <v>454</v>
      </c>
      <c r="B43" s="1200"/>
      <c r="C43" s="1227"/>
      <c r="D43" s="1227"/>
      <c r="E43" s="1228"/>
      <c r="F43" s="1228"/>
      <c r="G43" s="1228"/>
      <c r="H43" s="1228"/>
      <c r="I43" s="1228"/>
      <c r="J43" s="1228"/>
      <c r="K43" s="1228"/>
    </row>
    <row r="44" spans="1:11" ht="11.25" hidden="1" customHeight="1">
      <c r="A44" s="1201"/>
      <c r="B44" s="688"/>
      <c r="C44" s="691"/>
      <c r="D44" s="691"/>
      <c r="E44" s="691"/>
      <c r="F44" s="691"/>
      <c r="G44" s="691"/>
      <c r="H44" s="691"/>
      <c r="I44" s="691"/>
      <c r="J44" s="691"/>
      <c r="K44" s="691"/>
    </row>
    <row r="45" spans="1:11" ht="11.25" hidden="1" customHeight="1">
      <c r="A45" s="1227" t="str">
        <f>"check "&amp;A39</f>
        <v>check Surplus/(Deficit) for the year</v>
      </c>
      <c r="B45" s="688"/>
      <c r="C45" s="1228">
        <f>C39-A3A!C340</f>
        <v>0</v>
      </c>
      <c r="D45" s="1228">
        <f>D39-A3A!D340</f>
        <v>0</v>
      </c>
      <c r="E45" s="1228">
        <f>E39-A3A!E340</f>
        <v>0</v>
      </c>
      <c r="F45" s="1228">
        <f>F39-A3A!F340</f>
        <v>0</v>
      </c>
      <c r="G45" s="1228">
        <f>G39-A3A!G340</f>
        <v>0</v>
      </c>
      <c r="H45" s="1228">
        <f>H39-A3A!H340</f>
        <v>0</v>
      </c>
      <c r="I45" s="1228">
        <f>I39-A3A!I340</f>
        <v>0</v>
      </c>
      <c r="J45" s="1228">
        <f>J39-A3A!J340</f>
        <v>0</v>
      </c>
      <c r="K45" s="1228">
        <f>K39-A3A!K340</f>
        <v>0</v>
      </c>
    </row>
    <row r="46" spans="1:11" ht="11.25" hidden="1" customHeight="1">
      <c r="A46" s="230"/>
      <c r="C46" s="231"/>
      <c r="D46" s="231"/>
      <c r="E46" s="231"/>
      <c r="F46" s="231"/>
      <c r="G46" s="231"/>
      <c r="H46" s="231"/>
      <c r="I46" s="231"/>
      <c r="J46" s="231"/>
      <c r="K46" s="231"/>
    </row>
    <row r="47" spans="1:11" ht="11.25" hidden="1" customHeight="1">
      <c r="A47" s="232"/>
    </row>
    <row r="48" spans="1:11" ht="11.25" hidden="1" customHeight="1">
      <c r="A48" s="232"/>
    </row>
    <row r="49" spans="3:11" ht="11.25" hidden="1" customHeight="1">
      <c r="C49" s="336"/>
      <c r="D49" s="336"/>
      <c r="E49" s="336"/>
      <c r="F49" s="336"/>
      <c r="G49" s="336"/>
      <c r="H49" s="336"/>
      <c r="I49" s="336"/>
      <c r="J49" s="336"/>
      <c r="K49" s="336"/>
    </row>
    <row r="50" spans="3:11" ht="11.25" hidden="1" customHeight="1"/>
    <row r="51" spans="3:11" ht="11.25" hidden="1" customHeight="1"/>
    <row r="52" spans="3:11" ht="11.25" hidden="1" customHeight="1"/>
    <row r="53" spans="3:11" ht="11.25" hidden="1" customHeight="1"/>
    <row r="54" spans="3:11" ht="11.25" hidden="1" customHeight="1"/>
    <row r="55" spans="3:11" ht="11.25" hidden="1" customHeight="1"/>
    <row r="56" spans="3:11" ht="11.25" hidden="1" customHeight="1"/>
    <row r="57" spans="3:11" ht="11.25" hidden="1" customHeight="1"/>
    <row r="58" spans="3:11" ht="11.25" hidden="1" customHeight="1"/>
    <row r="59" spans="3:11" ht="11.25" hidden="1" customHeight="1"/>
    <row r="60" spans="3:11" ht="11.25" hidden="1" customHeight="1"/>
    <row r="61" spans="3:11" ht="11.25" customHeight="1"/>
    <row r="62" spans="3:11" ht="11.25" customHeight="1"/>
    <row r="63" spans="3:11" ht="11.25" customHeight="1"/>
    <row r="64" spans="3:11"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sheetData>
  <mergeCells count="2">
    <mergeCell ref="F2:H2"/>
    <mergeCell ref="I2:K2"/>
  </mergeCells>
  <phoneticPr fontId="3" type="noConversion"/>
  <printOptions horizontalCentered="1"/>
  <pageMargins left="0.34" right="0" top="0.78740157480314965" bottom="0.59055118110236227" header="0.51181102362204722" footer="0.39370078740157483"/>
  <pageSetup paperSize="9" scale="8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indexed="44"/>
  </sheetPr>
  <dimension ref="A1:Y379"/>
  <sheetViews>
    <sheetView showGridLines="0" workbookViewId="0">
      <pane xSplit="2" ySplit="3" topLeftCell="C106" activePane="bottomRight" state="frozen"/>
      <selection activeCell="O37" sqref="A1:IV65536"/>
      <selection pane="topRight" activeCell="O37" sqref="A1:IV65536"/>
      <selection pane="bottomLeft" activeCell="O37" sqref="A1:IV65536"/>
      <selection pane="bottomRight" activeCell="H93" sqref="H93"/>
    </sheetView>
  </sheetViews>
  <sheetFormatPr defaultRowHeight="12.75"/>
  <cols>
    <col min="1" max="1" width="30.7109375" style="150" customWidth="1"/>
    <col min="2" max="2" width="3" style="1043" hidden="1" customWidth="1"/>
    <col min="3" max="11" width="9.28515625" style="150" customWidth="1"/>
    <col min="12" max="23" width="0" style="150" hidden="1" customWidth="1"/>
    <col min="24" max="16384" width="9.140625" style="150"/>
  </cols>
  <sheetData>
    <row r="1" spans="1:25" s="168" customFormat="1">
      <c r="A1" s="1122" t="str">
        <f>muni&amp;" - "&amp;Approve2&amp;"A"</f>
        <v>NC071 Ubuntu - Table A3 Budgeted Financial Performance (revenue and expenditure by municipal vote)A</v>
      </c>
      <c r="B1" s="1122"/>
      <c r="C1" s="1122"/>
      <c r="D1" s="1122"/>
      <c r="E1" s="1122"/>
      <c r="F1" s="1122"/>
      <c r="G1" s="1122"/>
      <c r="H1" s="1122"/>
      <c r="I1" s="1122"/>
      <c r="J1" s="1122"/>
      <c r="K1" s="1122"/>
    </row>
    <row r="2" spans="1:25" ht="28.5" customHeight="1">
      <c r="A2" s="1205" t="str">
        <f>Vdesc</f>
        <v>Vote Description</v>
      </c>
      <c r="B2" s="1206" t="str">
        <f>head27</f>
        <v>Ref</v>
      </c>
      <c r="C2" s="1124" t="str">
        <f>head1b</f>
        <v>2007/8</v>
      </c>
      <c r="D2" s="1124" t="str">
        <f>head1A</f>
        <v>2008/9</v>
      </c>
      <c r="E2" s="1125" t="str">
        <f>Head1</f>
        <v>2009/10</v>
      </c>
      <c r="F2" s="2778" t="str">
        <f>Head2</f>
        <v>Current Year 2010/11</v>
      </c>
      <c r="G2" s="2779"/>
      <c r="H2" s="2779"/>
      <c r="I2" s="2780" t="str">
        <f>Head3</f>
        <v>2011/12 Medium Term Revenue &amp; Expenditure Framework</v>
      </c>
      <c r="J2" s="2781"/>
      <c r="K2" s="2782"/>
      <c r="L2" s="2783" t="str">
        <f>Head4</f>
        <v>LTFS</v>
      </c>
      <c r="M2" s="2784"/>
      <c r="N2" s="2784"/>
      <c r="O2" s="2784"/>
      <c r="P2" s="2784"/>
      <c r="Q2" s="2784"/>
      <c r="R2" s="2784"/>
      <c r="S2" s="2784"/>
      <c r="T2" s="2784"/>
      <c r="U2" s="2784"/>
      <c r="V2" s="2784"/>
      <c r="W2" s="2785"/>
    </row>
    <row r="3" spans="1:25" ht="25.5">
      <c r="A3" s="1207" t="s">
        <v>697</v>
      </c>
      <c r="B3" s="1208"/>
      <c r="C3" s="1126" t="str">
        <f>Head5</f>
        <v>Audited Outcome</v>
      </c>
      <c r="D3" s="1126" t="str">
        <f>Head5</f>
        <v>Audited Outcome</v>
      </c>
      <c r="E3" s="1127" t="str">
        <f>Head5</f>
        <v>Audited Outcome</v>
      </c>
      <c r="F3" s="1128" t="str">
        <f>Head6</f>
        <v>Original Budget</v>
      </c>
      <c r="G3" s="1126" t="str">
        <f>Head7</f>
        <v>Adjusted Budget</v>
      </c>
      <c r="H3" s="1127" t="str">
        <f>Head8</f>
        <v>Full Year Forecast</v>
      </c>
      <c r="I3" s="1128" t="str">
        <f>Head9</f>
        <v>Budget Year 2011/12</v>
      </c>
      <c r="J3" s="1126" t="str">
        <f>Head10</f>
        <v>Budget Year +1 2012/13</v>
      </c>
      <c r="K3" s="1127" t="str">
        <f>Head11</f>
        <v>Budget Year +2 2013/14</v>
      </c>
      <c r="L3" s="1514" t="str">
        <f>Head12</f>
        <v>Forecast 2014/15</v>
      </c>
      <c r="M3" s="1515" t="str">
        <f>Head13</f>
        <v>Forecast 2015/16</v>
      </c>
      <c r="N3" s="1515" t="str">
        <f>Head14</f>
        <v>Forecast 2016/17</v>
      </c>
      <c r="O3" s="1515" t="str">
        <f>Head15</f>
        <v>Forecast 2017/18</v>
      </c>
      <c r="P3" s="1515" t="str">
        <f>Head16</f>
        <v>Forecast 2018/19</v>
      </c>
      <c r="Q3" s="1515" t="str">
        <f>Head17</f>
        <v>Forecast 2019/20</v>
      </c>
      <c r="R3" s="1515" t="str">
        <f>Head18</f>
        <v>Forecast 2020/21</v>
      </c>
      <c r="S3" s="1515" t="str">
        <f>Head19</f>
        <v>Forecast 2021/22</v>
      </c>
      <c r="T3" s="1515" t="str">
        <f>Head20</f>
        <v>Forecast 2022/23</v>
      </c>
      <c r="U3" s="1515" t="str">
        <f>Head21</f>
        <v>Forecast 2023/24</v>
      </c>
      <c r="V3" s="1515" t="str">
        <f>Head22</f>
        <v>Forecast 2024/25</v>
      </c>
      <c r="W3" s="1515" t="str">
        <f>Head23</f>
        <v>Forecast 2025/26</v>
      </c>
    </row>
    <row r="4" spans="1:25" ht="11.25" customHeight="1">
      <c r="A4" s="1209" t="s">
        <v>1473</v>
      </c>
      <c r="B4" s="1194">
        <v>1</v>
      </c>
      <c r="C4" s="1210"/>
      <c r="D4" s="1210"/>
      <c r="E4" s="1211"/>
      <c r="F4" s="1212"/>
      <c r="G4" s="1210"/>
      <c r="H4" s="1213"/>
      <c r="I4" s="1214"/>
      <c r="J4" s="1210"/>
      <c r="K4" s="1211"/>
      <c r="L4" s="177"/>
      <c r="M4" s="178"/>
      <c r="N4" s="178"/>
      <c r="O4" s="178"/>
      <c r="P4" s="178"/>
      <c r="Q4" s="178"/>
      <c r="R4" s="178"/>
      <c r="S4" s="178"/>
      <c r="T4" s="178"/>
      <c r="U4" s="178"/>
      <c r="V4" s="178"/>
      <c r="W4" s="178"/>
    </row>
    <row r="5" spans="1:25" ht="11.25" customHeight="1">
      <c r="A5" s="1816" t="s">
        <v>3031</v>
      </c>
      <c r="B5" s="1048"/>
      <c r="C5" s="2433">
        <v>120900</v>
      </c>
      <c r="D5" s="2433">
        <v>137600</v>
      </c>
      <c r="E5" s="2434">
        <v>68600</v>
      </c>
      <c r="F5" s="2435">
        <v>136600</v>
      </c>
      <c r="G5" s="2433">
        <v>136600</v>
      </c>
      <c r="H5" s="2436">
        <v>51496</v>
      </c>
      <c r="I5" s="2437">
        <v>149600</v>
      </c>
      <c r="J5" s="2433">
        <v>174600</v>
      </c>
      <c r="K5" s="2434">
        <v>189600</v>
      </c>
      <c r="L5" s="177"/>
      <c r="M5" s="178"/>
      <c r="N5" s="178"/>
      <c r="O5" s="178"/>
      <c r="P5" s="178"/>
      <c r="Q5" s="178"/>
      <c r="R5" s="178"/>
      <c r="S5" s="178"/>
      <c r="T5" s="178"/>
      <c r="U5" s="178"/>
      <c r="V5" s="178"/>
      <c r="W5" s="178"/>
    </row>
    <row r="6" spans="1:25" ht="11.25" customHeight="1">
      <c r="A6" s="1817" t="s">
        <v>2208</v>
      </c>
      <c r="B6" s="1041"/>
      <c r="C6" s="2470">
        <v>120900</v>
      </c>
      <c r="D6" s="2470">
        <v>137600</v>
      </c>
      <c r="E6" s="2471">
        <v>68600</v>
      </c>
      <c r="F6" s="2472">
        <v>136600</v>
      </c>
      <c r="G6" s="2470">
        <v>136600</v>
      </c>
      <c r="H6" s="2473">
        <v>51496</v>
      </c>
      <c r="I6" s="2474">
        <v>149600</v>
      </c>
      <c r="J6" s="2470">
        <v>174600</v>
      </c>
      <c r="K6" s="2471">
        <v>189600</v>
      </c>
      <c r="L6" s="177"/>
      <c r="M6" s="178"/>
      <c r="N6" s="178"/>
      <c r="O6" s="178"/>
      <c r="P6" s="178"/>
      <c r="Q6" s="178"/>
      <c r="R6" s="178"/>
      <c r="S6" s="178"/>
      <c r="T6" s="178"/>
      <c r="U6" s="178"/>
      <c r="V6" s="178"/>
      <c r="W6" s="178"/>
      <c r="X6" s="1516"/>
    </row>
    <row r="7" spans="1:25" ht="11.25" customHeight="1">
      <c r="A7" s="1817"/>
      <c r="B7" s="1041"/>
      <c r="C7" s="2470"/>
      <c r="D7" s="2470"/>
      <c r="E7" s="2471"/>
      <c r="F7" s="2472"/>
      <c r="G7" s="2470"/>
      <c r="H7" s="2473"/>
      <c r="I7" s="2474"/>
      <c r="J7" s="2470"/>
      <c r="K7" s="2471"/>
      <c r="L7" s="177"/>
      <c r="M7" s="178"/>
      <c r="N7" s="178"/>
      <c r="O7" s="178"/>
      <c r="P7" s="178"/>
      <c r="Q7" s="178"/>
      <c r="R7" s="178"/>
      <c r="S7" s="178"/>
      <c r="T7" s="178"/>
      <c r="U7" s="178"/>
      <c r="V7" s="178"/>
      <c r="W7" s="178"/>
    </row>
    <row r="8" spans="1:25" ht="11.25" customHeight="1">
      <c r="A8" s="1817"/>
      <c r="B8" s="1041"/>
      <c r="C8" s="2470"/>
      <c r="D8" s="2470"/>
      <c r="E8" s="2471"/>
      <c r="F8" s="2472"/>
      <c r="G8" s="2470"/>
      <c r="H8" s="2473"/>
      <c r="I8" s="2474"/>
      <c r="J8" s="2470"/>
      <c r="K8" s="2471"/>
      <c r="L8" s="177"/>
      <c r="M8" s="178"/>
      <c r="N8" s="178"/>
      <c r="O8" s="178"/>
      <c r="P8" s="178"/>
      <c r="Q8" s="178"/>
      <c r="R8" s="178"/>
      <c r="S8" s="178"/>
      <c r="T8" s="178"/>
      <c r="U8" s="178"/>
      <c r="V8" s="178"/>
      <c r="W8" s="178"/>
    </row>
    <row r="9" spans="1:25" ht="11.25" customHeight="1">
      <c r="A9" s="1817" t="s">
        <v>1470</v>
      </c>
      <c r="B9" s="1041"/>
      <c r="C9" s="2470"/>
      <c r="D9" s="2470"/>
      <c r="E9" s="2471"/>
      <c r="F9" s="2472"/>
      <c r="G9" s="2470"/>
      <c r="H9" s="2473"/>
      <c r="I9" s="2474"/>
      <c r="J9" s="2470"/>
      <c r="K9" s="2471"/>
      <c r="L9" s="177"/>
      <c r="M9" s="178"/>
      <c r="N9" s="178"/>
      <c r="O9" s="178"/>
      <c r="P9" s="178"/>
      <c r="Q9" s="178"/>
      <c r="R9" s="178"/>
      <c r="S9" s="178"/>
      <c r="T9" s="178"/>
      <c r="U9" s="178"/>
      <c r="V9" s="178"/>
      <c r="W9" s="178"/>
    </row>
    <row r="10" spans="1:25" ht="11.25" customHeight="1">
      <c r="A10" s="1817" t="s">
        <v>1470</v>
      </c>
      <c r="B10" s="1041"/>
      <c r="C10" s="2470"/>
      <c r="D10" s="2470"/>
      <c r="E10" s="2471"/>
      <c r="F10" s="2472"/>
      <c r="G10" s="2470"/>
      <c r="H10" s="2473"/>
      <c r="I10" s="2474"/>
      <c r="J10" s="2470"/>
      <c r="K10" s="2471"/>
      <c r="L10" s="177"/>
      <c r="M10" s="178"/>
      <c r="N10" s="178"/>
      <c r="O10" s="178"/>
      <c r="P10" s="178"/>
      <c r="Q10" s="178"/>
      <c r="R10" s="178"/>
      <c r="S10" s="178"/>
      <c r="T10" s="178"/>
      <c r="U10" s="178"/>
      <c r="V10" s="178"/>
      <c r="W10" s="178"/>
    </row>
    <row r="11" spans="1:25" ht="11.25" customHeight="1">
      <c r="A11" s="1817" t="s">
        <v>1470</v>
      </c>
      <c r="B11" s="1041"/>
      <c r="C11" s="2470"/>
      <c r="D11" s="2470"/>
      <c r="E11" s="2471"/>
      <c r="F11" s="2472"/>
      <c r="G11" s="2470"/>
      <c r="H11" s="2473"/>
      <c r="I11" s="2474"/>
      <c r="J11" s="2470"/>
      <c r="K11" s="2471"/>
      <c r="L11" s="177"/>
      <c r="M11" s="178"/>
      <c r="N11" s="178"/>
      <c r="O11" s="178"/>
      <c r="P11" s="178"/>
      <c r="Q11" s="178"/>
      <c r="R11" s="178"/>
      <c r="S11" s="178"/>
      <c r="T11" s="178"/>
      <c r="U11" s="178"/>
      <c r="V11" s="178"/>
      <c r="W11" s="178"/>
    </row>
    <row r="12" spans="1:25" ht="11.25" customHeight="1">
      <c r="A12" s="1817" t="s">
        <v>1470</v>
      </c>
      <c r="B12" s="1041"/>
      <c r="C12" s="2470"/>
      <c r="D12" s="2470"/>
      <c r="E12" s="2471"/>
      <c r="F12" s="2472"/>
      <c r="G12" s="2470"/>
      <c r="H12" s="2473"/>
      <c r="I12" s="2474"/>
      <c r="J12" s="2470"/>
      <c r="K12" s="2471"/>
      <c r="L12" s="177"/>
      <c r="M12" s="178"/>
      <c r="N12" s="178"/>
      <c r="O12" s="178"/>
      <c r="P12" s="178"/>
      <c r="Q12" s="178"/>
      <c r="R12" s="178"/>
      <c r="S12" s="178"/>
      <c r="T12" s="178"/>
      <c r="U12" s="178"/>
      <c r="V12" s="178"/>
      <c r="W12" s="178"/>
    </row>
    <row r="13" spans="1:25" ht="11.25" customHeight="1">
      <c r="A13" s="1817" t="s">
        <v>1470</v>
      </c>
      <c r="B13" s="1041"/>
      <c r="C13" s="2470"/>
      <c r="D13" s="2470"/>
      <c r="E13" s="2471"/>
      <c r="F13" s="2472"/>
      <c r="G13" s="2470"/>
      <c r="H13" s="2473"/>
      <c r="I13" s="2474"/>
      <c r="J13" s="2470"/>
      <c r="K13" s="2471"/>
      <c r="L13" s="177"/>
      <c r="M13" s="178"/>
      <c r="N13" s="178"/>
      <c r="O13" s="178"/>
      <c r="P13" s="178"/>
      <c r="Q13" s="178"/>
      <c r="R13" s="178"/>
      <c r="S13" s="178"/>
      <c r="T13" s="178"/>
      <c r="U13" s="178"/>
      <c r="V13" s="178"/>
      <c r="W13" s="178"/>
    </row>
    <row r="14" spans="1:25" ht="11.25" customHeight="1">
      <c r="A14" s="1817" t="s">
        <v>1470</v>
      </c>
      <c r="B14" s="1041"/>
      <c r="C14" s="2470"/>
      <c r="D14" s="2470"/>
      <c r="E14" s="2471"/>
      <c r="F14" s="2472"/>
      <c r="G14" s="2470"/>
      <c r="H14" s="2473"/>
      <c r="I14" s="2474"/>
      <c r="J14" s="2470"/>
      <c r="K14" s="2471"/>
      <c r="L14" s="177"/>
      <c r="M14" s="178"/>
      <c r="N14" s="178"/>
      <c r="O14" s="178"/>
      <c r="P14" s="178"/>
      <c r="Q14" s="178"/>
      <c r="R14" s="178"/>
      <c r="S14" s="178"/>
      <c r="T14" s="178"/>
      <c r="U14" s="178"/>
      <c r="V14" s="178"/>
      <c r="W14" s="178"/>
    </row>
    <row r="15" spans="1:25" ht="11.25" customHeight="1">
      <c r="A15" s="1817" t="s">
        <v>1470</v>
      </c>
      <c r="B15" s="1041"/>
      <c r="C15" s="2470"/>
      <c r="D15" s="2470"/>
      <c r="E15" s="2471"/>
      <c r="F15" s="2472"/>
      <c r="G15" s="2470"/>
      <c r="H15" s="2473"/>
      <c r="I15" s="2474"/>
      <c r="J15" s="2470"/>
      <c r="K15" s="2471"/>
      <c r="L15" s="177"/>
      <c r="M15" s="178"/>
      <c r="N15" s="178"/>
      <c r="O15" s="178"/>
      <c r="P15" s="178"/>
      <c r="Q15" s="178"/>
      <c r="R15" s="178"/>
      <c r="S15" s="178"/>
      <c r="T15" s="178"/>
      <c r="U15" s="178"/>
      <c r="V15" s="178"/>
      <c r="W15" s="178"/>
      <c r="Y15" s="232"/>
    </row>
    <row r="16" spans="1:25" ht="11.25" customHeight="1">
      <c r="A16" s="1816" t="s">
        <v>3032</v>
      </c>
      <c r="B16" s="1048"/>
      <c r="C16" s="2433">
        <v>80171.429999999993</v>
      </c>
      <c r="D16" s="2433">
        <v>1493289.4</v>
      </c>
      <c r="E16" s="2434">
        <v>1936652.0290000001</v>
      </c>
      <c r="F16" s="2435">
        <v>94715</v>
      </c>
      <c r="G16" s="2433">
        <v>100315</v>
      </c>
      <c r="H16" s="2436">
        <v>50345</v>
      </c>
      <c r="I16" s="2437">
        <v>95400</v>
      </c>
      <c r="J16" s="2433">
        <v>95110</v>
      </c>
      <c r="K16" s="2434">
        <v>95340</v>
      </c>
      <c r="L16" s="177"/>
      <c r="M16" s="178"/>
      <c r="N16" s="178"/>
      <c r="O16" s="178"/>
      <c r="P16" s="178"/>
      <c r="Q16" s="178"/>
      <c r="R16" s="178"/>
      <c r="S16" s="178"/>
      <c r="T16" s="178"/>
      <c r="U16" s="178"/>
      <c r="V16" s="178"/>
      <c r="W16" s="178"/>
      <c r="Y16" s="232"/>
    </row>
    <row r="17" spans="1:25" ht="11.25" customHeight="1">
      <c r="A17" s="1817" t="s">
        <v>2210</v>
      </c>
      <c r="B17" s="1041"/>
      <c r="C17" s="2470">
        <v>63146.99</v>
      </c>
      <c r="D17" s="2470">
        <v>1481075.01</v>
      </c>
      <c r="E17" s="2471">
        <v>1922998.3390000002</v>
      </c>
      <c r="F17" s="2472">
        <v>78900</v>
      </c>
      <c r="G17" s="2470">
        <v>78900</v>
      </c>
      <c r="H17" s="2473">
        <v>35448</v>
      </c>
      <c r="I17" s="2474">
        <v>78900</v>
      </c>
      <c r="J17" s="2470">
        <v>79100</v>
      </c>
      <c r="K17" s="2471">
        <v>79225</v>
      </c>
      <c r="L17" s="177"/>
      <c r="M17" s="178"/>
      <c r="N17" s="178"/>
      <c r="O17" s="178"/>
      <c r="P17" s="178"/>
      <c r="Q17" s="178"/>
      <c r="R17" s="178"/>
      <c r="S17" s="178"/>
      <c r="T17" s="178"/>
      <c r="U17" s="178"/>
      <c r="V17" s="178"/>
      <c r="W17" s="178"/>
      <c r="X17" s="2233"/>
      <c r="Y17" s="232"/>
    </row>
    <row r="18" spans="1:25" ht="11.25" customHeight="1">
      <c r="A18" s="1817" t="s">
        <v>2211</v>
      </c>
      <c r="B18" s="1041"/>
      <c r="C18" s="2470">
        <v>0</v>
      </c>
      <c r="D18" s="2470">
        <v>0</v>
      </c>
      <c r="E18" s="2471">
        <v>0</v>
      </c>
      <c r="F18" s="2472">
        <v>2500</v>
      </c>
      <c r="G18" s="2470">
        <v>2500</v>
      </c>
      <c r="H18" s="2473">
        <v>836</v>
      </c>
      <c r="I18" s="2474">
        <v>2500</v>
      </c>
      <c r="J18" s="2470">
        <v>2500</v>
      </c>
      <c r="K18" s="2471">
        <v>2500</v>
      </c>
      <c r="L18" s="177"/>
      <c r="M18" s="178"/>
      <c r="N18" s="178"/>
      <c r="O18" s="178"/>
      <c r="P18" s="178"/>
      <c r="Q18" s="178"/>
      <c r="R18" s="178"/>
      <c r="S18" s="178"/>
      <c r="T18" s="178"/>
      <c r="U18" s="178"/>
      <c r="V18" s="178"/>
      <c r="W18" s="178"/>
      <c r="X18" s="2233"/>
      <c r="Y18" s="232"/>
    </row>
    <row r="19" spans="1:25" ht="11.25" customHeight="1">
      <c r="A19" s="1817" t="s">
        <v>2212</v>
      </c>
      <c r="B19" s="1041"/>
      <c r="C19" s="2470">
        <v>17024.439999999999</v>
      </c>
      <c r="D19" s="2470">
        <v>12214.39</v>
      </c>
      <c r="E19" s="2471">
        <v>13653.69</v>
      </c>
      <c r="F19" s="2472">
        <v>13315</v>
      </c>
      <c r="G19" s="2470">
        <v>18915</v>
      </c>
      <c r="H19" s="2473">
        <v>14061</v>
      </c>
      <c r="I19" s="2474">
        <v>14000</v>
      </c>
      <c r="J19" s="2470">
        <v>13510</v>
      </c>
      <c r="K19" s="2471">
        <v>13615</v>
      </c>
      <c r="L19" s="177"/>
      <c r="M19" s="178"/>
      <c r="N19" s="178"/>
      <c r="O19" s="178"/>
      <c r="P19" s="178"/>
      <c r="Q19" s="178"/>
      <c r="R19" s="178"/>
      <c r="S19" s="178"/>
      <c r="T19" s="178"/>
      <c r="U19" s="178"/>
      <c r="V19" s="178"/>
      <c r="W19" s="178"/>
      <c r="X19" s="2233"/>
      <c r="Y19" s="232"/>
    </row>
    <row r="20" spans="1:25" ht="11.25" customHeight="1">
      <c r="A20" s="1817" t="s">
        <v>2213</v>
      </c>
      <c r="B20" s="1041"/>
      <c r="C20" s="2470">
        <v>0</v>
      </c>
      <c r="D20" s="2470">
        <v>0</v>
      </c>
      <c r="E20" s="2471">
        <v>0</v>
      </c>
      <c r="F20" s="2472">
        <v>0</v>
      </c>
      <c r="G20" s="2470">
        <v>0</v>
      </c>
      <c r="H20" s="2473">
        <v>0</v>
      </c>
      <c r="I20" s="2474">
        <v>0</v>
      </c>
      <c r="J20" s="2470">
        <v>0</v>
      </c>
      <c r="K20" s="2471">
        <v>0</v>
      </c>
      <c r="L20" s="177"/>
      <c r="M20" s="178"/>
      <c r="N20" s="178"/>
      <c r="O20" s="178"/>
      <c r="P20" s="178"/>
      <c r="Q20" s="178"/>
      <c r="R20" s="178"/>
      <c r="S20" s="178"/>
      <c r="T20" s="178"/>
      <c r="U20" s="178"/>
      <c r="V20" s="178"/>
      <c r="W20" s="178"/>
      <c r="X20" s="2233"/>
      <c r="Y20" s="232"/>
    </row>
    <row r="21" spans="1:25" ht="11.25" customHeight="1">
      <c r="A21" s="1817"/>
      <c r="B21" s="1041"/>
      <c r="C21" s="2470"/>
      <c r="D21" s="2470"/>
      <c r="E21" s="2471"/>
      <c r="F21" s="2472"/>
      <c r="G21" s="2470"/>
      <c r="H21" s="2473"/>
      <c r="I21" s="2474"/>
      <c r="J21" s="2470"/>
      <c r="K21" s="2471"/>
      <c r="L21" s="177"/>
      <c r="M21" s="178"/>
      <c r="N21" s="178"/>
      <c r="O21" s="178"/>
      <c r="P21" s="178"/>
      <c r="Q21" s="178"/>
      <c r="R21" s="178"/>
      <c r="S21" s="178"/>
      <c r="T21" s="178"/>
      <c r="U21" s="178"/>
      <c r="V21" s="178"/>
      <c r="W21" s="178"/>
    </row>
    <row r="22" spans="1:25" ht="11.25" customHeight="1">
      <c r="A22" s="1817" t="s">
        <v>1470</v>
      </c>
      <c r="B22" s="1041"/>
      <c r="C22" s="2470"/>
      <c r="D22" s="2470"/>
      <c r="E22" s="2471"/>
      <c r="F22" s="2472"/>
      <c r="G22" s="2470"/>
      <c r="H22" s="2473"/>
      <c r="I22" s="2474"/>
      <c r="J22" s="2470"/>
      <c r="K22" s="2471"/>
      <c r="L22" s="177"/>
      <c r="M22" s="178"/>
      <c r="N22" s="178"/>
      <c r="O22" s="178"/>
      <c r="P22" s="178"/>
      <c r="Q22" s="178"/>
      <c r="R22" s="178"/>
      <c r="S22" s="178"/>
      <c r="T22" s="178"/>
      <c r="U22" s="178"/>
      <c r="V22" s="178"/>
      <c r="W22" s="178"/>
    </row>
    <row r="23" spans="1:25" ht="11.25" customHeight="1">
      <c r="A23" s="1817" t="s">
        <v>1470</v>
      </c>
      <c r="B23" s="1041"/>
      <c r="C23" s="2470"/>
      <c r="D23" s="2470"/>
      <c r="E23" s="2471"/>
      <c r="F23" s="2472"/>
      <c r="G23" s="2470"/>
      <c r="H23" s="2473"/>
      <c r="I23" s="2474"/>
      <c r="J23" s="2470"/>
      <c r="K23" s="2471"/>
      <c r="L23" s="177"/>
      <c r="M23" s="178"/>
      <c r="N23" s="178"/>
      <c r="O23" s="178"/>
      <c r="P23" s="178"/>
      <c r="Q23" s="178"/>
      <c r="R23" s="178"/>
      <c r="S23" s="178"/>
      <c r="T23" s="178"/>
      <c r="U23" s="178"/>
      <c r="V23" s="178"/>
      <c r="W23" s="178"/>
    </row>
    <row r="24" spans="1:25" ht="11.25" customHeight="1">
      <c r="A24" s="1817" t="s">
        <v>1470</v>
      </c>
      <c r="B24" s="1041"/>
      <c r="C24" s="2470"/>
      <c r="D24" s="2470"/>
      <c r="E24" s="2471"/>
      <c r="F24" s="2472"/>
      <c r="G24" s="2470"/>
      <c r="H24" s="2473"/>
      <c r="I24" s="2474"/>
      <c r="J24" s="2470"/>
      <c r="K24" s="2471"/>
      <c r="L24" s="177"/>
      <c r="M24" s="178"/>
      <c r="N24" s="178"/>
      <c r="O24" s="178"/>
      <c r="P24" s="178"/>
      <c r="Q24" s="178"/>
      <c r="R24" s="178"/>
      <c r="S24" s="178"/>
      <c r="T24" s="178"/>
      <c r="U24" s="178"/>
      <c r="V24" s="178"/>
      <c r="W24" s="178"/>
    </row>
    <row r="25" spans="1:25" ht="11.25" customHeight="1">
      <c r="A25" s="1817" t="s">
        <v>1470</v>
      </c>
      <c r="B25" s="1041"/>
      <c r="C25" s="2470"/>
      <c r="D25" s="2470"/>
      <c r="E25" s="2471"/>
      <c r="F25" s="2472"/>
      <c r="G25" s="2470"/>
      <c r="H25" s="2473"/>
      <c r="I25" s="2474"/>
      <c r="J25" s="2470"/>
      <c r="K25" s="2471"/>
      <c r="L25" s="177"/>
      <c r="M25" s="178"/>
      <c r="N25" s="178"/>
      <c r="O25" s="178"/>
      <c r="P25" s="178"/>
      <c r="Q25" s="178"/>
      <c r="R25" s="178"/>
      <c r="S25" s="178"/>
      <c r="T25" s="178"/>
      <c r="U25" s="178"/>
      <c r="V25" s="178"/>
      <c r="W25" s="178"/>
    </row>
    <row r="26" spans="1:25" ht="11.25" customHeight="1">
      <c r="A26" s="1817" t="s">
        <v>1470</v>
      </c>
      <c r="B26" s="1041"/>
      <c r="C26" s="2470"/>
      <c r="D26" s="2470"/>
      <c r="E26" s="2471"/>
      <c r="F26" s="2472"/>
      <c r="G26" s="2470"/>
      <c r="H26" s="2473"/>
      <c r="I26" s="2474"/>
      <c r="J26" s="2470"/>
      <c r="K26" s="2471"/>
      <c r="L26" s="177"/>
      <c r="M26" s="178"/>
      <c r="N26" s="178"/>
      <c r="O26" s="178"/>
      <c r="P26" s="178"/>
      <c r="Q26" s="178"/>
      <c r="R26" s="178"/>
      <c r="S26" s="178"/>
      <c r="T26" s="178"/>
      <c r="U26" s="178"/>
      <c r="V26" s="178"/>
      <c r="W26" s="178"/>
    </row>
    <row r="27" spans="1:25" ht="11.25" customHeight="1">
      <c r="A27" s="1816" t="s">
        <v>3033</v>
      </c>
      <c r="B27" s="1048"/>
      <c r="C27" s="2433">
        <v>16767235.890000001</v>
      </c>
      <c r="D27" s="2433">
        <v>48033850.077341273</v>
      </c>
      <c r="E27" s="2434">
        <v>26095842.018112946</v>
      </c>
      <c r="F27" s="2435">
        <v>33468680</v>
      </c>
      <c r="G27" s="2433">
        <v>34768680</v>
      </c>
      <c r="H27" s="2436">
        <v>59762125</v>
      </c>
      <c r="I27" s="2437">
        <v>40925898.829999998</v>
      </c>
      <c r="J27" s="2433">
        <v>43927441.559799999</v>
      </c>
      <c r="K27" s="2434">
        <v>46834745.461387999</v>
      </c>
      <c r="L27" s="177"/>
      <c r="M27" s="178"/>
      <c r="N27" s="178"/>
      <c r="O27" s="178"/>
      <c r="P27" s="178"/>
      <c r="Q27" s="178"/>
      <c r="R27" s="178"/>
      <c r="S27" s="178"/>
      <c r="T27" s="178"/>
      <c r="U27" s="178"/>
      <c r="V27" s="178"/>
      <c r="W27" s="178"/>
    </row>
    <row r="28" spans="1:25" ht="11.25" customHeight="1">
      <c r="A28" s="1817" t="s">
        <v>2215</v>
      </c>
      <c r="B28" s="1041"/>
      <c r="C28" s="2470">
        <v>4078576.8500000006</v>
      </c>
      <c r="D28" s="2470">
        <v>4675344.3099999996</v>
      </c>
      <c r="E28" s="2471">
        <v>5019622.6100000003</v>
      </c>
      <c r="F28" s="2472">
        <v>10833500</v>
      </c>
      <c r="G28" s="2470">
        <v>12133500</v>
      </c>
      <c r="H28" s="2473">
        <v>8558581</v>
      </c>
      <c r="I28" s="2474">
        <v>16524800</v>
      </c>
      <c r="J28" s="2470">
        <v>17370300</v>
      </c>
      <c r="K28" s="2471">
        <v>17880600</v>
      </c>
      <c r="L28" s="177"/>
      <c r="M28" s="178"/>
      <c r="N28" s="178"/>
      <c r="O28" s="178"/>
      <c r="P28" s="178"/>
      <c r="Q28" s="178"/>
      <c r="R28" s="178"/>
      <c r="S28" s="178"/>
      <c r="T28" s="178"/>
      <c r="U28" s="178"/>
      <c r="V28" s="178"/>
      <c r="W28" s="178"/>
      <c r="X28" s="1516" t="s">
        <v>868</v>
      </c>
      <c r="Y28" s="150" t="s">
        <v>586</v>
      </c>
    </row>
    <row r="29" spans="1:25" ht="11.25" customHeight="1">
      <c r="A29" s="1817" t="s">
        <v>2216</v>
      </c>
      <c r="B29" s="1041"/>
      <c r="C29" s="2470">
        <v>870361.34</v>
      </c>
      <c r="D29" s="2470">
        <v>10428256.5</v>
      </c>
      <c r="E29" s="2471">
        <v>177858.38</v>
      </c>
      <c r="F29" s="2472">
        <v>30700</v>
      </c>
      <c r="G29" s="2470">
        <v>30700</v>
      </c>
      <c r="H29" s="2473">
        <v>32045</v>
      </c>
      <c r="I29" s="2474">
        <v>46100</v>
      </c>
      <c r="J29" s="2470">
        <v>56400</v>
      </c>
      <c r="K29" s="2471">
        <v>61650</v>
      </c>
      <c r="L29" s="177"/>
      <c r="M29" s="178"/>
      <c r="N29" s="178"/>
      <c r="O29" s="178"/>
      <c r="P29" s="178"/>
      <c r="Q29" s="178"/>
      <c r="R29" s="178"/>
      <c r="S29" s="178"/>
      <c r="T29" s="178"/>
      <c r="U29" s="178"/>
      <c r="V29" s="178"/>
      <c r="W29" s="178"/>
      <c r="X29" s="1286" t="s">
        <v>142</v>
      </c>
      <c r="Y29" s="150" t="s">
        <v>586</v>
      </c>
    </row>
    <row r="30" spans="1:25" ht="11.25" customHeight="1">
      <c r="A30" s="1817" t="s">
        <v>2155</v>
      </c>
      <c r="B30" s="1041"/>
      <c r="C30" s="2470">
        <v>0</v>
      </c>
      <c r="D30" s="2470">
        <v>38850</v>
      </c>
      <c r="E30" s="2471">
        <v>35601.86</v>
      </c>
      <c r="F30" s="2472">
        <v>36000</v>
      </c>
      <c r="G30" s="2470">
        <v>36000</v>
      </c>
      <c r="H30" s="2473">
        <v>12096</v>
      </c>
      <c r="I30" s="2474">
        <v>36000</v>
      </c>
      <c r="J30" s="2470">
        <v>35500</v>
      </c>
      <c r="K30" s="2471">
        <v>35500</v>
      </c>
      <c r="L30" s="177"/>
      <c r="M30" s="178"/>
      <c r="N30" s="178"/>
      <c r="O30" s="178"/>
      <c r="P30" s="178"/>
      <c r="Q30" s="178"/>
      <c r="R30" s="178"/>
      <c r="S30" s="178"/>
      <c r="T30" s="178"/>
      <c r="U30" s="178"/>
      <c r="V30" s="178"/>
      <c r="W30" s="178"/>
      <c r="X30" s="1286" t="s">
        <v>142</v>
      </c>
      <c r="Y30" s="150" t="s">
        <v>586</v>
      </c>
    </row>
    <row r="31" spans="1:25" ht="11.25" customHeight="1">
      <c r="A31" s="1817" t="s">
        <v>2142</v>
      </c>
      <c r="B31" s="1041"/>
      <c r="C31" s="2470">
        <v>2640135.62</v>
      </c>
      <c r="D31" s="2470">
        <v>2889951.94</v>
      </c>
      <c r="E31" s="2471">
        <v>5062761.71</v>
      </c>
      <c r="F31" s="2472">
        <v>4500000</v>
      </c>
      <c r="G31" s="2470">
        <v>4500000</v>
      </c>
      <c r="H31" s="2473">
        <v>31215897</v>
      </c>
      <c r="I31" s="2474">
        <v>5075538.83</v>
      </c>
      <c r="J31" s="2470">
        <v>5380071.1598000005</v>
      </c>
      <c r="K31" s="2471">
        <v>5702875.4293880006</v>
      </c>
      <c r="L31" s="177"/>
      <c r="M31" s="178"/>
      <c r="N31" s="178"/>
      <c r="O31" s="178"/>
      <c r="P31" s="178"/>
      <c r="Q31" s="178"/>
      <c r="R31" s="178"/>
      <c r="S31" s="178"/>
      <c r="T31" s="178"/>
      <c r="U31" s="178"/>
      <c r="V31" s="178"/>
      <c r="W31" s="178"/>
      <c r="X31" s="1286" t="s">
        <v>142</v>
      </c>
      <c r="Y31" s="150" t="s">
        <v>586</v>
      </c>
    </row>
    <row r="32" spans="1:25" ht="11.25" customHeight="1">
      <c r="A32" s="1817" t="s">
        <v>2217</v>
      </c>
      <c r="B32" s="1041"/>
      <c r="C32" s="2470">
        <v>0</v>
      </c>
      <c r="D32" s="2470">
        <v>16760640.469999999</v>
      </c>
      <c r="E32" s="2471">
        <v>61666.709999999992</v>
      </c>
      <c r="F32" s="2472">
        <v>0</v>
      </c>
      <c r="G32" s="2470">
        <v>0</v>
      </c>
      <c r="H32" s="2473">
        <v>0</v>
      </c>
      <c r="I32" s="2474">
        <v>0</v>
      </c>
      <c r="J32" s="2470">
        <v>0</v>
      </c>
      <c r="K32" s="2471">
        <v>0</v>
      </c>
      <c r="L32" s="177"/>
      <c r="M32" s="178"/>
      <c r="N32" s="178"/>
      <c r="O32" s="178"/>
      <c r="P32" s="178"/>
      <c r="Q32" s="178"/>
      <c r="R32" s="178"/>
      <c r="S32" s="178"/>
      <c r="T32" s="178"/>
      <c r="U32" s="178"/>
      <c r="V32" s="178"/>
      <c r="W32" s="178"/>
      <c r="X32" s="1286" t="s">
        <v>142</v>
      </c>
      <c r="Y32" s="150" t="s">
        <v>586</v>
      </c>
    </row>
    <row r="33" spans="1:25" ht="11.25" customHeight="1">
      <c r="A33" s="1817" t="s">
        <v>1945</v>
      </c>
      <c r="B33" s="1041"/>
      <c r="C33" s="2470">
        <v>9011795.9800000004</v>
      </c>
      <c r="D33" s="2470">
        <v>12990334.027341276</v>
      </c>
      <c r="E33" s="2471">
        <v>15436789.038112946</v>
      </c>
      <c r="F33" s="2472">
        <v>17674560</v>
      </c>
      <c r="G33" s="2470">
        <v>17674560</v>
      </c>
      <c r="H33" s="2473">
        <v>19606392</v>
      </c>
      <c r="I33" s="2474">
        <v>18940330</v>
      </c>
      <c r="J33" s="2470">
        <v>20657150</v>
      </c>
      <c r="K33" s="2471">
        <v>22709250</v>
      </c>
      <c r="L33" s="177"/>
      <c r="M33" s="178"/>
      <c r="N33" s="178"/>
      <c r="O33" s="178"/>
      <c r="P33" s="178"/>
      <c r="Q33" s="178"/>
      <c r="R33" s="178"/>
      <c r="S33" s="178"/>
      <c r="T33" s="178"/>
      <c r="U33" s="178"/>
      <c r="V33" s="178"/>
      <c r="W33" s="178"/>
      <c r="X33" s="1286" t="s">
        <v>142</v>
      </c>
      <c r="Y33" s="150" t="s">
        <v>586</v>
      </c>
    </row>
    <row r="34" spans="1:25" ht="11.25" customHeight="1">
      <c r="A34" s="1817" t="s">
        <v>2218</v>
      </c>
      <c r="B34" s="1041"/>
      <c r="C34" s="2470">
        <v>166366.1</v>
      </c>
      <c r="D34" s="2470">
        <v>250472.83000000002</v>
      </c>
      <c r="E34" s="2471">
        <v>300796.31000000006</v>
      </c>
      <c r="F34" s="2472">
        <v>393920</v>
      </c>
      <c r="G34" s="2470">
        <v>393920</v>
      </c>
      <c r="H34" s="2473">
        <v>331151</v>
      </c>
      <c r="I34" s="2474">
        <v>303130</v>
      </c>
      <c r="J34" s="2470">
        <v>428020.4</v>
      </c>
      <c r="K34" s="2471">
        <v>444870.03200000001</v>
      </c>
      <c r="L34" s="177"/>
      <c r="M34" s="178"/>
      <c r="N34" s="178"/>
      <c r="O34" s="178"/>
      <c r="P34" s="178"/>
      <c r="Q34" s="178"/>
      <c r="R34" s="178"/>
      <c r="S34" s="178"/>
      <c r="T34" s="178"/>
      <c r="U34" s="178"/>
      <c r="V34" s="178"/>
      <c r="W34" s="178"/>
      <c r="X34" s="1516" t="s">
        <v>1129</v>
      </c>
      <c r="Y34" s="150" t="s">
        <v>586</v>
      </c>
    </row>
    <row r="35" spans="1:25" ht="11.25" customHeight="1">
      <c r="A35" s="1817" t="s">
        <v>2219</v>
      </c>
      <c r="B35" s="1041"/>
      <c r="C35" s="2470">
        <v>0</v>
      </c>
      <c r="D35" s="2470">
        <v>0</v>
      </c>
      <c r="E35" s="2471">
        <v>745.4</v>
      </c>
      <c r="F35" s="2472">
        <v>0</v>
      </c>
      <c r="G35" s="2470">
        <v>0</v>
      </c>
      <c r="H35" s="2473">
        <v>5963</v>
      </c>
      <c r="I35" s="2474">
        <v>0</v>
      </c>
      <c r="J35" s="2470">
        <v>0</v>
      </c>
      <c r="K35" s="2471">
        <v>0</v>
      </c>
      <c r="L35" s="177"/>
      <c r="M35" s="178"/>
      <c r="N35" s="178"/>
      <c r="O35" s="178"/>
      <c r="P35" s="178"/>
      <c r="Q35" s="178"/>
      <c r="R35" s="178"/>
      <c r="S35" s="178"/>
      <c r="T35" s="178"/>
      <c r="U35" s="178"/>
      <c r="V35" s="178"/>
      <c r="W35" s="178"/>
      <c r="X35" s="1516" t="s">
        <v>1129</v>
      </c>
      <c r="Y35" s="150" t="s">
        <v>586</v>
      </c>
    </row>
    <row r="36" spans="1:25" ht="11.25" customHeight="1">
      <c r="A36" s="1817" t="s">
        <v>1470</v>
      </c>
      <c r="B36" s="1041"/>
      <c r="C36" s="2470"/>
      <c r="D36" s="2470"/>
      <c r="E36" s="2471"/>
      <c r="F36" s="2472"/>
      <c r="G36" s="2470"/>
      <c r="H36" s="2473"/>
      <c r="I36" s="2474"/>
      <c r="J36" s="2470"/>
      <c r="K36" s="2471"/>
      <c r="L36" s="177"/>
      <c r="M36" s="178"/>
      <c r="N36" s="178"/>
      <c r="O36" s="178"/>
      <c r="P36" s="178"/>
      <c r="Q36" s="178"/>
      <c r="R36" s="178"/>
      <c r="S36" s="178"/>
      <c r="T36" s="178"/>
      <c r="U36" s="178"/>
      <c r="V36" s="178"/>
      <c r="W36" s="178"/>
    </row>
    <row r="37" spans="1:25" ht="11.25" customHeight="1">
      <c r="A37" s="1817" t="s">
        <v>1470</v>
      </c>
      <c r="B37" s="1041"/>
      <c r="C37" s="2470"/>
      <c r="D37" s="2470"/>
      <c r="E37" s="2471"/>
      <c r="F37" s="2472"/>
      <c r="G37" s="2470"/>
      <c r="H37" s="2473"/>
      <c r="I37" s="2474"/>
      <c r="J37" s="2470"/>
      <c r="K37" s="2471"/>
      <c r="L37" s="177"/>
      <c r="M37" s="178"/>
      <c r="N37" s="178"/>
      <c r="O37" s="178"/>
      <c r="P37" s="178"/>
      <c r="Q37" s="178"/>
      <c r="R37" s="178"/>
      <c r="S37" s="178"/>
      <c r="T37" s="178"/>
      <c r="U37" s="178"/>
      <c r="V37" s="178"/>
      <c r="W37" s="178"/>
    </row>
    <row r="38" spans="1:25" ht="11.25" customHeight="1">
      <c r="A38" s="1816" t="s">
        <v>3034</v>
      </c>
      <c r="B38" s="1048"/>
      <c r="C38" s="2433">
        <v>66100.45</v>
      </c>
      <c r="D38" s="2433">
        <v>474910.34380000003</v>
      </c>
      <c r="E38" s="2434">
        <v>294922.41000000003</v>
      </c>
      <c r="F38" s="2435">
        <v>606820</v>
      </c>
      <c r="G38" s="2433">
        <v>610520</v>
      </c>
      <c r="H38" s="2436">
        <v>231072</v>
      </c>
      <c r="I38" s="2437">
        <v>715000</v>
      </c>
      <c r="J38" s="2433">
        <v>760580</v>
      </c>
      <c r="K38" s="2434">
        <v>777584.8</v>
      </c>
      <c r="L38" s="177"/>
      <c r="M38" s="178"/>
      <c r="N38" s="178"/>
      <c r="O38" s="178"/>
      <c r="P38" s="178"/>
      <c r="Q38" s="178"/>
      <c r="R38" s="178"/>
      <c r="S38" s="178"/>
      <c r="T38" s="178"/>
      <c r="U38" s="178"/>
      <c r="V38" s="178"/>
      <c r="W38" s="178"/>
    </row>
    <row r="39" spans="1:25" ht="11.25" customHeight="1">
      <c r="A39" s="1817" t="s">
        <v>2221</v>
      </c>
      <c r="B39" s="1041"/>
      <c r="C39" s="2470">
        <v>13720</v>
      </c>
      <c r="D39" s="2470">
        <v>3795</v>
      </c>
      <c r="E39" s="2471">
        <v>2840</v>
      </c>
      <c r="F39" s="2472">
        <v>8300</v>
      </c>
      <c r="G39" s="2470">
        <v>12000</v>
      </c>
      <c r="H39" s="2473">
        <v>9734</v>
      </c>
      <c r="I39" s="2474">
        <v>10000</v>
      </c>
      <c r="J39" s="2470">
        <v>12000</v>
      </c>
      <c r="K39" s="2471">
        <v>15000</v>
      </c>
      <c r="L39" s="177"/>
      <c r="M39" s="178"/>
      <c r="N39" s="178"/>
      <c r="O39" s="178"/>
      <c r="P39" s="178"/>
      <c r="Q39" s="178"/>
      <c r="R39" s="178"/>
      <c r="S39" s="178"/>
      <c r="T39" s="178"/>
      <c r="U39" s="178"/>
      <c r="V39" s="178"/>
      <c r="W39" s="178"/>
      <c r="X39" s="1516" t="s">
        <v>867</v>
      </c>
      <c r="Y39" s="150" t="s">
        <v>586</v>
      </c>
    </row>
    <row r="40" spans="1:25" ht="11.25" customHeight="1">
      <c r="A40" s="1817" t="s">
        <v>2222</v>
      </c>
      <c r="B40" s="1041"/>
      <c r="C40" s="2470">
        <v>26200</v>
      </c>
      <c r="D40" s="2470">
        <v>8800</v>
      </c>
      <c r="E40" s="2471">
        <v>0</v>
      </c>
      <c r="F40" s="2472">
        <v>20000</v>
      </c>
      <c r="G40" s="2470">
        <v>20000</v>
      </c>
      <c r="H40" s="2473">
        <v>6720</v>
      </c>
      <c r="I40" s="2474">
        <v>128000</v>
      </c>
      <c r="J40" s="2470">
        <v>135080</v>
      </c>
      <c r="K40" s="2471">
        <v>142584.80000000002</v>
      </c>
      <c r="L40" s="177"/>
      <c r="M40" s="178"/>
      <c r="N40" s="178"/>
      <c r="O40" s="178"/>
      <c r="P40" s="178"/>
      <c r="Q40" s="178"/>
      <c r="R40" s="178"/>
      <c r="S40" s="178"/>
      <c r="T40" s="178"/>
      <c r="U40" s="178"/>
      <c r="V40" s="178"/>
      <c r="W40" s="178"/>
      <c r="X40" s="1516" t="s">
        <v>1768</v>
      </c>
      <c r="Y40" s="150" t="s">
        <v>586</v>
      </c>
    </row>
    <row r="41" spans="1:25" ht="11.25" customHeight="1">
      <c r="A41" s="1817" t="s">
        <v>2223</v>
      </c>
      <c r="B41" s="1041"/>
      <c r="C41" s="2470">
        <v>24000</v>
      </c>
      <c r="D41" s="2470">
        <v>24103.16</v>
      </c>
      <c r="E41" s="2471">
        <v>25790.38</v>
      </c>
      <c r="F41" s="2472">
        <v>34000</v>
      </c>
      <c r="G41" s="2470">
        <v>34000</v>
      </c>
      <c r="H41" s="2473">
        <v>29742</v>
      </c>
      <c r="I41" s="2474">
        <v>34000</v>
      </c>
      <c r="J41" s="2470">
        <v>34000</v>
      </c>
      <c r="K41" s="2471">
        <v>34000</v>
      </c>
      <c r="L41" s="177"/>
      <c r="M41" s="178"/>
      <c r="N41" s="178"/>
      <c r="O41" s="178"/>
      <c r="P41" s="178"/>
      <c r="Q41" s="178"/>
      <c r="R41" s="178"/>
      <c r="S41" s="178"/>
      <c r="T41" s="178"/>
      <c r="U41" s="178"/>
      <c r="V41" s="178"/>
      <c r="W41" s="178"/>
      <c r="X41" s="1516" t="s">
        <v>1768</v>
      </c>
      <c r="Y41" s="150" t="s">
        <v>586</v>
      </c>
    </row>
    <row r="42" spans="1:25" ht="11.25" customHeight="1">
      <c r="A42" s="1817" t="s">
        <v>2130</v>
      </c>
      <c r="B42" s="1041"/>
      <c r="C42" s="2470">
        <v>2180.4499999999998</v>
      </c>
      <c r="D42" s="2470">
        <v>438212.1838</v>
      </c>
      <c r="E42" s="2471">
        <v>266292.03000000003</v>
      </c>
      <c r="F42" s="2472">
        <v>544520</v>
      </c>
      <c r="G42" s="2470">
        <v>544520</v>
      </c>
      <c r="H42" s="2473">
        <v>184876</v>
      </c>
      <c r="I42" s="2474">
        <v>543000</v>
      </c>
      <c r="J42" s="2470">
        <v>579500</v>
      </c>
      <c r="K42" s="2471">
        <v>586000</v>
      </c>
      <c r="L42" s="177"/>
      <c r="M42" s="178"/>
      <c r="N42" s="178"/>
      <c r="O42" s="178"/>
      <c r="P42" s="178"/>
      <c r="Q42" s="178"/>
      <c r="R42" s="178"/>
      <c r="S42" s="178"/>
      <c r="T42" s="178"/>
      <c r="U42" s="178"/>
      <c r="V42" s="178"/>
      <c r="W42" s="178"/>
      <c r="X42" s="1516" t="s">
        <v>1765</v>
      </c>
      <c r="Y42" s="150" t="s">
        <v>586</v>
      </c>
    </row>
    <row r="43" spans="1:25" ht="11.25" customHeight="1">
      <c r="A43" s="1817" t="s">
        <v>1470</v>
      </c>
      <c r="B43" s="1041"/>
      <c r="C43" s="2470"/>
      <c r="D43" s="2470"/>
      <c r="E43" s="2471"/>
      <c r="F43" s="2472"/>
      <c r="G43" s="2470"/>
      <c r="H43" s="2473"/>
      <c r="I43" s="2474"/>
      <c r="J43" s="2470"/>
      <c r="K43" s="2471"/>
      <c r="L43" s="177"/>
      <c r="M43" s="178"/>
      <c r="N43" s="178"/>
      <c r="O43" s="178"/>
      <c r="P43" s="178"/>
      <c r="Q43" s="178"/>
      <c r="R43" s="178"/>
      <c r="S43" s="178"/>
      <c r="T43" s="178"/>
      <c r="U43" s="178"/>
      <c r="V43" s="178"/>
      <c r="W43" s="178"/>
    </row>
    <row r="44" spans="1:25" ht="11.25" customHeight="1">
      <c r="A44" s="1817" t="s">
        <v>1470</v>
      </c>
      <c r="B44" s="1041"/>
      <c r="C44" s="2470"/>
      <c r="D44" s="2470"/>
      <c r="E44" s="2471"/>
      <c r="F44" s="2472"/>
      <c r="G44" s="2470"/>
      <c r="H44" s="2473"/>
      <c r="I44" s="2474"/>
      <c r="J44" s="2470"/>
      <c r="K44" s="2471"/>
      <c r="L44" s="177"/>
      <c r="M44" s="178"/>
      <c r="N44" s="178"/>
      <c r="O44" s="178"/>
      <c r="P44" s="178"/>
      <c r="Q44" s="178"/>
      <c r="R44" s="178"/>
      <c r="S44" s="178"/>
      <c r="T44" s="178"/>
      <c r="U44" s="178"/>
      <c r="V44" s="178"/>
      <c r="W44" s="178"/>
    </row>
    <row r="45" spans="1:25" ht="11.25" customHeight="1">
      <c r="A45" s="1817" t="s">
        <v>1470</v>
      </c>
      <c r="B45" s="1041"/>
      <c r="C45" s="2470"/>
      <c r="D45" s="2470"/>
      <c r="E45" s="2471"/>
      <c r="F45" s="2472"/>
      <c r="G45" s="2470"/>
      <c r="H45" s="2473"/>
      <c r="I45" s="2474"/>
      <c r="J45" s="2470"/>
      <c r="K45" s="2471"/>
      <c r="L45" s="177"/>
      <c r="M45" s="178"/>
      <c r="N45" s="178"/>
      <c r="O45" s="178"/>
      <c r="P45" s="178"/>
      <c r="Q45" s="178"/>
      <c r="R45" s="178"/>
      <c r="S45" s="178"/>
      <c r="T45" s="178"/>
      <c r="U45" s="178"/>
      <c r="V45" s="178"/>
      <c r="W45" s="178"/>
    </row>
    <row r="46" spans="1:25" ht="11.25" customHeight="1">
      <c r="A46" s="1817" t="s">
        <v>1470</v>
      </c>
      <c r="B46" s="1041"/>
      <c r="C46" s="2470"/>
      <c r="D46" s="2470"/>
      <c r="E46" s="2471"/>
      <c r="F46" s="2472"/>
      <c r="G46" s="2470"/>
      <c r="H46" s="2473"/>
      <c r="I46" s="2474"/>
      <c r="J46" s="2470"/>
      <c r="K46" s="2471"/>
      <c r="L46" s="177"/>
      <c r="M46" s="178"/>
      <c r="N46" s="178"/>
      <c r="O46" s="178"/>
      <c r="P46" s="178"/>
      <c r="Q46" s="178"/>
      <c r="R46" s="178"/>
      <c r="S46" s="178"/>
      <c r="T46" s="178"/>
      <c r="U46" s="178"/>
      <c r="V46" s="178"/>
      <c r="W46" s="178"/>
    </row>
    <row r="47" spans="1:25" ht="11.25" customHeight="1">
      <c r="A47" s="1817" t="s">
        <v>1470</v>
      </c>
      <c r="B47" s="1041"/>
      <c r="C47" s="2470"/>
      <c r="D47" s="2470"/>
      <c r="E47" s="2471"/>
      <c r="F47" s="2472"/>
      <c r="G47" s="2470"/>
      <c r="H47" s="2473"/>
      <c r="I47" s="2474"/>
      <c r="J47" s="2470"/>
      <c r="K47" s="2471"/>
      <c r="L47" s="177"/>
      <c r="M47" s="178"/>
      <c r="N47" s="178"/>
      <c r="O47" s="178"/>
      <c r="P47" s="178"/>
      <c r="Q47" s="178"/>
      <c r="R47" s="178"/>
      <c r="S47" s="178"/>
      <c r="T47" s="178"/>
      <c r="U47" s="178"/>
      <c r="V47" s="178"/>
      <c r="W47" s="178"/>
    </row>
    <row r="48" spans="1:25" ht="11.25" customHeight="1">
      <c r="A48" s="1817" t="s">
        <v>1470</v>
      </c>
      <c r="B48" s="1041"/>
      <c r="C48" s="2470"/>
      <c r="D48" s="2470"/>
      <c r="E48" s="2471"/>
      <c r="F48" s="2472"/>
      <c r="G48" s="2470"/>
      <c r="H48" s="2473"/>
      <c r="I48" s="2474"/>
      <c r="J48" s="2470"/>
      <c r="K48" s="2471"/>
      <c r="L48" s="177"/>
      <c r="M48" s="178"/>
      <c r="N48" s="178"/>
      <c r="O48" s="178"/>
      <c r="P48" s="178"/>
      <c r="Q48" s="178"/>
      <c r="R48" s="178"/>
      <c r="S48" s="178"/>
      <c r="T48" s="178"/>
      <c r="U48" s="178"/>
      <c r="V48" s="178"/>
      <c r="W48" s="178"/>
    </row>
    <row r="49" spans="1:25" ht="11.25" customHeight="1">
      <c r="A49" s="1816" t="s">
        <v>3035</v>
      </c>
      <c r="B49" s="1048"/>
      <c r="C49" s="2433">
        <v>0</v>
      </c>
      <c r="D49" s="2433">
        <v>13070</v>
      </c>
      <c r="E49" s="2434">
        <v>900</v>
      </c>
      <c r="F49" s="2435">
        <v>523000</v>
      </c>
      <c r="G49" s="2433">
        <v>831880</v>
      </c>
      <c r="H49" s="2436">
        <v>484608</v>
      </c>
      <c r="I49" s="2437">
        <v>873000</v>
      </c>
      <c r="J49" s="2433">
        <v>595000</v>
      </c>
      <c r="K49" s="2434">
        <v>629000</v>
      </c>
      <c r="L49" s="177"/>
      <c r="M49" s="178"/>
      <c r="N49" s="178"/>
      <c r="O49" s="178"/>
      <c r="P49" s="178"/>
      <c r="Q49" s="178"/>
      <c r="R49" s="178"/>
      <c r="S49" s="178"/>
      <c r="T49" s="178"/>
      <c r="U49" s="178"/>
      <c r="V49" s="178"/>
      <c r="W49" s="178"/>
    </row>
    <row r="50" spans="1:25" ht="11.25" customHeight="1">
      <c r="A50" s="1817" t="s">
        <v>2123</v>
      </c>
      <c r="B50" s="1041"/>
      <c r="C50" s="2470">
        <v>0</v>
      </c>
      <c r="D50" s="2470">
        <v>13070</v>
      </c>
      <c r="E50" s="2471">
        <v>900</v>
      </c>
      <c r="F50" s="2472">
        <v>523000</v>
      </c>
      <c r="G50" s="2470">
        <v>831880</v>
      </c>
      <c r="H50" s="2473">
        <v>484608</v>
      </c>
      <c r="I50" s="2474">
        <v>873000</v>
      </c>
      <c r="J50" s="2470">
        <v>595000</v>
      </c>
      <c r="K50" s="2471">
        <v>629000</v>
      </c>
      <c r="L50" s="177"/>
      <c r="M50" s="178"/>
      <c r="N50" s="178"/>
      <c r="O50" s="178"/>
      <c r="P50" s="178"/>
      <c r="Q50" s="178"/>
      <c r="R50" s="178"/>
      <c r="S50" s="178"/>
      <c r="T50" s="178"/>
      <c r="U50" s="178"/>
      <c r="V50" s="178"/>
      <c r="W50" s="178"/>
      <c r="X50" s="1516" t="s">
        <v>342</v>
      </c>
      <c r="Y50" s="150" t="s">
        <v>586</v>
      </c>
    </row>
    <row r="51" spans="1:25" ht="11.25" customHeight="1">
      <c r="A51" s="1817"/>
      <c r="B51" s="1041"/>
      <c r="C51" s="2470"/>
      <c r="D51" s="2470"/>
      <c r="E51" s="2471"/>
      <c r="F51" s="2472"/>
      <c r="G51" s="2470"/>
      <c r="H51" s="2473"/>
      <c r="I51" s="2474"/>
      <c r="J51" s="2470"/>
      <c r="K51" s="2471"/>
      <c r="L51" s="177"/>
      <c r="M51" s="178"/>
      <c r="N51" s="178"/>
      <c r="O51" s="178"/>
      <c r="P51" s="178"/>
      <c r="Q51" s="178"/>
      <c r="R51" s="178"/>
      <c r="S51" s="178"/>
      <c r="T51" s="178"/>
      <c r="U51" s="178"/>
      <c r="V51" s="178"/>
      <c r="W51" s="178"/>
    </row>
    <row r="52" spans="1:25" ht="11.25" customHeight="1">
      <c r="A52" s="1817"/>
      <c r="B52" s="1041"/>
      <c r="C52" s="2470"/>
      <c r="D52" s="2470"/>
      <c r="E52" s="2471"/>
      <c r="F52" s="2472"/>
      <c r="G52" s="2470"/>
      <c r="H52" s="2473"/>
      <c r="I52" s="2474"/>
      <c r="J52" s="2470"/>
      <c r="K52" s="2471"/>
      <c r="L52" s="177"/>
      <c r="M52" s="178"/>
      <c r="N52" s="178"/>
      <c r="O52" s="178"/>
      <c r="P52" s="178"/>
      <c r="Q52" s="178"/>
      <c r="R52" s="178"/>
      <c r="S52" s="178"/>
      <c r="T52" s="178"/>
      <c r="U52" s="178"/>
      <c r="V52" s="178"/>
      <c r="W52" s="178"/>
    </row>
    <row r="53" spans="1:25" ht="11.25" customHeight="1">
      <c r="A53" s="1817"/>
      <c r="B53" s="1041"/>
      <c r="C53" s="2470"/>
      <c r="D53" s="2470"/>
      <c r="E53" s="2471"/>
      <c r="F53" s="2472"/>
      <c r="G53" s="2470"/>
      <c r="H53" s="2473"/>
      <c r="I53" s="2474"/>
      <c r="J53" s="2470"/>
      <c r="K53" s="2471"/>
      <c r="L53" s="177"/>
      <c r="M53" s="178"/>
      <c r="N53" s="178"/>
      <c r="O53" s="178"/>
      <c r="P53" s="178"/>
      <c r="Q53" s="178"/>
      <c r="R53" s="178"/>
      <c r="S53" s="178"/>
      <c r="T53" s="178"/>
      <c r="U53" s="178"/>
      <c r="V53" s="178"/>
      <c r="W53" s="178"/>
    </row>
    <row r="54" spans="1:25" ht="11.25" customHeight="1">
      <c r="A54" s="1817"/>
      <c r="B54" s="1041"/>
      <c r="C54" s="2470"/>
      <c r="D54" s="2470"/>
      <c r="E54" s="2471"/>
      <c r="F54" s="2472"/>
      <c r="G54" s="2470"/>
      <c r="H54" s="2473"/>
      <c r="I54" s="2474"/>
      <c r="J54" s="2470"/>
      <c r="K54" s="2471"/>
      <c r="L54" s="177"/>
      <c r="M54" s="178"/>
      <c r="N54" s="178"/>
      <c r="O54" s="178"/>
      <c r="P54" s="178"/>
      <c r="Q54" s="178"/>
      <c r="R54" s="178"/>
      <c r="S54" s="178"/>
      <c r="T54" s="178"/>
      <c r="U54" s="178"/>
      <c r="V54" s="178"/>
      <c r="W54" s="178"/>
    </row>
    <row r="55" spans="1:25" ht="11.25" customHeight="1">
      <c r="A55" s="1817" t="s">
        <v>1470</v>
      </c>
      <c r="B55" s="1041"/>
      <c r="C55" s="2470"/>
      <c r="D55" s="2470"/>
      <c r="E55" s="2471"/>
      <c r="F55" s="2472"/>
      <c r="G55" s="2470"/>
      <c r="H55" s="2473"/>
      <c r="I55" s="2474"/>
      <c r="J55" s="2470"/>
      <c r="K55" s="2471"/>
      <c r="L55" s="177"/>
      <c r="M55" s="178"/>
      <c r="N55" s="178"/>
      <c r="O55" s="178"/>
      <c r="P55" s="178"/>
      <c r="Q55" s="178"/>
      <c r="R55" s="178"/>
      <c r="S55" s="178"/>
      <c r="T55" s="178"/>
      <c r="U55" s="178"/>
      <c r="V55" s="178"/>
      <c r="W55" s="178"/>
    </row>
    <row r="56" spans="1:25" ht="11.25" customHeight="1">
      <c r="A56" s="1817" t="s">
        <v>1470</v>
      </c>
      <c r="B56" s="1041"/>
      <c r="C56" s="2470"/>
      <c r="D56" s="2470"/>
      <c r="E56" s="2471"/>
      <c r="F56" s="2472"/>
      <c r="G56" s="2470"/>
      <c r="H56" s="2473"/>
      <c r="I56" s="2474"/>
      <c r="J56" s="2470"/>
      <c r="K56" s="2471"/>
      <c r="L56" s="177"/>
      <c r="M56" s="178"/>
      <c r="N56" s="178"/>
      <c r="O56" s="178"/>
      <c r="P56" s="178"/>
      <c r="Q56" s="178"/>
      <c r="R56" s="178"/>
      <c r="S56" s="178"/>
      <c r="T56" s="178"/>
      <c r="U56" s="178"/>
      <c r="V56" s="178"/>
      <c r="W56" s="178"/>
    </row>
    <row r="57" spans="1:25" ht="11.25" customHeight="1">
      <c r="A57" s="1817" t="s">
        <v>1470</v>
      </c>
      <c r="B57" s="1041"/>
      <c r="C57" s="2470"/>
      <c r="D57" s="2470"/>
      <c r="E57" s="2471"/>
      <c r="F57" s="2472"/>
      <c r="G57" s="2470"/>
      <c r="H57" s="2473"/>
      <c r="I57" s="2474"/>
      <c r="J57" s="2470"/>
      <c r="K57" s="2471"/>
      <c r="L57" s="177"/>
      <c r="M57" s="178"/>
      <c r="N57" s="178"/>
      <c r="O57" s="178"/>
      <c r="P57" s="178"/>
      <c r="Q57" s="178"/>
      <c r="R57" s="178"/>
      <c r="S57" s="178"/>
      <c r="T57" s="178"/>
      <c r="U57" s="178"/>
      <c r="V57" s="178"/>
      <c r="W57" s="178"/>
    </row>
    <row r="58" spans="1:25" ht="11.25" customHeight="1">
      <c r="A58" s="1817" t="s">
        <v>1470</v>
      </c>
      <c r="B58" s="1041"/>
      <c r="C58" s="2470"/>
      <c r="D58" s="2470"/>
      <c r="E58" s="2471"/>
      <c r="F58" s="2472"/>
      <c r="G58" s="2470"/>
      <c r="H58" s="2473"/>
      <c r="I58" s="2474"/>
      <c r="J58" s="2470"/>
      <c r="K58" s="2471"/>
      <c r="L58" s="177"/>
      <c r="M58" s="178"/>
      <c r="N58" s="178"/>
      <c r="O58" s="178"/>
      <c r="P58" s="178"/>
      <c r="Q58" s="178"/>
      <c r="R58" s="178"/>
      <c r="S58" s="178"/>
      <c r="T58" s="178"/>
      <c r="U58" s="178"/>
      <c r="V58" s="178"/>
      <c r="W58" s="178"/>
    </row>
    <row r="59" spans="1:25" ht="11.25" customHeight="1">
      <c r="A59" s="1817" t="s">
        <v>1470</v>
      </c>
      <c r="B59" s="1041"/>
      <c r="C59" s="2470"/>
      <c r="D59" s="2470"/>
      <c r="E59" s="2471"/>
      <c r="F59" s="2472"/>
      <c r="G59" s="2470"/>
      <c r="H59" s="2473"/>
      <c r="I59" s="2474"/>
      <c r="J59" s="2470"/>
      <c r="K59" s="2471"/>
      <c r="L59" s="177"/>
      <c r="M59" s="178"/>
      <c r="N59" s="178"/>
      <c r="O59" s="178"/>
      <c r="P59" s="178"/>
      <c r="Q59" s="178"/>
      <c r="R59" s="178"/>
      <c r="S59" s="178"/>
      <c r="T59" s="178"/>
      <c r="U59" s="178"/>
      <c r="V59" s="178"/>
      <c r="W59" s="178"/>
    </row>
    <row r="60" spans="1:25" ht="11.25" customHeight="1">
      <c r="A60" s="1816" t="s">
        <v>2181</v>
      </c>
      <c r="B60" s="1048"/>
      <c r="C60" s="2433">
        <v>0</v>
      </c>
      <c r="D60" s="2433">
        <v>0</v>
      </c>
      <c r="E60" s="2434">
        <v>1368</v>
      </c>
      <c r="F60" s="2435">
        <v>5000</v>
      </c>
      <c r="G60" s="2433">
        <v>5000</v>
      </c>
      <c r="H60" s="2436">
        <v>1794</v>
      </c>
      <c r="I60" s="2437">
        <v>2000</v>
      </c>
      <c r="J60" s="2433">
        <v>5000</v>
      </c>
      <c r="K60" s="2434">
        <v>5000</v>
      </c>
      <c r="L60" s="177"/>
      <c r="M60" s="178"/>
      <c r="N60" s="178"/>
      <c r="O60" s="178"/>
      <c r="P60" s="178"/>
      <c r="Q60" s="178"/>
      <c r="R60" s="178"/>
      <c r="S60" s="178"/>
      <c r="T60" s="178"/>
      <c r="U60" s="178"/>
      <c r="V60" s="178"/>
      <c r="W60" s="178"/>
    </row>
    <row r="61" spans="1:25" ht="11.25" customHeight="1">
      <c r="A61" s="1817" t="s">
        <v>2225</v>
      </c>
      <c r="B61" s="1041"/>
      <c r="C61" s="2470">
        <v>0</v>
      </c>
      <c r="D61" s="2470">
        <v>0</v>
      </c>
      <c r="E61" s="2471">
        <v>1368</v>
      </c>
      <c r="F61" s="2472">
        <v>5000</v>
      </c>
      <c r="G61" s="2470">
        <v>5000</v>
      </c>
      <c r="H61" s="2473">
        <v>1794</v>
      </c>
      <c r="I61" s="2474">
        <v>2000</v>
      </c>
      <c r="J61" s="2470">
        <v>5000</v>
      </c>
      <c r="K61" s="2471">
        <v>5000</v>
      </c>
      <c r="L61" s="177"/>
      <c r="M61" s="178"/>
      <c r="N61" s="178"/>
      <c r="O61" s="178"/>
      <c r="P61" s="178"/>
      <c r="Q61" s="178"/>
      <c r="R61" s="178"/>
      <c r="S61" s="178"/>
      <c r="T61" s="178"/>
      <c r="U61" s="178"/>
      <c r="V61" s="178"/>
      <c r="W61" s="178"/>
      <c r="X61" s="1516" t="s">
        <v>1626</v>
      </c>
      <c r="Y61" s="150" t="s">
        <v>586</v>
      </c>
    </row>
    <row r="62" spans="1:25" ht="11.25" customHeight="1">
      <c r="A62" s="1817"/>
      <c r="B62" s="1041"/>
      <c r="C62" s="2470"/>
      <c r="D62" s="2470"/>
      <c r="E62" s="2471"/>
      <c r="F62" s="2472"/>
      <c r="G62" s="2470"/>
      <c r="H62" s="2473"/>
      <c r="I62" s="2474"/>
      <c r="J62" s="2470"/>
      <c r="K62" s="2471"/>
      <c r="L62" s="177"/>
      <c r="M62" s="178"/>
      <c r="N62" s="178"/>
      <c r="O62" s="178"/>
      <c r="P62" s="178"/>
      <c r="Q62" s="178"/>
      <c r="R62" s="178"/>
      <c r="S62" s="178"/>
      <c r="T62" s="178"/>
      <c r="U62" s="178"/>
      <c r="V62" s="178"/>
      <c r="W62" s="178"/>
    </row>
    <row r="63" spans="1:25" ht="11.25" customHeight="1">
      <c r="A63" s="1817" t="s">
        <v>1470</v>
      </c>
      <c r="B63" s="1041"/>
      <c r="C63" s="2470"/>
      <c r="D63" s="2470"/>
      <c r="E63" s="2471"/>
      <c r="F63" s="2472"/>
      <c r="G63" s="2470"/>
      <c r="H63" s="2473"/>
      <c r="I63" s="2474"/>
      <c r="J63" s="2470"/>
      <c r="K63" s="2471"/>
      <c r="L63" s="177"/>
      <c r="M63" s="178"/>
      <c r="N63" s="178"/>
      <c r="O63" s="178"/>
      <c r="P63" s="178"/>
      <c r="Q63" s="178"/>
      <c r="R63" s="178"/>
      <c r="S63" s="178"/>
      <c r="T63" s="178"/>
      <c r="U63" s="178"/>
      <c r="V63" s="178"/>
      <c r="W63" s="178"/>
    </row>
    <row r="64" spans="1:25" ht="11.25" customHeight="1">
      <c r="A64" s="1817" t="s">
        <v>1470</v>
      </c>
      <c r="B64" s="1041"/>
      <c r="C64" s="2470"/>
      <c r="D64" s="2470"/>
      <c r="E64" s="2471"/>
      <c r="F64" s="2472"/>
      <c r="G64" s="2470"/>
      <c r="H64" s="2473"/>
      <c r="I64" s="2474"/>
      <c r="J64" s="2470"/>
      <c r="K64" s="2471"/>
      <c r="L64" s="177"/>
      <c r="M64" s="178"/>
      <c r="N64" s="178"/>
      <c r="O64" s="178"/>
      <c r="P64" s="178"/>
      <c r="Q64" s="178"/>
      <c r="R64" s="178"/>
      <c r="S64" s="178"/>
      <c r="T64" s="178"/>
      <c r="U64" s="178"/>
      <c r="V64" s="178"/>
      <c r="W64" s="178"/>
    </row>
    <row r="65" spans="1:25" ht="11.25" customHeight="1">
      <c r="A65" s="1817" t="s">
        <v>1470</v>
      </c>
      <c r="B65" s="1041"/>
      <c r="C65" s="2470"/>
      <c r="D65" s="2470"/>
      <c r="E65" s="2471"/>
      <c r="F65" s="2472"/>
      <c r="G65" s="2470"/>
      <c r="H65" s="2473"/>
      <c r="I65" s="2474"/>
      <c r="J65" s="2470"/>
      <c r="K65" s="2471"/>
      <c r="L65" s="177"/>
      <c r="M65" s="178"/>
      <c r="N65" s="178"/>
      <c r="O65" s="178"/>
      <c r="P65" s="178"/>
      <c r="Q65" s="178"/>
      <c r="R65" s="178"/>
      <c r="S65" s="178"/>
      <c r="T65" s="178"/>
      <c r="U65" s="178"/>
      <c r="V65" s="178"/>
      <c r="W65" s="178"/>
    </row>
    <row r="66" spans="1:25" ht="11.25" customHeight="1">
      <c r="A66" s="1817" t="s">
        <v>1470</v>
      </c>
      <c r="B66" s="1041"/>
      <c r="C66" s="2470"/>
      <c r="D66" s="2470"/>
      <c r="E66" s="2471"/>
      <c r="F66" s="2472"/>
      <c r="G66" s="2470"/>
      <c r="H66" s="2473"/>
      <c r="I66" s="2474"/>
      <c r="J66" s="2470"/>
      <c r="K66" s="2471"/>
      <c r="L66" s="177"/>
      <c r="M66" s="178"/>
      <c r="N66" s="178"/>
      <c r="O66" s="178"/>
      <c r="P66" s="178"/>
      <c r="Q66" s="178"/>
      <c r="R66" s="178"/>
      <c r="S66" s="178"/>
      <c r="T66" s="178"/>
      <c r="U66" s="178"/>
      <c r="V66" s="178"/>
      <c r="W66" s="178"/>
    </row>
    <row r="67" spans="1:25" ht="11.25" customHeight="1">
      <c r="A67" s="1817" t="s">
        <v>1470</v>
      </c>
      <c r="B67" s="1041"/>
      <c r="C67" s="2470"/>
      <c r="D67" s="2470"/>
      <c r="E67" s="2471"/>
      <c r="F67" s="2472"/>
      <c r="G67" s="2470"/>
      <c r="H67" s="2473"/>
      <c r="I67" s="2474"/>
      <c r="J67" s="2470"/>
      <c r="K67" s="2471"/>
      <c r="L67" s="177"/>
      <c r="M67" s="178"/>
      <c r="N67" s="178"/>
      <c r="O67" s="178"/>
      <c r="P67" s="178"/>
      <c r="Q67" s="178"/>
      <c r="R67" s="178"/>
      <c r="S67" s="178"/>
      <c r="T67" s="178"/>
      <c r="U67" s="178"/>
      <c r="V67" s="178"/>
      <c r="W67" s="178"/>
    </row>
    <row r="68" spans="1:25" ht="11.25" customHeight="1">
      <c r="A68" s="1817" t="s">
        <v>1470</v>
      </c>
      <c r="B68" s="1041"/>
      <c r="C68" s="2470"/>
      <c r="D68" s="2470"/>
      <c r="E68" s="2471"/>
      <c r="F68" s="2472"/>
      <c r="G68" s="2470"/>
      <c r="H68" s="2473"/>
      <c r="I68" s="2474"/>
      <c r="J68" s="2470"/>
      <c r="K68" s="2471"/>
      <c r="L68" s="177"/>
      <c r="M68" s="178"/>
      <c r="N68" s="178"/>
      <c r="O68" s="178"/>
      <c r="P68" s="178"/>
      <c r="Q68" s="178"/>
      <c r="R68" s="178"/>
      <c r="S68" s="178"/>
      <c r="T68" s="178"/>
      <c r="U68" s="178"/>
      <c r="V68" s="178"/>
      <c r="W68" s="178"/>
    </row>
    <row r="69" spans="1:25" ht="11.25" customHeight="1">
      <c r="A69" s="1817" t="s">
        <v>1470</v>
      </c>
      <c r="B69" s="1041"/>
      <c r="C69" s="2470"/>
      <c r="D69" s="2470"/>
      <c r="E69" s="2471"/>
      <c r="F69" s="2472"/>
      <c r="G69" s="2470"/>
      <c r="H69" s="2473"/>
      <c r="I69" s="2474"/>
      <c r="J69" s="2470"/>
      <c r="K69" s="2471"/>
      <c r="L69" s="177"/>
      <c r="M69" s="178"/>
      <c r="N69" s="178"/>
      <c r="O69" s="178"/>
      <c r="P69" s="178"/>
      <c r="Q69" s="178"/>
      <c r="R69" s="178"/>
      <c r="S69" s="178"/>
      <c r="T69" s="178"/>
      <c r="U69" s="178"/>
      <c r="V69" s="178"/>
      <c r="W69" s="178"/>
    </row>
    <row r="70" spans="1:25" ht="11.25" customHeight="1">
      <c r="A70" s="1817" t="s">
        <v>1470</v>
      </c>
      <c r="B70" s="1041"/>
      <c r="C70" s="2470"/>
      <c r="D70" s="2470"/>
      <c r="E70" s="2471"/>
      <c r="F70" s="2472"/>
      <c r="G70" s="2470"/>
      <c r="H70" s="2473"/>
      <c r="I70" s="2474"/>
      <c r="J70" s="2470"/>
      <c r="K70" s="2471"/>
      <c r="L70" s="177"/>
      <c r="M70" s="178"/>
      <c r="N70" s="178"/>
      <c r="O70" s="178"/>
      <c r="P70" s="178"/>
      <c r="Q70" s="178"/>
      <c r="R70" s="178"/>
      <c r="S70" s="178"/>
      <c r="T70" s="178"/>
      <c r="U70" s="178"/>
      <c r="V70" s="178"/>
      <c r="W70" s="178"/>
    </row>
    <row r="71" spans="1:25" ht="11.25" customHeight="1">
      <c r="A71" s="1816" t="s">
        <v>3036</v>
      </c>
      <c r="B71" s="1048"/>
      <c r="C71" s="2433">
        <v>5515</v>
      </c>
      <c r="D71" s="2433">
        <v>492423.89</v>
      </c>
      <c r="E71" s="2434">
        <v>21280</v>
      </c>
      <c r="F71" s="2435">
        <v>14000</v>
      </c>
      <c r="G71" s="2433">
        <v>14000</v>
      </c>
      <c r="H71" s="2436">
        <v>13444</v>
      </c>
      <c r="I71" s="2437">
        <v>12000</v>
      </c>
      <c r="J71" s="2433">
        <v>14000</v>
      </c>
      <c r="K71" s="2434">
        <v>14000</v>
      </c>
      <c r="L71" s="177"/>
      <c r="M71" s="178"/>
      <c r="N71" s="178"/>
      <c r="O71" s="178"/>
      <c r="P71" s="178"/>
      <c r="Q71" s="178"/>
      <c r="R71" s="178"/>
      <c r="S71" s="178"/>
      <c r="T71" s="178"/>
      <c r="U71" s="178"/>
      <c r="V71" s="178"/>
      <c r="W71" s="178"/>
    </row>
    <row r="72" spans="1:25" ht="11.25" customHeight="1">
      <c r="A72" s="1817" t="s">
        <v>2227</v>
      </c>
      <c r="B72" s="1041"/>
      <c r="C72" s="2470">
        <v>5515</v>
      </c>
      <c r="D72" s="2470">
        <v>492423.89</v>
      </c>
      <c r="E72" s="2471">
        <v>21280</v>
      </c>
      <c r="F72" s="2472">
        <v>14000</v>
      </c>
      <c r="G72" s="2470">
        <v>14000</v>
      </c>
      <c r="H72" s="2473">
        <v>13444</v>
      </c>
      <c r="I72" s="2474">
        <v>12000</v>
      </c>
      <c r="J72" s="2470">
        <v>14000</v>
      </c>
      <c r="K72" s="2471">
        <v>14000</v>
      </c>
      <c r="L72" s="177"/>
      <c r="M72" s="178"/>
      <c r="N72" s="178"/>
      <c r="O72" s="178"/>
      <c r="P72" s="178"/>
      <c r="Q72" s="178"/>
      <c r="R72" s="178"/>
      <c r="S72" s="178"/>
      <c r="T72" s="178"/>
      <c r="U72" s="178"/>
      <c r="V72" s="178"/>
      <c r="W72" s="178"/>
      <c r="X72" s="1286" t="s">
        <v>146</v>
      </c>
      <c r="Y72" s="150" t="s">
        <v>586</v>
      </c>
    </row>
    <row r="73" spans="1:25" ht="11.25" customHeight="1">
      <c r="A73" s="1817"/>
      <c r="B73" s="1041"/>
      <c r="C73" s="2470"/>
      <c r="D73" s="2470"/>
      <c r="E73" s="2471"/>
      <c r="F73" s="2472"/>
      <c r="G73" s="2470"/>
      <c r="H73" s="2473"/>
      <c r="I73" s="2474"/>
      <c r="J73" s="2470"/>
      <c r="K73" s="2471"/>
      <c r="L73" s="177"/>
      <c r="M73" s="178"/>
      <c r="N73" s="178"/>
      <c r="O73" s="178"/>
      <c r="P73" s="178"/>
      <c r="Q73" s="178"/>
      <c r="R73" s="178"/>
      <c r="S73" s="178"/>
      <c r="T73" s="178"/>
      <c r="U73" s="178"/>
      <c r="V73" s="178"/>
      <c r="W73" s="178"/>
    </row>
    <row r="74" spans="1:25" ht="11.25" customHeight="1">
      <c r="A74" s="1817" t="s">
        <v>1470</v>
      </c>
      <c r="B74" s="1041"/>
      <c r="C74" s="2470"/>
      <c r="D74" s="2470"/>
      <c r="E74" s="2471"/>
      <c r="F74" s="2472"/>
      <c r="G74" s="2470"/>
      <c r="H74" s="2473"/>
      <c r="I74" s="2474"/>
      <c r="J74" s="2470"/>
      <c r="K74" s="2471"/>
      <c r="L74" s="177"/>
      <c r="M74" s="178"/>
      <c r="N74" s="178"/>
      <c r="O74" s="178"/>
      <c r="P74" s="178"/>
      <c r="Q74" s="178"/>
      <c r="R74" s="178"/>
      <c r="S74" s="178"/>
      <c r="T74" s="178"/>
      <c r="U74" s="178"/>
      <c r="V74" s="178"/>
      <c r="W74" s="178"/>
    </row>
    <row r="75" spans="1:25" ht="11.25" customHeight="1">
      <c r="A75" s="1817" t="s">
        <v>1470</v>
      </c>
      <c r="B75" s="1041"/>
      <c r="C75" s="2470"/>
      <c r="D75" s="2470"/>
      <c r="E75" s="2471"/>
      <c r="F75" s="2472"/>
      <c r="G75" s="2470"/>
      <c r="H75" s="2473"/>
      <c r="I75" s="2474"/>
      <c r="J75" s="2470"/>
      <c r="K75" s="2471"/>
      <c r="L75" s="177"/>
      <c r="M75" s="178"/>
      <c r="N75" s="178"/>
      <c r="O75" s="178"/>
      <c r="P75" s="178"/>
      <c r="Q75" s="178"/>
      <c r="R75" s="178"/>
      <c r="S75" s="178"/>
      <c r="T75" s="178"/>
      <c r="U75" s="178"/>
      <c r="V75" s="178"/>
      <c r="W75" s="178"/>
    </row>
    <row r="76" spans="1:25" ht="11.25" customHeight="1">
      <c r="A76" s="1817" t="s">
        <v>1470</v>
      </c>
      <c r="B76" s="1041"/>
      <c r="C76" s="2470"/>
      <c r="D76" s="2470"/>
      <c r="E76" s="2471"/>
      <c r="F76" s="2472"/>
      <c r="G76" s="2470"/>
      <c r="H76" s="2473"/>
      <c r="I76" s="2474"/>
      <c r="J76" s="2470"/>
      <c r="K76" s="2471"/>
      <c r="L76" s="177"/>
      <c r="M76" s="178"/>
      <c r="N76" s="178"/>
      <c r="O76" s="178"/>
      <c r="P76" s="178"/>
      <c r="Q76" s="178"/>
      <c r="R76" s="178"/>
      <c r="S76" s="178"/>
      <c r="T76" s="178"/>
      <c r="U76" s="178"/>
      <c r="V76" s="178"/>
      <c r="W76" s="178"/>
    </row>
    <row r="77" spans="1:25" ht="11.25" customHeight="1">
      <c r="A77" s="1817" t="s">
        <v>1470</v>
      </c>
      <c r="B77" s="1041"/>
      <c r="C77" s="2470"/>
      <c r="D77" s="2470"/>
      <c r="E77" s="2471"/>
      <c r="F77" s="2472"/>
      <c r="G77" s="2470"/>
      <c r="H77" s="2473"/>
      <c r="I77" s="2474"/>
      <c r="J77" s="2470"/>
      <c r="K77" s="2471"/>
      <c r="L77" s="177"/>
      <c r="M77" s="178"/>
      <c r="N77" s="178"/>
      <c r="O77" s="178"/>
      <c r="P77" s="178"/>
      <c r="Q77" s="178"/>
      <c r="R77" s="178"/>
      <c r="S77" s="178"/>
      <c r="T77" s="178"/>
      <c r="U77" s="178"/>
      <c r="V77" s="178"/>
      <c r="W77" s="178"/>
    </row>
    <row r="78" spans="1:25" ht="11.25" customHeight="1">
      <c r="A78" s="1817" t="s">
        <v>1470</v>
      </c>
      <c r="B78" s="1041"/>
      <c r="C78" s="2470"/>
      <c r="D78" s="2470"/>
      <c r="E78" s="2471"/>
      <c r="F78" s="2472"/>
      <c r="G78" s="2470"/>
      <c r="H78" s="2473"/>
      <c r="I78" s="2474"/>
      <c r="J78" s="2470"/>
      <c r="K78" s="2471"/>
      <c r="L78" s="181"/>
      <c r="M78" s="182"/>
      <c r="N78" s="182"/>
      <c r="O78" s="182"/>
      <c r="P78" s="182"/>
      <c r="Q78" s="182"/>
      <c r="R78" s="182"/>
      <c r="S78" s="182"/>
      <c r="T78" s="182"/>
      <c r="U78" s="182"/>
      <c r="V78" s="182"/>
      <c r="W78" s="182"/>
    </row>
    <row r="79" spans="1:25" ht="11.25" customHeight="1">
      <c r="A79" s="1817" t="s">
        <v>1470</v>
      </c>
      <c r="B79" s="1041"/>
      <c r="C79" s="2470"/>
      <c r="D79" s="2470"/>
      <c r="E79" s="2471"/>
      <c r="F79" s="2472"/>
      <c r="G79" s="2470"/>
      <c r="H79" s="2473"/>
      <c r="I79" s="2474"/>
      <c r="J79" s="2470"/>
      <c r="K79" s="2471"/>
      <c r="L79" s="181"/>
      <c r="M79" s="182"/>
      <c r="N79" s="182"/>
      <c r="O79" s="182"/>
      <c r="P79" s="182"/>
      <c r="Q79" s="182"/>
      <c r="R79" s="182"/>
      <c r="S79" s="182"/>
      <c r="T79" s="182"/>
      <c r="U79" s="182"/>
      <c r="V79" s="182"/>
      <c r="W79" s="182"/>
    </row>
    <row r="80" spans="1:25" ht="11.25" customHeight="1">
      <c r="A80" s="1817" t="s">
        <v>1470</v>
      </c>
      <c r="B80" s="1041"/>
      <c r="C80" s="2470"/>
      <c r="D80" s="2470"/>
      <c r="E80" s="2471"/>
      <c r="F80" s="2472"/>
      <c r="G80" s="2470"/>
      <c r="H80" s="2473"/>
      <c r="I80" s="2474"/>
      <c r="J80" s="2470"/>
      <c r="K80" s="2471"/>
      <c r="L80" s="181"/>
      <c r="M80" s="182"/>
      <c r="N80" s="182"/>
      <c r="O80" s="182"/>
      <c r="P80" s="182"/>
      <c r="Q80" s="182"/>
      <c r="R80" s="182"/>
      <c r="S80" s="182"/>
      <c r="T80" s="182"/>
      <c r="U80" s="182"/>
      <c r="V80" s="182"/>
      <c r="W80" s="182"/>
    </row>
    <row r="81" spans="1:25" ht="11.25" customHeight="1">
      <c r="A81" s="1817" t="s">
        <v>1470</v>
      </c>
      <c r="B81" s="1041"/>
      <c r="C81" s="2470"/>
      <c r="D81" s="2470"/>
      <c r="E81" s="2471"/>
      <c r="F81" s="2472"/>
      <c r="G81" s="2470"/>
      <c r="H81" s="2473"/>
      <c r="I81" s="2474"/>
      <c r="J81" s="2470"/>
      <c r="K81" s="2471"/>
      <c r="L81" s="181"/>
      <c r="M81" s="182"/>
      <c r="N81" s="182"/>
      <c r="O81" s="182"/>
      <c r="P81" s="182"/>
      <c r="Q81" s="182"/>
      <c r="R81" s="182"/>
      <c r="S81" s="182"/>
      <c r="T81" s="182"/>
      <c r="U81" s="182"/>
      <c r="V81" s="182"/>
      <c r="W81" s="182"/>
    </row>
    <row r="82" spans="1:25" ht="11.25" customHeight="1">
      <c r="A82" s="1816" t="s">
        <v>3037</v>
      </c>
      <c r="B82" s="1041"/>
      <c r="C82" s="2433">
        <v>3788003.4799999995</v>
      </c>
      <c r="D82" s="2433">
        <v>4473029.2300000004</v>
      </c>
      <c r="E82" s="2434">
        <v>4076222.62</v>
      </c>
      <c r="F82" s="2435">
        <v>4740135</v>
      </c>
      <c r="G82" s="2433">
        <v>4740135</v>
      </c>
      <c r="H82" s="2436">
        <v>4835287</v>
      </c>
      <c r="I82" s="2437">
        <v>4195867.2149999999</v>
      </c>
      <c r="J82" s="2433">
        <v>5277548.2709999997</v>
      </c>
      <c r="K82" s="2434">
        <v>5567020.6845500004</v>
      </c>
      <c r="L82" s="181"/>
      <c r="M82" s="182"/>
      <c r="N82" s="182"/>
      <c r="O82" s="182"/>
      <c r="P82" s="182"/>
      <c r="Q82" s="182"/>
      <c r="R82" s="182"/>
      <c r="S82" s="182"/>
      <c r="T82" s="182"/>
      <c r="U82" s="182"/>
      <c r="V82" s="182"/>
      <c r="W82" s="182"/>
    </row>
    <row r="83" spans="1:25" ht="11.25" customHeight="1">
      <c r="A83" s="1817" t="s">
        <v>2228</v>
      </c>
      <c r="B83" s="1041"/>
      <c r="C83" s="2470">
        <v>1942206.9</v>
      </c>
      <c r="D83" s="2470">
        <v>2475726.42</v>
      </c>
      <c r="E83" s="2471">
        <v>1794711.9999999998</v>
      </c>
      <c r="F83" s="2472">
        <v>2410475</v>
      </c>
      <c r="G83" s="2470">
        <v>2410475</v>
      </c>
      <c r="H83" s="2473">
        <v>2430517</v>
      </c>
      <c r="I83" s="2474">
        <v>1603002.1949999998</v>
      </c>
      <c r="J83" s="2470">
        <v>2555100</v>
      </c>
      <c r="K83" s="2471">
        <v>2708410</v>
      </c>
      <c r="L83" s="181"/>
      <c r="M83" s="182"/>
      <c r="N83" s="182"/>
      <c r="O83" s="182"/>
      <c r="P83" s="182"/>
      <c r="Q83" s="182"/>
      <c r="R83" s="182"/>
      <c r="S83" s="182"/>
      <c r="T83" s="182"/>
      <c r="U83" s="182"/>
      <c r="V83" s="182"/>
      <c r="W83" s="182"/>
      <c r="X83" s="1516" t="s">
        <v>768</v>
      </c>
      <c r="Y83" s="150" t="s">
        <v>586</v>
      </c>
    </row>
    <row r="84" spans="1:25" ht="11.25" customHeight="1">
      <c r="A84" s="1817" t="s">
        <v>2229</v>
      </c>
      <c r="B84" s="1041"/>
      <c r="C84" s="2470">
        <v>1845796.5799999998</v>
      </c>
      <c r="D84" s="2470">
        <v>1997302.81</v>
      </c>
      <c r="E84" s="2471">
        <v>2281510.62</v>
      </c>
      <c r="F84" s="2472">
        <v>2329660</v>
      </c>
      <c r="G84" s="2470">
        <v>2329660</v>
      </c>
      <c r="H84" s="2473">
        <v>2404770</v>
      </c>
      <c r="I84" s="2474">
        <v>2592865.02</v>
      </c>
      <c r="J84" s="2470">
        <v>2722448.2710000002</v>
      </c>
      <c r="K84" s="2471">
        <v>2858610.6845500004</v>
      </c>
      <c r="L84" s="181"/>
      <c r="M84" s="182"/>
      <c r="N84" s="182"/>
      <c r="O84" s="182"/>
      <c r="P84" s="182"/>
      <c r="Q84" s="182"/>
      <c r="R84" s="182"/>
      <c r="S84" s="182"/>
      <c r="T84" s="182"/>
      <c r="U84" s="182"/>
      <c r="V84" s="182"/>
      <c r="W84" s="182"/>
      <c r="X84" s="1516" t="s">
        <v>767</v>
      </c>
      <c r="Y84" s="150" t="s">
        <v>586</v>
      </c>
    </row>
    <row r="85" spans="1:25" ht="11.25" customHeight="1">
      <c r="A85" s="1817" t="s">
        <v>1470</v>
      </c>
      <c r="B85" s="1041"/>
      <c r="C85" s="2470"/>
      <c r="D85" s="2470"/>
      <c r="E85" s="2471"/>
      <c r="F85" s="2472"/>
      <c r="G85" s="2470"/>
      <c r="H85" s="2473"/>
      <c r="I85" s="2474"/>
      <c r="J85" s="2470"/>
      <c r="K85" s="2471"/>
      <c r="L85" s="181"/>
      <c r="M85" s="182"/>
      <c r="N85" s="182"/>
      <c r="O85" s="182"/>
      <c r="P85" s="182"/>
      <c r="Q85" s="182"/>
      <c r="R85" s="182"/>
      <c r="S85" s="182"/>
      <c r="T85" s="182"/>
      <c r="U85" s="182"/>
      <c r="V85" s="182"/>
      <c r="W85" s="182"/>
    </row>
    <row r="86" spans="1:25" ht="11.25" customHeight="1">
      <c r="A86" s="1817" t="s">
        <v>1470</v>
      </c>
      <c r="B86" s="1041"/>
      <c r="C86" s="2470"/>
      <c r="D86" s="2470"/>
      <c r="E86" s="2471"/>
      <c r="F86" s="2472"/>
      <c r="G86" s="2470"/>
      <c r="H86" s="2473"/>
      <c r="I86" s="2474"/>
      <c r="J86" s="2470"/>
      <c r="K86" s="2471"/>
      <c r="L86" s="181"/>
      <c r="M86" s="182"/>
      <c r="N86" s="182"/>
      <c r="O86" s="182"/>
      <c r="P86" s="182"/>
      <c r="Q86" s="182"/>
      <c r="R86" s="182"/>
      <c r="S86" s="182"/>
      <c r="T86" s="182"/>
      <c r="U86" s="182"/>
      <c r="V86" s="182"/>
      <c r="W86" s="182"/>
    </row>
    <row r="87" spans="1:25" ht="11.25" customHeight="1">
      <c r="A87" s="1817" t="s">
        <v>1470</v>
      </c>
      <c r="B87" s="1041"/>
      <c r="C87" s="2470"/>
      <c r="D87" s="2470"/>
      <c r="E87" s="2471"/>
      <c r="F87" s="2472"/>
      <c r="G87" s="2470"/>
      <c r="H87" s="2473"/>
      <c r="I87" s="2474"/>
      <c r="J87" s="2470"/>
      <c r="K87" s="2471"/>
      <c r="L87" s="181"/>
      <c r="M87" s="182"/>
      <c r="N87" s="182"/>
      <c r="O87" s="182"/>
      <c r="P87" s="182"/>
      <c r="Q87" s="182"/>
      <c r="R87" s="182"/>
      <c r="S87" s="182"/>
      <c r="T87" s="182"/>
      <c r="U87" s="182"/>
      <c r="V87" s="182"/>
      <c r="W87" s="182"/>
    </row>
    <row r="88" spans="1:25" ht="11.25" customHeight="1">
      <c r="A88" s="1817" t="s">
        <v>1470</v>
      </c>
      <c r="B88" s="1041"/>
      <c r="C88" s="2470"/>
      <c r="D88" s="2470"/>
      <c r="E88" s="2471"/>
      <c r="F88" s="2472"/>
      <c r="G88" s="2470"/>
      <c r="H88" s="2473"/>
      <c r="I88" s="2474"/>
      <c r="J88" s="2470"/>
      <c r="K88" s="2471"/>
      <c r="L88" s="181"/>
      <c r="M88" s="182"/>
      <c r="N88" s="182"/>
      <c r="O88" s="182"/>
      <c r="P88" s="182"/>
      <c r="Q88" s="182"/>
      <c r="R88" s="182"/>
      <c r="S88" s="182"/>
      <c r="T88" s="182"/>
      <c r="U88" s="182"/>
      <c r="V88" s="182"/>
      <c r="W88" s="182"/>
    </row>
    <row r="89" spans="1:25" ht="11.25" customHeight="1">
      <c r="A89" s="1817" t="s">
        <v>1470</v>
      </c>
      <c r="B89" s="1041"/>
      <c r="C89" s="2470"/>
      <c r="D89" s="2470"/>
      <c r="E89" s="2471"/>
      <c r="F89" s="2472"/>
      <c r="G89" s="2470"/>
      <c r="H89" s="2473"/>
      <c r="I89" s="2474"/>
      <c r="J89" s="2470"/>
      <c r="K89" s="2471"/>
      <c r="L89" s="181"/>
      <c r="M89" s="182"/>
      <c r="N89" s="182"/>
      <c r="O89" s="182"/>
      <c r="P89" s="182"/>
      <c r="Q89" s="182"/>
      <c r="R89" s="182"/>
      <c r="S89" s="182"/>
      <c r="T89" s="182"/>
      <c r="U89" s="182"/>
      <c r="V89" s="182"/>
      <c r="W89" s="182"/>
    </row>
    <row r="90" spans="1:25" ht="11.25" customHeight="1">
      <c r="A90" s="1817" t="s">
        <v>1470</v>
      </c>
      <c r="B90" s="1041"/>
      <c r="C90" s="2470"/>
      <c r="D90" s="2470"/>
      <c r="E90" s="2471"/>
      <c r="F90" s="2472"/>
      <c r="G90" s="2470"/>
      <c r="H90" s="2473"/>
      <c r="I90" s="2474"/>
      <c r="J90" s="2470"/>
      <c r="K90" s="2471"/>
      <c r="L90" s="181"/>
      <c r="M90" s="182"/>
      <c r="N90" s="182"/>
      <c r="O90" s="182"/>
      <c r="P90" s="182"/>
      <c r="Q90" s="182"/>
      <c r="R90" s="182"/>
      <c r="S90" s="182"/>
      <c r="T90" s="182"/>
      <c r="U90" s="182"/>
      <c r="V90" s="182"/>
      <c r="W90" s="182"/>
    </row>
    <row r="91" spans="1:25" ht="11.25" customHeight="1">
      <c r="A91" s="1817" t="s">
        <v>1470</v>
      </c>
      <c r="B91" s="1041"/>
      <c r="C91" s="2470"/>
      <c r="D91" s="2470"/>
      <c r="E91" s="2471"/>
      <c r="F91" s="2472"/>
      <c r="G91" s="2470"/>
      <c r="H91" s="2473"/>
      <c r="I91" s="2474"/>
      <c r="J91" s="2470"/>
      <c r="K91" s="2471"/>
      <c r="L91" s="181"/>
      <c r="M91" s="182"/>
      <c r="N91" s="182"/>
      <c r="O91" s="182"/>
      <c r="P91" s="182"/>
      <c r="Q91" s="182"/>
      <c r="R91" s="182"/>
      <c r="S91" s="182"/>
      <c r="T91" s="182"/>
      <c r="U91" s="182"/>
      <c r="V91" s="182"/>
      <c r="W91" s="182"/>
    </row>
    <row r="92" spans="1:25" ht="11.25" customHeight="1">
      <c r="A92" s="1817" t="s">
        <v>1470</v>
      </c>
      <c r="B92" s="1041"/>
      <c r="C92" s="2470"/>
      <c r="D92" s="2470"/>
      <c r="E92" s="2471"/>
      <c r="F92" s="2472"/>
      <c r="G92" s="2470"/>
      <c r="H92" s="2473"/>
      <c r="I92" s="2474"/>
      <c r="J92" s="2470"/>
      <c r="K92" s="2471"/>
      <c r="L92" s="181"/>
      <c r="M92" s="182"/>
      <c r="N92" s="182"/>
      <c r="O92" s="182"/>
      <c r="P92" s="182"/>
      <c r="Q92" s="182"/>
      <c r="R92" s="182"/>
      <c r="S92" s="182"/>
      <c r="T92" s="182"/>
      <c r="U92" s="182"/>
      <c r="V92" s="182"/>
      <c r="W92" s="182"/>
    </row>
    <row r="93" spans="1:25" ht="11.25" customHeight="1">
      <c r="A93" s="1816" t="s">
        <v>3038</v>
      </c>
      <c r="B93" s="1041"/>
      <c r="C93" s="2433">
        <v>3821820.7</v>
      </c>
      <c r="D93" s="2433">
        <v>9356402.3500000015</v>
      </c>
      <c r="E93" s="2434">
        <v>7893831.9999999991</v>
      </c>
      <c r="F93" s="2435">
        <v>6821175</v>
      </c>
      <c r="G93" s="2433">
        <v>6821175</v>
      </c>
      <c r="H93" s="2436">
        <v>6992407</v>
      </c>
      <c r="I93" s="2437">
        <v>5315062.8486000011</v>
      </c>
      <c r="J93" s="2433">
        <v>8361129.267376001</v>
      </c>
      <c r="K93" s="2434">
        <v>9138620</v>
      </c>
      <c r="L93" s="181"/>
      <c r="M93" s="182"/>
      <c r="N93" s="182"/>
      <c r="O93" s="182"/>
      <c r="P93" s="182"/>
      <c r="Q93" s="182"/>
      <c r="R93" s="182"/>
      <c r="S93" s="182"/>
      <c r="T93" s="182"/>
      <c r="U93" s="182"/>
      <c r="V93" s="182"/>
      <c r="W93" s="182"/>
    </row>
    <row r="94" spans="1:25" ht="11.25" customHeight="1">
      <c r="A94" s="1817" t="s">
        <v>684</v>
      </c>
      <c r="B94" s="1041"/>
      <c r="C94" s="2470">
        <v>3821820.7</v>
      </c>
      <c r="D94" s="2470">
        <v>9356402.3500000015</v>
      </c>
      <c r="E94" s="2471">
        <v>7893831.9999999991</v>
      </c>
      <c r="F94" s="2472">
        <v>6821175</v>
      </c>
      <c r="G94" s="2470">
        <v>6821175</v>
      </c>
      <c r="H94" s="2473">
        <v>6992407</v>
      </c>
      <c r="I94" s="2474">
        <v>5315062.8486000011</v>
      </c>
      <c r="J94" s="2470">
        <v>8361129.267376001</v>
      </c>
      <c r="K94" s="2471">
        <v>9138620</v>
      </c>
      <c r="L94" s="181"/>
      <c r="M94" s="182"/>
      <c r="N94" s="182"/>
      <c r="O94" s="182"/>
      <c r="P94" s="182"/>
      <c r="Q94" s="182"/>
      <c r="R94" s="182"/>
      <c r="S94" s="182"/>
      <c r="T94" s="182"/>
      <c r="U94" s="182"/>
      <c r="V94" s="182"/>
      <c r="W94" s="182"/>
      <c r="X94" s="1516" t="s">
        <v>776</v>
      </c>
      <c r="Y94" s="150" t="s">
        <v>586</v>
      </c>
    </row>
    <row r="95" spans="1:25" ht="11.25" customHeight="1">
      <c r="A95" s="1817" t="s">
        <v>1470</v>
      </c>
      <c r="B95" s="1041"/>
      <c r="C95" s="2470"/>
      <c r="D95" s="2470"/>
      <c r="E95" s="2471"/>
      <c r="F95" s="2472"/>
      <c r="G95" s="2470"/>
      <c r="H95" s="2473"/>
      <c r="I95" s="2474"/>
      <c r="J95" s="2470"/>
      <c r="K95" s="2471"/>
      <c r="L95" s="181"/>
      <c r="M95" s="182"/>
      <c r="N95" s="182"/>
      <c r="O95" s="182"/>
      <c r="P95" s="182"/>
      <c r="Q95" s="182"/>
      <c r="R95" s="182"/>
      <c r="S95" s="182"/>
      <c r="T95" s="182"/>
      <c r="U95" s="182"/>
      <c r="V95" s="182"/>
      <c r="W95" s="182"/>
    </row>
    <row r="96" spans="1:25" ht="11.25" customHeight="1">
      <c r="A96" s="1817" t="s">
        <v>1470</v>
      </c>
      <c r="B96" s="1041"/>
      <c r="C96" s="2470"/>
      <c r="D96" s="2470"/>
      <c r="E96" s="2471"/>
      <c r="F96" s="2472"/>
      <c r="G96" s="2470"/>
      <c r="H96" s="2473"/>
      <c r="I96" s="2474"/>
      <c r="J96" s="2470"/>
      <c r="K96" s="2471"/>
      <c r="L96" s="181"/>
      <c r="M96" s="182"/>
      <c r="N96" s="182"/>
      <c r="O96" s="182"/>
      <c r="P96" s="182"/>
      <c r="Q96" s="182"/>
      <c r="R96" s="182"/>
      <c r="S96" s="182"/>
      <c r="T96" s="182"/>
      <c r="U96" s="182"/>
      <c r="V96" s="182"/>
      <c r="W96" s="182"/>
    </row>
    <row r="97" spans="1:25" ht="11.25" customHeight="1">
      <c r="A97" s="1817" t="s">
        <v>1470</v>
      </c>
      <c r="B97" s="1041"/>
      <c r="C97" s="2470"/>
      <c r="D97" s="2470"/>
      <c r="E97" s="2471"/>
      <c r="F97" s="2472"/>
      <c r="G97" s="2470"/>
      <c r="H97" s="2473"/>
      <c r="I97" s="2474"/>
      <c r="J97" s="2470"/>
      <c r="K97" s="2471"/>
      <c r="L97" s="181"/>
      <c r="M97" s="182"/>
      <c r="N97" s="182"/>
      <c r="O97" s="182"/>
      <c r="P97" s="182"/>
      <c r="Q97" s="182"/>
      <c r="R97" s="182"/>
      <c r="S97" s="182"/>
      <c r="T97" s="182"/>
      <c r="U97" s="182"/>
      <c r="V97" s="182"/>
      <c r="W97" s="182"/>
    </row>
    <row r="98" spans="1:25" ht="11.25" customHeight="1">
      <c r="A98" s="1817" t="s">
        <v>1470</v>
      </c>
      <c r="B98" s="1041"/>
      <c r="C98" s="2470"/>
      <c r="D98" s="2470"/>
      <c r="E98" s="2471"/>
      <c r="F98" s="2472"/>
      <c r="G98" s="2470"/>
      <c r="H98" s="2473"/>
      <c r="I98" s="2474"/>
      <c r="J98" s="2470"/>
      <c r="K98" s="2471"/>
      <c r="L98" s="181"/>
      <c r="M98" s="182"/>
      <c r="N98" s="182"/>
      <c r="O98" s="182"/>
      <c r="P98" s="182"/>
      <c r="Q98" s="182"/>
      <c r="R98" s="182"/>
      <c r="S98" s="182"/>
      <c r="T98" s="182"/>
      <c r="U98" s="182"/>
      <c r="V98" s="182"/>
      <c r="W98" s="182"/>
    </row>
    <row r="99" spans="1:25" ht="11.25" customHeight="1">
      <c r="A99" s="1817" t="s">
        <v>1470</v>
      </c>
      <c r="B99" s="1041"/>
      <c r="C99" s="2470"/>
      <c r="D99" s="2470"/>
      <c r="E99" s="2471"/>
      <c r="F99" s="2472"/>
      <c r="G99" s="2470"/>
      <c r="H99" s="2473"/>
      <c r="I99" s="2474"/>
      <c r="J99" s="2470"/>
      <c r="K99" s="2471"/>
      <c r="L99" s="181"/>
      <c r="M99" s="182"/>
      <c r="N99" s="182"/>
      <c r="O99" s="182"/>
      <c r="P99" s="182"/>
      <c r="Q99" s="182"/>
      <c r="R99" s="182"/>
      <c r="S99" s="182"/>
      <c r="T99" s="182"/>
      <c r="U99" s="182"/>
      <c r="V99" s="182"/>
      <c r="W99" s="182"/>
    </row>
    <row r="100" spans="1:25" ht="11.25" customHeight="1">
      <c r="A100" s="1817" t="s">
        <v>1470</v>
      </c>
      <c r="B100" s="1041"/>
      <c r="C100" s="2470"/>
      <c r="D100" s="2470"/>
      <c r="E100" s="2471"/>
      <c r="F100" s="2472"/>
      <c r="G100" s="2470"/>
      <c r="H100" s="2473"/>
      <c r="I100" s="2474"/>
      <c r="J100" s="2470"/>
      <c r="K100" s="2471"/>
      <c r="L100" s="181"/>
      <c r="M100" s="182"/>
      <c r="N100" s="182"/>
      <c r="O100" s="182"/>
      <c r="P100" s="182"/>
      <c r="Q100" s="182"/>
      <c r="R100" s="182"/>
      <c r="S100" s="182"/>
      <c r="T100" s="182"/>
      <c r="U100" s="182"/>
      <c r="V100" s="182"/>
      <c r="W100" s="182"/>
    </row>
    <row r="101" spans="1:25" ht="11.25" customHeight="1">
      <c r="A101" s="1817" t="s">
        <v>1470</v>
      </c>
      <c r="B101" s="1041"/>
      <c r="C101" s="2470"/>
      <c r="D101" s="2470"/>
      <c r="E101" s="2471"/>
      <c r="F101" s="2472"/>
      <c r="G101" s="2470"/>
      <c r="H101" s="2473"/>
      <c r="I101" s="2474"/>
      <c r="J101" s="2470"/>
      <c r="K101" s="2471"/>
      <c r="L101" s="181"/>
      <c r="M101" s="182"/>
      <c r="N101" s="182"/>
      <c r="O101" s="182"/>
      <c r="P101" s="182"/>
      <c r="Q101" s="182"/>
      <c r="R101" s="182"/>
      <c r="S101" s="182"/>
      <c r="T101" s="182"/>
      <c r="U101" s="182"/>
      <c r="V101" s="182"/>
      <c r="W101" s="182"/>
    </row>
    <row r="102" spans="1:25" ht="11.25" customHeight="1">
      <c r="A102" s="1817" t="s">
        <v>1470</v>
      </c>
      <c r="B102" s="1041"/>
      <c r="C102" s="2470"/>
      <c r="D102" s="2470"/>
      <c r="E102" s="2471"/>
      <c r="F102" s="2472"/>
      <c r="G102" s="2470"/>
      <c r="H102" s="2473"/>
      <c r="I102" s="2474"/>
      <c r="J102" s="2470"/>
      <c r="K102" s="2471"/>
      <c r="L102" s="181"/>
      <c r="M102" s="182"/>
      <c r="N102" s="182"/>
      <c r="O102" s="182"/>
      <c r="P102" s="182"/>
      <c r="Q102" s="182"/>
      <c r="R102" s="182"/>
      <c r="S102" s="182"/>
      <c r="T102" s="182"/>
      <c r="U102" s="182"/>
      <c r="V102" s="182"/>
      <c r="W102" s="182"/>
    </row>
    <row r="103" spans="1:25" ht="11.25" customHeight="1">
      <c r="A103" s="1817" t="s">
        <v>1470</v>
      </c>
      <c r="B103" s="1041"/>
      <c r="C103" s="2470"/>
      <c r="D103" s="2470"/>
      <c r="E103" s="2471"/>
      <c r="F103" s="2472"/>
      <c r="G103" s="2470"/>
      <c r="H103" s="2473"/>
      <c r="I103" s="2474"/>
      <c r="J103" s="2470"/>
      <c r="K103" s="2471"/>
      <c r="L103" s="181"/>
      <c r="M103" s="182"/>
      <c r="N103" s="182"/>
      <c r="O103" s="182"/>
      <c r="P103" s="182"/>
      <c r="Q103" s="182"/>
      <c r="R103" s="182"/>
      <c r="S103" s="182"/>
      <c r="T103" s="182"/>
      <c r="U103" s="182"/>
      <c r="V103" s="182"/>
      <c r="W103" s="182"/>
    </row>
    <row r="104" spans="1:25" ht="11.25" customHeight="1">
      <c r="A104" s="1816" t="s">
        <v>3042</v>
      </c>
      <c r="B104" s="1041"/>
      <c r="C104" s="2433">
        <v>2511230.62</v>
      </c>
      <c r="D104" s="2433">
        <v>5503983.0099999998</v>
      </c>
      <c r="E104" s="2434">
        <v>13895927.555000003</v>
      </c>
      <c r="F104" s="2435">
        <v>3906885</v>
      </c>
      <c r="G104" s="2433">
        <v>3906885</v>
      </c>
      <c r="H104" s="2436">
        <v>4877752</v>
      </c>
      <c r="I104" s="2437">
        <v>2116520.77</v>
      </c>
      <c r="J104" s="2433">
        <v>2343187.8470000001</v>
      </c>
      <c r="K104" s="2434">
        <v>2620523.5886400002</v>
      </c>
      <c r="L104" s="181"/>
      <c r="M104" s="182"/>
      <c r="N104" s="182"/>
      <c r="O104" s="182"/>
      <c r="P104" s="182"/>
      <c r="Q104" s="182"/>
      <c r="R104" s="182"/>
      <c r="S104" s="182"/>
      <c r="T104" s="182"/>
      <c r="U104" s="182"/>
      <c r="V104" s="182"/>
      <c r="W104" s="182"/>
    </row>
    <row r="105" spans="1:25" ht="11.25" customHeight="1">
      <c r="A105" s="1817" t="s">
        <v>774</v>
      </c>
      <c r="B105" s="1041"/>
      <c r="C105" s="2470">
        <v>2511230.62</v>
      </c>
      <c r="D105" s="2470">
        <v>5503983.0099999998</v>
      </c>
      <c r="E105" s="2471">
        <v>13895927.555000003</v>
      </c>
      <c r="F105" s="2472">
        <v>3906885</v>
      </c>
      <c r="G105" s="2470">
        <v>3906885</v>
      </c>
      <c r="H105" s="2473">
        <v>4877752</v>
      </c>
      <c r="I105" s="2474">
        <v>2116520.77</v>
      </c>
      <c r="J105" s="2470">
        <v>2343187.8470000001</v>
      </c>
      <c r="K105" s="2471">
        <v>2620523.5886400002</v>
      </c>
      <c r="L105" s="181"/>
      <c r="M105" s="182"/>
      <c r="N105" s="182"/>
      <c r="O105" s="182"/>
      <c r="P105" s="182"/>
      <c r="Q105" s="182"/>
      <c r="R105" s="182"/>
      <c r="S105" s="182"/>
      <c r="T105" s="182"/>
      <c r="U105" s="182"/>
      <c r="V105" s="182"/>
      <c r="W105" s="182"/>
      <c r="X105" s="1516" t="s">
        <v>774</v>
      </c>
      <c r="Y105" s="150" t="s">
        <v>586</v>
      </c>
    </row>
    <row r="106" spans="1:25" ht="11.25" customHeight="1">
      <c r="A106" s="1817" t="s">
        <v>1470</v>
      </c>
      <c r="B106" s="1041"/>
      <c r="C106" s="2470"/>
      <c r="D106" s="2470"/>
      <c r="E106" s="2471"/>
      <c r="F106" s="2472"/>
      <c r="G106" s="2470"/>
      <c r="H106" s="2473"/>
      <c r="I106" s="2474"/>
      <c r="J106" s="2470"/>
      <c r="K106" s="2471"/>
      <c r="L106" s="181"/>
      <c r="M106" s="182"/>
      <c r="N106" s="182"/>
      <c r="O106" s="182"/>
      <c r="P106" s="182"/>
      <c r="Q106" s="182"/>
      <c r="R106" s="182"/>
      <c r="S106" s="182"/>
      <c r="T106" s="182"/>
      <c r="U106" s="182"/>
      <c r="V106" s="182"/>
      <c r="W106" s="182"/>
    </row>
    <row r="107" spans="1:25" ht="11.25" customHeight="1">
      <c r="A107" s="1817" t="s">
        <v>1470</v>
      </c>
      <c r="B107" s="1041"/>
      <c r="C107" s="2470"/>
      <c r="D107" s="2470"/>
      <c r="E107" s="2471"/>
      <c r="F107" s="2472"/>
      <c r="G107" s="2470"/>
      <c r="H107" s="2473"/>
      <c r="I107" s="2474"/>
      <c r="J107" s="2470"/>
      <c r="K107" s="2471"/>
      <c r="L107" s="181"/>
      <c r="M107" s="182"/>
      <c r="N107" s="182"/>
      <c r="O107" s="182"/>
      <c r="P107" s="182"/>
      <c r="Q107" s="182"/>
      <c r="R107" s="182"/>
      <c r="S107" s="182"/>
      <c r="T107" s="182"/>
      <c r="U107" s="182"/>
      <c r="V107" s="182"/>
      <c r="W107" s="182"/>
    </row>
    <row r="108" spans="1:25" ht="11.25" customHeight="1">
      <c r="A108" s="1817" t="s">
        <v>1470</v>
      </c>
      <c r="B108" s="1041"/>
      <c r="C108" s="2470"/>
      <c r="D108" s="2470"/>
      <c r="E108" s="2471"/>
      <c r="F108" s="2472"/>
      <c r="G108" s="2470"/>
      <c r="H108" s="2473"/>
      <c r="I108" s="2474"/>
      <c r="J108" s="2470"/>
      <c r="K108" s="2471"/>
      <c r="L108" s="181"/>
      <c r="M108" s="182"/>
      <c r="N108" s="182"/>
      <c r="O108" s="182"/>
      <c r="P108" s="182"/>
      <c r="Q108" s="182"/>
      <c r="R108" s="182"/>
      <c r="S108" s="182"/>
      <c r="T108" s="182"/>
      <c r="U108" s="182"/>
      <c r="V108" s="182"/>
      <c r="W108" s="182"/>
    </row>
    <row r="109" spans="1:25" ht="11.25" customHeight="1">
      <c r="A109" s="1817" t="s">
        <v>1470</v>
      </c>
      <c r="B109" s="1041"/>
      <c r="C109" s="2470"/>
      <c r="D109" s="2470"/>
      <c r="E109" s="2471"/>
      <c r="F109" s="2472"/>
      <c r="G109" s="2470"/>
      <c r="H109" s="2473"/>
      <c r="I109" s="2474"/>
      <c r="J109" s="2470"/>
      <c r="K109" s="2471"/>
      <c r="L109" s="181"/>
      <c r="M109" s="182"/>
      <c r="N109" s="182"/>
      <c r="O109" s="182"/>
      <c r="P109" s="182"/>
      <c r="Q109" s="182"/>
      <c r="R109" s="182"/>
      <c r="S109" s="182"/>
      <c r="T109" s="182"/>
      <c r="U109" s="182"/>
      <c r="V109" s="182"/>
      <c r="W109" s="182"/>
    </row>
    <row r="110" spans="1:25" ht="11.25" customHeight="1">
      <c r="A110" s="1817" t="s">
        <v>1470</v>
      </c>
      <c r="B110" s="1041"/>
      <c r="C110" s="2470"/>
      <c r="D110" s="2470"/>
      <c r="E110" s="2471"/>
      <c r="F110" s="2472"/>
      <c r="G110" s="2470"/>
      <c r="H110" s="2473"/>
      <c r="I110" s="2474"/>
      <c r="J110" s="2470"/>
      <c r="K110" s="2471"/>
      <c r="L110" s="181"/>
      <c r="M110" s="182"/>
      <c r="N110" s="182"/>
      <c r="O110" s="182"/>
      <c r="P110" s="182"/>
      <c r="Q110" s="182"/>
      <c r="R110" s="182"/>
      <c r="S110" s="182"/>
      <c r="T110" s="182"/>
      <c r="U110" s="182"/>
      <c r="V110" s="182"/>
      <c r="W110" s="182"/>
    </row>
    <row r="111" spans="1:25" ht="11.25" customHeight="1">
      <c r="A111" s="1817" t="s">
        <v>1470</v>
      </c>
      <c r="B111" s="1041"/>
      <c r="C111" s="2470"/>
      <c r="D111" s="2470"/>
      <c r="E111" s="2471"/>
      <c r="F111" s="2472"/>
      <c r="G111" s="2470"/>
      <c r="H111" s="2473"/>
      <c r="I111" s="2474"/>
      <c r="J111" s="2470"/>
      <c r="K111" s="2471"/>
      <c r="L111" s="181"/>
      <c r="M111" s="182"/>
      <c r="N111" s="182"/>
      <c r="O111" s="182"/>
      <c r="P111" s="182"/>
      <c r="Q111" s="182"/>
      <c r="R111" s="182"/>
      <c r="S111" s="182"/>
      <c r="T111" s="182"/>
      <c r="U111" s="182"/>
      <c r="V111" s="182"/>
      <c r="W111" s="182"/>
    </row>
    <row r="112" spans="1:25" ht="11.25" customHeight="1">
      <c r="A112" s="1817" t="s">
        <v>1470</v>
      </c>
      <c r="B112" s="1041"/>
      <c r="C112" s="2470"/>
      <c r="D112" s="2470"/>
      <c r="E112" s="2471"/>
      <c r="F112" s="2472"/>
      <c r="G112" s="2470"/>
      <c r="H112" s="2473"/>
      <c r="I112" s="2474"/>
      <c r="J112" s="2470"/>
      <c r="K112" s="2471"/>
      <c r="L112" s="181"/>
      <c r="M112" s="182"/>
      <c r="N112" s="182"/>
      <c r="O112" s="182"/>
      <c r="P112" s="182"/>
      <c r="Q112" s="182"/>
      <c r="R112" s="182"/>
      <c r="S112" s="182"/>
      <c r="T112" s="182"/>
      <c r="U112" s="182"/>
      <c r="V112" s="182"/>
      <c r="W112" s="182"/>
    </row>
    <row r="113" spans="1:23" ht="11.25" customHeight="1">
      <c r="A113" s="1817" t="s">
        <v>1470</v>
      </c>
      <c r="B113" s="1041"/>
      <c r="C113" s="2470"/>
      <c r="D113" s="2470"/>
      <c r="E113" s="2471"/>
      <c r="F113" s="2472"/>
      <c r="G113" s="2470"/>
      <c r="H113" s="2473"/>
      <c r="I113" s="2474"/>
      <c r="J113" s="2470"/>
      <c r="K113" s="2471"/>
      <c r="L113" s="181"/>
      <c r="M113" s="182"/>
      <c r="N113" s="182"/>
      <c r="O113" s="182"/>
      <c r="P113" s="182"/>
      <c r="Q113" s="182"/>
      <c r="R113" s="182"/>
      <c r="S113" s="182"/>
      <c r="T113" s="182"/>
      <c r="U113" s="182"/>
      <c r="V113" s="182"/>
      <c r="W113" s="182"/>
    </row>
    <row r="114" spans="1:23" ht="11.25" customHeight="1">
      <c r="A114" s="1818" t="s">
        <v>1470</v>
      </c>
      <c r="B114" s="1041"/>
      <c r="C114" s="2470"/>
      <c r="D114" s="2470"/>
      <c r="E114" s="2471"/>
      <c r="F114" s="2472"/>
      <c r="G114" s="2470"/>
      <c r="H114" s="2473"/>
      <c r="I114" s="2474"/>
      <c r="J114" s="2470"/>
      <c r="K114" s="2471"/>
      <c r="L114" s="181"/>
      <c r="M114" s="182"/>
      <c r="N114" s="182"/>
      <c r="O114" s="182"/>
      <c r="P114" s="182"/>
      <c r="Q114" s="182"/>
      <c r="R114" s="182"/>
      <c r="S114" s="182"/>
      <c r="T114" s="182"/>
      <c r="U114" s="182"/>
      <c r="V114" s="182"/>
      <c r="W114" s="182"/>
    </row>
    <row r="115" spans="1:23" ht="11.25" customHeight="1">
      <c r="A115" s="1819" t="s">
        <v>3039</v>
      </c>
      <c r="B115" s="1041"/>
      <c r="C115" s="2433">
        <v>0</v>
      </c>
      <c r="D115" s="2433">
        <v>0</v>
      </c>
      <c r="E115" s="2434">
        <v>0</v>
      </c>
      <c r="F115" s="2435">
        <v>0</v>
      </c>
      <c r="G115" s="2433">
        <v>0</v>
      </c>
      <c r="H115" s="2436">
        <v>0</v>
      </c>
      <c r="I115" s="2437">
        <v>0</v>
      </c>
      <c r="J115" s="2433">
        <v>0</v>
      </c>
      <c r="K115" s="2434">
        <v>0</v>
      </c>
      <c r="L115" s="181"/>
      <c r="M115" s="182"/>
      <c r="N115" s="182"/>
      <c r="O115" s="182"/>
      <c r="P115" s="182"/>
      <c r="Q115" s="182"/>
      <c r="R115" s="182"/>
      <c r="S115" s="182"/>
      <c r="T115" s="182"/>
      <c r="U115" s="182"/>
      <c r="V115" s="182"/>
      <c r="W115" s="182"/>
    </row>
    <row r="116" spans="1:23" ht="11.25" customHeight="1">
      <c r="A116" s="1817"/>
      <c r="B116" s="1041"/>
      <c r="C116" s="2470"/>
      <c r="D116" s="2470"/>
      <c r="E116" s="2471"/>
      <c r="F116" s="2472"/>
      <c r="G116" s="2470"/>
      <c r="H116" s="2473"/>
      <c r="I116" s="2474"/>
      <c r="J116" s="2470"/>
      <c r="K116" s="2471"/>
      <c r="L116" s="181"/>
      <c r="M116" s="182"/>
      <c r="N116" s="182"/>
      <c r="O116" s="182"/>
      <c r="P116" s="182"/>
      <c r="Q116" s="182"/>
      <c r="R116" s="182"/>
      <c r="S116" s="182"/>
      <c r="T116" s="182"/>
      <c r="U116" s="182"/>
      <c r="V116" s="182"/>
      <c r="W116" s="182"/>
    </row>
    <row r="117" spans="1:23" ht="11.25" customHeight="1">
      <c r="A117" s="1817"/>
      <c r="B117" s="1041"/>
      <c r="C117" s="2470"/>
      <c r="D117" s="2470"/>
      <c r="E117" s="2471"/>
      <c r="F117" s="2472"/>
      <c r="G117" s="2470"/>
      <c r="H117" s="2473"/>
      <c r="I117" s="2474"/>
      <c r="J117" s="2470"/>
      <c r="K117" s="2471"/>
      <c r="L117" s="181"/>
      <c r="M117" s="182"/>
      <c r="N117" s="182"/>
      <c r="O117" s="182"/>
      <c r="P117" s="182"/>
      <c r="Q117" s="182"/>
      <c r="R117" s="182"/>
      <c r="S117" s="182"/>
      <c r="T117" s="182"/>
      <c r="U117" s="182"/>
      <c r="V117" s="182"/>
      <c r="W117" s="182"/>
    </row>
    <row r="118" spans="1:23" ht="11.25" customHeight="1">
      <c r="A118" s="1817"/>
      <c r="B118" s="1041"/>
      <c r="C118" s="2470"/>
      <c r="D118" s="2470"/>
      <c r="E118" s="2471"/>
      <c r="F118" s="2472"/>
      <c r="G118" s="2470"/>
      <c r="H118" s="2473"/>
      <c r="I118" s="2474"/>
      <c r="J118" s="2470"/>
      <c r="K118" s="2471"/>
      <c r="L118" s="181"/>
      <c r="M118" s="182"/>
      <c r="N118" s="182"/>
      <c r="O118" s="182"/>
      <c r="P118" s="182"/>
      <c r="Q118" s="182"/>
      <c r="R118" s="182"/>
      <c r="S118" s="182"/>
      <c r="T118" s="182"/>
      <c r="U118" s="182"/>
      <c r="V118" s="182"/>
      <c r="W118" s="182"/>
    </row>
    <row r="119" spans="1:23" ht="11.25" customHeight="1">
      <c r="A119" s="1817"/>
      <c r="B119" s="1041"/>
      <c r="C119" s="2470"/>
      <c r="D119" s="2470"/>
      <c r="E119" s="2471"/>
      <c r="F119" s="2472"/>
      <c r="G119" s="2470"/>
      <c r="H119" s="2473"/>
      <c r="I119" s="2474"/>
      <c r="J119" s="2470"/>
      <c r="K119" s="2471"/>
      <c r="L119" s="181"/>
      <c r="M119" s="182"/>
      <c r="N119" s="182"/>
      <c r="O119" s="182"/>
      <c r="P119" s="182"/>
      <c r="Q119" s="182"/>
      <c r="R119" s="182"/>
      <c r="S119" s="182"/>
      <c r="T119" s="182"/>
      <c r="U119" s="182"/>
      <c r="V119" s="182"/>
      <c r="W119" s="182"/>
    </row>
    <row r="120" spans="1:23" ht="11.25" customHeight="1">
      <c r="A120" s="1817"/>
      <c r="B120" s="1041"/>
      <c r="C120" s="2470"/>
      <c r="D120" s="2470"/>
      <c r="E120" s="2471"/>
      <c r="F120" s="2472"/>
      <c r="G120" s="2470"/>
      <c r="H120" s="2473"/>
      <c r="I120" s="2474"/>
      <c r="J120" s="2470"/>
      <c r="K120" s="2471"/>
      <c r="L120" s="181"/>
      <c r="M120" s="182"/>
      <c r="N120" s="182"/>
      <c r="O120" s="182"/>
      <c r="P120" s="182"/>
      <c r="Q120" s="182"/>
      <c r="R120" s="182"/>
      <c r="S120" s="182"/>
      <c r="T120" s="182"/>
      <c r="U120" s="182"/>
      <c r="V120" s="182"/>
      <c r="W120" s="182"/>
    </row>
    <row r="121" spans="1:23" ht="11.25" customHeight="1">
      <c r="A121" s="1817"/>
      <c r="B121" s="1041"/>
      <c r="C121" s="2470"/>
      <c r="D121" s="2470"/>
      <c r="E121" s="2471"/>
      <c r="F121" s="2472"/>
      <c r="G121" s="2470"/>
      <c r="H121" s="2473"/>
      <c r="I121" s="2474"/>
      <c r="J121" s="2470"/>
      <c r="K121" s="2471"/>
      <c r="L121" s="181"/>
      <c r="M121" s="182"/>
      <c r="N121" s="182"/>
      <c r="O121" s="182"/>
      <c r="P121" s="182"/>
      <c r="Q121" s="182"/>
      <c r="R121" s="182"/>
      <c r="S121" s="182"/>
      <c r="T121" s="182"/>
      <c r="U121" s="182"/>
      <c r="V121" s="182"/>
      <c r="W121" s="182"/>
    </row>
    <row r="122" spans="1:23" ht="11.25" customHeight="1">
      <c r="A122" s="1817"/>
      <c r="B122" s="1041"/>
      <c r="C122" s="2470"/>
      <c r="D122" s="2470"/>
      <c r="E122" s="2471"/>
      <c r="F122" s="2472"/>
      <c r="G122" s="2470"/>
      <c r="H122" s="2473"/>
      <c r="I122" s="2474"/>
      <c r="J122" s="2470"/>
      <c r="K122" s="2471"/>
      <c r="L122" s="181"/>
      <c r="M122" s="182"/>
      <c r="N122" s="182"/>
      <c r="O122" s="182"/>
      <c r="P122" s="182"/>
      <c r="Q122" s="182"/>
      <c r="R122" s="182"/>
      <c r="S122" s="182"/>
      <c r="T122" s="182"/>
      <c r="U122" s="182"/>
      <c r="V122" s="182"/>
      <c r="W122" s="182"/>
    </row>
    <row r="123" spans="1:23" ht="11.25" customHeight="1">
      <c r="A123" s="1817"/>
      <c r="B123" s="1041"/>
      <c r="C123" s="2470"/>
      <c r="D123" s="2470"/>
      <c r="E123" s="2471"/>
      <c r="F123" s="2472"/>
      <c r="G123" s="2470"/>
      <c r="H123" s="2473"/>
      <c r="I123" s="2474"/>
      <c r="J123" s="2470"/>
      <c r="K123" s="2471"/>
      <c r="L123" s="181"/>
      <c r="M123" s="182"/>
      <c r="N123" s="182"/>
      <c r="O123" s="182"/>
      <c r="P123" s="182"/>
      <c r="Q123" s="182"/>
      <c r="R123" s="182"/>
      <c r="S123" s="182"/>
      <c r="T123" s="182"/>
      <c r="U123" s="182"/>
      <c r="V123" s="182"/>
      <c r="W123" s="182"/>
    </row>
    <row r="124" spans="1:23" ht="11.25" customHeight="1">
      <c r="A124" s="1817"/>
      <c r="B124" s="1041"/>
      <c r="C124" s="2470"/>
      <c r="D124" s="2470"/>
      <c r="E124" s="2471"/>
      <c r="F124" s="2472"/>
      <c r="G124" s="2470"/>
      <c r="H124" s="2473"/>
      <c r="I124" s="2474"/>
      <c r="J124" s="2470"/>
      <c r="K124" s="2471"/>
      <c r="L124" s="181"/>
      <c r="M124" s="182"/>
      <c r="N124" s="182"/>
      <c r="O124" s="182"/>
      <c r="P124" s="182"/>
      <c r="Q124" s="182"/>
      <c r="R124" s="182"/>
      <c r="S124" s="182"/>
      <c r="T124" s="182"/>
      <c r="U124" s="182"/>
      <c r="V124" s="182"/>
      <c r="W124" s="182"/>
    </row>
    <row r="125" spans="1:23" ht="11.25" customHeight="1">
      <c r="A125" s="1817"/>
      <c r="B125" s="1041"/>
      <c r="C125" s="2470"/>
      <c r="D125" s="2470"/>
      <c r="E125" s="2471"/>
      <c r="F125" s="2472"/>
      <c r="G125" s="2470"/>
      <c r="H125" s="2473"/>
      <c r="I125" s="2474"/>
      <c r="J125" s="2470"/>
      <c r="K125" s="2471"/>
      <c r="L125" s="181"/>
      <c r="M125" s="182"/>
      <c r="N125" s="182"/>
      <c r="O125" s="182"/>
      <c r="P125" s="182"/>
      <c r="Q125" s="182"/>
      <c r="R125" s="182"/>
      <c r="S125" s="182"/>
      <c r="T125" s="182"/>
      <c r="U125" s="182"/>
      <c r="V125" s="182"/>
      <c r="W125" s="182"/>
    </row>
    <row r="126" spans="1:23" ht="11.25" customHeight="1">
      <c r="A126" s="1819" t="s">
        <v>3040</v>
      </c>
      <c r="B126" s="1041"/>
      <c r="C126" s="2433">
        <v>0</v>
      </c>
      <c r="D126" s="2433">
        <v>0</v>
      </c>
      <c r="E126" s="2434">
        <v>0</v>
      </c>
      <c r="F126" s="2435">
        <v>0</v>
      </c>
      <c r="G126" s="2433">
        <v>0</v>
      </c>
      <c r="H126" s="2436">
        <v>0</v>
      </c>
      <c r="I126" s="2437">
        <v>0</v>
      </c>
      <c r="J126" s="2433">
        <v>0</v>
      </c>
      <c r="K126" s="2434">
        <v>0</v>
      </c>
      <c r="L126" s="181"/>
      <c r="M126" s="182"/>
      <c r="N126" s="182"/>
      <c r="O126" s="182"/>
      <c r="P126" s="182"/>
      <c r="Q126" s="182"/>
      <c r="R126" s="182"/>
      <c r="S126" s="182"/>
      <c r="T126" s="182"/>
      <c r="U126" s="182"/>
      <c r="V126" s="182"/>
      <c r="W126" s="182"/>
    </row>
    <row r="127" spans="1:23" ht="11.25" customHeight="1">
      <c r="A127" s="1817"/>
      <c r="B127" s="1041"/>
      <c r="C127" s="2470"/>
      <c r="D127" s="2470"/>
      <c r="E127" s="2471"/>
      <c r="F127" s="2472"/>
      <c r="G127" s="2470"/>
      <c r="H127" s="2473"/>
      <c r="I127" s="2474"/>
      <c r="J127" s="2470"/>
      <c r="K127" s="2471"/>
      <c r="L127" s="181"/>
      <c r="M127" s="182"/>
      <c r="N127" s="182"/>
      <c r="O127" s="182"/>
      <c r="P127" s="182"/>
      <c r="Q127" s="182"/>
      <c r="R127" s="182"/>
      <c r="S127" s="182"/>
      <c r="T127" s="182"/>
      <c r="U127" s="182"/>
      <c r="V127" s="182"/>
      <c r="W127" s="182"/>
    </row>
    <row r="128" spans="1:23" ht="11.25" customHeight="1">
      <c r="A128" s="1817"/>
      <c r="B128" s="1041"/>
      <c r="C128" s="2470"/>
      <c r="D128" s="2470"/>
      <c r="E128" s="2471"/>
      <c r="F128" s="2472"/>
      <c r="G128" s="2470"/>
      <c r="H128" s="2473"/>
      <c r="I128" s="2474"/>
      <c r="J128" s="2470"/>
      <c r="K128" s="2471"/>
      <c r="L128" s="181"/>
      <c r="M128" s="182"/>
      <c r="N128" s="182"/>
      <c r="O128" s="182"/>
      <c r="P128" s="182"/>
      <c r="Q128" s="182"/>
      <c r="R128" s="182"/>
      <c r="S128" s="182"/>
      <c r="T128" s="182"/>
      <c r="U128" s="182"/>
      <c r="V128" s="182"/>
      <c r="W128" s="182"/>
    </row>
    <row r="129" spans="1:23" ht="11.25" customHeight="1">
      <c r="A129" s="1817"/>
      <c r="B129" s="1041"/>
      <c r="C129" s="2470"/>
      <c r="D129" s="2470"/>
      <c r="E129" s="2471"/>
      <c r="F129" s="2472"/>
      <c r="G129" s="2470"/>
      <c r="H129" s="2473"/>
      <c r="I129" s="2474"/>
      <c r="J129" s="2470"/>
      <c r="K129" s="2471"/>
      <c r="L129" s="181"/>
      <c r="M129" s="182"/>
      <c r="N129" s="182"/>
      <c r="O129" s="182"/>
      <c r="P129" s="182"/>
      <c r="Q129" s="182"/>
      <c r="R129" s="182"/>
      <c r="S129" s="182"/>
      <c r="T129" s="182"/>
      <c r="U129" s="182"/>
      <c r="V129" s="182"/>
      <c r="W129" s="182"/>
    </row>
    <row r="130" spans="1:23" ht="11.25" customHeight="1">
      <c r="A130" s="1817"/>
      <c r="B130" s="1041"/>
      <c r="C130" s="2470"/>
      <c r="D130" s="2470"/>
      <c r="E130" s="2471"/>
      <c r="F130" s="2472"/>
      <c r="G130" s="2470"/>
      <c r="H130" s="2473"/>
      <c r="I130" s="2474"/>
      <c r="J130" s="2470"/>
      <c r="K130" s="2471"/>
      <c r="L130" s="181"/>
      <c r="M130" s="182"/>
      <c r="N130" s="182"/>
      <c r="O130" s="182"/>
      <c r="P130" s="182"/>
      <c r="Q130" s="182"/>
      <c r="R130" s="182"/>
      <c r="S130" s="182"/>
      <c r="T130" s="182"/>
      <c r="U130" s="182"/>
      <c r="V130" s="182"/>
      <c r="W130" s="182"/>
    </row>
    <row r="131" spans="1:23" ht="11.25" customHeight="1">
      <c r="A131" s="1817"/>
      <c r="B131" s="1041"/>
      <c r="C131" s="2470"/>
      <c r="D131" s="2470"/>
      <c r="E131" s="2471"/>
      <c r="F131" s="2472"/>
      <c r="G131" s="2470"/>
      <c r="H131" s="2473"/>
      <c r="I131" s="2474"/>
      <c r="J131" s="2470"/>
      <c r="K131" s="2471"/>
      <c r="L131" s="181"/>
      <c r="M131" s="182"/>
      <c r="N131" s="182"/>
      <c r="O131" s="182"/>
      <c r="P131" s="182"/>
      <c r="Q131" s="182"/>
      <c r="R131" s="182"/>
      <c r="S131" s="182"/>
      <c r="T131" s="182"/>
      <c r="U131" s="182"/>
      <c r="V131" s="182"/>
      <c r="W131" s="182"/>
    </row>
    <row r="132" spans="1:23" ht="11.25" customHeight="1">
      <c r="A132" s="1817"/>
      <c r="B132" s="1041"/>
      <c r="C132" s="2470"/>
      <c r="D132" s="2470"/>
      <c r="E132" s="2471"/>
      <c r="F132" s="2472"/>
      <c r="G132" s="2470"/>
      <c r="H132" s="2473"/>
      <c r="I132" s="2474"/>
      <c r="J132" s="2470"/>
      <c r="K132" s="2471"/>
      <c r="L132" s="181"/>
      <c r="M132" s="182"/>
      <c r="N132" s="182"/>
      <c r="O132" s="182"/>
      <c r="P132" s="182"/>
      <c r="Q132" s="182"/>
      <c r="R132" s="182"/>
      <c r="S132" s="182"/>
      <c r="T132" s="182"/>
      <c r="U132" s="182"/>
      <c r="V132" s="182"/>
      <c r="W132" s="182"/>
    </row>
    <row r="133" spans="1:23" ht="11.25" customHeight="1">
      <c r="A133" s="1817"/>
      <c r="B133" s="1041"/>
      <c r="C133" s="2470"/>
      <c r="D133" s="2470"/>
      <c r="E133" s="2471"/>
      <c r="F133" s="2472"/>
      <c r="G133" s="2470"/>
      <c r="H133" s="2473"/>
      <c r="I133" s="2474"/>
      <c r="J133" s="2470"/>
      <c r="K133" s="2471"/>
      <c r="L133" s="181"/>
      <c r="M133" s="182"/>
      <c r="N133" s="182"/>
      <c r="O133" s="182"/>
      <c r="P133" s="182"/>
      <c r="Q133" s="182"/>
      <c r="R133" s="182"/>
      <c r="S133" s="182"/>
      <c r="T133" s="182"/>
      <c r="U133" s="182"/>
      <c r="V133" s="182"/>
      <c r="W133" s="182"/>
    </row>
    <row r="134" spans="1:23" ht="11.25" customHeight="1">
      <c r="A134" s="1817"/>
      <c r="B134" s="1041"/>
      <c r="C134" s="2470"/>
      <c r="D134" s="2470"/>
      <c r="E134" s="2471"/>
      <c r="F134" s="2472"/>
      <c r="G134" s="2470"/>
      <c r="H134" s="2473"/>
      <c r="I134" s="2474"/>
      <c r="J134" s="2470"/>
      <c r="K134" s="2471"/>
      <c r="L134" s="181"/>
      <c r="M134" s="182"/>
      <c r="N134" s="182"/>
      <c r="O134" s="182"/>
      <c r="P134" s="182"/>
      <c r="Q134" s="182"/>
      <c r="R134" s="182"/>
      <c r="S134" s="182"/>
      <c r="T134" s="182"/>
      <c r="U134" s="182"/>
      <c r="V134" s="182"/>
      <c r="W134" s="182"/>
    </row>
    <row r="135" spans="1:23" ht="11.25" customHeight="1">
      <c r="A135" s="1817"/>
      <c r="B135" s="1041"/>
      <c r="C135" s="2470"/>
      <c r="D135" s="2470"/>
      <c r="E135" s="2471"/>
      <c r="F135" s="2472"/>
      <c r="G135" s="2470"/>
      <c r="H135" s="2473"/>
      <c r="I135" s="2474"/>
      <c r="J135" s="2470"/>
      <c r="K135" s="2471"/>
      <c r="L135" s="181"/>
      <c r="M135" s="182"/>
      <c r="N135" s="182"/>
      <c r="O135" s="182"/>
      <c r="P135" s="182"/>
      <c r="Q135" s="182"/>
      <c r="R135" s="182"/>
      <c r="S135" s="182"/>
      <c r="T135" s="182"/>
      <c r="U135" s="182"/>
      <c r="V135" s="182"/>
      <c r="W135" s="182"/>
    </row>
    <row r="136" spans="1:23" ht="11.25" customHeight="1">
      <c r="A136" s="1817"/>
      <c r="B136" s="1041"/>
      <c r="C136" s="2470"/>
      <c r="D136" s="2470"/>
      <c r="E136" s="2471"/>
      <c r="F136" s="2472"/>
      <c r="G136" s="2470"/>
      <c r="H136" s="2473"/>
      <c r="I136" s="2474"/>
      <c r="J136" s="2470"/>
      <c r="K136" s="2471"/>
      <c r="L136" s="181"/>
      <c r="M136" s="182"/>
      <c r="N136" s="182"/>
      <c r="O136" s="182"/>
      <c r="P136" s="182"/>
      <c r="Q136" s="182"/>
      <c r="R136" s="182"/>
      <c r="S136" s="182"/>
      <c r="T136" s="182"/>
      <c r="U136" s="182"/>
      <c r="V136" s="182"/>
      <c r="W136" s="182"/>
    </row>
    <row r="137" spans="1:23" ht="11.25" customHeight="1">
      <c r="A137" s="1819" t="s">
        <v>3041</v>
      </c>
      <c r="B137" s="1041"/>
      <c r="C137" s="2433">
        <v>0</v>
      </c>
      <c r="D137" s="2433">
        <v>0</v>
      </c>
      <c r="E137" s="2434">
        <v>0</v>
      </c>
      <c r="F137" s="2435">
        <v>0</v>
      </c>
      <c r="G137" s="2433">
        <v>0</v>
      </c>
      <c r="H137" s="2436">
        <v>0</v>
      </c>
      <c r="I137" s="2437">
        <v>0</v>
      </c>
      <c r="J137" s="2433">
        <v>0</v>
      </c>
      <c r="K137" s="2434">
        <v>0</v>
      </c>
      <c r="L137" s="181"/>
      <c r="M137" s="182"/>
      <c r="N137" s="182"/>
      <c r="O137" s="182"/>
      <c r="P137" s="182"/>
      <c r="Q137" s="182"/>
      <c r="R137" s="182"/>
      <c r="S137" s="182"/>
      <c r="T137" s="182"/>
      <c r="U137" s="182"/>
      <c r="V137" s="182"/>
      <c r="W137" s="182"/>
    </row>
    <row r="138" spans="1:23" ht="11.25" customHeight="1">
      <c r="A138" s="1817"/>
      <c r="B138" s="1041"/>
      <c r="C138" s="2470"/>
      <c r="D138" s="2470"/>
      <c r="E138" s="2471"/>
      <c r="F138" s="2472"/>
      <c r="G138" s="2470"/>
      <c r="H138" s="2473"/>
      <c r="I138" s="2474"/>
      <c r="J138" s="2470"/>
      <c r="K138" s="2471"/>
      <c r="L138" s="181"/>
      <c r="M138" s="182"/>
      <c r="N138" s="182"/>
      <c r="O138" s="182"/>
      <c r="P138" s="182"/>
      <c r="Q138" s="182"/>
      <c r="R138" s="182"/>
      <c r="S138" s="182"/>
      <c r="T138" s="182"/>
      <c r="U138" s="182"/>
      <c r="V138" s="182"/>
      <c r="W138" s="182"/>
    </row>
    <row r="139" spans="1:23" ht="11.25" customHeight="1">
      <c r="A139" s="1817"/>
      <c r="B139" s="1041"/>
      <c r="C139" s="2470"/>
      <c r="D139" s="2470"/>
      <c r="E139" s="2471"/>
      <c r="F139" s="2472"/>
      <c r="G139" s="2470"/>
      <c r="H139" s="2473"/>
      <c r="I139" s="2474"/>
      <c r="J139" s="2470"/>
      <c r="K139" s="2471"/>
      <c r="L139" s="181"/>
      <c r="M139" s="182"/>
      <c r="N139" s="182"/>
      <c r="O139" s="182"/>
      <c r="P139" s="182"/>
      <c r="Q139" s="182"/>
      <c r="R139" s="182"/>
      <c r="S139" s="182"/>
      <c r="T139" s="182"/>
      <c r="U139" s="182"/>
      <c r="V139" s="182"/>
      <c r="W139" s="182"/>
    </row>
    <row r="140" spans="1:23" ht="11.25" customHeight="1">
      <c r="A140" s="1817"/>
      <c r="B140" s="1041"/>
      <c r="C140" s="2470"/>
      <c r="D140" s="2470"/>
      <c r="E140" s="2471"/>
      <c r="F140" s="2472"/>
      <c r="G140" s="2470"/>
      <c r="H140" s="2473"/>
      <c r="I140" s="2474"/>
      <c r="J140" s="2470"/>
      <c r="K140" s="2471"/>
      <c r="L140" s="181"/>
      <c r="M140" s="182"/>
      <c r="N140" s="182"/>
      <c r="O140" s="182"/>
      <c r="P140" s="182"/>
      <c r="Q140" s="182"/>
      <c r="R140" s="182"/>
      <c r="S140" s="182"/>
      <c r="T140" s="182"/>
      <c r="U140" s="182"/>
      <c r="V140" s="182"/>
      <c r="W140" s="182"/>
    </row>
    <row r="141" spans="1:23" ht="11.25" customHeight="1">
      <c r="A141" s="1817"/>
      <c r="B141" s="1041"/>
      <c r="C141" s="2470"/>
      <c r="D141" s="2470"/>
      <c r="E141" s="2471"/>
      <c r="F141" s="2472"/>
      <c r="G141" s="2470"/>
      <c r="H141" s="2473"/>
      <c r="I141" s="2474"/>
      <c r="J141" s="2470"/>
      <c r="K141" s="2471"/>
      <c r="L141" s="181"/>
      <c r="M141" s="182"/>
      <c r="N141" s="182"/>
      <c r="O141" s="182"/>
      <c r="P141" s="182"/>
      <c r="Q141" s="182"/>
      <c r="R141" s="182"/>
      <c r="S141" s="182"/>
      <c r="T141" s="182"/>
      <c r="U141" s="182"/>
      <c r="V141" s="182"/>
      <c r="W141" s="182"/>
    </row>
    <row r="142" spans="1:23" ht="11.25" customHeight="1">
      <c r="A142" s="1817"/>
      <c r="B142" s="1041"/>
      <c r="C142" s="2470"/>
      <c r="D142" s="2470"/>
      <c r="E142" s="2471"/>
      <c r="F142" s="2472"/>
      <c r="G142" s="2470"/>
      <c r="H142" s="2473"/>
      <c r="I142" s="2474"/>
      <c r="J142" s="2470"/>
      <c r="K142" s="2471"/>
      <c r="L142" s="181"/>
      <c r="M142" s="182"/>
      <c r="N142" s="182"/>
      <c r="O142" s="182"/>
      <c r="P142" s="182"/>
      <c r="Q142" s="182"/>
      <c r="R142" s="182"/>
      <c r="S142" s="182"/>
      <c r="T142" s="182"/>
      <c r="U142" s="182"/>
      <c r="V142" s="182"/>
      <c r="W142" s="182"/>
    </row>
    <row r="143" spans="1:23" ht="11.25" customHeight="1">
      <c r="A143" s="1817"/>
      <c r="B143" s="1041"/>
      <c r="C143" s="2470"/>
      <c r="D143" s="2470"/>
      <c r="E143" s="2471"/>
      <c r="F143" s="2472"/>
      <c r="G143" s="2470"/>
      <c r="H143" s="2473"/>
      <c r="I143" s="2474"/>
      <c r="J143" s="2470"/>
      <c r="K143" s="2471"/>
      <c r="L143" s="181"/>
      <c r="M143" s="182"/>
      <c r="N143" s="182"/>
      <c r="O143" s="182"/>
      <c r="P143" s="182"/>
      <c r="Q143" s="182"/>
      <c r="R143" s="182"/>
      <c r="S143" s="182"/>
      <c r="T143" s="182"/>
      <c r="U143" s="182"/>
      <c r="V143" s="182"/>
      <c r="W143" s="182"/>
    </row>
    <row r="144" spans="1:23" ht="11.25" customHeight="1">
      <c r="A144" s="1817"/>
      <c r="B144" s="1041"/>
      <c r="C144" s="2470"/>
      <c r="D144" s="2470"/>
      <c r="E144" s="2471"/>
      <c r="F144" s="2472"/>
      <c r="G144" s="2470"/>
      <c r="H144" s="2473"/>
      <c r="I144" s="2474"/>
      <c r="J144" s="2470"/>
      <c r="K144" s="2471"/>
      <c r="L144" s="181"/>
      <c r="M144" s="182"/>
      <c r="N144" s="182"/>
      <c r="O144" s="182"/>
      <c r="P144" s="182"/>
      <c r="Q144" s="182"/>
      <c r="R144" s="182"/>
      <c r="S144" s="182"/>
      <c r="T144" s="182"/>
      <c r="U144" s="182"/>
      <c r="V144" s="182"/>
      <c r="W144" s="182"/>
    </row>
    <row r="145" spans="1:23" ht="11.25" customHeight="1">
      <c r="A145" s="1817"/>
      <c r="B145" s="1041"/>
      <c r="C145" s="2470"/>
      <c r="D145" s="2470"/>
      <c r="E145" s="2471"/>
      <c r="F145" s="2472"/>
      <c r="G145" s="2470"/>
      <c r="H145" s="2473"/>
      <c r="I145" s="2474"/>
      <c r="J145" s="2470"/>
      <c r="K145" s="2471"/>
      <c r="L145" s="181"/>
      <c r="M145" s="182"/>
      <c r="N145" s="182"/>
      <c r="O145" s="182"/>
      <c r="P145" s="182"/>
      <c r="Q145" s="182"/>
      <c r="R145" s="182"/>
      <c r="S145" s="182"/>
      <c r="T145" s="182"/>
      <c r="U145" s="182"/>
      <c r="V145" s="182"/>
      <c r="W145" s="182"/>
    </row>
    <row r="146" spans="1:23" ht="11.25" customHeight="1">
      <c r="A146" s="1817"/>
      <c r="B146" s="1041"/>
      <c r="C146" s="2470"/>
      <c r="D146" s="2470"/>
      <c r="E146" s="2471"/>
      <c r="F146" s="2472"/>
      <c r="G146" s="2470"/>
      <c r="H146" s="2473"/>
      <c r="I146" s="2474"/>
      <c r="J146" s="2470"/>
      <c r="K146" s="2471"/>
      <c r="L146" s="181"/>
      <c r="M146" s="182"/>
      <c r="N146" s="182"/>
      <c r="O146" s="182"/>
      <c r="P146" s="182"/>
      <c r="Q146" s="182"/>
      <c r="R146" s="182"/>
      <c r="S146" s="182"/>
      <c r="T146" s="182"/>
      <c r="U146" s="182"/>
      <c r="V146" s="182"/>
      <c r="W146" s="182"/>
    </row>
    <row r="147" spans="1:23" ht="11.25" customHeight="1">
      <c r="A147" s="1817"/>
      <c r="B147" s="1041"/>
      <c r="C147" s="2470"/>
      <c r="D147" s="2470"/>
      <c r="E147" s="2471"/>
      <c r="F147" s="2472"/>
      <c r="G147" s="2470"/>
      <c r="H147" s="2473"/>
      <c r="I147" s="2474"/>
      <c r="J147" s="2470"/>
      <c r="K147" s="2471"/>
      <c r="L147" s="181"/>
      <c r="M147" s="182"/>
      <c r="N147" s="182"/>
      <c r="O147" s="182"/>
      <c r="P147" s="182"/>
      <c r="Q147" s="182"/>
      <c r="R147" s="182"/>
      <c r="S147" s="182"/>
      <c r="T147" s="182"/>
      <c r="U147" s="182"/>
      <c r="V147" s="182"/>
      <c r="W147" s="182"/>
    </row>
    <row r="148" spans="1:23" ht="11.25" customHeight="1">
      <c r="A148" s="1819" t="s">
        <v>2086</v>
      </c>
      <c r="B148" s="1041"/>
      <c r="C148" s="2433">
        <v>0</v>
      </c>
      <c r="D148" s="2433">
        <v>0</v>
      </c>
      <c r="E148" s="2434">
        <v>0</v>
      </c>
      <c r="F148" s="2435">
        <v>0</v>
      </c>
      <c r="G148" s="2433">
        <v>0</v>
      </c>
      <c r="H148" s="2436">
        <v>0</v>
      </c>
      <c r="I148" s="2437">
        <v>0</v>
      </c>
      <c r="J148" s="2433">
        <v>0</v>
      </c>
      <c r="K148" s="2434">
        <v>0</v>
      </c>
      <c r="L148" s="181"/>
      <c r="M148" s="182"/>
      <c r="N148" s="182"/>
      <c r="O148" s="182"/>
      <c r="P148" s="182"/>
      <c r="Q148" s="182"/>
      <c r="R148" s="182"/>
      <c r="S148" s="182"/>
      <c r="T148" s="182"/>
      <c r="U148" s="182"/>
      <c r="V148" s="182"/>
      <c r="W148" s="182"/>
    </row>
    <row r="149" spans="1:23" ht="11.25" customHeight="1">
      <c r="A149" s="1817" t="s">
        <v>823</v>
      </c>
      <c r="B149" s="1041"/>
      <c r="C149" s="2470"/>
      <c r="D149" s="2470"/>
      <c r="E149" s="2471"/>
      <c r="F149" s="2472"/>
      <c r="G149" s="2470"/>
      <c r="H149" s="2473"/>
      <c r="I149" s="2474"/>
      <c r="J149" s="2470"/>
      <c r="K149" s="2471"/>
      <c r="L149" s="181"/>
      <c r="M149" s="182"/>
      <c r="N149" s="182"/>
      <c r="O149" s="182"/>
      <c r="P149" s="182"/>
      <c r="Q149" s="182"/>
      <c r="R149" s="182"/>
      <c r="S149" s="182"/>
      <c r="T149" s="182"/>
      <c r="U149" s="182"/>
      <c r="V149" s="182"/>
      <c r="W149" s="182"/>
    </row>
    <row r="150" spans="1:23" ht="11.25" customHeight="1">
      <c r="A150" s="1817"/>
      <c r="B150" s="1041"/>
      <c r="C150" s="2470"/>
      <c r="D150" s="2470"/>
      <c r="E150" s="2471"/>
      <c r="F150" s="2472"/>
      <c r="G150" s="2470"/>
      <c r="H150" s="2473"/>
      <c r="I150" s="2474"/>
      <c r="J150" s="2470"/>
      <c r="K150" s="2471"/>
      <c r="L150" s="181"/>
      <c r="M150" s="182"/>
      <c r="N150" s="182"/>
      <c r="O150" s="182"/>
      <c r="P150" s="182"/>
      <c r="Q150" s="182"/>
      <c r="R150" s="182"/>
      <c r="S150" s="182"/>
      <c r="T150" s="182"/>
      <c r="U150" s="182"/>
      <c r="V150" s="182"/>
      <c r="W150" s="182"/>
    </row>
    <row r="151" spans="1:23" ht="11.25" customHeight="1">
      <c r="A151" s="1817"/>
      <c r="B151" s="1041"/>
      <c r="C151" s="2470"/>
      <c r="D151" s="2470"/>
      <c r="E151" s="2471"/>
      <c r="F151" s="2472"/>
      <c r="G151" s="2470"/>
      <c r="H151" s="2473"/>
      <c r="I151" s="2474"/>
      <c r="J151" s="2470"/>
      <c r="K151" s="2471"/>
      <c r="L151" s="181"/>
      <c r="M151" s="182"/>
      <c r="N151" s="182"/>
      <c r="O151" s="182"/>
      <c r="P151" s="182"/>
      <c r="Q151" s="182"/>
      <c r="R151" s="182"/>
      <c r="S151" s="182"/>
      <c r="T151" s="182"/>
      <c r="U151" s="182"/>
      <c r="V151" s="182"/>
      <c r="W151" s="182"/>
    </row>
    <row r="152" spans="1:23" ht="11.25" customHeight="1">
      <c r="A152" s="1817"/>
      <c r="B152" s="1041"/>
      <c r="C152" s="2470"/>
      <c r="D152" s="2470"/>
      <c r="E152" s="2471"/>
      <c r="F152" s="2472"/>
      <c r="G152" s="2470"/>
      <c r="H152" s="2473"/>
      <c r="I152" s="2474"/>
      <c r="J152" s="2470"/>
      <c r="K152" s="2471"/>
      <c r="L152" s="181"/>
      <c r="M152" s="182"/>
      <c r="N152" s="182"/>
      <c r="O152" s="182"/>
      <c r="P152" s="182"/>
      <c r="Q152" s="182"/>
      <c r="R152" s="182"/>
      <c r="S152" s="182"/>
      <c r="T152" s="182"/>
      <c r="U152" s="182"/>
      <c r="V152" s="182"/>
      <c r="W152" s="182"/>
    </row>
    <row r="153" spans="1:23" ht="11.25" customHeight="1">
      <c r="A153" s="1817"/>
      <c r="B153" s="1041"/>
      <c r="C153" s="2470"/>
      <c r="D153" s="2470"/>
      <c r="E153" s="2471"/>
      <c r="F153" s="2472"/>
      <c r="G153" s="2470"/>
      <c r="H153" s="2473"/>
      <c r="I153" s="2474"/>
      <c r="J153" s="2470"/>
      <c r="K153" s="2471"/>
      <c r="L153" s="181"/>
      <c r="M153" s="182"/>
      <c r="N153" s="182"/>
      <c r="O153" s="182"/>
      <c r="P153" s="182"/>
      <c r="Q153" s="182"/>
      <c r="R153" s="182"/>
      <c r="S153" s="182"/>
      <c r="T153" s="182"/>
      <c r="U153" s="182"/>
      <c r="V153" s="182"/>
      <c r="W153" s="182"/>
    </row>
    <row r="154" spans="1:23" ht="11.25" customHeight="1">
      <c r="A154" s="1817"/>
      <c r="B154" s="1041"/>
      <c r="C154" s="2470"/>
      <c r="D154" s="2470"/>
      <c r="E154" s="2471"/>
      <c r="F154" s="2472"/>
      <c r="G154" s="2470"/>
      <c r="H154" s="2473"/>
      <c r="I154" s="2474"/>
      <c r="J154" s="2470"/>
      <c r="K154" s="2471"/>
      <c r="L154" s="181"/>
      <c r="M154" s="182"/>
      <c r="N154" s="182"/>
      <c r="O154" s="182"/>
      <c r="P154" s="182"/>
      <c r="Q154" s="182"/>
      <c r="R154" s="182"/>
      <c r="S154" s="182"/>
      <c r="T154" s="182"/>
      <c r="U154" s="182"/>
      <c r="V154" s="182"/>
      <c r="W154" s="182"/>
    </row>
    <row r="155" spans="1:23" ht="11.25" customHeight="1">
      <c r="A155" s="1817"/>
      <c r="B155" s="1041"/>
      <c r="C155" s="2470"/>
      <c r="D155" s="2470"/>
      <c r="E155" s="2471"/>
      <c r="F155" s="2472"/>
      <c r="G155" s="2470"/>
      <c r="H155" s="2473"/>
      <c r="I155" s="2474"/>
      <c r="J155" s="2470"/>
      <c r="K155" s="2471"/>
      <c r="L155" s="181"/>
      <c r="M155" s="182"/>
      <c r="N155" s="182"/>
      <c r="O155" s="182"/>
      <c r="P155" s="182"/>
      <c r="Q155" s="182"/>
      <c r="R155" s="182"/>
      <c r="S155" s="182"/>
      <c r="T155" s="182"/>
      <c r="U155" s="182"/>
      <c r="V155" s="182"/>
      <c r="W155" s="182"/>
    </row>
    <row r="156" spans="1:23" ht="11.25" customHeight="1">
      <c r="A156" s="1817"/>
      <c r="B156" s="1041"/>
      <c r="C156" s="2470"/>
      <c r="D156" s="2470"/>
      <c r="E156" s="2471"/>
      <c r="F156" s="2472"/>
      <c r="G156" s="2470"/>
      <c r="H156" s="2473"/>
      <c r="I156" s="2474"/>
      <c r="J156" s="2470"/>
      <c r="K156" s="2471"/>
      <c r="L156" s="181"/>
      <c r="M156" s="182"/>
      <c r="N156" s="182"/>
      <c r="O156" s="182"/>
      <c r="P156" s="182"/>
      <c r="Q156" s="182"/>
      <c r="R156" s="182"/>
      <c r="S156" s="182"/>
      <c r="T156" s="182"/>
      <c r="U156" s="182"/>
      <c r="V156" s="182"/>
      <c r="W156" s="182"/>
    </row>
    <row r="157" spans="1:23" ht="11.25" customHeight="1">
      <c r="A157" s="1817"/>
      <c r="B157" s="1041"/>
      <c r="C157" s="2470"/>
      <c r="D157" s="2470"/>
      <c r="E157" s="2471"/>
      <c r="F157" s="2472"/>
      <c r="G157" s="2470"/>
      <c r="H157" s="2473"/>
      <c r="I157" s="2474"/>
      <c r="J157" s="2470"/>
      <c r="K157" s="2471"/>
      <c r="L157" s="181"/>
      <c r="M157" s="182"/>
      <c r="N157" s="182"/>
      <c r="O157" s="182"/>
      <c r="P157" s="182"/>
      <c r="Q157" s="182"/>
      <c r="R157" s="182"/>
      <c r="S157" s="182"/>
      <c r="T157" s="182"/>
      <c r="U157" s="182"/>
      <c r="V157" s="182"/>
      <c r="W157" s="182"/>
    </row>
    <row r="158" spans="1:23" ht="11.25" customHeight="1">
      <c r="A158" s="1817"/>
      <c r="B158" s="1041"/>
      <c r="C158" s="2470"/>
      <c r="D158" s="2470"/>
      <c r="E158" s="2471"/>
      <c r="F158" s="2472"/>
      <c r="G158" s="2470"/>
      <c r="H158" s="2473"/>
      <c r="I158" s="2474"/>
      <c r="J158" s="2470"/>
      <c r="K158" s="2471"/>
      <c r="L158" s="181"/>
      <c r="M158" s="182"/>
      <c r="N158" s="182"/>
      <c r="O158" s="182"/>
      <c r="P158" s="182"/>
      <c r="Q158" s="182"/>
      <c r="R158" s="182"/>
      <c r="S158" s="182"/>
      <c r="T158" s="182"/>
      <c r="U158" s="182"/>
      <c r="V158" s="182"/>
      <c r="W158" s="182"/>
    </row>
    <row r="159" spans="1:23" ht="11.25" customHeight="1">
      <c r="A159" s="1819" t="s">
        <v>2087</v>
      </c>
      <c r="B159" s="1041"/>
      <c r="C159" s="2433">
        <v>0</v>
      </c>
      <c r="D159" s="2433">
        <v>0</v>
      </c>
      <c r="E159" s="2434">
        <v>0</v>
      </c>
      <c r="F159" s="2435">
        <v>0</v>
      </c>
      <c r="G159" s="2433">
        <v>0</v>
      </c>
      <c r="H159" s="2436">
        <v>0</v>
      </c>
      <c r="I159" s="2437">
        <v>0</v>
      </c>
      <c r="J159" s="2433">
        <v>0</v>
      </c>
      <c r="K159" s="2434">
        <v>0</v>
      </c>
      <c r="L159" s="181"/>
      <c r="M159" s="182"/>
      <c r="N159" s="182"/>
      <c r="O159" s="182"/>
      <c r="P159" s="182"/>
      <c r="Q159" s="182"/>
      <c r="R159" s="182"/>
      <c r="S159" s="182"/>
      <c r="T159" s="182"/>
      <c r="U159" s="182"/>
      <c r="V159" s="182"/>
      <c r="W159" s="182"/>
    </row>
    <row r="160" spans="1:23" ht="11.25" customHeight="1">
      <c r="A160" s="1817" t="s">
        <v>823</v>
      </c>
      <c r="B160" s="1041"/>
      <c r="C160" s="2470"/>
      <c r="D160" s="2470"/>
      <c r="E160" s="2471"/>
      <c r="F160" s="2472"/>
      <c r="G160" s="2470"/>
      <c r="H160" s="2473"/>
      <c r="I160" s="2474"/>
      <c r="J160" s="2470"/>
      <c r="K160" s="2471"/>
      <c r="L160" s="181"/>
      <c r="M160" s="182"/>
      <c r="N160" s="182"/>
      <c r="O160" s="182"/>
      <c r="P160" s="182"/>
      <c r="Q160" s="182"/>
      <c r="R160" s="182"/>
      <c r="S160" s="182"/>
      <c r="T160" s="182"/>
      <c r="U160" s="182"/>
      <c r="V160" s="182"/>
      <c r="W160" s="182"/>
    </row>
    <row r="161" spans="1:25" ht="11.25" customHeight="1">
      <c r="A161" s="1817"/>
      <c r="B161" s="1041"/>
      <c r="C161" s="2470"/>
      <c r="D161" s="2470"/>
      <c r="E161" s="2471"/>
      <c r="F161" s="2472"/>
      <c r="G161" s="2470"/>
      <c r="H161" s="2473"/>
      <c r="I161" s="2474"/>
      <c r="J161" s="2470"/>
      <c r="K161" s="2471"/>
      <c r="L161" s="181"/>
      <c r="M161" s="182"/>
      <c r="N161" s="182"/>
      <c r="O161" s="182"/>
      <c r="P161" s="182"/>
      <c r="Q161" s="182"/>
      <c r="R161" s="182"/>
      <c r="S161" s="182"/>
      <c r="T161" s="182"/>
      <c r="U161" s="182"/>
      <c r="V161" s="182"/>
      <c r="W161" s="182"/>
    </row>
    <row r="162" spans="1:25" ht="11.25" customHeight="1">
      <c r="A162" s="1817"/>
      <c r="B162" s="1041"/>
      <c r="C162" s="2470"/>
      <c r="D162" s="2470"/>
      <c r="E162" s="2471"/>
      <c r="F162" s="2472"/>
      <c r="G162" s="2470"/>
      <c r="H162" s="2473"/>
      <c r="I162" s="2474"/>
      <c r="J162" s="2470"/>
      <c r="K162" s="2471"/>
      <c r="L162" s="181"/>
      <c r="M162" s="182"/>
      <c r="N162" s="182"/>
      <c r="O162" s="182"/>
      <c r="P162" s="182"/>
      <c r="Q162" s="182"/>
      <c r="R162" s="182"/>
      <c r="S162" s="182"/>
      <c r="T162" s="182"/>
      <c r="U162" s="182"/>
      <c r="V162" s="182"/>
      <c r="W162" s="182"/>
    </row>
    <row r="163" spans="1:25" ht="11.25" customHeight="1">
      <c r="A163" s="1817"/>
      <c r="B163" s="1041"/>
      <c r="C163" s="2470"/>
      <c r="D163" s="2470"/>
      <c r="E163" s="2471"/>
      <c r="F163" s="2472"/>
      <c r="G163" s="2470"/>
      <c r="H163" s="2473"/>
      <c r="I163" s="2474"/>
      <c r="J163" s="2470"/>
      <c r="K163" s="2471"/>
      <c r="L163" s="181"/>
      <c r="M163" s="182"/>
      <c r="N163" s="182"/>
      <c r="O163" s="182"/>
      <c r="P163" s="182"/>
      <c r="Q163" s="182"/>
      <c r="R163" s="182"/>
      <c r="S163" s="182"/>
      <c r="T163" s="182"/>
      <c r="U163" s="182"/>
      <c r="V163" s="182"/>
      <c r="W163" s="182"/>
    </row>
    <row r="164" spans="1:25" ht="11.25" customHeight="1">
      <c r="A164" s="1817"/>
      <c r="B164" s="1041"/>
      <c r="C164" s="2470"/>
      <c r="D164" s="2470"/>
      <c r="E164" s="2471"/>
      <c r="F164" s="2472"/>
      <c r="G164" s="2470"/>
      <c r="H164" s="2473"/>
      <c r="I164" s="2474"/>
      <c r="J164" s="2470"/>
      <c r="K164" s="2471"/>
      <c r="L164" s="181"/>
      <c r="M164" s="182"/>
      <c r="N164" s="182"/>
      <c r="O164" s="182"/>
      <c r="P164" s="182"/>
      <c r="Q164" s="182"/>
      <c r="R164" s="182"/>
      <c r="S164" s="182"/>
      <c r="T164" s="182"/>
      <c r="U164" s="182"/>
      <c r="V164" s="182"/>
      <c r="W164" s="182"/>
    </row>
    <row r="165" spans="1:25" ht="11.25" customHeight="1">
      <c r="A165" s="1817"/>
      <c r="B165" s="1041"/>
      <c r="C165" s="2470"/>
      <c r="D165" s="2470"/>
      <c r="E165" s="2471"/>
      <c r="F165" s="2472"/>
      <c r="G165" s="2470"/>
      <c r="H165" s="2473"/>
      <c r="I165" s="2474"/>
      <c r="J165" s="2470"/>
      <c r="K165" s="2471"/>
      <c r="L165" s="181"/>
      <c r="M165" s="182"/>
      <c r="N165" s="182"/>
      <c r="O165" s="182"/>
      <c r="P165" s="182"/>
      <c r="Q165" s="182"/>
      <c r="R165" s="182"/>
      <c r="S165" s="182"/>
      <c r="T165" s="182"/>
      <c r="U165" s="182"/>
      <c r="V165" s="182"/>
      <c r="W165" s="182"/>
    </row>
    <row r="166" spans="1:25" ht="11.25" customHeight="1">
      <c r="A166" s="1817"/>
      <c r="B166" s="1041"/>
      <c r="C166" s="2470"/>
      <c r="D166" s="2470"/>
      <c r="E166" s="2471"/>
      <c r="F166" s="2472"/>
      <c r="G166" s="2470"/>
      <c r="H166" s="2473"/>
      <c r="I166" s="2474"/>
      <c r="J166" s="2470"/>
      <c r="K166" s="2471"/>
      <c r="L166" s="181"/>
      <c r="M166" s="182"/>
      <c r="N166" s="182"/>
      <c r="O166" s="182"/>
      <c r="P166" s="182"/>
      <c r="Q166" s="182"/>
      <c r="R166" s="182"/>
      <c r="S166" s="182"/>
      <c r="T166" s="182"/>
      <c r="U166" s="182"/>
      <c r="V166" s="182"/>
      <c r="W166" s="182"/>
    </row>
    <row r="167" spans="1:25" ht="11.25" customHeight="1">
      <c r="A167" s="1817"/>
      <c r="B167" s="1041"/>
      <c r="C167" s="2470"/>
      <c r="D167" s="2470"/>
      <c r="E167" s="2471"/>
      <c r="F167" s="2472"/>
      <c r="G167" s="2470"/>
      <c r="H167" s="2473"/>
      <c r="I167" s="2474"/>
      <c r="J167" s="2470"/>
      <c r="K167" s="2471"/>
      <c r="L167" s="181"/>
      <c r="M167" s="182"/>
      <c r="N167" s="182"/>
      <c r="O167" s="182"/>
      <c r="P167" s="182"/>
      <c r="Q167" s="182"/>
      <c r="R167" s="182"/>
      <c r="S167" s="182"/>
      <c r="T167" s="182"/>
      <c r="U167" s="182"/>
      <c r="V167" s="182"/>
      <c r="W167" s="182"/>
    </row>
    <row r="168" spans="1:25" ht="11.25" customHeight="1">
      <c r="A168" s="1817"/>
      <c r="B168" s="1041"/>
      <c r="C168" s="2470"/>
      <c r="D168" s="2470"/>
      <c r="E168" s="2471"/>
      <c r="F168" s="2472"/>
      <c r="G168" s="2470"/>
      <c r="H168" s="2473"/>
      <c r="I168" s="2474"/>
      <c r="J168" s="2470"/>
      <c r="K168" s="2471"/>
      <c r="L168" s="181"/>
      <c r="M168" s="182"/>
      <c r="N168" s="182"/>
      <c r="O168" s="182"/>
      <c r="P168" s="182"/>
      <c r="Q168" s="182"/>
      <c r="R168" s="182"/>
      <c r="S168" s="182"/>
      <c r="T168" s="182"/>
      <c r="U168" s="182"/>
      <c r="V168" s="182"/>
      <c r="W168" s="182"/>
    </row>
    <row r="169" spans="1:25" ht="11.25" customHeight="1">
      <c r="A169" s="1817"/>
      <c r="B169" s="1041"/>
      <c r="C169" s="2470"/>
      <c r="D169" s="2470"/>
      <c r="E169" s="2471"/>
      <c r="F169" s="2472"/>
      <c r="G169" s="2470"/>
      <c r="H169" s="2473"/>
      <c r="I169" s="2474"/>
      <c r="J169" s="2470"/>
      <c r="K169" s="2471"/>
      <c r="L169" s="181"/>
      <c r="M169" s="182"/>
      <c r="N169" s="182"/>
      <c r="O169" s="182"/>
      <c r="P169" s="182"/>
      <c r="Q169" s="182"/>
      <c r="R169" s="182"/>
      <c r="S169" s="182"/>
      <c r="T169" s="182"/>
      <c r="U169" s="182"/>
      <c r="V169" s="182"/>
      <c r="W169" s="182"/>
    </row>
    <row r="170" spans="1:25" ht="11.25" customHeight="1">
      <c r="A170" s="1216" t="s">
        <v>182</v>
      </c>
      <c r="B170" s="1194">
        <v>2</v>
      </c>
      <c r="C170" s="2443">
        <v>27160977.57</v>
      </c>
      <c r="D170" s="2443">
        <v>69978558.301141277</v>
      </c>
      <c r="E170" s="2444">
        <v>54285546.63211295</v>
      </c>
      <c r="F170" s="2445">
        <v>50317010</v>
      </c>
      <c r="G170" s="2443">
        <v>51935190</v>
      </c>
      <c r="H170" s="2446">
        <v>77300330</v>
      </c>
      <c r="I170" s="2447">
        <v>54400349.663600005</v>
      </c>
      <c r="J170" s="2443">
        <v>61553596.945175998</v>
      </c>
      <c r="K170" s="2444">
        <v>65871434.534577996</v>
      </c>
      <c r="L170" s="185">
        <f t="shared" ref="L170:W170" si="0">SUM(L78:L81)</f>
        <v>0</v>
      </c>
      <c r="M170" s="186">
        <f t="shared" si="0"/>
        <v>0</v>
      </c>
      <c r="N170" s="186">
        <f t="shared" si="0"/>
        <v>0</v>
      </c>
      <c r="O170" s="186">
        <f t="shared" si="0"/>
        <v>0</v>
      </c>
      <c r="P170" s="186">
        <f t="shared" si="0"/>
        <v>0</v>
      </c>
      <c r="Q170" s="186">
        <f t="shared" si="0"/>
        <v>0</v>
      </c>
      <c r="R170" s="186">
        <f t="shared" si="0"/>
        <v>0</v>
      </c>
      <c r="S170" s="186">
        <f t="shared" si="0"/>
        <v>0</v>
      </c>
      <c r="T170" s="186">
        <f t="shared" si="0"/>
        <v>0</v>
      </c>
      <c r="U170" s="186">
        <f t="shared" si="0"/>
        <v>0</v>
      </c>
      <c r="V170" s="186">
        <f t="shared" si="0"/>
        <v>0</v>
      </c>
      <c r="W170" s="186">
        <f t="shared" si="0"/>
        <v>0</v>
      </c>
    </row>
    <row r="171" spans="1:25" ht="5.0999999999999996" customHeight="1">
      <c r="A171" s="1229"/>
      <c r="B171" s="1230"/>
      <c r="C171" s="2448"/>
      <c r="D171" s="2448"/>
      <c r="E171" s="2449"/>
      <c r="F171" s="2450"/>
      <c r="G171" s="2448"/>
      <c r="H171" s="2451"/>
      <c r="I171" s="2452"/>
      <c r="J171" s="2448"/>
      <c r="K171" s="2449"/>
      <c r="L171" s="181"/>
      <c r="M171" s="182"/>
      <c r="N171" s="182"/>
      <c r="O171" s="182"/>
      <c r="P171" s="182"/>
      <c r="Q171" s="182"/>
      <c r="R171" s="182"/>
      <c r="S171" s="182"/>
      <c r="T171" s="182"/>
      <c r="U171" s="182"/>
      <c r="V171" s="182"/>
      <c r="W171" s="182"/>
    </row>
    <row r="172" spans="1:25" ht="11.25" customHeight="1">
      <c r="A172" s="1231" t="s">
        <v>446</v>
      </c>
      <c r="B172" s="1232">
        <v>1</v>
      </c>
      <c r="C172" s="2453"/>
      <c r="D172" s="2453"/>
      <c r="E172" s="2454"/>
      <c r="F172" s="2455"/>
      <c r="G172" s="2453"/>
      <c r="H172" s="2456"/>
      <c r="I172" s="2457"/>
      <c r="J172" s="2453"/>
      <c r="K172" s="2454"/>
      <c r="L172" s="181"/>
      <c r="M172" s="182"/>
      <c r="N172" s="182"/>
      <c r="O172" s="182"/>
      <c r="P172" s="182"/>
      <c r="Q172" s="182"/>
      <c r="R172" s="182"/>
      <c r="S172" s="182"/>
      <c r="T172" s="182"/>
      <c r="U172" s="182"/>
      <c r="V172" s="182"/>
      <c r="W172" s="182"/>
    </row>
    <row r="173" spans="1:25" ht="11.25" customHeight="1">
      <c r="A173" s="1172" t="str">
        <f>A5</f>
        <v>Vote1 - Health</v>
      </c>
      <c r="B173" s="1233"/>
      <c r="C173" s="2458">
        <v>126811.14</v>
      </c>
      <c r="D173" s="2458">
        <v>139843.54</v>
      </c>
      <c r="E173" s="2459">
        <v>148555.74</v>
      </c>
      <c r="F173" s="2460">
        <v>296105</v>
      </c>
      <c r="G173" s="2458">
        <v>307370</v>
      </c>
      <c r="H173" s="2461">
        <v>157343</v>
      </c>
      <c r="I173" s="2462">
        <v>322915.06088630401</v>
      </c>
      <c r="J173" s="2458">
        <v>331779.73100799997</v>
      </c>
      <c r="K173" s="2459">
        <v>338395</v>
      </c>
      <c r="L173" s="181"/>
      <c r="M173" s="182"/>
      <c r="N173" s="182"/>
      <c r="O173" s="182"/>
      <c r="P173" s="182"/>
      <c r="Q173" s="182"/>
      <c r="R173" s="182"/>
      <c r="S173" s="182"/>
      <c r="T173" s="182"/>
      <c r="U173" s="182"/>
      <c r="V173" s="182"/>
      <c r="W173" s="182"/>
    </row>
    <row r="174" spans="1:25" ht="11.25" customHeight="1">
      <c r="A174" s="1173" t="str">
        <f t="shared" ref="A174:A183" si="1">A6</f>
        <v>Health Services</v>
      </c>
      <c r="B174" s="1041"/>
      <c r="C174" s="2468">
        <v>126811.14</v>
      </c>
      <c r="D174" s="2468">
        <v>139843.54</v>
      </c>
      <c r="E174" s="2475">
        <v>148555.74</v>
      </c>
      <c r="F174" s="2476">
        <v>296105</v>
      </c>
      <c r="G174" s="2468">
        <v>307370</v>
      </c>
      <c r="H174" s="2477">
        <v>157343</v>
      </c>
      <c r="I174" s="2469">
        <v>322915.06088630401</v>
      </c>
      <c r="J174" s="2468">
        <v>331779.73100799997</v>
      </c>
      <c r="K174" s="2475">
        <v>338395</v>
      </c>
      <c r="L174" s="181"/>
      <c r="M174" s="182"/>
      <c r="N174" s="182"/>
      <c r="O174" s="182"/>
      <c r="P174" s="182"/>
      <c r="Q174" s="182"/>
      <c r="R174" s="182"/>
      <c r="S174" s="182"/>
      <c r="T174" s="182"/>
      <c r="U174" s="182"/>
      <c r="V174" s="182"/>
      <c r="W174" s="182"/>
      <c r="X174" s="150">
        <f>X6</f>
        <v>0</v>
      </c>
      <c r="Y174" s="150" t="s">
        <v>1658</v>
      </c>
    </row>
    <row r="175" spans="1:25" ht="11.25" customHeight="1">
      <c r="A175" s="1173"/>
      <c r="B175" s="1041"/>
      <c r="C175" s="2468"/>
      <c r="D175" s="2468"/>
      <c r="E175" s="2475"/>
      <c r="F175" s="2476"/>
      <c r="G175" s="2468"/>
      <c r="H175" s="2477"/>
      <c r="I175" s="2469"/>
      <c r="J175" s="2468"/>
      <c r="K175" s="2475"/>
      <c r="L175" s="181"/>
      <c r="M175" s="182"/>
      <c r="N175" s="182"/>
      <c r="O175" s="182"/>
      <c r="P175" s="182"/>
      <c r="Q175" s="182"/>
      <c r="R175" s="182"/>
      <c r="S175" s="182"/>
      <c r="T175" s="182"/>
      <c r="U175" s="182"/>
      <c r="V175" s="182"/>
      <c r="W175" s="182"/>
    </row>
    <row r="176" spans="1:25" ht="11.25" customHeight="1">
      <c r="A176" s="1173"/>
      <c r="B176" s="1041"/>
      <c r="C176" s="2468"/>
      <c r="D176" s="2468"/>
      <c r="E176" s="2475"/>
      <c r="F176" s="2476"/>
      <c r="G176" s="2468"/>
      <c r="H176" s="2477"/>
      <c r="I176" s="2469"/>
      <c r="J176" s="2468"/>
      <c r="K176" s="2475"/>
      <c r="L176" s="181"/>
      <c r="M176" s="182"/>
      <c r="N176" s="182"/>
      <c r="O176" s="182"/>
      <c r="P176" s="182"/>
      <c r="Q176" s="182"/>
      <c r="R176" s="182"/>
      <c r="S176" s="182"/>
      <c r="T176" s="182"/>
      <c r="U176" s="182"/>
      <c r="V176" s="182"/>
      <c r="W176" s="182"/>
    </row>
    <row r="177" spans="1:25" ht="11.25" customHeight="1">
      <c r="A177" s="1173" t="str">
        <f t="shared" si="1"/>
        <v xml:space="preserve"> </v>
      </c>
      <c r="B177" s="1041"/>
      <c r="C177" s="2468"/>
      <c r="D177" s="2468"/>
      <c r="E177" s="2475"/>
      <c r="F177" s="2476"/>
      <c r="G177" s="2468"/>
      <c r="H177" s="2477"/>
      <c r="I177" s="2469"/>
      <c r="J177" s="2468"/>
      <c r="K177" s="2475"/>
      <c r="L177" s="181"/>
      <c r="M177" s="182"/>
      <c r="N177" s="182"/>
      <c r="O177" s="182"/>
      <c r="P177" s="182"/>
      <c r="Q177" s="182"/>
      <c r="R177" s="182"/>
      <c r="S177" s="182"/>
      <c r="T177" s="182"/>
      <c r="U177" s="182"/>
      <c r="V177" s="182"/>
      <c r="W177" s="182"/>
    </row>
    <row r="178" spans="1:25" ht="11.25" customHeight="1">
      <c r="A178" s="1173" t="str">
        <f t="shared" si="1"/>
        <v xml:space="preserve"> </v>
      </c>
      <c r="B178" s="1041"/>
      <c r="C178" s="2468"/>
      <c r="D178" s="2468"/>
      <c r="E178" s="2475"/>
      <c r="F178" s="2476"/>
      <c r="G178" s="2468"/>
      <c r="H178" s="2477"/>
      <c r="I178" s="2469"/>
      <c r="J178" s="2468"/>
      <c r="K178" s="2475"/>
      <c r="L178" s="181"/>
      <c r="M178" s="182"/>
      <c r="N178" s="182"/>
      <c r="O178" s="182"/>
      <c r="P178" s="182"/>
      <c r="Q178" s="182"/>
      <c r="R178" s="182"/>
      <c r="S178" s="182"/>
      <c r="T178" s="182"/>
      <c r="U178" s="182"/>
      <c r="V178" s="182"/>
      <c r="W178" s="182"/>
    </row>
    <row r="179" spans="1:25" ht="11.25" customHeight="1">
      <c r="A179" s="1173" t="str">
        <f t="shared" si="1"/>
        <v xml:space="preserve"> </v>
      </c>
      <c r="B179" s="1041"/>
      <c r="C179" s="2468"/>
      <c r="D179" s="2468"/>
      <c r="E179" s="2475"/>
      <c r="F179" s="2476"/>
      <c r="G179" s="2468"/>
      <c r="H179" s="2477"/>
      <c r="I179" s="2469"/>
      <c r="J179" s="2468"/>
      <c r="K179" s="2475"/>
      <c r="L179" s="181"/>
      <c r="M179" s="182"/>
      <c r="N179" s="182"/>
      <c r="O179" s="182"/>
      <c r="P179" s="182"/>
      <c r="Q179" s="182"/>
      <c r="R179" s="182"/>
      <c r="S179" s="182"/>
      <c r="T179" s="182"/>
      <c r="U179" s="182"/>
      <c r="V179" s="182"/>
      <c r="W179" s="182"/>
    </row>
    <row r="180" spans="1:25" ht="11.25" customHeight="1">
      <c r="A180" s="1173" t="str">
        <f t="shared" si="1"/>
        <v xml:space="preserve"> </v>
      </c>
      <c r="B180" s="1041"/>
      <c r="C180" s="2468"/>
      <c r="D180" s="2468"/>
      <c r="E180" s="2475"/>
      <c r="F180" s="2476"/>
      <c r="G180" s="2468"/>
      <c r="H180" s="2477"/>
      <c r="I180" s="2469"/>
      <c r="J180" s="2468"/>
      <c r="K180" s="2475"/>
      <c r="L180" s="181"/>
      <c r="M180" s="182"/>
      <c r="N180" s="182"/>
      <c r="O180" s="182"/>
      <c r="P180" s="182"/>
      <c r="Q180" s="182"/>
      <c r="R180" s="182"/>
      <c r="S180" s="182"/>
      <c r="T180" s="182"/>
      <c r="U180" s="182"/>
      <c r="V180" s="182"/>
      <c r="W180" s="182"/>
    </row>
    <row r="181" spans="1:25" ht="11.25" customHeight="1">
      <c r="A181" s="1173" t="str">
        <f t="shared" si="1"/>
        <v xml:space="preserve"> </v>
      </c>
      <c r="B181" s="1041"/>
      <c r="C181" s="2468"/>
      <c r="D181" s="2468"/>
      <c r="E181" s="2475"/>
      <c r="F181" s="2476"/>
      <c r="G181" s="2468"/>
      <c r="H181" s="2477"/>
      <c r="I181" s="2469"/>
      <c r="J181" s="2468"/>
      <c r="K181" s="2475"/>
      <c r="L181" s="181"/>
      <c r="M181" s="182"/>
      <c r="N181" s="182"/>
      <c r="O181" s="182"/>
      <c r="P181" s="182"/>
      <c r="Q181" s="182"/>
      <c r="R181" s="182"/>
      <c r="S181" s="182"/>
      <c r="T181" s="182"/>
      <c r="U181" s="182"/>
      <c r="V181" s="182"/>
      <c r="W181" s="182"/>
    </row>
    <row r="182" spans="1:25" ht="11.25" customHeight="1">
      <c r="A182" s="1173" t="str">
        <f t="shared" si="1"/>
        <v xml:space="preserve"> </v>
      </c>
      <c r="B182" s="1041"/>
      <c r="C182" s="2468"/>
      <c r="D182" s="2468"/>
      <c r="E182" s="2475"/>
      <c r="F182" s="2476"/>
      <c r="G182" s="2468"/>
      <c r="H182" s="2477"/>
      <c r="I182" s="2469"/>
      <c r="J182" s="2468"/>
      <c r="K182" s="2475"/>
      <c r="L182" s="181"/>
      <c r="M182" s="182"/>
      <c r="N182" s="182"/>
      <c r="O182" s="182"/>
      <c r="P182" s="182"/>
      <c r="Q182" s="182"/>
      <c r="R182" s="182"/>
      <c r="S182" s="182"/>
      <c r="T182" s="182"/>
      <c r="U182" s="182"/>
      <c r="V182" s="182"/>
      <c r="W182" s="182"/>
    </row>
    <row r="183" spans="1:25" ht="11.25" customHeight="1">
      <c r="A183" s="1173" t="str">
        <f t="shared" si="1"/>
        <v xml:space="preserve"> </v>
      </c>
      <c r="B183" s="1041"/>
      <c r="C183" s="2468"/>
      <c r="D183" s="2468"/>
      <c r="E183" s="2475"/>
      <c r="F183" s="2476"/>
      <c r="G183" s="2468"/>
      <c r="H183" s="2477"/>
      <c r="I183" s="2469"/>
      <c r="J183" s="2468"/>
      <c r="K183" s="2475"/>
      <c r="L183" s="181"/>
      <c r="M183" s="182"/>
      <c r="N183" s="182"/>
      <c r="O183" s="182"/>
      <c r="P183" s="182"/>
      <c r="Q183" s="182"/>
      <c r="R183" s="182"/>
      <c r="S183" s="182"/>
      <c r="T183" s="182"/>
      <c r="U183" s="182"/>
      <c r="V183" s="182"/>
      <c r="W183" s="182"/>
    </row>
    <row r="184" spans="1:25" ht="11.25" customHeight="1">
      <c r="A184" s="1172" t="str">
        <f>A16</f>
        <v>Vote2 - Planning &amp; Development</v>
      </c>
      <c r="B184" s="1048"/>
      <c r="C184" s="2433">
        <v>3452180.7800000007</v>
      </c>
      <c r="D184" s="2433">
        <v>4787776.7418619581</v>
      </c>
      <c r="E184" s="2434">
        <v>5511392.1564780828</v>
      </c>
      <c r="F184" s="2435">
        <v>8211175</v>
      </c>
      <c r="G184" s="2433">
        <v>6504160</v>
      </c>
      <c r="H184" s="2436">
        <v>4932472</v>
      </c>
      <c r="I184" s="2437">
        <v>7059161.2728321599</v>
      </c>
      <c r="J184" s="2433">
        <v>9220418.2443865594</v>
      </c>
      <c r="K184" s="2434">
        <v>9181406.9039374851</v>
      </c>
      <c r="L184" s="194"/>
      <c r="M184" s="195"/>
      <c r="N184" s="195"/>
      <c r="O184" s="195"/>
      <c r="P184" s="195"/>
      <c r="Q184" s="195"/>
      <c r="R184" s="195"/>
      <c r="S184" s="195"/>
      <c r="T184" s="195"/>
      <c r="U184" s="195"/>
      <c r="V184" s="195"/>
      <c r="W184" s="195"/>
    </row>
    <row r="185" spans="1:25" ht="11.25" customHeight="1">
      <c r="A185" s="1173" t="str">
        <f t="shared" ref="A185:A194" si="2">A17</f>
        <v>Public Works</v>
      </c>
      <c r="B185" s="1041"/>
      <c r="C185" s="2468">
        <v>3223366.8200000008</v>
      </c>
      <c r="D185" s="2468">
        <v>4012167.9024999179</v>
      </c>
      <c r="E185" s="2475">
        <v>4450360.9064780828</v>
      </c>
      <c r="F185" s="2476">
        <v>4763430</v>
      </c>
      <c r="G185" s="2468">
        <v>4745970</v>
      </c>
      <c r="H185" s="2477">
        <v>4015651</v>
      </c>
      <c r="I185" s="2469">
        <v>5161383.8442121278</v>
      </c>
      <c r="J185" s="2468">
        <v>5501101.2022879999</v>
      </c>
      <c r="K185" s="2475">
        <v>5847185.4984710393</v>
      </c>
      <c r="L185" s="194"/>
      <c r="M185" s="195"/>
      <c r="N185" s="195"/>
      <c r="O185" s="195"/>
      <c r="P185" s="195"/>
      <c r="Q185" s="195"/>
      <c r="R185" s="195"/>
      <c r="S185" s="195"/>
      <c r="T185" s="195"/>
      <c r="U185" s="195"/>
      <c r="V185" s="195"/>
      <c r="W185" s="195"/>
      <c r="X185" s="150">
        <f>X17</f>
        <v>0</v>
      </c>
      <c r="Y185" s="150" t="s">
        <v>1658</v>
      </c>
    </row>
    <row r="186" spans="1:25" ht="11.25" customHeight="1">
      <c r="A186" s="1173" t="str">
        <f t="shared" si="2"/>
        <v>Roads and Stormwater Drainage</v>
      </c>
      <c r="B186" s="1041"/>
      <c r="C186" s="2468">
        <v>220465.93999999997</v>
      </c>
      <c r="D186" s="2468">
        <v>764447.8793620402</v>
      </c>
      <c r="E186" s="2475">
        <v>1042347.9499999998</v>
      </c>
      <c r="F186" s="2476">
        <v>3401690</v>
      </c>
      <c r="G186" s="2468">
        <v>1725690</v>
      </c>
      <c r="H186" s="2477">
        <v>908931</v>
      </c>
      <c r="I186" s="2469">
        <v>1890777.428620032</v>
      </c>
      <c r="J186" s="2468">
        <v>3671157.0420985599</v>
      </c>
      <c r="K186" s="2475">
        <v>3283636.4054664448</v>
      </c>
      <c r="L186" s="194"/>
      <c r="M186" s="195"/>
      <c r="N186" s="195"/>
      <c r="O186" s="195"/>
      <c r="P186" s="195"/>
      <c r="Q186" s="195"/>
      <c r="R186" s="195"/>
      <c r="S186" s="195"/>
      <c r="T186" s="195"/>
      <c r="U186" s="195"/>
      <c r="V186" s="195"/>
      <c r="W186" s="195"/>
      <c r="X186" s="150">
        <f>X18</f>
        <v>0</v>
      </c>
      <c r="Y186" s="150" t="s">
        <v>1658</v>
      </c>
    </row>
    <row r="187" spans="1:25" ht="11.25" customHeight="1">
      <c r="A187" s="1173" t="str">
        <f t="shared" si="2"/>
        <v>Commonage</v>
      </c>
      <c r="B187" s="1041"/>
      <c r="C187" s="2468">
        <v>8348.02</v>
      </c>
      <c r="D187" s="2468">
        <v>11160.96</v>
      </c>
      <c r="E187" s="2475">
        <v>18683.3</v>
      </c>
      <c r="F187" s="2476">
        <v>46055</v>
      </c>
      <c r="G187" s="2468">
        <v>32000</v>
      </c>
      <c r="H187" s="2477">
        <v>7641</v>
      </c>
      <c r="I187" s="2469">
        <v>7000</v>
      </c>
      <c r="J187" s="2468">
        <v>48160</v>
      </c>
      <c r="K187" s="2475">
        <v>50585</v>
      </c>
      <c r="L187" s="194"/>
      <c r="M187" s="195"/>
      <c r="N187" s="195"/>
      <c r="O187" s="195"/>
      <c r="P187" s="195"/>
      <c r="Q187" s="195"/>
      <c r="R187" s="195"/>
      <c r="S187" s="195"/>
      <c r="T187" s="195"/>
      <c r="U187" s="195"/>
      <c r="V187" s="195"/>
      <c r="W187" s="195"/>
      <c r="X187" s="150">
        <f>X19</f>
        <v>0</v>
      </c>
      <c r="Y187" s="150" t="s">
        <v>1658</v>
      </c>
    </row>
    <row r="188" spans="1:25" ht="11.25" customHeight="1">
      <c r="A188" s="1173" t="str">
        <f t="shared" si="2"/>
        <v>Sunrise</v>
      </c>
      <c r="B188" s="1041"/>
      <c r="C188" s="2468">
        <v>0</v>
      </c>
      <c r="D188" s="2468">
        <v>0</v>
      </c>
      <c r="E188" s="2475">
        <v>0</v>
      </c>
      <c r="F188" s="2476">
        <v>0</v>
      </c>
      <c r="G188" s="2468">
        <v>500</v>
      </c>
      <c r="H188" s="2477">
        <v>249</v>
      </c>
      <c r="I188" s="2469">
        <v>0</v>
      </c>
      <c r="J188" s="2468">
        <v>0</v>
      </c>
      <c r="K188" s="2475">
        <v>0</v>
      </c>
      <c r="L188" s="194"/>
      <c r="M188" s="195"/>
      <c r="N188" s="195"/>
      <c r="O188" s="195"/>
      <c r="P188" s="195"/>
      <c r="Q188" s="195"/>
      <c r="R188" s="195"/>
      <c r="S188" s="195"/>
      <c r="T188" s="195"/>
      <c r="U188" s="195"/>
      <c r="V188" s="195"/>
      <c r="W188" s="195"/>
      <c r="X188" s="150">
        <f>X20</f>
        <v>0</v>
      </c>
      <c r="Y188" s="150" t="s">
        <v>1658</v>
      </c>
    </row>
    <row r="189" spans="1:25" ht="11.25" customHeight="1">
      <c r="A189" s="1173"/>
      <c r="B189" s="1041"/>
      <c r="C189" s="2468"/>
      <c r="D189" s="2468"/>
      <c r="E189" s="2475"/>
      <c r="F189" s="2476"/>
      <c r="G189" s="2468"/>
      <c r="H189" s="2477"/>
      <c r="I189" s="2469"/>
      <c r="J189" s="2468"/>
      <c r="K189" s="2475"/>
      <c r="L189" s="194"/>
      <c r="M189" s="195"/>
      <c r="N189" s="195"/>
      <c r="O189" s="195"/>
      <c r="P189" s="195"/>
      <c r="Q189" s="195"/>
      <c r="R189" s="195"/>
      <c r="S189" s="195"/>
      <c r="T189" s="195"/>
      <c r="U189" s="195"/>
      <c r="V189" s="195"/>
      <c r="W189" s="195"/>
    </row>
    <row r="190" spans="1:25" ht="11.25" customHeight="1">
      <c r="A190" s="1173" t="str">
        <f t="shared" si="2"/>
        <v xml:space="preserve"> </v>
      </c>
      <c r="B190" s="1041"/>
      <c r="C190" s="2468"/>
      <c r="D190" s="2468"/>
      <c r="E190" s="2475"/>
      <c r="F190" s="2476"/>
      <c r="G190" s="2468"/>
      <c r="H190" s="2477"/>
      <c r="I190" s="2469"/>
      <c r="J190" s="2468"/>
      <c r="K190" s="2475"/>
      <c r="L190" s="194"/>
      <c r="M190" s="195"/>
      <c r="N190" s="195"/>
      <c r="O190" s="195"/>
      <c r="P190" s="195"/>
      <c r="Q190" s="195"/>
      <c r="R190" s="195"/>
      <c r="S190" s="195"/>
      <c r="T190" s="195"/>
      <c r="U190" s="195"/>
      <c r="V190" s="195"/>
      <c r="W190" s="195"/>
    </row>
    <row r="191" spans="1:25" ht="11.25" customHeight="1">
      <c r="A191" s="1173" t="str">
        <f t="shared" si="2"/>
        <v xml:space="preserve"> </v>
      </c>
      <c r="B191" s="1041"/>
      <c r="C191" s="2468"/>
      <c r="D191" s="2468"/>
      <c r="E191" s="2475"/>
      <c r="F191" s="2476"/>
      <c r="G191" s="2468"/>
      <c r="H191" s="2477"/>
      <c r="I191" s="2469"/>
      <c r="J191" s="2468"/>
      <c r="K191" s="2475"/>
      <c r="L191" s="194"/>
      <c r="M191" s="195"/>
      <c r="N191" s="195"/>
      <c r="O191" s="195"/>
      <c r="P191" s="195"/>
      <c r="Q191" s="195"/>
      <c r="R191" s="195"/>
      <c r="S191" s="195"/>
      <c r="T191" s="195"/>
      <c r="U191" s="195"/>
      <c r="V191" s="195"/>
      <c r="W191" s="195"/>
    </row>
    <row r="192" spans="1:25" ht="11.25" customHeight="1">
      <c r="A192" s="1173" t="str">
        <f t="shared" si="2"/>
        <v xml:space="preserve"> </v>
      </c>
      <c r="B192" s="1041"/>
      <c r="C192" s="2468"/>
      <c r="D192" s="2468"/>
      <c r="E192" s="2475"/>
      <c r="F192" s="2476"/>
      <c r="G192" s="2468"/>
      <c r="H192" s="2477"/>
      <c r="I192" s="2469"/>
      <c r="J192" s="2468"/>
      <c r="K192" s="2475"/>
      <c r="L192" s="194"/>
      <c r="M192" s="195"/>
      <c r="N192" s="195"/>
      <c r="O192" s="195"/>
      <c r="P192" s="195"/>
      <c r="Q192" s="195"/>
      <c r="R192" s="195"/>
      <c r="S192" s="195"/>
      <c r="T192" s="195"/>
      <c r="U192" s="195"/>
      <c r="V192" s="195"/>
      <c r="W192" s="195"/>
    </row>
    <row r="193" spans="1:25" ht="11.25" customHeight="1">
      <c r="A193" s="1173" t="str">
        <f t="shared" si="2"/>
        <v xml:space="preserve"> </v>
      </c>
      <c r="B193" s="1041"/>
      <c r="C193" s="2468"/>
      <c r="D193" s="2468"/>
      <c r="E193" s="2475"/>
      <c r="F193" s="2476"/>
      <c r="G193" s="2468"/>
      <c r="H193" s="2477"/>
      <c r="I193" s="2469"/>
      <c r="J193" s="2468"/>
      <c r="K193" s="2475"/>
      <c r="L193" s="194"/>
      <c r="M193" s="195"/>
      <c r="N193" s="195"/>
      <c r="O193" s="195"/>
      <c r="P193" s="195"/>
      <c r="Q193" s="195"/>
      <c r="R193" s="195"/>
      <c r="S193" s="195"/>
      <c r="T193" s="195"/>
      <c r="U193" s="195"/>
      <c r="V193" s="195"/>
      <c r="W193" s="195"/>
    </row>
    <row r="194" spans="1:25" ht="11.25" customHeight="1">
      <c r="A194" s="1173" t="str">
        <f t="shared" si="2"/>
        <v xml:space="preserve"> </v>
      </c>
      <c r="B194" s="1041"/>
      <c r="C194" s="2468"/>
      <c r="D194" s="2468"/>
      <c r="E194" s="2475"/>
      <c r="F194" s="2476"/>
      <c r="G194" s="2468"/>
      <c r="H194" s="2477"/>
      <c r="I194" s="2469"/>
      <c r="J194" s="2468"/>
      <c r="K194" s="2475"/>
      <c r="L194" s="194"/>
      <c r="M194" s="195"/>
      <c r="N194" s="195"/>
      <c r="O194" s="195"/>
      <c r="P194" s="195"/>
      <c r="Q194" s="195"/>
      <c r="R194" s="195"/>
      <c r="S194" s="195"/>
      <c r="T194" s="195"/>
      <c r="U194" s="195"/>
      <c r="V194" s="195"/>
      <c r="W194" s="195"/>
    </row>
    <row r="195" spans="1:25" ht="11.25" customHeight="1">
      <c r="A195" s="1172" t="str">
        <f t="shared" ref="A195:A206" si="3">A27</f>
        <v>Vote3 - Budget &amp; Treasury</v>
      </c>
      <c r="B195" s="1048"/>
      <c r="C195" s="2433">
        <v>7394553.8299999991</v>
      </c>
      <c r="D195" s="2433">
        <v>25478851.807982765</v>
      </c>
      <c r="E195" s="2434">
        <v>13605029.588010162</v>
      </c>
      <c r="F195" s="2435">
        <v>15672220</v>
      </c>
      <c r="G195" s="2433">
        <v>16137495</v>
      </c>
      <c r="H195" s="2436">
        <v>47738522</v>
      </c>
      <c r="I195" s="2437">
        <v>33690213.633008167</v>
      </c>
      <c r="J195" s="2433">
        <v>26827069.431651283</v>
      </c>
      <c r="K195" s="2434">
        <v>28715800.04152846</v>
      </c>
      <c r="L195" s="194"/>
      <c r="M195" s="195"/>
      <c r="N195" s="195"/>
      <c r="O195" s="195"/>
      <c r="P195" s="195"/>
      <c r="Q195" s="195"/>
      <c r="R195" s="195"/>
      <c r="S195" s="195"/>
      <c r="T195" s="195"/>
      <c r="U195" s="195"/>
      <c r="V195" s="195"/>
      <c r="W195" s="195"/>
    </row>
    <row r="196" spans="1:25" ht="11.25" customHeight="1">
      <c r="A196" s="1173" t="str">
        <f t="shared" si="3"/>
        <v>Licences</v>
      </c>
      <c r="B196" s="1041"/>
      <c r="C196" s="2468">
        <v>675076.23999999987</v>
      </c>
      <c r="D196" s="2468">
        <v>1012311.04</v>
      </c>
      <c r="E196" s="2475">
        <v>1492667.01</v>
      </c>
      <c r="F196" s="2476">
        <v>1869020</v>
      </c>
      <c r="G196" s="2468">
        <v>2337400</v>
      </c>
      <c r="H196" s="2477">
        <v>2655357</v>
      </c>
      <c r="I196" s="2469">
        <v>3434737.004825728</v>
      </c>
      <c r="J196" s="2468">
        <v>3706664.4857391464</v>
      </c>
      <c r="K196" s="2475">
        <v>3901050.9705955391</v>
      </c>
      <c r="L196" s="194"/>
      <c r="M196" s="195"/>
      <c r="N196" s="195"/>
      <c r="O196" s="195"/>
      <c r="P196" s="195"/>
      <c r="Q196" s="195"/>
      <c r="R196" s="195"/>
      <c r="S196" s="195"/>
      <c r="T196" s="195"/>
      <c r="U196" s="195"/>
      <c r="V196" s="195"/>
      <c r="W196" s="195"/>
      <c r="X196" s="150" t="str">
        <f>X28</f>
        <v>Vehicle Licensing and Testing</v>
      </c>
      <c r="Y196" s="150" t="s">
        <v>1658</v>
      </c>
    </row>
    <row r="197" spans="1:25" ht="11.25" customHeight="1">
      <c r="A197" s="1173" t="str">
        <f t="shared" si="3"/>
        <v>Administration</v>
      </c>
      <c r="B197" s="1041"/>
      <c r="C197" s="2468">
        <v>1672586.6599999997</v>
      </c>
      <c r="D197" s="2468">
        <v>1778710.9279741189</v>
      </c>
      <c r="E197" s="2475">
        <v>2402223.6663080095</v>
      </c>
      <c r="F197" s="2476">
        <v>2890410</v>
      </c>
      <c r="G197" s="2468">
        <v>3090385</v>
      </c>
      <c r="H197" s="2477">
        <v>2303660</v>
      </c>
      <c r="I197" s="2469">
        <v>8802396.9505358338</v>
      </c>
      <c r="J197" s="2468">
        <v>9326036.0743760914</v>
      </c>
      <c r="K197" s="2475">
        <v>9882804.5338099934</v>
      </c>
      <c r="L197" s="194"/>
      <c r="M197" s="195"/>
      <c r="N197" s="195"/>
      <c r="O197" s="195"/>
      <c r="P197" s="195"/>
      <c r="Q197" s="195"/>
      <c r="R197" s="195"/>
      <c r="S197" s="195"/>
      <c r="T197" s="195"/>
      <c r="U197" s="195"/>
      <c r="V197" s="195"/>
      <c r="W197" s="195"/>
      <c r="X197" s="150" t="str">
        <f t="shared" ref="X197:X203" si="4">X29</f>
        <v>Budget and treasury office</v>
      </c>
      <c r="Y197" s="150" t="s">
        <v>1658</v>
      </c>
    </row>
    <row r="198" spans="1:25" ht="11.25" customHeight="1">
      <c r="A198" s="1173" t="str">
        <f t="shared" si="3"/>
        <v>Nature Reserve</v>
      </c>
      <c r="B198" s="1041"/>
      <c r="C198" s="2468">
        <v>0</v>
      </c>
      <c r="D198" s="2468">
        <v>0</v>
      </c>
      <c r="E198" s="2475">
        <v>111444.06</v>
      </c>
      <c r="F198" s="2476">
        <v>55000</v>
      </c>
      <c r="G198" s="2468">
        <v>31000</v>
      </c>
      <c r="H198" s="2477">
        <v>7957</v>
      </c>
      <c r="I198" s="2469">
        <v>30000</v>
      </c>
      <c r="J198" s="2468">
        <v>53000</v>
      </c>
      <c r="K198" s="2475">
        <v>54000</v>
      </c>
      <c r="L198" s="194"/>
      <c r="M198" s="195"/>
      <c r="N198" s="195"/>
      <c r="O198" s="195"/>
      <c r="P198" s="195"/>
      <c r="Q198" s="195"/>
      <c r="R198" s="195"/>
      <c r="S198" s="195"/>
      <c r="T198" s="195"/>
      <c r="U198" s="195"/>
      <c r="V198" s="195"/>
      <c r="W198" s="195"/>
      <c r="X198" s="150" t="str">
        <f t="shared" si="4"/>
        <v>Budget and treasury office</v>
      </c>
      <c r="Y198" s="150" t="s">
        <v>1658</v>
      </c>
    </row>
    <row r="199" spans="1:25" ht="11.25" customHeight="1">
      <c r="A199" s="1173" t="str">
        <f t="shared" si="3"/>
        <v>Property Tax</v>
      </c>
      <c r="B199" s="1041"/>
      <c r="C199" s="2468">
        <v>41130</v>
      </c>
      <c r="D199" s="2468">
        <v>-123184.92999135191</v>
      </c>
      <c r="E199" s="2475">
        <v>2109848.2917021541</v>
      </c>
      <c r="F199" s="2476">
        <v>1230000</v>
      </c>
      <c r="G199" s="2468">
        <v>1230000</v>
      </c>
      <c r="H199" s="2477">
        <v>35488023</v>
      </c>
      <c r="I199" s="2469">
        <v>10094540.240000043</v>
      </c>
      <c r="J199" s="2468">
        <v>1617096.2068</v>
      </c>
      <c r="K199" s="2475">
        <v>1743121.979208</v>
      </c>
      <c r="L199" s="194"/>
      <c r="M199" s="195"/>
      <c r="N199" s="195"/>
      <c r="O199" s="195"/>
      <c r="P199" s="195"/>
      <c r="Q199" s="195"/>
      <c r="R199" s="195"/>
      <c r="S199" s="195"/>
      <c r="T199" s="195"/>
      <c r="U199" s="195"/>
      <c r="V199" s="195"/>
      <c r="W199" s="195"/>
      <c r="X199" s="150" t="str">
        <f t="shared" si="4"/>
        <v>Budget and treasury office</v>
      </c>
      <c r="Y199" s="150" t="s">
        <v>1658</v>
      </c>
    </row>
    <row r="200" spans="1:25" ht="11.25" customHeight="1">
      <c r="A200" s="1173" t="str">
        <f t="shared" si="3"/>
        <v>Management Services</v>
      </c>
      <c r="B200" s="1041"/>
      <c r="C200" s="2468">
        <v>876118.95000000019</v>
      </c>
      <c r="D200" s="2468">
        <v>16168592.470000001</v>
      </c>
      <c r="E200" s="2475">
        <v>1288880.8800000001</v>
      </c>
      <c r="F200" s="2476">
        <v>1115040</v>
      </c>
      <c r="G200" s="2468">
        <v>1186590</v>
      </c>
      <c r="H200" s="2477">
        <v>1306859</v>
      </c>
      <c r="I200" s="2469">
        <v>1413642.2556397438</v>
      </c>
      <c r="J200" s="2468">
        <v>1510433.7384909235</v>
      </c>
      <c r="K200" s="2475">
        <v>1614296.2375701973</v>
      </c>
      <c r="L200" s="194"/>
      <c r="M200" s="195"/>
      <c r="N200" s="195"/>
      <c r="O200" s="195"/>
      <c r="P200" s="195"/>
      <c r="Q200" s="195"/>
      <c r="R200" s="195"/>
      <c r="S200" s="195"/>
      <c r="T200" s="195"/>
      <c r="U200" s="195"/>
      <c r="V200" s="195"/>
      <c r="W200" s="195"/>
      <c r="X200" s="150" t="str">
        <f t="shared" si="4"/>
        <v>Budget and treasury office</v>
      </c>
      <c r="Y200" s="150" t="s">
        <v>1658</v>
      </c>
    </row>
    <row r="201" spans="1:25" ht="11.25" customHeight="1">
      <c r="A201" s="1173" t="str">
        <f t="shared" si="3"/>
        <v>Finance</v>
      </c>
      <c r="B201" s="1041"/>
      <c r="C201" s="2463">
        <v>4012758.8199999994</v>
      </c>
      <c r="D201" s="2463">
        <v>5947659.1899999995</v>
      </c>
      <c r="E201" s="2465">
        <v>5943834.4100000001</v>
      </c>
      <c r="F201" s="2466">
        <v>7501225</v>
      </c>
      <c r="G201" s="2463">
        <v>7170245</v>
      </c>
      <c r="H201" s="2467">
        <v>4933779</v>
      </c>
      <c r="I201" s="2464">
        <v>8926355.719373472</v>
      </c>
      <c r="J201" s="2463">
        <v>9495110.7580480017</v>
      </c>
      <c r="K201" s="2465">
        <v>10344309.498691842</v>
      </c>
      <c r="L201" s="194"/>
      <c r="M201" s="195"/>
      <c r="N201" s="195"/>
      <c r="O201" s="195"/>
      <c r="P201" s="195"/>
      <c r="Q201" s="195"/>
      <c r="R201" s="195"/>
      <c r="S201" s="195"/>
      <c r="T201" s="195"/>
      <c r="U201" s="195"/>
      <c r="V201" s="195"/>
      <c r="W201" s="195"/>
      <c r="X201" s="150" t="str">
        <f t="shared" si="4"/>
        <v>Budget and treasury office</v>
      </c>
      <c r="Y201" s="150" t="s">
        <v>1658</v>
      </c>
    </row>
    <row r="202" spans="1:25" ht="11.25" customHeight="1">
      <c r="A202" s="1173" t="str">
        <f t="shared" si="3"/>
        <v>Buildings and Offices</v>
      </c>
      <c r="B202" s="1041"/>
      <c r="C202" s="2463">
        <v>116883.15999999999</v>
      </c>
      <c r="D202" s="2463">
        <v>694763.1100000001</v>
      </c>
      <c r="E202" s="2465">
        <v>256131.27</v>
      </c>
      <c r="F202" s="2466">
        <v>1011525</v>
      </c>
      <c r="G202" s="2463">
        <v>1091875</v>
      </c>
      <c r="H202" s="2467">
        <v>1042887</v>
      </c>
      <c r="I202" s="2464">
        <v>988541.462633344</v>
      </c>
      <c r="J202" s="2463">
        <v>1118728.1681971201</v>
      </c>
      <c r="K202" s="2465">
        <v>1176216.8216528897</v>
      </c>
      <c r="L202" s="194"/>
      <c r="M202" s="195"/>
      <c r="N202" s="195"/>
      <c r="O202" s="195"/>
      <c r="P202" s="195"/>
      <c r="Q202" s="195"/>
      <c r="R202" s="195"/>
      <c r="S202" s="195"/>
      <c r="T202" s="195"/>
      <c r="U202" s="195"/>
      <c r="V202" s="195"/>
      <c r="W202" s="195"/>
      <c r="X202" s="150" t="str">
        <f t="shared" si="4"/>
        <v>Property Services</v>
      </c>
      <c r="Y202" s="150" t="s">
        <v>1658</v>
      </c>
    </row>
    <row r="203" spans="1:25" ht="11.25" customHeight="1">
      <c r="A203" s="1173" t="str">
        <f t="shared" si="3"/>
        <v>Municipal Staff Housing</v>
      </c>
      <c r="B203" s="1041"/>
      <c r="C203" s="2463">
        <v>0</v>
      </c>
      <c r="D203" s="2463">
        <v>0</v>
      </c>
      <c r="E203" s="2465">
        <v>0</v>
      </c>
      <c r="F203" s="2466">
        <v>0</v>
      </c>
      <c r="G203" s="2463">
        <v>0</v>
      </c>
      <c r="H203" s="2467">
        <v>0</v>
      </c>
      <c r="I203" s="2464">
        <v>0</v>
      </c>
      <c r="J203" s="2463">
        <v>0</v>
      </c>
      <c r="K203" s="2465">
        <v>0</v>
      </c>
      <c r="L203" s="194"/>
      <c r="M203" s="195"/>
      <c r="N203" s="195"/>
      <c r="O203" s="195"/>
      <c r="P203" s="195"/>
      <c r="Q203" s="195"/>
      <c r="R203" s="195"/>
      <c r="S203" s="195"/>
      <c r="T203" s="195"/>
      <c r="U203" s="195"/>
      <c r="V203" s="195"/>
      <c r="W203" s="195"/>
      <c r="X203" s="150" t="str">
        <f t="shared" si="4"/>
        <v>Property Services</v>
      </c>
      <c r="Y203" s="150" t="s">
        <v>1658</v>
      </c>
    </row>
    <row r="204" spans="1:25" ht="11.25" customHeight="1">
      <c r="A204" s="1173" t="str">
        <f t="shared" si="3"/>
        <v xml:space="preserve"> </v>
      </c>
      <c r="B204" s="1041"/>
      <c r="C204" s="2438"/>
      <c r="D204" s="2438"/>
      <c r="E204" s="2439"/>
      <c r="F204" s="2440"/>
      <c r="G204" s="2438"/>
      <c r="H204" s="2441"/>
      <c r="I204" s="2442"/>
      <c r="J204" s="2438"/>
      <c r="K204" s="2439"/>
      <c r="L204" s="194"/>
      <c r="M204" s="195"/>
      <c r="N204" s="195"/>
      <c r="O204" s="195"/>
      <c r="P204" s="195"/>
      <c r="Q204" s="195"/>
      <c r="R204" s="195"/>
      <c r="S204" s="195"/>
      <c r="T204" s="195"/>
      <c r="U204" s="195"/>
      <c r="V204" s="195"/>
      <c r="W204" s="195"/>
    </row>
    <row r="205" spans="1:25" ht="11.25" customHeight="1">
      <c r="A205" s="1173" t="str">
        <f t="shared" si="3"/>
        <v xml:space="preserve"> </v>
      </c>
      <c r="B205" s="1041"/>
      <c r="C205" s="2438"/>
      <c r="D205" s="2438"/>
      <c r="E205" s="2439"/>
      <c r="F205" s="2440"/>
      <c r="G205" s="2438"/>
      <c r="H205" s="2441"/>
      <c r="I205" s="2442"/>
      <c r="J205" s="2438"/>
      <c r="K205" s="2439"/>
      <c r="L205" s="194"/>
      <c r="M205" s="195"/>
      <c r="N205" s="195"/>
      <c r="O205" s="195"/>
      <c r="P205" s="195"/>
      <c r="Q205" s="195"/>
      <c r="R205" s="195"/>
      <c r="S205" s="195"/>
      <c r="T205" s="195"/>
      <c r="U205" s="195"/>
      <c r="V205" s="195"/>
      <c r="W205" s="195"/>
    </row>
    <row r="206" spans="1:25" ht="11.25" customHeight="1">
      <c r="A206" s="1172" t="str">
        <f t="shared" si="3"/>
        <v>Vote4 - Community &amp; Social Services</v>
      </c>
      <c r="B206" s="1048"/>
      <c r="C206" s="2433">
        <v>416309.33999999997</v>
      </c>
      <c r="D206" s="2433">
        <v>884722.69</v>
      </c>
      <c r="E206" s="2434">
        <v>665752.14</v>
      </c>
      <c r="F206" s="2435">
        <v>1480985</v>
      </c>
      <c r="G206" s="2433">
        <v>1306590</v>
      </c>
      <c r="H206" s="2436">
        <v>790361</v>
      </c>
      <c r="I206" s="2437">
        <v>1694922.842094752</v>
      </c>
      <c r="J206" s="2433">
        <v>1844179.5734116803</v>
      </c>
      <c r="K206" s="2434">
        <v>1932502.1392846145</v>
      </c>
      <c r="L206" s="194"/>
      <c r="M206" s="195"/>
      <c r="N206" s="195"/>
      <c r="O206" s="195"/>
      <c r="P206" s="195"/>
      <c r="Q206" s="195"/>
      <c r="R206" s="195"/>
      <c r="S206" s="195"/>
      <c r="T206" s="195"/>
      <c r="U206" s="195"/>
      <c r="V206" s="195"/>
      <c r="W206" s="195"/>
    </row>
    <row r="207" spans="1:25" ht="11.25" customHeight="1">
      <c r="A207" s="1173" t="str">
        <f t="shared" ref="A207:A216" si="5">A39</f>
        <v>Cemetries</v>
      </c>
      <c r="B207" s="1041"/>
      <c r="C207" s="2463">
        <v>0</v>
      </c>
      <c r="D207" s="2463">
        <v>1069.0999999999999</v>
      </c>
      <c r="E207" s="2465">
        <v>0</v>
      </c>
      <c r="F207" s="2466">
        <v>120000</v>
      </c>
      <c r="G207" s="2463">
        <v>30000</v>
      </c>
      <c r="H207" s="2467">
        <v>13586</v>
      </c>
      <c r="I207" s="2464">
        <v>120000</v>
      </c>
      <c r="J207" s="2463">
        <v>120000</v>
      </c>
      <c r="K207" s="2465">
        <v>120000</v>
      </c>
      <c r="L207" s="194"/>
      <c r="M207" s="195"/>
      <c r="N207" s="195"/>
      <c r="O207" s="195"/>
      <c r="P207" s="195"/>
      <c r="Q207" s="195"/>
      <c r="R207" s="195"/>
      <c r="S207" s="195"/>
      <c r="T207" s="195"/>
      <c r="U207" s="195"/>
      <c r="V207" s="195"/>
      <c r="W207" s="195"/>
      <c r="X207" s="150" t="str">
        <f>X39</f>
        <v>Cemeteries &amp; Crematoriums</v>
      </c>
      <c r="Y207" s="150" t="s">
        <v>1658</v>
      </c>
    </row>
    <row r="208" spans="1:25" ht="11.25" customHeight="1">
      <c r="A208" s="1173" t="str">
        <f t="shared" si="5"/>
        <v>Aerodome</v>
      </c>
      <c r="B208" s="1041"/>
      <c r="C208" s="2463">
        <v>8759.58</v>
      </c>
      <c r="D208" s="2463">
        <v>39081.06</v>
      </c>
      <c r="E208" s="2465">
        <v>16677.04</v>
      </c>
      <c r="F208" s="2466">
        <v>69130</v>
      </c>
      <c r="G208" s="2463">
        <v>35100</v>
      </c>
      <c r="H208" s="2467">
        <v>11764</v>
      </c>
      <c r="I208" s="2464">
        <v>35100</v>
      </c>
      <c r="J208" s="2463">
        <v>55100</v>
      </c>
      <c r="K208" s="2465">
        <v>55100</v>
      </c>
      <c r="L208" s="194"/>
      <c r="M208" s="195"/>
      <c r="N208" s="195"/>
      <c r="O208" s="195"/>
      <c r="P208" s="195"/>
      <c r="Q208" s="195"/>
      <c r="R208" s="195"/>
      <c r="S208" s="195"/>
      <c r="T208" s="195"/>
      <c r="U208" s="195"/>
      <c r="V208" s="195"/>
      <c r="W208" s="195"/>
      <c r="X208" s="150" t="str">
        <f>X40</f>
        <v>Other Community</v>
      </c>
      <c r="Y208" s="150" t="s">
        <v>1658</v>
      </c>
    </row>
    <row r="209" spans="1:25" ht="11.25" customHeight="1">
      <c r="A209" s="1173" t="str">
        <f t="shared" si="5"/>
        <v>Abbatoir</v>
      </c>
      <c r="B209" s="1041"/>
      <c r="C209" s="2463">
        <v>7661.03</v>
      </c>
      <c r="D209" s="2463">
        <v>11158.31</v>
      </c>
      <c r="E209" s="2465">
        <v>10758.99</v>
      </c>
      <c r="F209" s="2466">
        <v>17105</v>
      </c>
      <c r="G209" s="2463">
        <v>3250</v>
      </c>
      <c r="H209" s="2467">
        <v>363</v>
      </c>
      <c r="I209" s="2464">
        <v>250</v>
      </c>
      <c r="J209" s="2463">
        <v>3250</v>
      </c>
      <c r="K209" s="2465">
        <v>3250</v>
      </c>
      <c r="L209" s="194"/>
      <c r="M209" s="195"/>
      <c r="N209" s="195"/>
      <c r="O209" s="195"/>
      <c r="P209" s="195"/>
      <c r="Q209" s="195"/>
      <c r="R209" s="195"/>
      <c r="S209" s="195"/>
      <c r="T209" s="195"/>
      <c r="U209" s="195"/>
      <c r="V209" s="195"/>
      <c r="W209" s="195"/>
      <c r="X209" s="150" t="str">
        <f>X41</f>
        <v>Other Community</v>
      </c>
      <c r="Y209" s="150" t="s">
        <v>1658</v>
      </c>
    </row>
    <row r="210" spans="1:25" ht="11.25" customHeight="1">
      <c r="A210" s="1173" t="str">
        <f t="shared" si="5"/>
        <v>Library</v>
      </c>
      <c r="B210" s="1041"/>
      <c r="C210" s="2463">
        <v>399888.73</v>
      </c>
      <c r="D210" s="2463">
        <v>833414.22</v>
      </c>
      <c r="E210" s="2465">
        <v>638316.11</v>
      </c>
      <c r="F210" s="2466">
        <v>1274750</v>
      </c>
      <c r="G210" s="2463">
        <v>1238240</v>
      </c>
      <c r="H210" s="2467">
        <v>764648</v>
      </c>
      <c r="I210" s="2464">
        <v>1539572.842094752</v>
      </c>
      <c r="J210" s="2463">
        <v>1665829.5734116803</v>
      </c>
      <c r="K210" s="2465">
        <v>1754152.1392846145</v>
      </c>
      <c r="L210" s="194"/>
      <c r="M210" s="195"/>
      <c r="N210" s="195"/>
      <c r="O210" s="195"/>
      <c r="P210" s="195"/>
      <c r="Q210" s="195"/>
      <c r="R210" s="195"/>
      <c r="S210" s="195"/>
      <c r="T210" s="195"/>
      <c r="U210" s="195"/>
      <c r="V210" s="195"/>
      <c r="W210" s="195"/>
      <c r="X210" s="150" t="str">
        <f>X42</f>
        <v>Libraries and Archives</v>
      </c>
      <c r="Y210" s="150" t="s">
        <v>1658</v>
      </c>
    </row>
    <row r="211" spans="1:25" ht="11.25" customHeight="1">
      <c r="A211" s="1173" t="str">
        <f t="shared" si="5"/>
        <v xml:space="preserve"> </v>
      </c>
      <c r="B211" s="1041"/>
      <c r="C211" s="2438"/>
      <c r="D211" s="2438"/>
      <c r="E211" s="2439"/>
      <c r="F211" s="2440"/>
      <c r="G211" s="2438"/>
      <c r="H211" s="2441"/>
      <c r="I211" s="2442"/>
      <c r="J211" s="2438"/>
      <c r="K211" s="2439"/>
      <c r="L211" s="194"/>
      <c r="M211" s="195"/>
      <c r="N211" s="195"/>
      <c r="O211" s="195"/>
      <c r="P211" s="195"/>
      <c r="Q211" s="195"/>
      <c r="R211" s="195"/>
      <c r="S211" s="195"/>
      <c r="T211" s="195"/>
      <c r="U211" s="195"/>
      <c r="V211" s="195"/>
      <c r="W211" s="195"/>
    </row>
    <row r="212" spans="1:25" ht="11.25" customHeight="1">
      <c r="A212" s="1173" t="str">
        <f t="shared" si="5"/>
        <v xml:space="preserve"> </v>
      </c>
      <c r="B212" s="1041"/>
      <c r="C212" s="2438"/>
      <c r="D212" s="2438"/>
      <c r="E212" s="2439"/>
      <c r="F212" s="2440"/>
      <c r="G212" s="2438"/>
      <c r="H212" s="2441"/>
      <c r="I212" s="2442"/>
      <c r="J212" s="2438"/>
      <c r="K212" s="2439"/>
      <c r="L212" s="194"/>
      <c r="M212" s="195"/>
      <c r="N212" s="195"/>
      <c r="O212" s="195"/>
      <c r="P212" s="195"/>
      <c r="Q212" s="195"/>
      <c r="R212" s="195"/>
      <c r="S212" s="195"/>
      <c r="T212" s="195"/>
      <c r="U212" s="195"/>
      <c r="V212" s="195"/>
      <c r="W212" s="195"/>
    </row>
    <row r="213" spans="1:25" ht="11.25" customHeight="1">
      <c r="A213" s="1173" t="str">
        <f t="shared" si="5"/>
        <v xml:space="preserve"> </v>
      </c>
      <c r="B213" s="1041"/>
      <c r="C213" s="2438"/>
      <c r="D213" s="2438"/>
      <c r="E213" s="2439"/>
      <c r="F213" s="2440"/>
      <c r="G213" s="2438"/>
      <c r="H213" s="2441"/>
      <c r="I213" s="2442"/>
      <c r="J213" s="2438"/>
      <c r="K213" s="2439"/>
      <c r="L213" s="194"/>
      <c r="M213" s="195"/>
      <c r="N213" s="195"/>
      <c r="O213" s="195"/>
      <c r="P213" s="195"/>
      <c r="Q213" s="195"/>
      <c r="R213" s="195"/>
      <c r="S213" s="195"/>
      <c r="T213" s="195"/>
      <c r="U213" s="195"/>
      <c r="V213" s="195"/>
      <c r="W213" s="195"/>
    </row>
    <row r="214" spans="1:25" ht="11.25" customHeight="1">
      <c r="A214" s="1173" t="str">
        <f t="shared" si="5"/>
        <v xml:space="preserve"> </v>
      </c>
      <c r="B214" s="1041"/>
      <c r="C214" s="2438"/>
      <c r="D214" s="2438"/>
      <c r="E214" s="2439"/>
      <c r="F214" s="2440"/>
      <c r="G214" s="2438"/>
      <c r="H214" s="2441"/>
      <c r="I214" s="2442"/>
      <c r="J214" s="2438"/>
      <c r="K214" s="2439"/>
      <c r="L214" s="194"/>
      <c r="M214" s="195"/>
      <c r="N214" s="195"/>
      <c r="O214" s="195"/>
      <c r="P214" s="195"/>
      <c r="Q214" s="195"/>
      <c r="R214" s="195"/>
      <c r="S214" s="195"/>
      <c r="T214" s="195"/>
      <c r="U214" s="195"/>
      <c r="V214" s="195"/>
      <c r="W214" s="195"/>
    </row>
    <row r="215" spans="1:25" ht="11.25" customHeight="1">
      <c r="A215" s="1173" t="str">
        <f t="shared" si="5"/>
        <v xml:space="preserve"> </v>
      </c>
      <c r="B215" s="1041"/>
      <c r="C215" s="2438"/>
      <c r="D215" s="2438"/>
      <c r="E215" s="2439"/>
      <c r="F215" s="2440"/>
      <c r="G215" s="2438"/>
      <c r="H215" s="2441"/>
      <c r="I215" s="2442"/>
      <c r="J215" s="2438"/>
      <c r="K215" s="2439"/>
      <c r="L215" s="194"/>
      <c r="M215" s="195"/>
      <c r="N215" s="195"/>
      <c r="O215" s="195"/>
      <c r="P215" s="195"/>
      <c r="Q215" s="195"/>
      <c r="R215" s="195"/>
      <c r="S215" s="195"/>
      <c r="T215" s="195"/>
      <c r="U215" s="195"/>
      <c r="V215" s="195"/>
      <c r="W215" s="195"/>
    </row>
    <row r="216" spans="1:25" ht="11.25" customHeight="1">
      <c r="A216" s="1173" t="str">
        <f t="shared" si="5"/>
        <v xml:space="preserve"> </v>
      </c>
      <c r="B216" s="1041"/>
      <c r="C216" s="2438"/>
      <c r="D216" s="2438"/>
      <c r="E216" s="2439"/>
      <c r="F216" s="2440"/>
      <c r="G216" s="2438"/>
      <c r="H216" s="2441"/>
      <c r="I216" s="2442"/>
      <c r="J216" s="2438"/>
      <c r="K216" s="2439"/>
      <c r="L216" s="194"/>
      <c r="M216" s="195"/>
      <c r="N216" s="195"/>
      <c r="O216" s="195"/>
      <c r="P216" s="195"/>
      <c r="Q216" s="195"/>
      <c r="R216" s="195"/>
      <c r="S216" s="195"/>
      <c r="T216" s="195"/>
      <c r="U216" s="195"/>
      <c r="V216" s="195"/>
      <c r="W216" s="195"/>
    </row>
    <row r="217" spans="1:25" ht="11.25" customHeight="1">
      <c r="A217" s="1172" t="str">
        <f>A49</f>
        <v>Vote5 - Executive &amp; Council</v>
      </c>
      <c r="B217" s="1048"/>
      <c r="C217" s="2433">
        <v>2256640.3800000004</v>
      </c>
      <c r="D217" s="2433">
        <v>2751651.0900000003</v>
      </c>
      <c r="E217" s="2434">
        <v>3231262.1914259489</v>
      </c>
      <c r="F217" s="2435">
        <v>3717100</v>
      </c>
      <c r="G217" s="2433">
        <v>3953775</v>
      </c>
      <c r="H217" s="2436">
        <v>3536111</v>
      </c>
      <c r="I217" s="2437">
        <v>4277883.5493879998</v>
      </c>
      <c r="J217" s="2433">
        <v>4007049.2333390401</v>
      </c>
      <c r="K217" s="2434">
        <v>4228593.5720061632</v>
      </c>
      <c r="L217" s="194"/>
      <c r="M217" s="195"/>
      <c r="N217" s="195"/>
      <c r="O217" s="195"/>
      <c r="P217" s="195"/>
      <c r="Q217" s="195"/>
      <c r="R217" s="195"/>
      <c r="S217" s="195"/>
      <c r="T217" s="195"/>
      <c r="U217" s="195"/>
      <c r="V217" s="195"/>
      <c r="W217" s="195"/>
    </row>
    <row r="218" spans="1:25" ht="11.25" customHeight="1">
      <c r="A218" s="1173" t="str">
        <f t="shared" ref="A218:A227" si="6">A50</f>
        <v>Council General Expenses</v>
      </c>
      <c r="B218" s="1041"/>
      <c r="C218" s="2463">
        <v>2256640.3800000004</v>
      </c>
      <c r="D218" s="2463">
        <v>2751651.0900000003</v>
      </c>
      <c r="E218" s="2465">
        <v>3231262.1914259489</v>
      </c>
      <c r="F218" s="2466">
        <v>3717100</v>
      </c>
      <c r="G218" s="2463">
        <v>3953775</v>
      </c>
      <c r="H218" s="2467">
        <v>3536111</v>
      </c>
      <c r="I218" s="2464">
        <v>4277883.5493879998</v>
      </c>
      <c r="J218" s="2463">
        <v>4007049.2333390401</v>
      </c>
      <c r="K218" s="2465">
        <v>4228593.5720061632</v>
      </c>
      <c r="L218" s="194"/>
      <c r="M218" s="195"/>
      <c r="N218" s="195"/>
      <c r="O218" s="195"/>
      <c r="P218" s="195"/>
      <c r="Q218" s="195"/>
      <c r="R218" s="195"/>
      <c r="S218" s="195"/>
      <c r="T218" s="195"/>
      <c r="U218" s="195"/>
      <c r="V218" s="195"/>
      <c r="W218" s="195"/>
    </row>
    <row r="219" spans="1:25" ht="11.25" customHeight="1">
      <c r="A219" s="1173"/>
      <c r="B219" s="1041"/>
      <c r="C219" s="2463"/>
      <c r="D219" s="2463"/>
      <c r="E219" s="2465"/>
      <c r="F219" s="2466"/>
      <c r="G219" s="2463"/>
      <c r="H219" s="2467"/>
      <c r="I219" s="2464"/>
      <c r="J219" s="2463"/>
      <c r="K219" s="2465"/>
      <c r="L219" s="194"/>
      <c r="M219" s="195"/>
      <c r="N219" s="195"/>
      <c r="O219" s="195"/>
      <c r="P219" s="195"/>
      <c r="Q219" s="195"/>
      <c r="R219" s="195"/>
      <c r="S219" s="195"/>
      <c r="T219" s="195"/>
      <c r="U219" s="195"/>
      <c r="V219" s="195"/>
      <c r="W219" s="195"/>
    </row>
    <row r="220" spans="1:25" ht="11.25" customHeight="1">
      <c r="A220" s="1173"/>
      <c r="B220" s="1041"/>
      <c r="C220" s="2463"/>
      <c r="D220" s="2463"/>
      <c r="E220" s="2465"/>
      <c r="F220" s="2466"/>
      <c r="G220" s="2463"/>
      <c r="H220" s="2467"/>
      <c r="I220" s="2464"/>
      <c r="J220" s="2463"/>
      <c r="K220" s="2465"/>
      <c r="L220" s="194"/>
      <c r="M220" s="195"/>
      <c r="N220" s="195"/>
      <c r="O220" s="195"/>
      <c r="P220" s="195"/>
      <c r="Q220" s="195"/>
      <c r="R220" s="195"/>
      <c r="S220" s="195"/>
      <c r="T220" s="195"/>
      <c r="U220" s="195"/>
      <c r="V220" s="195"/>
      <c r="W220" s="195"/>
    </row>
    <row r="221" spans="1:25" ht="11.25" customHeight="1">
      <c r="A221" s="1173"/>
      <c r="B221" s="1041"/>
      <c r="C221" s="2463"/>
      <c r="D221" s="2463"/>
      <c r="E221" s="2465"/>
      <c r="F221" s="2466"/>
      <c r="G221" s="2463"/>
      <c r="H221" s="2467"/>
      <c r="I221" s="2464"/>
      <c r="J221" s="2463"/>
      <c r="K221" s="2465"/>
      <c r="L221" s="194"/>
      <c r="M221" s="195"/>
      <c r="N221" s="195"/>
      <c r="O221" s="195"/>
      <c r="P221" s="195"/>
      <c r="Q221" s="195"/>
      <c r="R221" s="195"/>
      <c r="S221" s="195"/>
      <c r="T221" s="195"/>
      <c r="U221" s="195"/>
      <c r="V221" s="195"/>
      <c r="W221" s="195"/>
    </row>
    <row r="222" spans="1:25" ht="11.25" customHeight="1">
      <c r="A222" s="1173"/>
      <c r="B222" s="1041"/>
      <c r="C222" s="2463"/>
      <c r="D222" s="2463"/>
      <c r="E222" s="2465"/>
      <c r="F222" s="2466"/>
      <c r="G222" s="2463"/>
      <c r="H222" s="2467"/>
      <c r="I222" s="2464"/>
      <c r="J222" s="2463"/>
      <c r="K222" s="2465"/>
      <c r="L222" s="194"/>
      <c r="M222" s="195"/>
      <c r="N222" s="195"/>
      <c r="O222" s="195"/>
      <c r="P222" s="195"/>
      <c r="Q222" s="195"/>
      <c r="R222" s="195"/>
      <c r="S222" s="195"/>
      <c r="T222" s="195"/>
      <c r="U222" s="195"/>
      <c r="V222" s="195"/>
      <c r="W222" s="195"/>
    </row>
    <row r="223" spans="1:25" ht="11.25" customHeight="1">
      <c r="A223" s="1173" t="str">
        <f t="shared" si="6"/>
        <v xml:space="preserve"> </v>
      </c>
      <c r="B223" s="1041"/>
      <c r="C223" s="2438"/>
      <c r="D223" s="2438"/>
      <c r="E223" s="2439"/>
      <c r="F223" s="2440"/>
      <c r="G223" s="2438"/>
      <c r="H223" s="2441"/>
      <c r="I223" s="2442"/>
      <c r="J223" s="2438"/>
      <c r="K223" s="2439"/>
      <c r="L223" s="194"/>
      <c r="M223" s="195"/>
      <c r="N223" s="195"/>
      <c r="O223" s="195"/>
      <c r="P223" s="195"/>
      <c r="Q223" s="195"/>
      <c r="R223" s="195"/>
      <c r="S223" s="195"/>
      <c r="T223" s="195"/>
      <c r="U223" s="195"/>
      <c r="V223" s="195"/>
      <c r="W223" s="195"/>
    </row>
    <row r="224" spans="1:25" ht="11.25" customHeight="1">
      <c r="A224" s="1173" t="str">
        <f t="shared" si="6"/>
        <v xml:space="preserve"> </v>
      </c>
      <c r="B224" s="1041"/>
      <c r="C224" s="2438"/>
      <c r="D224" s="2438"/>
      <c r="E224" s="2439"/>
      <c r="F224" s="2440"/>
      <c r="G224" s="2438"/>
      <c r="H224" s="2441"/>
      <c r="I224" s="2442"/>
      <c r="J224" s="2438"/>
      <c r="K224" s="2439"/>
      <c r="L224" s="194"/>
      <c r="M224" s="195"/>
      <c r="N224" s="195"/>
      <c r="O224" s="195"/>
      <c r="P224" s="195"/>
      <c r="Q224" s="195"/>
      <c r="R224" s="195"/>
      <c r="S224" s="195"/>
      <c r="T224" s="195"/>
      <c r="U224" s="195"/>
      <c r="V224" s="195"/>
      <c r="W224" s="195"/>
    </row>
    <row r="225" spans="1:23" ht="11.25" customHeight="1">
      <c r="A225" s="1173" t="str">
        <f t="shared" si="6"/>
        <v xml:space="preserve"> </v>
      </c>
      <c r="B225" s="1041"/>
      <c r="C225" s="2438"/>
      <c r="D225" s="2438"/>
      <c r="E225" s="2439"/>
      <c r="F225" s="2440"/>
      <c r="G225" s="2438"/>
      <c r="H225" s="2441"/>
      <c r="I225" s="2442"/>
      <c r="J225" s="2438"/>
      <c r="K225" s="2439"/>
      <c r="L225" s="194"/>
      <c r="M225" s="195"/>
      <c r="N225" s="195"/>
      <c r="O225" s="195"/>
      <c r="P225" s="195"/>
      <c r="Q225" s="195"/>
      <c r="R225" s="195"/>
      <c r="S225" s="195"/>
      <c r="T225" s="195"/>
      <c r="U225" s="195"/>
      <c r="V225" s="195"/>
      <c r="W225" s="195"/>
    </row>
    <row r="226" spans="1:23" ht="11.25" customHeight="1">
      <c r="A226" s="1173" t="str">
        <f t="shared" si="6"/>
        <v xml:space="preserve"> </v>
      </c>
      <c r="B226" s="1041"/>
      <c r="C226" s="2438"/>
      <c r="D226" s="2438"/>
      <c r="E226" s="2439"/>
      <c r="F226" s="2440"/>
      <c r="G226" s="2438"/>
      <c r="H226" s="2441"/>
      <c r="I226" s="2442"/>
      <c r="J226" s="2438"/>
      <c r="K226" s="2439"/>
      <c r="L226" s="194"/>
      <c r="M226" s="195"/>
      <c r="N226" s="195"/>
      <c r="O226" s="195"/>
      <c r="P226" s="195"/>
      <c r="Q226" s="195"/>
      <c r="R226" s="195"/>
      <c r="S226" s="195"/>
      <c r="T226" s="195"/>
      <c r="U226" s="195"/>
      <c r="V226" s="195"/>
      <c r="W226" s="195"/>
    </row>
    <row r="227" spans="1:23" ht="11.25" customHeight="1">
      <c r="A227" s="1173" t="str">
        <f t="shared" si="6"/>
        <v xml:space="preserve"> </v>
      </c>
      <c r="B227" s="1041"/>
      <c r="C227" s="2438"/>
      <c r="D227" s="2438"/>
      <c r="E227" s="2439"/>
      <c r="F227" s="2440"/>
      <c r="G227" s="2438"/>
      <c r="H227" s="2441"/>
      <c r="I227" s="2442"/>
      <c r="J227" s="2438"/>
      <c r="K227" s="2439"/>
      <c r="L227" s="194"/>
      <c r="M227" s="195"/>
      <c r="N227" s="195"/>
      <c r="O227" s="195"/>
      <c r="P227" s="195"/>
      <c r="Q227" s="195"/>
      <c r="R227" s="195"/>
      <c r="S227" s="195"/>
      <c r="T227" s="195"/>
      <c r="U227" s="195"/>
      <c r="V227" s="195"/>
      <c r="W227" s="195"/>
    </row>
    <row r="228" spans="1:23" ht="11.25" customHeight="1">
      <c r="A228" s="1172" t="str">
        <f>A60</f>
        <v>Vote6 - Public Safety</v>
      </c>
      <c r="B228" s="1048"/>
      <c r="C228" s="2433">
        <v>49511.18</v>
      </c>
      <c r="D228" s="2433">
        <v>28629.749999999996</v>
      </c>
      <c r="E228" s="2434">
        <v>14895.75</v>
      </c>
      <c r="F228" s="2435">
        <v>228285</v>
      </c>
      <c r="G228" s="2433">
        <v>190300</v>
      </c>
      <c r="H228" s="2436">
        <v>71742</v>
      </c>
      <c r="I228" s="2437">
        <v>181500</v>
      </c>
      <c r="J228" s="2433">
        <v>230485</v>
      </c>
      <c r="K228" s="2434">
        <v>232995</v>
      </c>
      <c r="L228" s="194"/>
      <c r="M228" s="195"/>
      <c r="N228" s="195"/>
      <c r="O228" s="195"/>
      <c r="P228" s="195"/>
      <c r="Q228" s="195"/>
      <c r="R228" s="195"/>
      <c r="S228" s="195"/>
      <c r="T228" s="195"/>
      <c r="U228" s="195"/>
      <c r="V228" s="195"/>
      <c r="W228" s="195"/>
    </row>
    <row r="229" spans="1:23" ht="11.25" customHeight="1">
      <c r="A229" s="1173" t="str">
        <f t="shared" ref="A229:A238" si="7">A61</f>
        <v>Fire Brigade</v>
      </c>
      <c r="B229" s="1041"/>
      <c r="C229" s="2463">
        <v>49511.18</v>
      </c>
      <c r="D229" s="2463">
        <v>28629.749999999996</v>
      </c>
      <c r="E229" s="2465">
        <v>14895.75</v>
      </c>
      <c r="F229" s="2466">
        <v>228285</v>
      </c>
      <c r="G229" s="2463">
        <v>190300</v>
      </c>
      <c r="H229" s="2467">
        <v>71742</v>
      </c>
      <c r="I229" s="2464">
        <v>181500</v>
      </c>
      <c r="J229" s="2463">
        <v>230485</v>
      </c>
      <c r="K229" s="2465">
        <v>232995</v>
      </c>
      <c r="L229" s="194"/>
      <c r="M229" s="195"/>
      <c r="N229" s="195"/>
      <c r="O229" s="195"/>
      <c r="P229" s="195"/>
      <c r="Q229" s="195"/>
      <c r="R229" s="195"/>
      <c r="S229" s="195"/>
      <c r="T229" s="195"/>
      <c r="U229" s="195"/>
      <c r="V229" s="195"/>
      <c r="W229" s="195"/>
    </row>
    <row r="230" spans="1:23" ht="11.25" customHeight="1">
      <c r="A230" s="1173"/>
      <c r="B230" s="1041"/>
      <c r="C230" s="2463"/>
      <c r="D230" s="2463"/>
      <c r="E230" s="2465"/>
      <c r="F230" s="2466"/>
      <c r="G230" s="2463"/>
      <c r="H230" s="2467"/>
      <c r="I230" s="2464"/>
      <c r="J230" s="2463"/>
      <c r="K230" s="2465"/>
      <c r="L230" s="194"/>
      <c r="M230" s="195"/>
      <c r="N230" s="195"/>
      <c r="O230" s="195"/>
      <c r="P230" s="195"/>
      <c r="Q230" s="195"/>
      <c r="R230" s="195"/>
      <c r="S230" s="195"/>
      <c r="T230" s="195"/>
      <c r="U230" s="195"/>
      <c r="V230" s="195"/>
      <c r="W230" s="195"/>
    </row>
    <row r="231" spans="1:23" ht="11.25" customHeight="1">
      <c r="A231" s="1173" t="str">
        <f t="shared" si="7"/>
        <v xml:space="preserve"> </v>
      </c>
      <c r="B231" s="1041"/>
      <c r="C231" s="2438"/>
      <c r="D231" s="2438"/>
      <c r="E231" s="2439"/>
      <c r="F231" s="2440"/>
      <c r="G231" s="2438"/>
      <c r="H231" s="2441"/>
      <c r="I231" s="2442"/>
      <c r="J231" s="2438"/>
      <c r="K231" s="2439"/>
      <c r="L231" s="194"/>
      <c r="M231" s="195"/>
      <c r="N231" s="195"/>
      <c r="O231" s="195"/>
      <c r="P231" s="195"/>
      <c r="Q231" s="195"/>
      <c r="R231" s="195"/>
      <c r="S231" s="195"/>
      <c r="T231" s="195"/>
      <c r="U231" s="195"/>
      <c r="V231" s="195"/>
      <c r="W231" s="195"/>
    </row>
    <row r="232" spans="1:23" ht="11.25" customHeight="1">
      <c r="A232" s="1173" t="str">
        <f t="shared" si="7"/>
        <v xml:space="preserve"> </v>
      </c>
      <c r="B232" s="1041"/>
      <c r="C232" s="2438"/>
      <c r="D232" s="2438"/>
      <c r="E232" s="2439"/>
      <c r="F232" s="2440"/>
      <c r="G232" s="2438"/>
      <c r="H232" s="2441"/>
      <c r="I232" s="2442"/>
      <c r="J232" s="2438"/>
      <c r="K232" s="2439"/>
      <c r="L232" s="194"/>
      <c r="M232" s="195"/>
      <c r="N232" s="195"/>
      <c r="O232" s="195"/>
      <c r="P232" s="195"/>
      <c r="Q232" s="195"/>
      <c r="R232" s="195"/>
      <c r="S232" s="195"/>
      <c r="T232" s="195"/>
      <c r="U232" s="195"/>
      <c r="V232" s="195"/>
      <c r="W232" s="195"/>
    </row>
    <row r="233" spans="1:23" ht="11.25" customHeight="1">
      <c r="A233" s="1173" t="str">
        <f t="shared" si="7"/>
        <v xml:space="preserve"> </v>
      </c>
      <c r="B233" s="1041"/>
      <c r="C233" s="2438"/>
      <c r="D233" s="2438"/>
      <c r="E233" s="2439"/>
      <c r="F233" s="2440"/>
      <c r="G233" s="2438"/>
      <c r="H233" s="2441"/>
      <c r="I233" s="2442"/>
      <c r="J233" s="2438"/>
      <c r="K233" s="2439"/>
      <c r="L233" s="194"/>
      <c r="M233" s="195"/>
      <c r="N233" s="195"/>
      <c r="O233" s="195"/>
      <c r="P233" s="195"/>
      <c r="Q233" s="195"/>
      <c r="R233" s="195"/>
      <c r="S233" s="195"/>
      <c r="T233" s="195"/>
      <c r="U233" s="195"/>
      <c r="V233" s="195"/>
      <c r="W233" s="195"/>
    </row>
    <row r="234" spans="1:23" ht="11.25" customHeight="1">
      <c r="A234" s="1173" t="str">
        <f t="shared" si="7"/>
        <v xml:space="preserve"> </v>
      </c>
      <c r="B234" s="1041"/>
      <c r="C234" s="2438"/>
      <c r="D234" s="2438"/>
      <c r="E234" s="2439"/>
      <c r="F234" s="2440"/>
      <c r="G234" s="2438"/>
      <c r="H234" s="2441"/>
      <c r="I234" s="2442"/>
      <c r="J234" s="2438"/>
      <c r="K234" s="2439"/>
      <c r="L234" s="194"/>
      <c r="M234" s="195"/>
      <c r="N234" s="195"/>
      <c r="O234" s="195"/>
      <c r="P234" s="195"/>
      <c r="Q234" s="195"/>
      <c r="R234" s="195"/>
      <c r="S234" s="195"/>
      <c r="T234" s="195"/>
      <c r="U234" s="195"/>
      <c r="V234" s="195"/>
      <c r="W234" s="195"/>
    </row>
    <row r="235" spans="1:23" ht="11.25" customHeight="1">
      <c r="A235" s="1173" t="str">
        <f t="shared" si="7"/>
        <v xml:space="preserve"> </v>
      </c>
      <c r="B235" s="1041"/>
      <c r="C235" s="2438"/>
      <c r="D235" s="2438"/>
      <c r="E235" s="2439"/>
      <c r="F235" s="2440"/>
      <c r="G235" s="2438"/>
      <c r="H235" s="2441"/>
      <c r="I235" s="2442"/>
      <c r="J235" s="2438"/>
      <c r="K235" s="2439"/>
      <c r="L235" s="194"/>
      <c r="M235" s="195"/>
      <c r="N235" s="195"/>
      <c r="O235" s="195"/>
      <c r="P235" s="195"/>
      <c r="Q235" s="195"/>
      <c r="R235" s="195"/>
      <c r="S235" s="195"/>
      <c r="T235" s="195"/>
      <c r="U235" s="195"/>
      <c r="V235" s="195"/>
      <c r="W235" s="195"/>
    </row>
    <row r="236" spans="1:23" ht="11.25" customHeight="1">
      <c r="A236" s="1173" t="str">
        <f t="shared" si="7"/>
        <v xml:space="preserve"> </v>
      </c>
      <c r="B236" s="1041"/>
      <c r="C236" s="2438"/>
      <c r="D236" s="2438"/>
      <c r="E236" s="2439"/>
      <c r="F236" s="2440"/>
      <c r="G236" s="2438"/>
      <c r="H236" s="2441"/>
      <c r="I236" s="2442"/>
      <c r="J236" s="2438"/>
      <c r="K236" s="2439"/>
      <c r="L236" s="194"/>
      <c r="M236" s="195"/>
      <c r="N236" s="195"/>
      <c r="O236" s="195"/>
      <c r="P236" s="195"/>
      <c r="Q236" s="195"/>
      <c r="R236" s="195"/>
      <c r="S236" s="195"/>
      <c r="T236" s="195"/>
      <c r="U236" s="195"/>
      <c r="V236" s="195"/>
      <c r="W236" s="195"/>
    </row>
    <row r="237" spans="1:23" ht="11.25" customHeight="1">
      <c r="A237" s="1173" t="str">
        <f t="shared" si="7"/>
        <v xml:space="preserve"> </v>
      </c>
      <c r="B237" s="1041"/>
      <c r="C237" s="2438"/>
      <c r="D237" s="2438"/>
      <c r="E237" s="2439"/>
      <c r="F237" s="2440"/>
      <c r="G237" s="2438"/>
      <c r="H237" s="2441"/>
      <c r="I237" s="2442"/>
      <c r="J237" s="2438"/>
      <c r="K237" s="2439"/>
      <c r="L237" s="194"/>
      <c r="M237" s="195"/>
      <c r="N237" s="195"/>
      <c r="O237" s="195"/>
      <c r="P237" s="195"/>
      <c r="Q237" s="195"/>
      <c r="R237" s="195"/>
      <c r="S237" s="195"/>
      <c r="T237" s="195"/>
      <c r="U237" s="195"/>
      <c r="V237" s="195"/>
      <c r="W237" s="195"/>
    </row>
    <row r="238" spans="1:23" ht="11.25" customHeight="1">
      <c r="A238" s="1173" t="str">
        <f t="shared" si="7"/>
        <v xml:space="preserve"> </v>
      </c>
      <c r="B238" s="1041"/>
      <c r="C238" s="2438"/>
      <c r="D238" s="2438"/>
      <c r="E238" s="2439"/>
      <c r="F238" s="2440"/>
      <c r="G238" s="2438"/>
      <c r="H238" s="2441"/>
      <c r="I238" s="2442"/>
      <c r="J238" s="2438"/>
      <c r="K238" s="2439"/>
      <c r="L238" s="194"/>
      <c r="M238" s="195"/>
      <c r="N238" s="195"/>
      <c r="O238" s="195"/>
      <c r="P238" s="195"/>
      <c r="Q238" s="195"/>
      <c r="R238" s="195"/>
      <c r="S238" s="195"/>
      <c r="T238" s="195"/>
      <c r="U238" s="195"/>
      <c r="V238" s="195"/>
      <c r="W238" s="195"/>
    </row>
    <row r="239" spans="1:23" ht="11.25" customHeight="1">
      <c r="A239" s="1172" t="str">
        <f>A71</f>
        <v>Vote7 - Sport &amp; Recreation</v>
      </c>
      <c r="B239" s="1048"/>
      <c r="C239" s="2433">
        <v>45893.610000000008</v>
      </c>
      <c r="D239" s="2433">
        <v>512695.67</v>
      </c>
      <c r="E239" s="2434">
        <v>69734.47</v>
      </c>
      <c r="F239" s="2435">
        <v>196805</v>
      </c>
      <c r="G239" s="2433">
        <v>172100</v>
      </c>
      <c r="H239" s="2436">
        <v>72632</v>
      </c>
      <c r="I239" s="2437">
        <v>169000</v>
      </c>
      <c r="J239" s="2433">
        <v>209762</v>
      </c>
      <c r="K239" s="2434">
        <v>224435.37760000001</v>
      </c>
      <c r="L239" s="194"/>
      <c r="M239" s="195"/>
      <c r="N239" s="195"/>
      <c r="O239" s="195"/>
      <c r="P239" s="195"/>
      <c r="Q239" s="195"/>
      <c r="R239" s="195"/>
      <c r="S239" s="195"/>
      <c r="T239" s="195"/>
      <c r="U239" s="195"/>
      <c r="V239" s="195"/>
      <c r="W239" s="195"/>
    </row>
    <row r="240" spans="1:23" ht="11.25" customHeight="1">
      <c r="A240" s="1173" t="str">
        <f t="shared" ref="A240:A249" si="8">A72</f>
        <v>Parks and Recreation</v>
      </c>
      <c r="B240" s="1041"/>
      <c r="C240" s="2463">
        <v>45893.610000000008</v>
      </c>
      <c r="D240" s="2463">
        <v>512695.67</v>
      </c>
      <c r="E240" s="2465">
        <v>69734.47</v>
      </c>
      <c r="F240" s="2466">
        <v>196805</v>
      </c>
      <c r="G240" s="2463">
        <v>172100</v>
      </c>
      <c r="H240" s="2467">
        <v>72632</v>
      </c>
      <c r="I240" s="2464">
        <v>169000</v>
      </c>
      <c r="J240" s="2463">
        <v>209762</v>
      </c>
      <c r="K240" s="2465">
        <v>224435.37760000001</v>
      </c>
      <c r="L240" s="194"/>
      <c r="M240" s="195"/>
      <c r="N240" s="195"/>
      <c r="O240" s="195"/>
      <c r="P240" s="195"/>
      <c r="Q240" s="195"/>
      <c r="R240" s="195"/>
      <c r="S240" s="195"/>
      <c r="T240" s="195"/>
      <c r="U240" s="195"/>
      <c r="V240" s="195"/>
      <c r="W240" s="195"/>
    </row>
    <row r="241" spans="1:23" ht="11.25" customHeight="1">
      <c r="A241" s="1173"/>
      <c r="B241" s="1041"/>
      <c r="C241" s="2463"/>
      <c r="D241" s="2463"/>
      <c r="E241" s="2465"/>
      <c r="F241" s="2466"/>
      <c r="G241" s="2463"/>
      <c r="H241" s="2467"/>
      <c r="I241" s="2464"/>
      <c r="J241" s="2463"/>
      <c r="K241" s="2465"/>
      <c r="L241" s="194"/>
      <c r="M241" s="195"/>
      <c r="N241" s="195"/>
      <c r="O241" s="195"/>
      <c r="P241" s="195"/>
      <c r="Q241" s="195"/>
      <c r="R241" s="195"/>
      <c r="S241" s="195"/>
      <c r="T241" s="195"/>
      <c r="U241" s="195"/>
      <c r="V241" s="195"/>
      <c r="W241" s="195"/>
    </row>
    <row r="242" spans="1:23" ht="11.25" customHeight="1">
      <c r="A242" s="1173" t="str">
        <f t="shared" si="8"/>
        <v xml:space="preserve"> </v>
      </c>
      <c r="B242" s="1041"/>
      <c r="C242" s="2438"/>
      <c r="D242" s="2438"/>
      <c r="E242" s="2439"/>
      <c r="F242" s="2440"/>
      <c r="G242" s="2438"/>
      <c r="H242" s="2441"/>
      <c r="I242" s="2442"/>
      <c r="J242" s="2438"/>
      <c r="K242" s="2439"/>
      <c r="L242" s="194"/>
      <c r="M242" s="195"/>
      <c r="N242" s="195"/>
      <c r="O242" s="195"/>
      <c r="P242" s="195"/>
      <c r="Q242" s="195"/>
      <c r="R242" s="195"/>
      <c r="S242" s="195"/>
      <c r="T242" s="195"/>
      <c r="U242" s="195"/>
      <c r="V242" s="195"/>
      <c r="W242" s="195"/>
    </row>
    <row r="243" spans="1:23" ht="11.25" customHeight="1">
      <c r="A243" s="1173" t="str">
        <f t="shared" si="8"/>
        <v xml:space="preserve"> </v>
      </c>
      <c r="B243" s="1041"/>
      <c r="C243" s="2438"/>
      <c r="D243" s="2438"/>
      <c r="E243" s="2439"/>
      <c r="F243" s="2440"/>
      <c r="G243" s="2438"/>
      <c r="H243" s="2441"/>
      <c r="I243" s="2442"/>
      <c r="J243" s="2438"/>
      <c r="K243" s="2439"/>
      <c r="L243" s="194"/>
      <c r="M243" s="195"/>
      <c r="N243" s="195"/>
      <c r="O243" s="195"/>
      <c r="P243" s="195"/>
      <c r="Q243" s="195"/>
      <c r="R243" s="195"/>
      <c r="S243" s="195"/>
      <c r="T243" s="195"/>
      <c r="U243" s="195"/>
      <c r="V243" s="195"/>
      <c r="W243" s="195"/>
    </row>
    <row r="244" spans="1:23" ht="11.25" customHeight="1">
      <c r="A244" s="1173" t="str">
        <f t="shared" si="8"/>
        <v xml:space="preserve"> </v>
      </c>
      <c r="B244" s="1041"/>
      <c r="C244" s="2438"/>
      <c r="D244" s="2438"/>
      <c r="E244" s="2439"/>
      <c r="F244" s="2440"/>
      <c r="G244" s="2438"/>
      <c r="H244" s="2441"/>
      <c r="I244" s="2442"/>
      <c r="J244" s="2438"/>
      <c r="K244" s="2439"/>
      <c r="L244" s="194"/>
      <c r="M244" s="195"/>
      <c r="N244" s="195"/>
      <c r="O244" s="195"/>
      <c r="P244" s="195"/>
      <c r="Q244" s="195"/>
      <c r="R244" s="195"/>
      <c r="S244" s="195"/>
      <c r="T244" s="195"/>
      <c r="U244" s="195"/>
      <c r="V244" s="195"/>
      <c r="W244" s="195"/>
    </row>
    <row r="245" spans="1:23" ht="11.25" customHeight="1">
      <c r="A245" s="1173" t="str">
        <f t="shared" si="8"/>
        <v xml:space="preserve"> </v>
      </c>
      <c r="B245" s="1041"/>
      <c r="C245" s="2438"/>
      <c r="D245" s="2438"/>
      <c r="E245" s="2439"/>
      <c r="F245" s="2440"/>
      <c r="G245" s="2438"/>
      <c r="H245" s="2441"/>
      <c r="I245" s="2442"/>
      <c r="J245" s="2438"/>
      <c r="K245" s="2439"/>
      <c r="L245" s="194"/>
      <c r="M245" s="195"/>
      <c r="N245" s="195"/>
      <c r="O245" s="195"/>
      <c r="P245" s="195"/>
      <c r="Q245" s="195"/>
      <c r="R245" s="195"/>
      <c r="S245" s="195"/>
      <c r="T245" s="195"/>
      <c r="U245" s="195"/>
      <c r="V245" s="195"/>
      <c r="W245" s="195"/>
    </row>
    <row r="246" spans="1:23" ht="11.25" customHeight="1">
      <c r="A246" s="1173" t="str">
        <f t="shared" si="8"/>
        <v xml:space="preserve"> </v>
      </c>
      <c r="B246" s="1041"/>
      <c r="C246" s="2438"/>
      <c r="D246" s="2438"/>
      <c r="E246" s="2439"/>
      <c r="F246" s="2440"/>
      <c r="G246" s="2438"/>
      <c r="H246" s="2441"/>
      <c r="I246" s="2442"/>
      <c r="J246" s="2438"/>
      <c r="K246" s="2439"/>
      <c r="L246" s="194"/>
      <c r="M246" s="195"/>
      <c r="N246" s="195"/>
      <c r="O246" s="195"/>
      <c r="P246" s="195"/>
      <c r="Q246" s="195"/>
      <c r="R246" s="195"/>
      <c r="S246" s="195"/>
      <c r="T246" s="195"/>
      <c r="U246" s="195"/>
      <c r="V246" s="195"/>
      <c r="W246" s="195"/>
    </row>
    <row r="247" spans="1:23" ht="11.25" customHeight="1">
      <c r="A247" s="1173" t="str">
        <f t="shared" si="8"/>
        <v xml:space="preserve"> </v>
      </c>
      <c r="B247" s="1041"/>
      <c r="C247" s="2438"/>
      <c r="D247" s="2438"/>
      <c r="E247" s="2439"/>
      <c r="F247" s="2440"/>
      <c r="G247" s="2438"/>
      <c r="H247" s="2441"/>
      <c r="I247" s="2442"/>
      <c r="J247" s="2438"/>
      <c r="K247" s="2439"/>
      <c r="L247" s="194"/>
      <c r="M247" s="195"/>
      <c r="N247" s="195"/>
      <c r="O247" s="195"/>
      <c r="P247" s="195"/>
      <c r="Q247" s="195"/>
      <c r="R247" s="195"/>
      <c r="S247" s="195"/>
      <c r="T247" s="195"/>
      <c r="U247" s="195"/>
      <c r="V247" s="195"/>
      <c r="W247" s="195"/>
    </row>
    <row r="248" spans="1:23" ht="11.25" customHeight="1">
      <c r="A248" s="1173" t="str">
        <f t="shared" si="8"/>
        <v xml:space="preserve"> </v>
      </c>
      <c r="B248" s="1041"/>
      <c r="C248" s="2438"/>
      <c r="D248" s="2438"/>
      <c r="E248" s="2439"/>
      <c r="F248" s="2440"/>
      <c r="G248" s="2438"/>
      <c r="H248" s="2441"/>
      <c r="I248" s="2442"/>
      <c r="J248" s="2438"/>
      <c r="K248" s="2439"/>
      <c r="L248" s="194"/>
      <c r="M248" s="195"/>
      <c r="N248" s="195"/>
      <c r="O248" s="195"/>
      <c r="P248" s="195"/>
      <c r="Q248" s="195"/>
      <c r="R248" s="195"/>
      <c r="S248" s="195"/>
      <c r="T248" s="195"/>
      <c r="U248" s="195"/>
      <c r="V248" s="195"/>
      <c r="W248" s="195"/>
    </row>
    <row r="249" spans="1:23" ht="11.25" customHeight="1">
      <c r="A249" s="1173" t="str">
        <f t="shared" si="8"/>
        <v xml:space="preserve"> </v>
      </c>
      <c r="B249" s="1041"/>
      <c r="C249" s="2438"/>
      <c r="D249" s="2438"/>
      <c r="E249" s="2439"/>
      <c r="F249" s="2440"/>
      <c r="G249" s="2438"/>
      <c r="H249" s="2441"/>
      <c r="I249" s="2442"/>
      <c r="J249" s="2438"/>
      <c r="K249" s="2439"/>
      <c r="L249" s="194"/>
      <c r="M249" s="195"/>
      <c r="N249" s="195"/>
      <c r="O249" s="195"/>
      <c r="P249" s="195"/>
      <c r="Q249" s="195"/>
      <c r="R249" s="195"/>
      <c r="S249" s="195"/>
      <c r="T249" s="195"/>
      <c r="U249" s="195"/>
      <c r="V249" s="195"/>
      <c r="W249" s="195"/>
    </row>
    <row r="250" spans="1:23" ht="11.25" customHeight="1">
      <c r="A250" s="1172" t="str">
        <f>A82</f>
        <v>Vote8 - Waste Management</v>
      </c>
      <c r="B250" s="1041"/>
      <c r="C250" s="2433">
        <v>6101455.4299999997</v>
      </c>
      <c r="D250" s="2433">
        <v>5184835.25</v>
      </c>
      <c r="E250" s="2434">
        <v>6649831.3109034095</v>
      </c>
      <c r="F250" s="2435">
        <v>7140560</v>
      </c>
      <c r="G250" s="2433">
        <v>6746575</v>
      </c>
      <c r="H250" s="2436">
        <v>6362450</v>
      </c>
      <c r="I250" s="2437">
        <v>7645472.4195329593</v>
      </c>
      <c r="J250" s="2433">
        <v>8113576.7565943999</v>
      </c>
      <c r="K250" s="2434">
        <v>8460327.7146067508</v>
      </c>
      <c r="L250" s="194"/>
      <c r="M250" s="195"/>
      <c r="N250" s="195"/>
      <c r="O250" s="195"/>
      <c r="P250" s="195"/>
      <c r="Q250" s="195"/>
      <c r="R250" s="195"/>
      <c r="S250" s="195"/>
      <c r="T250" s="195"/>
      <c r="U250" s="195"/>
      <c r="V250" s="195"/>
      <c r="W250" s="195"/>
    </row>
    <row r="251" spans="1:23" ht="11.25" customHeight="1">
      <c r="A251" s="1173" t="str">
        <f t="shared" ref="A251:A271" si="9">A83</f>
        <v>Sewerage and Sanitation</v>
      </c>
      <c r="B251" s="1041"/>
      <c r="C251" s="2463">
        <v>4258799.4499999993</v>
      </c>
      <c r="D251" s="2463">
        <v>3118107.23</v>
      </c>
      <c r="E251" s="2465">
        <v>3839002.0935146613</v>
      </c>
      <c r="F251" s="2466">
        <v>4227820</v>
      </c>
      <c r="G251" s="2463">
        <v>3841725</v>
      </c>
      <c r="H251" s="2467">
        <v>3792041</v>
      </c>
      <c r="I251" s="2464">
        <v>4181134.0899609597</v>
      </c>
      <c r="J251" s="2463">
        <v>4534084.3573926399</v>
      </c>
      <c r="K251" s="2465">
        <v>4737059.5459840512</v>
      </c>
      <c r="L251" s="194"/>
      <c r="M251" s="195"/>
      <c r="N251" s="195"/>
      <c r="O251" s="195"/>
      <c r="P251" s="195"/>
      <c r="Q251" s="195"/>
      <c r="R251" s="195"/>
      <c r="S251" s="195"/>
      <c r="T251" s="195"/>
      <c r="U251" s="195"/>
      <c r="V251" s="195"/>
      <c r="W251" s="195"/>
    </row>
    <row r="252" spans="1:23" ht="11.25" customHeight="1">
      <c r="A252" s="1173" t="str">
        <f t="shared" si="9"/>
        <v>Cleansing</v>
      </c>
      <c r="B252" s="1041"/>
      <c r="C252" s="2463">
        <v>1842655.9800000002</v>
      </c>
      <c r="D252" s="2463">
        <v>2066728.0200000003</v>
      </c>
      <c r="E252" s="2465">
        <v>2810829.2173887482</v>
      </c>
      <c r="F252" s="2466">
        <v>2912740</v>
      </c>
      <c r="G252" s="2463">
        <v>2904850</v>
      </c>
      <c r="H252" s="2467">
        <v>2570409</v>
      </c>
      <c r="I252" s="2464">
        <v>3464338.3295719996</v>
      </c>
      <c r="J252" s="2463">
        <v>3579492.3992017601</v>
      </c>
      <c r="K252" s="2465">
        <v>3723268.1686227005</v>
      </c>
      <c r="L252" s="194"/>
      <c r="M252" s="195"/>
      <c r="N252" s="195"/>
      <c r="O252" s="195"/>
      <c r="P252" s="195"/>
      <c r="Q252" s="195"/>
      <c r="R252" s="195"/>
      <c r="S252" s="195"/>
      <c r="T252" s="195"/>
      <c r="U252" s="195"/>
      <c r="V252" s="195"/>
      <c r="W252" s="195"/>
    </row>
    <row r="253" spans="1:23" ht="11.25" customHeight="1">
      <c r="A253" s="1173" t="str">
        <f t="shared" si="9"/>
        <v xml:space="preserve"> </v>
      </c>
      <c r="B253" s="1041"/>
      <c r="C253" s="2438"/>
      <c r="D253" s="2438"/>
      <c r="E253" s="2439"/>
      <c r="F253" s="2440"/>
      <c r="G253" s="2438"/>
      <c r="H253" s="2441"/>
      <c r="I253" s="2442"/>
      <c r="J253" s="2438"/>
      <c r="K253" s="2439"/>
      <c r="L253" s="194"/>
      <c r="M253" s="195"/>
      <c r="N253" s="195"/>
      <c r="O253" s="195"/>
      <c r="P253" s="195"/>
      <c r="Q253" s="195"/>
      <c r="R253" s="195"/>
      <c r="S253" s="195"/>
      <c r="T253" s="195"/>
      <c r="U253" s="195"/>
      <c r="V253" s="195"/>
      <c r="W253" s="195"/>
    </row>
    <row r="254" spans="1:23" ht="11.25" customHeight="1">
      <c r="A254" s="1173" t="str">
        <f t="shared" si="9"/>
        <v xml:space="preserve"> </v>
      </c>
      <c r="B254" s="1041"/>
      <c r="C254" s="2438"/>
      <c r="D254" s="2438"/>
      <c r="E254" s="2439"/>
      <c r="F254" s="2440"/>
      <c r="G254" s="2438"/>
      <c r="H254" s="2441"/>
      <c r="I254" s="2442"/>
      <c r="J254" s="2438"/>
      <c r="K254" s="2439"/>
      <c r="L254" s="194"/>
      <c r="M254" s="195"/>
      <c r="N254" s="195"/>
      <c r="O254" s="195"/>
      <c r="P254" s="195"/>
      <c r="Q254" s="195"/>
      <c r="R254" s="195"/>
      <c r="S254" s="195"/>
      <c r="T254" s="195"/>
      <c r="U254" s="195"/>
      <c r="V254" s="195"/>
      <c r="W254" s="195"/>
    </row>
    <row r="255" spans="1:23" ht="11.25" customHeight="1">
      <c r="A255" s="1173" t="str">
        <f t="shared" si="9"/>
        <v xml:space="preserve"> </v>
      </c>
      <c r="B255" s="1041"/>
      <c r="C255" s="2438"/>
      <c r="D255" s="2438"/>
      <c r="E255" s="2439"/>
      <c r="F255" s="2440"/>
      <c r="G255" s="2438"/>
      <c r="H255" s="2441"/>
      <c r="I255" s="2442"/>
      <c r="J255" s="2438"/>
      <c r="K255" s="2439"/>
      <c r="L255" s="194"/>
      <c r="M255" s="195"/>
      <c r="N255" s="195"/>
      <c r="O255" s="195"/>
      <c r="P255" s="195"/>
      <c r="Q255" s="195"/>
      <c r="R255" s="195"/>
      <c r="S255" s="195"/>
      <c r="T255" s="195"/>
      <c r="U255" s="195"/>
      <c r="V255" s="195"/>
      <c r="W255" s="195"/>
    </row>
    <row r="256" spans="1:23" ht="11.25" customHeight="1">
      <c r="A256" s="1173" t="str">
        <f t="shared" si="9"/>
        <v xml:space="preserve"> </v>
      </c>
      <c r="B256" s="1041"/>
      <c r="C256" s="2438"/>
      <c r="D256" s="2438"/>
      <c r="E256" s="2439"/>
      <c r="F256" s="2440"/>
      <c r="G256" s="2438"/>
      <c r="H256" s="2441"/>
      <c r="I256" s="2442"/>
      <c r="J256" s="2438"/>
      <c r="K256" s="2439"/>
      <c r="L256" s="194"/>
      <c r="M256" s="195"/>
      <c r="N256" s="195"/>
      <c r="O256" s="195"/>
      <c r="P256" s="195"/>
      <c r="Q256" s="195"/>
      <c r="R256" s="195"/>
      <c r="S256" s="195"/>
      <c r="T256" s="195"/>
      <c r="U256" s="195"/>
      <c r="V256" s="195"/>
      <c r="W256" s="195"/>
    </row>
    <row r="257" spans="1:23" ht="11.25" customHeight="1">
      <c r="A257" s="1173" t="str">
        <f t="shared" si="9"/>
        <v xml:space="preserve"> </v>
      </c>
      <c r="B257" s="1041"/>
      <c r="C257" s="2438"/>
      <c r="D257" s="2438"/>
      <c r="E257" s="2439"/>
      <c r="F257" s="2440"/>
      <c r="G257" s="2438"/>
      <c r="H257" s="2441"/>
      <c r="I257" s="2442"/>
      <c r="J257" s="2438"/>
      <c r="K257" s="2439"/>
      <c r="L257" s="194"/>
      <c r="M257" s="195"/>
      <c r="N257" s="195"/>
      <c r="O257" s="195"/>
      <c r="P257" s="195"/>
      <c r="Q257" s="195"/>
      <c r="R257" s="195"/>
      <c r="S257" s="195"/>
      <c r="T257" s="195"/>
      <c r="U257" s="195"/>
      <c r="V257" s="195"/>
      <c r="W257" s="195"/>
    </row>
    <row r="258" spans="1:23" ht="11.25" customHeight="1">
      <c r="A258" s="1173" t="str">
        <f t="shared" si="9"/>
        <v xml:space="preserve"> </v>
      </c>
      <c r="B258" s="1041"/>
      <c r="C258" s="2438"/>
      <c r="D258" s="2438"/>
      <c r="E258" s="2439"/>
      <c r="F258" s="2440"/>
      <c r="G258" s="2438"/>
      <c r="H258" s="2441"/>
      <c r="I258" s="2442"/>
      <c r="J258" s="2438"/>
      <c r="K258" s="2439"/>
      <c r="L258" s="194"/>
      <c r="M258" s="195"/>
      <c r="N258" s="195"/>
      <c r="O258" s="195"/>
      <c r="P258" s="195"/>
      <c r="Q258" s="195"/>
      <c r="R258" s="195"/>
      <c r="S258" s="195"/>
      <c r="T258" s="195"/>
      <c r="U258" s="195"/>
      <c r="V258" s="195"/>
      <c r="W258" s="195"/>
    </row>
    <row r="259" spans="1:23" ht="11.25" customHeight="1">
      <c r="A259" s="1173" t="str">
        <f t="shared" si="9"/>
        <v xml:space="preserve"> </v>
      </c>
      <c r="B259" s="1041"/>
      <c r="C259" s="2438"/>
      <c r="D259" s="2438"/>
      <c r="E259" s="2439"/>
      <c r="F259" s="2440"/>
      <c r="G259" s="2438"/>
      <c r="H259" s="2441"/>
      <c r="I259" s="2442"/>
      <c r="J259" s="2438"/>
      <c r="K259" s="2439"/>
      <c r="L259" s="194"/>
      <c r="M259" s="195"/>
      <c r="N259" s="195"/>
      <c r="O259" s="195"/>
      <c r="P259" s="195"/>
      <c r="Q259" s="195"/>
      <c r="R259" s="195"/>
      <c r="S259" s="195"/>
      <c r="T259" s="195"/>
      <c r="U259" s="195"/>
      <c r="V259" s="195"/>
      <c r="W259" s="195"/>
    </row>
    <row r="260" spans="1:23" ht="11.25" customHeight="1">
      <c r="A260" s="1173" t="str">
        <f t="shared" si="9"/>
        <v xml:space="preserve"> </v>
      </c>
      <c r="B260" s="1041"/>
      <c r="C260" s="2438"/>
      <c r="D260" s="2438"/>
      <c r="E260" s="2439"/>
      <c r="F260" s="2440"/>
      <c r="G260" s="2438"/>
      <c r="H260" s="2441"/>
      <c r="I260" s="2442"/>
      <c r="J260" s="2438"/>
      <c r="K260" s="2439"/>
      <c r="L260" s="194"/>
      <c r="M260" s="195"/>
      <c r="N260" s="195"/>
      <c r="O260" s="195"/>
      <c r="P260" s="195"/>
      <c r="Q260" s="195"/>
      <c r="R260" s="195"/>
      <c r="S260" s="195"/>
      <c r="T260" s="195"/>
      <c r="U260" s="195"/>
      <c r="V260" s="195"/>
      <c r="W260" s="195"/>
    </row>
    <row r="261" spans="1:23" ht="11.25" customHeight="1">
      <c r="A261" s="1172" t="str">
        <f t="shared" si="9"/>
        <v>Vote9 - Electricity</v>
      </c>
      <c r="B261" s="1041"/>
      <c r="C261" s="2433">
        <v>4070768.49</v>
      </c>
      <c r="D261" s="2433">
        <v>5834376.9472365445</v>
      </c>
      <c r="E261" s="2434">
        <v>7554092.6025565658</v>
      </c>
      <c r="F261" s="2435">
        <v>9514540</v>
      </c>
      <c r="G261" s="2433">
        <v>10523815</v>
      </c>
      <c r="H261" s="2436">
        <v>9859736</v>
      </c>
      <c r="I261" s="2437">
        <v>12312051.994175136</v>
      </c>
      <c r="J261" s="2433">
        <v>13126941.65229008</v>
      </c>
      <c r="K261" s="2434">
        <v>15451828.395809285</v>
      </c>
      <c r="L261" s="194"/>
      <c r="M261" s="195"/>
      <c r="N261" s="195"/>
      <c r="O261" s="195"/>
      <c r="P261" s="195"/>
      <c r="Q261" s="195"/>
      <c r="R261" s="195"/>
      <c r="S261" s="195"/>
      <c r="T261" s="195"/>
      <c r="U261" s="195"/>
      <c r="V261" s="195"/>
      <c r="W261" s="195"/>
    </row>
    <row r="262" spans="1:23" ht="11.25" customHeight="1">
      <c r="A262" s="1173" t="str">
        <f t="shared" si="9"/>
        <v>Electricity</v>
      </c>
      <c r="B262" s="1041"/>
      <c r="C262" s="2463">
        <v>4070768.49</v>
      </c>
      <c r="D262" s="2463">
        <v>5834376.9472365445</v>
      </c>
      <c r="E262" s="2465">
        <v>7554092.6025565658</v>
      </c>
      <c r="F262" s="2466">
        <v>9514540</v>
      </c>
      <c r="G262" s="2463">
        <v>10523815</v>
      </c>
      <c r="H262" s="2467">
        <v>9859736</v>
      </c>
      <c r="I262" s="2464">
        <v>12312051.994175136</v>
      </c>
      <c r="J262" s="2463">
        <v>13126941.65229008</v>
      </c>
      <c r="K262" s="2465">
        <v>15451828.395809285</v>
      </c>
      <c r="L262" s="194"/>
      <c r="M262" s="195"/>
      <c r="N262" s="195"/>
      <c r="O262" s="195"/>
      <c r="P262" s="195"/>
      <c r="Q262" s="195"/>
      <c r="R262" s="195"/>
      <c r="S262" s="195"/>
      <c r="T262" s="195"/>
      <c r="U262" s="195"/>
      <c r="V262" s="195"/>
      <c r="W262" s="195"/>
    </row>
    <row r="263" spans="1:23" ht="11.25" customHeight="1">
      <c r="A263" s="1173" t="str">
        <f t="shared" si="9"/>
        <v xml:space="preserve"> </v>
      </c>
      <c r="B263" s="1041"/>
      <c r="C263" s="2438"/>
      <c r="D263" s="2438"/>
      <c r="E263" s="2439"/>
      <c r="F263" s="2440"/>
      <c r="G263" s="2438"/>
      <c r="H263" s="2441"/>
      <c r="I263" s="2442"/>
      <c r="J263" s="2438"/>
      <c r="K263" s="2439"/>
      <c r="L263" s="194"/>
      <c r="M263" s="195"/>
      <c r="N263" s="195"/>
      <c r="O263" s="195"/>
      <c r="P263" s="195"/>
      <c r="Q263" s="195"/>
      <c r="R263" s="195"/>
      <c r="S263" s="195"/>
      <c r="T263" s="195"/>
      <c r="U263" s="195"/>
      <c r="V263" s="195"/>
      <c r="W263" s="195"/>
    </row>
    <row r="264" spans="1:23" ht="11.25" customHeight="1">
      <c r="A264" s="1173" t="str">
        <f t="shared" si="9"/>
        <v xml:space="preserve"> </v>
      </c>
      <c r="B264" s="1041"/>
      <c r="C264" s="2438"/>
      <c r="D264" s="2438"/>
      <c r="E264" s="2439"/>
      <c r="F264" s="2440"/>
      <c r="G264" s="2438"/>
      <c r="H264" s="2441"/>
      <c r="I264" s="2442"/>
      <c r="J264" s="2438"/>
      <c r="K264" s="2439"/>
      <c r="L264" s="194"/>
      <c r="M264" s="195"/>
      <c r="N264" s="195"/>
      <c r="O264" s="195"/>
      <c r="P264" s="195"/>
      <c r="Q264" s="195"/>
      <c r="R264" s="195"/>
      <c r="S264" s="195"/>
      <c r="T264" s="195"/>
      <c r="U264" s="195"/>
      <c r="V264" s="195"/>
      <c r="W264" s="195"/>
    </row>
    <row r="265" spans="1:23" ht="11.25" customHeight="1">
      <c r="A265" s="1173" t="str">
        <f t="shared" si="9"/>
        <v xml:space="preserve"> </v>
      </c>
      <c r="B265" s="1041"/>
      <c r="C265" s="2438"/>
      <c r="D265" s="2438"/>
      <c r="E265" s="2439"/>
      <c r="F265" s="2440"/>
      <c r="G265" s="2438"/>
      <c r="H265" s="2441"/>
      <c r="I265" s="2442"/>
      <c r="J265" s="2438"/>
      <c r="K265" s="2439"/>
      <c r="L265" s="194"/>
      <c r="M265" s="195"/>
      <c r="N265" s="195"/>
      <c r="O265" s="195"/>
      <c r="P265" s="195"/>
      <c r="Q265" s="195"/>
      <c r="R265" s="195"/>
      <c r="S265" s="195"/>
      <c r="T265" s="195"/>
      <c r="U265" s="195"/>
      <c r="V265" s="195"/>
      <c r="W265" s="195"/>
    </row>
    <row r="266" spans="1:23" ht="11.25" customHeight="1">
      <c r="A266" s="1173" t="str">
        <f t="shared" si="9"/>
        <v xml:space="preserve"> </v>
      </c>
      <c r="B266" s="1041"/>
      <c r="C266" s="2438"/>
      <c r="D266" s="2438"/>
      <c r="E266" s="2439"/>
      <c r="F266" s="2440"/>
      <c r="G266" s="2438"/>
      <c r="H266" s="2441"/>
      <c r="I266" s="2442"/>
      <c r="J266" s="2438"/>
      <c r="K266" s="2439"/>
      <c r="L266" s="194"/>
      <c r="M266" s="195"/>
      <c r="N266" s="195"/>
      <c r="O266" s="195"/>
      <c r="P266" s="195"/>
      <c r="Q266" s="195"/>
      <c r="R266" s="195"/>
      <c r="S266" s="195"/>
      <c r="T266" s="195"/>
      <c r="U266" s="195"/>
      <c r="V266" s="195"/>
      <c r="W266" s="195"/>
    </row>
    <row r="267" spans="1:23" ht="11.25" customHeight="1">
      <c r="A267" s="1173" t="str">
        <f t="shared" si="9"/>
        <v xml:space="preserve"> </v>
      </c>
      <c r="B267" s="1041"/>
      <c r="C267" s="2438"/>
      <c r="D267" s="2438"/>
      <c r="E267" s="2439"/>
      <c r="F267" s="2440"/>
      <c r="G267" s="2438"/>
      <c r="H267" s="2441"/>
      <c r="I267" s="2442"/>
      <c r="J267" s="2438"/>
      <c r="K267" s="2439"/>
      <c r="L267" s="194"/>
      <c r="M267" s="195"/>
      <c r="N267" s="195"/>
      <c r="O267" s="195"/>
      <c r="P267" s="195"/>
      <c r="Q267" s="195"/>
      <c r="R267" s="195"/>
      <c r="S267" s="195"/>
      <c r="T267" s="195"/>
      <c r="U267" s="195"/>
      <c r="V267" s="195"/>
      <c r="W267" s="195"/>
    </row>
    <row r="268" spans="1:23" ht="11.25" customHeight="1">
      <c r="A268" s="1173" t="str">
        <f t="shared" si="9"/>
        <v xml:space="preserve"> </v>
      </c>
      <c r="B268" s="1041"/>
      <c r="C268" s="2438"/>
      <c r="D268" s="2438"/>
      <c r="E268" s="2439"/>
      <c r="F268" s="2440"/>
      <c r="G268" s="2438"/>
      <c r="H268" s="2441"/>
      <c r="I268" s="2442"/>
      <c r="J268" s="2438"/>
      <c r="K268" s="2439"/>
      <c r="L268" s="194"/>
      <c r="M268" s="195"/>
      <c r="N268" s="195"/>
      <c r="O268" s="195"/>
      <c r="P268" s="195"/>
      <c r="Q268" s="195"/>
      <c r="R268" s="195"/>
      <c r="S268" s="195"/>
      <c r="T268" s="195"/>
      <c r="U268" s="195"/>
      <c r="V268" s="195"/>
      <c r="W268" s="195"/>
    </row>
    <row r="269" spans="1:23" ht="11.25" customHeight="1">
      <c r="A269" s="1173" t="str">
        <f t="shared" si="9"/>
        <v xml:space="preserve"> </v>
      </c>
      <c r="B269" s="1041"/>
      <c r="C269" s="2438"/>
      <c r="D269" s="2438"/>
      <c r="E269" s="2439"/>
      <c r="F269" s="2440"/>
      <c r="G269" s="2438"/>
      <c r="H269" s="2441"/>
      <c r="I269" s="2442"/>
      <c r="J269" s="2438"/>
      <c r="K269" s="2439"/>
      <c r="L269" s="194"/>
      <c r="M269" s="195"/>
      <c r="N269" s="195"/>
      <c r="O269" s="195"/>
      <c r="P269" s="195"/>
      <c r="Q269" s="195"/>
      <c r="R269" s="195"/>
      <c r="S269" s="195"/>
      <c r="T269" s="195"/>
      <c r="U269" s="195"/>
      <c r="V269" s="195"/>
      <c r="W269" s="195"/>
    </row>
    <row r="270" spans="1:23" ht="11.25" customHeight="1">
      <c r="A270" s="1173" t="str">
        <f t="shared" si="9"/>
        <v xml:space="preserve"> </v>
      </c>
      <c r="B270" s="1041"/>
      <c r="C270" s="2438"/>
      <c r="D270" s="2438"/>
      <c r="E270" s="2439"/>
      <c r="F270" s="2440"/>
      <c r="G270" s="2438"/>
      <c r="H270" s="2441"/>
      <c r="I270" s="2442"/>
      <c r="J270" s="2438"/>
      <c r="K270" s="2439"/>
      <c r="L270" s="194"/>
      <c r="M270" s="195"/>
      <c r="N270" s="195"/>
      <c r="O270" s="195"/>
      <c r="P270" s="195"/>
      <c r="Q270" s="195"/>
      <c r="R270" s="195"/>
      <c r="S270" s="195"/>
      <c r="T270" s="195"/>
      <c r="U270" s="195"/>
      <c r="V270" s="195"/>
      <c r="W270" s="195"/>
    </row>
    <row r="271" spans="1:23" ht="11.25" customHeight="1">
      <c r="A271" s="1173" t="str">
        <f t="shared" si="9"/>
        <v xml:space="preserve"> </v>
      </c>
      <c r="B271" s="1041"/>
      <c r="C271" s="2438"/>
      <c r="D271" s="2438"/>
      <c r="E271" s="2439"/>
      <c r="F271" s="2440"/>
      <c r="G271" s="2438"/>
      <c r="H271" s="2441"/>
      <c r="I271" s="2442"/>
      <c r="J271" s="2438"/>
      <c r="K271" s="2439"/>
      <c r="L271" s="194"/>
      <c r="M271" s="195"/>
      <c r="N271" s="195"/>
      <c r="O271" s="195"/>
      <c r="P271" s="195"/>
      <c r="Q271" s="195"/>
      <c r="R271" s="195"/>
      <c r="S271" s="195"/>
      <c r="T271" s="195"/>
      <c r="U271" s="195"/>
      <c r="V271" s="195"/>
      <c r="W271" s="195"/>
    </row>
    <row r="272" spans="1:23" ht="11.25" customHeight="1">
      <c r="A272" s="1172" t="str">
        <f>A104</f>
        <v>Vote10 - Water</v>
      </c>
      <c r="B272" s="1041"/>
      <c r="C272" s="2433">
        <v>2012909.1499999997</v>
      </c>
      <c r="D272" s="2433">
        <v>5088514.5595011823</v>
      </c>
      <c r="E272" s="2434">
        <v>5716399.0572535926</v>
      </c>
      <c r="F272" s="2435">
        <v>3859235</v>
      </c>
      <c r="G272" s="2433">
        <v>4181975</v>
      </c>
      <c r="H272" s="2436">
        <v>3690900</v>
      </c>
      <c r="I272" s="2437">
        <v>3719860.2492079996</v>
      </c>
      <c r="J272" s="2433">
        <v>3296876.55397696</v>
      </c>
      <c r="K272" s="2434">
        <v>3349207.5842247172</v>
      </c>
      <c r="L272" s="194"/>
      <c r="M272" s="195"/>
      <c r="N272" s="195"/>
      <c r="O272" s="195"/>
      <c r="P272" s="195"/>
      <c r="Q272" s="195"/>
      <c r="R272" s="195"/>
      <c r="S272" s="195"/>
      <c r="T272" s="195"/>
      <c r="U272" s="195"/>
      <c r="V272" s="195"/>
      <c r="W272" s="195"/>
    </row>
    <row r="273" spans="1:23" ht="11.25" customHeight="1">
      <c r="A273" s="1173" t="str">
        <f>A105</f>
        <v>Water Distribution</v>
      </c>
      <c r="B273" s="1041"/>
      <c r="C273" s="2463">
        <v>2012909.1499999997</v>
      </c>
      <c r="D273" s="2463">
        <v>5088514.5595011823</v>
      </c>
      <c r="E273" s="2465">
        <v>5716399.0572535926</v>
      </c>
      <c r="F273" s="2466">
        <v>3859235</v>
      </c>
      <c r="G273" s="2463">
        <v>4181975</v>
      </c>
      <c r="H273" s="2467">
        <v>3690900</v>
      </c>
      <c r="I273" s="2464">
        <v>3719860.2492079996</v>
      </c>
      <c r="J273" s="2463">
        <v>3296876.55397696</v>
      </c>
      <c r="K273" s="2465">
        <v>3349207.5842247172</v>
      </c>
      <c r="L273" s="194"/>
      <c r="M273" s="195"/>
      <c r="N273" s="195"/>
      <c r="O273" s="195"/>
      <c r="P273" s="195"/>
      <c r="Q273" s="195"/>
      <c r="R273" s="195"/>
      <c r="S273" s="195"/>
      <c r="T273" s="195"/>
      <c r="U273" s="195"/>
      <c r="V273" s="195"/>
      <c r="W273" s="195"/>
    </row>
    <row r="274" spans="1:23" ht="11.25" customHeight="1">
      <c r="A274" s="1173" t="str">
        <f t="shared" ref="A274:A281" si="10">A106</f>
        <v xml:space="preserve"> </v>
      </c>
      <c r="B274" s="1041"/>
      <c r="C274" s="2438"/>
      <c r="D274" s="2438"/>
      <c r="E274" s="2439"/>
      <c r="F274" s="2440"/>
      <c r="G274" s="2438"/>
      <c r="H274" s="2441"/>
      <c r="I274" s="2442"/>
      <c r="J274" s="2438"/>
      <c r="K274" s="2439"/>
      <c r="L274" s="194"/>
      <c r="M274" s="195"/>
      <c r="N274" s="195"/>
      <c r="O274" s="195"/>
      <c r="P274" s="195"/>
      <c r="Q274" s="195"/>
      <c r="R274" s="195"/>
      <c r="S274" s="195"/>
      <c r="T274" s="195"/>
      <c r="U274" s="195"/>
      <c r="V274" s="195"/>
      <c r="W274" s="195"/>
    </row>
    <row r="275" spans="1:23" ht="11.25" customHeight="1">
      <c r="A275" s="1173" t="str">
        <f t="shared" si="10"/>
        <v xml:space="preserve"> </v>
      </c>
      <c r="B275" s="1041"/>
      <c r="C275" s="2438"/>
      <c r="D275" s="2438"/>
      <c r="E275" s="2439"/>
      <c r="F275" s="2440"/>
      <c r="G275" s="2438"/>
      <c r="H275" s="2441"/>
      <c r="I275" s="2442"/>
      <c r="J275" s="2438"/>
      <c r="K275" s="2439"/>
      <c r="L275" s="194"/>
      <c r="M275" s="195"/>
      <c r="N275" s="195"/>
      <c r="O275" s="195"/>
      <c r="P275" s="195"/>
      <c r="Q275" s="195"/>
      <c r="R275" s="195"/>
      <c r="S275" s="195"/>
      <c r="T275" s="195"/>
      <c r="U275" s="195"/>
      <c r="V275" s="195"/>
      <c r="W275" s="195"/>
    </row>
    <row r="276" spans="1:23" ht="11.25" customHeight="1">
      <c r="A276" s="1173" t="str">
        <f t="shared" si="10"/>
        <v xml:space="preserve"> </v>
      </c>
      <c r="B276" s="1041"/>
      <c r="C276" s="2438"/>
      <c r="D276" s="2438"/>
      <c r="E276" s="2439"/>
      <c r="F276" s="2440"/>
      <c r="G276" s="2438"/>
      <c r="H276" s="2441"/>
      <c r="I276" s="2442"/>
      <c r="J276" s="2438"/>
      <c r="K276" s="2439"/>
      <c r="L276" s="194"/>
      <c r="M276" s="195"/>
      <c r="N276" s="195"/>
      <c r="O276" s="195"/>
      <c r="P276" s="195"/>
      <c r="Q276" s="195"/>
      <c r="R276" s="195"/>
      <c r="S276" s="195"/>
      <c r="T276" s="195"/>
      <c r="U276" s="195"/>
      <c r="V276" s="195"/>
      <c r="W276" s="195"/>
    </row>
    <row r="277" spans="1:23" ht="11.25" customHeight="1">
      <c r="A277" s="1173" t="str">
        <f t="shared" si="10"/>
        <v xml:space="preserve"> </v>
      </c>
      <c r="B277" s="1041"/>
      <c r="C277" s="2438"/>
      <c r="D277" s="2438"/>
      <c r="E277" s="2439"/>
      <c r="F277" s="2440"/>
      <c r="G277" s="2438"/>
      <c r="H277" s="2441"/>
      <c r="I277" s="2442"/>
      <c r="J277" s="2438"/>
      <c r="K277" s="2439"/>
      <c r="L277" s="194"/>
      <c r="M277" s="195"/>
      <c r="N277" s="195"/>
      <c r="O277" s="195"/>
      <c r="P277" s="195"/>
      <c r="Q277" s="195"/>
      <c r="R277" s="195"/>
      <c r="S277" s="195"/>
      <c r="T277" s="195"/>
      <c r="U277" s="195"/>
      <c r="V277" s="195"/>
      <c r="W277" s="195"/>
    </row>
    <row r="278" spans="1:23" ht="11.25" customHeight="1">
      <c r="A278" s="1173" t="str">
        <f t="shared" si="10"/>
        <v xml:space="preserve"> </v>
      </c>
      <c r="B278" s="1041"/>
      <c r="C278" s="2438"/>
      <c r="D278" s="2438"/>
      <c r="E278" s="2439"/>
      <c r="F278" s="2440"/>
      <c r="G278" s="2438"/>
      <c r="H278" s="2441"/>
      <c r="I278" s="2442"/>
      <c r="J278" s="2438"/>
      <c r="K278" s="2439"/>
      <c r="L278" s="194"/>
      <c r="M278" s="195"/>
      <c r="N278" s="195"/>
      <c r="O278" s="195"/>
      <c r="P278" s="195"/>
      <c r="Q278" s="195"/>
      <c r="R278" s="195"/>
      <c r="S278" s="195"/>
      <c r="T278" s="195"/>
      <c r="U278" s="195"/>
      <c r="V278" s="195"/>
      <c r="W278" s="195"/>
    </row>
    <row r="279" spans="1:23" ht="11.25" customHeight="1">
      <c r="A279" s="1173" t="str">
        <f t="shared" si="10"/>
        <v xml:space="preserve"> </v>
      </c>
      <c r="B279" s="1041"/>
      <c r="C279" s="2438"/>
      <c r="D279" s="2438"/>
      <c r="E279" s="2439"/>
      <c r="F279" s="2440"/>
      <c r="G279" s="2438"/>
      <c r="H279" s="2441"/>
      <c r="I279" s="2442"/>
      <c r="J279" s="2438"/>
      <c r="K279" s="2439"/>
      <c r="L279" s="194"/>
      <c r="M279" s="195"/>
      <c r="N279" s="195"/>
      <c r="O279" s="195"/>
      <c r="P279" s="195"/>
      <c r="Q279" s="195"/>
      <c r="R279" s="195"/>
      <c r="S279" s="195"/>
      <c r="T279" s="195"/>
      <c r="U279" s="195"/>
      <c r="V279" s="195"/>
      <c r="W279" s="195"/>
    </row>
    <row r="280" spans="1:23" ht="11.25" customHeight="1">
      <c r="A280" s="1173" t="str">
        <f t="shared" si="10"/>
        <v xml:space="preserve"> </v>
      </c>
      <c r="B280" s="1041"/>
      <c r="C280" s="2438"/>
      <c r="D280" s="2438"/>
      <c r="E280" s="2439"/>
      <c r="F280" s="2440"/>
      <c r="G280" s="2438"/>
      <c r="H280" s="2441"/>
      <c r="I280" s="2442"/>
      <c r="J280" s="2438"/>
      <c r="K280" s="2439"/>
      <c r="L280" s="194"/>
      <c r="M280" s="195"/>
      <c r="N280" s="195"/>
      <c r="O280" s="195"/>
      <c r="P280" s="195"/>
      <c r="Q280" s="195"/>
      <c r="R280" s="195"/>
      <c r="S280" s="195"/>
      <c r="T280" s="195"/>
      <c r="U280" s="195"/>
      <c r="V280" s="195"/>
      <c r="W280" s="195"/>
    </row>
    <row r="281" spans="1:23" ht="11.25" customHeight="1">
      <c r="A281" s="1173" t="str">
        <f t="shared" si="10"/>
        <v xml:space="preserve"> </v>
      </c>
      <c r="B281" s="1041"/>
      <c r="C281" s="2438"/>
      <c r="D281" s="2438"/>
      <c r="E281" s="2439"/>
      <c r="F281" s="2440"/>
      <c r="G281" s="2438"/>
      <c r="H281" s="2441"/>
      <c r="I281" s="2442"/>
      <c r="J281" s="2438"/>
      <c r="K281" s="2439"/>
      <c r="L281" s="194"/>
      <c r="M281" s="195"/>
      <c r="N281" s="195"/>
      <c r="O281" s="195"/>
      <c r="P281" s="195"/>
      <c r="Q281" s="195"/>
      <c r="R281" s="195"/>
      <c r="S281" s="195"/>
      <c r="T281" s="195"/>
      <c r="U281" s="195"/>
      <c r="V281" s="195"/>
      <c r="W281" s="195"/>
    </row>
    <row r="282" spans="1:23" ht="11.25" customHeight="1">
      <c r="A282" s="1173" t="str">
        <f>A114</f>
        <v xml:space="preserve"> </v>
      </c>
      <c r="B282" s="1041"/>
      <c r="C282" s="2438"/>
      <c r="D282" s="2438"/>
      <c r="E282" s="2439"/>
      <c r="F282" s="2440"/>
      <c r="G282" s="2438"/>
      <c r="H282" s="2441"/>
      <c r="I282" s="2442"/>
      <c r="J282" s="2438"/>
      <c r="K282" s="2439"/>
      <c r="L282" s="194"/>
      <c r="M282" s="195"/>
      <c r="N282" s="195"/>
      <c r="O282" s="195"/>
      <c r="P282" s="195"/>
      <c r="Q282" s="195"/>
      <c r="R282" s="195"/>
      <c r="S282" s="195"/>
      <c r="T282" s="195"/>
      <c r="U282" s="195"/>
      <c r="V282" s="195"/>
      <c r="W282" s="195"/>
    </row>
    <row r="283" spans="1:23" ht="11.25" customHeight="1">
      <c r="A283" s="1172" t="str">
        <f>A115</f>
        <v>Vote11 - Subvote example 10</v>
      </c>
      <c r="B283" s="1041"/>
      <c r="C283" s="2433">
        <v>0</v>
      </c>
      <c r="D283" s="2433">
        <v>0</v>
      </c>
      <c r="E283" s="2434">
        <v>0</v>
      </c>
      <c r="F283" s="2435">
        <v>0</v>
      </c>
      <c r="G283" s="2433">
        <v>0</v>
      </c>
      <c r="H283" s="2436">
        <v>0</v>
      </c>
      <c r="I283" s="2437">
        <v>0</v>
      </c>
      <c r="J283" s="2433">
        <v>0</v>
      </c>
      <c r="K283" s="2434">
        <v>0</v>
      </c>
      <c r="L283" s="194"/>
      <c r="M283" s="195"/>
      <c r="N283" s="195"/>
      <c r="O283" s="195"/>
      <c r="P283" s="195"/>
      <c r="Q283" s="195"/>
      <c r="R283" s="195"/>
      <c r="S283" s="195"/>
      <c r="T283" s="195"/>
      <c r="U283" s="195"/>
      <c r="V283" s="195"/>
      <c r="W283" s="195"/>
    </row>
    <row r="284" spans="1:23" ht="11.25" customHeight="1">
      <c r="A284" s="1173">
        <f>A116</f>
        <v>0</v>
      </c>
      <c r="B284" s="1041"/>
      <c r="C284" s="2463">
        <v>0</v>
      </c>
      <c r="D284" s="2463">
        <v>0</v>
      </c>
      <c r="E284" s="2465">
        <v>0</v>
      </c>
      <c r="F284" s="2466">
        <v>0</v>
      </c>
      <c r="G284" s="2463">
        <v>0</v>
      </c>
      <c r="H284" s="2467">
        <v>0</v>
      </c>
      <c r="I284" s="2464">
        <v>0</v>
      </c>
      <c r="J284" s="2463">
        <v>0</v>
      </c>
      <c r="K284" s="2465">
        <v>0</v>
      </c>
      <c r="L284" s="194"/>
      <c r="M284" s="195"/>
      <c r="N284" s="195"/>
      <c r="O284" s="195"/>
      <c r="P284" s="195"/>
      <c r="Q284" s="195"/>
      <c r="R284" s="195"/>
      <c r="S284" s="195"/>
      <c r="T284" s="195"/>
      <c r="U284" s="195"/>
      <c r="V284" s="195"/>
      <c r="W284" s="195"/>
    </row>
    <row r="285" spans="1:23" ht="11.25" customHeight="1">
      <c r="A285" s="1173">
        <f t="shared" ref="A285:A337" si="11">A117</f>
        <v>0</v>
      </c>
      <c r="B285" s="1041"/>
      <c r="C285" s="2438"/>
      <c r="D285" s="2438"/>
      <c r="E285" s="2439"/>
      <c r="F285" s="2440"/>
      <c r="G285" s="2438"/>
      <c r="H285" s="2441"/>
      <c r="I285" s="2442"/>
      <c r="J285" s="2438"/>
      <c r="K285" s="2439"/>
      <c r="L285" s="194"/>
      <c r="M285" s="195"/>
      <c r="N285" s="195"/>
      <c r="O285" s="195"/>
      <c r="P285" s="195"/>
      <c r="Q285" s="195"/>
      <c r="R285" s="195"/>
      <c r="S285" s="195"/>
      <c r="T285" s="195"/>
      <c r="U285" s="195"/>
      <c r="V285" s="195"/>
      <c r="W285" s="195"/>
    </row>
    <row r="286" spans="1:23" ht="11.25" customHeight="1">
      <c r="A286" s="1173">
        <f t="shared" si="11"/>
        <v>0</v>
      </c>
      <c r="B286" s="1041"/>
      <c r="C286" s="2438"/>
      <c r="D286" s="2438"/>
      <c r="E286" s="2439"/>
      <c r="F286" s="2440"/>
      <c r="G286" s="2438"/>
      <c r="H286" s="2441"/>
      <c r="I286" s="2442"/>
      <c r="J286" s="2438"/>
      <c r="K286" s="2439"/>
      <c r="L286" s="194"/>
      <c r="M286" s="195"/>
      <c r="N286" s="195"/>
      <c r="O286" s="195"/>
      <c r="P286" s="195"/>
      <c r="Q286" s="195"/>
      <c r="R286" s="195"/>
      <c r="S286" s="195"/>
      <c r="T286" s="195"/>
      <c r="U286" s="195"/>
      <c r="V286" s="195"/>
      <c r="W286" s="195"/>
    </row>
    <row r="287" spans="1:23" ht="11.25" customHeight="1">
      <c r="A287" s="1173">
        <f t="shared" si="11"/>
        <v>0</v>
      </c>
      <c r="B287" s="1041"/>
      <c r="C287" s="2438"/>
      <c r="D287" s="2438"/>
      <c r="E287" s="2439"/>
      <c r="F287" s="2440"/>
      <c r="G287" s="2438"/>
      <c r="H287" s="2441"/>
      <c r="I287" s="2442"/>
      <c r="J287" s="2438"/>
      <c r="K287" s="2439"/>
      <c r="L287" s="194"/>
      <c r="M287" s="195"/>
      <c r="N287" s="195"/>
      <c r="O287" s="195"/>
      <c r="P287" s="195"/>
      <c r="Q287" s="195"/>
      <c r="R287" s="195"/>
      <c r="S287" s="195"/>
      <c r="T287" s="195"/>
      <c r="U287" s="195"/>
      <c r="V287" s="195"/>
      <c r="W287" s="195"/>
    </row>
    <row r="288" spans="1:23" ht="11.25" customHeight="1">
      <c r="A288" s="1173">
        <f t="shared" si="11"/>
        <v>0</v>
      </c>
      <c r="B288" s="1041"/>
      <c r="C288" s="2438"/>
      <c r="D288" s="2438"/>
      <c r="E288" s="2439"/>
      <c r="F288" s="2440"/>
      <c r="G288" s="2438"/>
      <c r="H288" s="2441"/>
      <c r="I288" s="2442"/>
      <c r="J288" s="2438"/>
      <c r="K288" s="2439"/>
      <c r="L288" s="194"/>
      <c r="M288" s="195"/>
      <c r="N288" s="195"/>
      <c r="O288" s="195"/>
      <c r="P288" s="195"/>
      <c r="Q288" s="195"/>
      <c r="R288" s="195"/>
      <c r="S288" s="195"/>
      <c r="T288" s="195"/>
      <c r="U288" s="195"/>
      <c r="V288" s="195"/>
      <c r="W288" s="195"/>
    </row>
    <row r="289" spans="1:23" ht="11.25" customHeight="1">
      <c r="A289" s="1173">
        <f t="shared" si="11"/>
        <v>0</v>
      </c>
      <c r="B289" s="1041"/>
      <c r="C289" s="2438"/>
      <c r="D289" s="2438"/>
      <c r="E289" s="2439"/>
      <c r="F289" s="2440"/>
      <c r="G289" s="2438"/>
      <c r="H289" s="2441"/>
      <c r="I289" s="2442"/>
      <c r="J289" s="2438"/>
      <c r="K289" s="2439"/>
      <c r="L289" s="194"/>
      <c r="M289" s="195"/>
      <c r="N289" s="195"/>
      <c r="O289" s="195"/>
      <c r="P289" s="195"/>
      <c r="Q289" s="195"/>
      <c r="R289" s="195"/>
      <c r="S289" s="195"/>
      <c r="T289" s="195"/>
      <c r="U289" s="195"/>
      <c r="V289" s="195"/>
      <c r="W289" s="195"/>
    </row>
    <row r="290" spans="1:23" ht="11.25" customHeight="1">
      <c r="A290" s="1173">
        <f t="shared" si="11"/>
        <v>0</v>
      </c>
      <c r="B290" s="1041"/>
      <c r="C290" s="2438"/>
      <c r="D290" s="2438"/>
      <c r="E290" s="2439"/>
      <c r="F290" s="2440"/>
      <c r="G290" s="2438"/>
      <c r="H290" s="2441"/>
      <c r="I290" s="2442"/>
      <c r="J290" s="2438"/>
      <c r="K290" s="2439"/>
      <c r="L290" s="194"/>
      <c r="M290" s="195"/>
      <c r="N290" s="195"/>
      <c r="O290" s="195"/>
      <c r="P290" s="195"/>
      <c r="Q290" s="195"/>
      <c r="R290" s="195"/>
      <c r="S290" s="195"/>
      <c r="T290" s="195"/>
      <c r="U290" s="195"/>
      <c r="V290" s="195"/>
      <c r="W290" s="195"/>
    </row>
    <row r="291" spans="1:23" ht="11.25" customHeight="1">
      <c r="A291" s="1173">
        <f t="shared" si="11"/>
        <v>0</v>
      </c>
      <c r="B291" s="1041"/>
      <c r="C291" s="2438"/>
      <c r="D291" s="2438"/>
      <c r="E291" s="2439"/>
      <c r="F291" s="2440"/>
      <c r="G291" s="2438"/>
      <c r="H291" s="2441"/>
      <c r="I291" s="2442"/>
      <c r="J291" s="2438"/>
      <c r="K291" s="2439"/>
      <c r="L291" s="194"/>
      <c r="M291" s="195"/>
      <c r="N291" s="195"/>
      <c r="O291" s="195"/>
      <c r="P291" s="195"/>
      <c r="Q291" s="195"/>
      <c r="R291" s="195"/>
      <c r="S291" s="195"/>
      <c r="T291" s="195"/>
      <c r="U291" s="195"/>
      <c r="V291" s="195"/>
      <c r="W291" s="195"/>
    </row>
    <row r="292" spans="1:23" ht="11.25" customHeight="1">
      <c r="A292" s="1173">
        <f t="shared" si="11"/>
        <v>0</v>
      </c>
      <c r="B292" s="1041"/>
      <c r="C292" s="2438"/>
      <c r="D292" s="2438"/>
      <c r="E292" s="2439"/>
      <c r="F292" s="2440"/>
      <c r="G292" s="2438"/>
      <c r="H292" s="2441"/>
      <c r="I292" s="2442"/>
      <c r="J292" s="2438"/>
      <c r="K292" s="2439"/>
      <c r="L292" s="194"/>
      <c r="M292" s="195"/>
      <c r="N292" s="195"/>
      <c r="O292" s="195"/>
      <c r="P292" s="195"/>
      <c r="Q292" s="195"/>
      <c r="R292" s="195"/>
      <c r="S292" s="195"/>
      <c r="T292" s="195"/>
      <c r="U292" s="195"/>
      <c r="V292" s="195"/>
      <c r="W292" s="195"/>
    </row>
    <row r="293" spans="1:23" ht="11.25" customHeight="1">
      <c r="A293" s="1173">
        <f t="shared" si="11"/>
        <v>0</v>
      </c>
      <c r="B293" s="1041"/>
      <c r="C293" s="2438"/>
      <c r="D293" s="2438"/>
      <c r="E293" s="2439"/>
      <c r="F293" s="2440"/>
      <c r="G293" s="2438"/>
      <c r="H293" s="2441"/>
      <c r="I293" s="2442"/>
      <c r="J293" s="2438"/>
      <c r="K293" s="2439"/>
      <c r="L293" s="194"/>
      <c r="M293" s="195"/>
      <c r="N293" s="195"/>
      <c r="O293" s="195"/>
      <c r="P293" s="195"/>
      <c r="Q293" s="195"/>
      <c r="R293" s="195"/>
      <c r="S293" s="195"/>
      <c r="T293" s="195"/>
      <c r="U293" s="195"/>
      <c r="V293" s="195"/>
      <c r="W293" s="195"/>
    </row>
    <row r="294" spans="1:23" ht="11.25" customHeight="1">
      <c r="A294" s="1172" t="str">
        <f t="shared" si="11"/>
        <v>Vote12 - Subvote example 10</v>
      </c>
      <c r="B294" s="1041"/>
      <c r="C294" s="2433">
        <v>0</v>
      </c>
      <c r="D294" s="2433">
        <v>0</v>
      </c>
      <c r="E294" s="2434">
        <v>0</v>
      </c>
      <c r="F294" s="2435">
        <v>0</v>
      </c>
      <c r="G294" s="2433">
        <v>0</v>
      </c>
      <c r="H294" s="2436">
        <v>0</v>
      </c>
      <c r="I294" s="2437">
        <v>0</v>
      </c>
      <c r="J294" s="2433">
        <v>0</v>
      </c>
      <c r="K294" s="2434">
        <v>0</v>
      </c>
      <c r="L294" s="194"/>
      <c r="M294" s="195"/>
      <c r="N294" s="195"/>
      <c r="O294" s="195"/>
      <c r="P294" s="195"/>
      <c r="Q294" s="195"/>
      <c r="R294" s="195"/>
      <c r="S294" s="195"/>
      <c r="T294" s="195"/>
      <c r="U294" s="195"/>
      <c r="V294" s="195"/>
      <c r="W294" s="195"/>
    </row>
    <row r="295" spans="1:23" ht="11.25" customHeight="1">
      <c r="A295" s="1173">
        <f t="shared" si="11"/>
        <v>0</v>
      </c>
      <c r="B295" s="1041"/>
      <c r="C295" s="2463">
        <v>0</v>
      </c>
      <c r="D295" s="2463">
        <v>0</v>
      </c>
      <c r="E295" s="2465">
        <v>0</v>
      </c>
      <c r="F295" s="2466">
        <v>0</v>
      </c>
      <c r="G295" s="2463">
        <v>0</v>
      </c>
      <c r="H295" s="2467">
        <v>0</v>
      </c>
      <c r="I295" s="2464">
        <v>0</v>
      </c>
      <c r="J295" s="2463">
        <v>0</v>
      </c>
      <c r="K295" s="2465">
        <v>0</v>
      </c>
      <c r="L295" s="194"/>
      <c r="M295" s="195"/>
      <c r="N295" s="195"/>
      <c r="O295" s="195"/>
      <c r="P295" s="195"/>
      <c r="Q295" s="195"/>
      <c r="R295" s="195"/>
      <c r="S295" s="195"/>
      <c r="T295" s="195"/>
      <c r="U295" s="195"/>
      <c r="V295" s="195"/>
      <c r="W295" s="195"/>
    </row>
    <row r="296" spans="1:23" ht="11.25" customHeight="1">
      <c r="A296" s="1173">
        <f t="shared" si="11"/>
        <v>0</v>
      </c>
      <c r="B296" s="1041"/>
      <c r="C296" s="2438"/>
      <c r="D296" s="2438"/>
      <c r="E296" s="2439"/>
      <c r="F296" s="2440"/>
      <c r="G296" s="2438"/>
      <c r="H296" s="2441"/>
      <c r="I296" s="2442"/>
      <c r="J296" s="2438"/>
      <c r="K296" s="2439"/>
      <c r="L296" s="194"/>
      <c r="M296" s="195"/>
      <c r="N296" s="195"/>
      <c r="O296" s="195"/>
      <c r="P296" s="195"/>
      <c r="Q296" s="195"/>
      <c r="R296" s="195"/>
      <c r="S296" s="195"/>
      <c r="T296" s="195"/>
      <c r="U296" s="195"/>
      <c r="V296" s="195"/>
      <c r="W296" s="195"/>
    </row>
    <row r="297" spans="1:23" ht="11.25" customHeight="1">
      <c r="A297" s="1173">
        <f t="shared" si="11"/>
        <v>0</v>
      </c>
      <c r="B297" s="1041"/>
      <c r="C297" s="2438"/>
      <c r="D297" s="2438"/>
      <c r="E297" s="2439"/>
      <c r="F297" s="2440"/>
      <c r="G297" s="2438"/>
      <c r="H297" s="2441"/>
      <c r="I297" s="2442"/>
      <c r="J297" s="2438"/>
      <c r="K297" s="2439"/>
      <c r="L297" s="194"/>
      <c r="M297" s="195"/>
      <c r="N297" s="195"/>
      <c r="O297" s="195"/>
      <c r="P297" s="195"/>
      <c r="Q297" s="195"/>
      <c r="R297" s="195"/>
      <c r="S297" s="195"/>
      <c r="T297" s="195"/>
      <c r="U297" s="195"/>
      <c r="V297" s="195"/>
      <c r="W297" s="195"/>
    </row>
    <row r="298" spans="1:23" ht="11.25" customHeight="1">
      <c r="A298" s="1173">
        <f t="shared" si="11"/>
        <v>0</v>
      </c>
      <c r="B298" s="1041"/>
      <c r="C298" s="2438"/>
      <c r="D298" s="2438"/>
      <c r="E298" s="2439"/>
      <c r="F298" s="2440"/>
      <c r="G298" s="2438"/>
      <c r="H298" s="2441"/>
      <c r="I298" s="2442"/>
      <c r="J298" s="2438"/>
      <c r="K298" s="2439"/>
      <c r="L298" s="194"/>
      <c r="M298" s="195"/>
      <c r="N298" s="195"/>
      <c r="O298" s="195"/>
      <c r="P298" s="195"/>
      <c r="Q298" s="195"/>
      <c r="R298" s="195"/>
      <c r="S298" s="195"/>
      <c r="T298" s="195"/>
      <c r="U298" s="195"/>
      <c r="V298" s="195"/>
      <c r="W298" s="195"/>
    </row>
    <row r="299" spans="1:23" ht="11.25" customHeight="1">
      <c r="A299" s="1173">
        <f t="shared" si="11"/>
        <v>0</v>
      </c>
      <c r="B299" s="1041"/>
      <c r="C299" s="2438"/>
      <c r="D299" s="2438"/>
      <c r="E299" s="2439"/>
      <c r="F299" s="2440"/>
      <c r="G299" s="2438"/>
      <c r="H299" s="2441"/>
      <c r="I299" s="2442"/>
      <c r="J299" s="2438"/>
      <c r="K299" s="2439"/>
      <c r="L299" s="194"/>
      <c r="M299" s="195"/>
      <c r="N299" s="195"/>
      <c r="O299" s="195"/>
      <c r="P299" s="195"/>
      <c r="Q299" s="195"/>
      <c r="R299" s="195"/>
      <c r="S299" s="195"/>
      <c r="T299" s="195"/>
      <c r="U299" s="195"/>
      <c r="V299" s="195"/>
      <c r="W299" s="195"/>
    </row>
    <row r="300" spans="1:23" ht="11.25" customHeight="1">
      <c r="A300" s="1173">
        <f t="shared" si="11"/>
        <v>0</v>
      </c>
      <c r="B300" s="1041"/>
      <c r="C300" s="2438"/>
      <c r="D300" s="2438"/>
      <c r="E300" s="2439"/>
      <c r="F300" s="2440"/>
      <c r="G300" s="2438"/>
      <c r="H300" s="2441"/>
      <c r="I300" s="2442"/>
      <c r="J300" s="2438"/>
      <c r="K300" s="2439"/>
      <c r="L300" s="194"/>
      <c r="M300" s="195"/>
      <c r="N300" s="195"/>
      <c r="O300" s="195"/>
      <c r="P300" s="195"/>
      <c r="Q300" s="195"/>
      <c r="R300" s="195"/>
      <c r="S300" s="195"/>
      <c r="T300" s="195"/>
      <c r="U300" s="195"/>
      <c r="V300" s="195"/>
      <c r="W300" s="195"/>
    </row>
    <row r="301" spans="1:23" ht="11.25" customHeight="1">
      <c r="A301" s="1173">
        <f t="shared" si="11"/>
        <v>0</v>
      </c>
      <c r="B301" s="1041"/>
      <c r="C301" s="2438"/>
      <c r="D301" s="2438"/>
      <c r="E301" s="2439"/>
      <c r="F301" s="2440"/>
      <c r="G301" s="2438"/>
      <c r="H301" s="2441"/>
      <c r="I301" s="2442"/>
      <c r="J301" s="2438"/>
      <c r="K301" s="2439"/>
      <c r="L301" s="194"/>
      <c r="M301" s="195"/>
      <c r="N301" s="195"/>
      <c r="O301" s="195"/>
      <c r="P301" s="195"/>
      <c r="Q301" s="195"/>
      <c r="R301" s="195"/>
      <c r="S301" s="195"/>
      <c r="T301" s="195"/>
      <c r="U301" s="195"/>
      <c r="V301" s="195"/>
      <c r="W301" s="195"/>
    </row>
    <row r="302" spans="1:23" ht="11.25" customHeight="1">
      <c r="A302" s="1173">
        <f t="shared" si="11"/>
        <v>0</v>
      </c>
      <c r="B302" s="1041"/>
      <c r="C302" s="2438"/>
      <c r="D302" s="2438"/>
      <c r="E302" s="2439"/>
      <c r="F302" s="2440"/>
      <c r="G302" s="2438"/>
      <c r="H302" s="2441"/>
      <c r="I302" s="2442"/>
      <c r="J302" s="2438"/>
      <c r="K302" s="2439"/>
      <c r="L302" s="194"/>
      <c r="M302" s="195"/>
      <c r="N302" s="195"/>
      <c r="O302" s="195"/>
      <c r="P302" s="195"/>
      <c r="Q302" s="195"/>
      <c r="R302" s="195"/>
      <c r="S302" s="195"/>
      <c r="T302" s="195"/>
      <c r="U302" s="195"/>
      <c r="V302" s="195"/>
      <c r="W302" s="195"/>
    </row>
    <row r="303" spans="1:23" ht="11.25" customHeight="1">
      <c r="A303" s="1173">
        <f t="shared" si="11"/>
        <v>0</v>
      </c>
      <c r="B303" s="1041"/>
      <c r="C303" s="2438"/>
      <c r="D303" s="2438"/>
      <c r="E303" s="2439"/>
      <c r="F303" s="2440"/>
      <c r="G303" s="2438"/>
      <c r="H303" s="2441"/>
      <c r="I303" s="2442"/>
      <c r="J303" s="2438"/>
      <c r="K303" s="2439"/>
      <c r="L303" s="194"/>
      <c r="M303" s="195"/>
      <c r="N303" s="195"/>
      <c r="O303" s="195"/>
      <c r="P303" s="195"/>
      <c r="Q303" s="195"/>
      <c r="R303" s="195"/>
      <c r="S303" s="195"/>
      <c r="T303" s="195"/>
      <c r="U303" s="195"/>
      <c r="V303" s="195"/>
      <c r="W303" s="195"/>
    </row>
    <row r="304" spans="1:23" ht="11.25" customHeight="1">
      <c r="A304" s="1173">
        <f t="shared" si="11"/>
        <v>0</v>
      </c>
      <c r="B304" s="1041"/>
      <c r="C304" s="2438"/>
      <c r="D304" s="2438"/>
      <c r="E304" s="2439"/>
      <c r="F304" s="2440"/>
      <c r="G304" s="2438"/>
      <c r="H304" s="2441"/>
      <c r="I304" s="2442"/>
      <c r="J304" s="2438"/>
      <c r="K304" s="2439"/>
      <c r="L304" s="194"/>
      <c r="M304" s="195"/>
      <c r="N304" s="195"/>
      <c r="O304" s="195"/>
      <c r="P304" s="195"/>
      <c r="Q304" s="195"/>
      <c r="R304" s="195"/>
      <c r="S304" s="195"/>
      <c r="T304" s="195"/>
      <c r="U304" s="195"/>
      <c r="V304" s="195"/>
      <c r="W304" s="195"/>
    </row>
    <row r="305" spans="1:23" ht="11.25" customHeight="1">
      <c r="A305" s="1172" t="str">
        <f t="shared" si="11"/>
        <v>Vote13 - Subvote example 10</v>
      </c>
      <c r="B305" s="1041"/>
      <c r="C305" s="2433">
        <v>0</v>
      </c>
      <c r="D305" s="2433">
        <v>0</v>
      </c>
      <c r="E305" s="2434">
        <v>0</v>
      </c>
      <c r="F305" s="2435">
        <v>0</v>
      </c>
      <c r="G305" s="2433">
        <v>0</v>
      </c>
      <c r="H305" s="2436">
        <v>0</v>
      </c>
      <c r="I305" s="2437">
        <v>0</v>
      </c>
      <c r="J305" s="2433">
        <v>0</v>
      </c>
      <c r="K305" s="2434">
        <v>0</v>
      </c>
      <c r="L305" s="194"/>
      <c r="M305" s="195"/>
      <c r="N305" s="195"/>
      <c r="O305" s="195"/>
      <c r="P305" s="195"/>
      <c r="Q305" s="195"/>
      <c r="R305" s="195"/>
      <c r="S305" s="195"/>
      <c r="T305" s="195"/>
      <c r="U305" s="195"/>
      <c r="V305" s="195"/>
      <c r="W305" s="195"/>
    </row>
    <row r="306" spans="1:23" ht="11.25" customHeight="1">
      <c r="A306" s="1173">
        <f t="shared" si="11"/>
        <v>0</v>
      </c>
      <c r="B306" s="1041"/>
      <c r="C306" s="2463">
        <v>0</v>
      </c>
      <c r="D306" s="2463">
        <v>0</v>
      </c>
      <c r="E306" s="2465">
        <v>0</v>
      </c>
      <c r="F306" s="2466">
        <v>0</v>
      </c>
      <c r="G306" s="2463">
        <v>0</v>
      </c>
      <c r="H306" s="2467">
        <v>0</v>
      </c>
      <c r="I306" s="2464">
        <v>0</v>
      </c>
      <c r="J306" s="2463">
        <v>0</v>
      </c>
      <c r="K306" s="2465">
        <v>0</v>
      </c>
      <c r="L306" s="194"/>
      <c r="M306" s="195"/>
      <c r="N306" s="195"/>
      <c r="O306" s="195"/>
      <c r="P306" s="195"/>
      <c r="Q306" s="195"/>
      <c r="R306" s="195"/>
      <c r="S306" s="195"/>
      <c r="T306" s="195"/>
      <c r="U306" s="195"/>
      <c r="V306" s="195"/>
      <c r="W306" s="195"/>
    </row>
    <row r="307" spans="1:23" ht="11.25" customHeight="1">
      <c r="A307" s="1173">
        <f t="shared" si="11"/>
        <v>0</v>
      </c>
      <c r="B307" s="1041"/>
      <c r="C307" s="2463">
        <v>0</v>
      </c>
      <c r="D307" s="2463">
        <v>0</v>
      </c>
      <c r="E307" s="2465">
        <v>0</v>
      </c>
      <c r="F307" s="2466">
        <v>0</v>
      </c>
      <c r="G307" s="2463">
        <v>0</v>
      </c>
      <c r="H307" s="2467">
        <v>0</v>
      </c>
      <c r="I307" s="2464">
        <v>0</v>
      </c>
      <c r="J307" s="2463">
        <v>0</v>
      </c>
      <c r="K307" s="2465">
        <v>0</v>
      </c>
      <c r="L307" s="194"/>
      <c r="M307" s="195"/>
      <c r="N307" s="195"/>
      <c r="O307" s="195"/>
      <c r="P307" s="195"/>
      <c r="Q307" s="195"/>
      <c r="R307" s="195"/>
      <c r="S307" s="195"/>
      <c r="T307" s="195"/>
      <c r="U307" s="195"/>
      <c r="V307" s="195"/>
      <c r="W307" s="195"/>
    </row>
    <row r="308" spans="1:23" ht="11.25" customHeight="1">
      <c r="A308" s="1173">
        <f t="shared" si="11"/>
        <v>0</v>
      </c>
      <c r="B308" s="1041"/>
      <c r="C308" s="2438"/>
      <c r="D308" s="2438"/>
      <c r="E308" s="2439"/>
      <c r="F308" s="2440"/>
      <c r="G308" s="2438"/>
      <c r="H308" s="2441"/>
      <c r="I308" s="2442"/>
      <c r="J308" s="2438"/>
      <c r="K308" s="2439"/>
      <c r="L308" s="194"/>
      <c r="M308" s="195"/>
      <c r="N308" s="195"/>
      <c r="O308" s="195"/>
      <c r="P308" s="195"/>
      <c r="Q308" s="195"/>
      <c r="R308" s="195"/>
      <c r="S308" s="195"/>
      <c r="T308" s="195"/>
      <c r="U308" s="195"/>
      <c r="V308" s="195"/>
      <c r="W308" s="195"/>
    </row>
    <row r="309" spans="1:23" ht="11.25" customHeight="1">
      <c r="A309" s="1173">
        <f t="shared" si="11"/>
        <v>0</v>
      </c>
      <c r="B309" s="1041"/>
      <c r="C309" s="2438"/>
      <c r="D309" s="2438"/>
      <c r="E309" s="2439"/>
      <c r="F309" s="2440"/>
      <c r="G309" s="2438"/>
      <c r="H309" s="2441"/>
      <c r="I309" s="2442"/>
      <c r="J309" s="2438"/>
      <c r="K309" s="2439"/>
      <c r="L309" s="194"/>
      <c r="M309" s="195"/>
      <c r="N309" s="195"/>
      <c r="O309" s="195"/>
      <c r="P309" s="195"/>
      <c r="Q309" s="195"/>
      <c r="R309" s="195"/>
      <c r="S309" s="195"/>
      <c r="T309" s="195"/>
      <c r="U309" s="195"/>
      <c r="V309" s="195"/>
      <c r="W309" s="195"/>
    </row>
    <row r="310" spans="1:23" ht="11.25" customHeight="1">
      <c r="A310" s="1173">
        <f t="shared" si="11"/>
        <v>0</v>
      </c>
      <c r="B310" s="1041"/>
      <c r="C310" s="2438"/>
      <c r="D310" s="2438"/>
      <c r="E310" s="2439"/>
      <c r="F310" s="2440"/>
      <c r="G310" s="2438"/>
      <c r="H310" s="2441"/>
      <c r="I310" s="2442"/>
      <c r="J310" s="2438"/>
      <c r="K310" s="2439"/>
      <c r="L310" s="194"/>
      <c r="M310" s="195"/>
      <c r="N310" s="195"/>
      <c r="O310" s="195"/>
      <c r="P310" s="195"/>
      <c r="Q310" s="195"/>
      <c r="R310" s="195"/>
      <c r="S310" s="195"/>
      <c r="T310" s="195"/>
      <c r="U310" s="195"/>
      <c r="V310" s="195"/>
      <c r="W310" s="195"/>
    </row>
    <row r="311" spans="1:23" ht="11.25" customHeight="1">
      <c r="A311" s="1173">
        <f t="shared" si="11"/>
        <v>0</v>
      </c>
      <c r="B311" s="1041"/>
      <c r="C311" s="2438"/>
      <c r="D311" s="2438"/>
      <c r="E311" s="2439"/>
      <c r="F311" s="2440"/>
      <c r="G311" s="2438"/>
      <c r="H311" s="2441"/>
      <c r="I311" s="2442"/>
      <c r="J311" s="2438"/>
      <c r="K311" s="2439"/>
      <c r="L311" s="194"/>
      <c r="M311" s="195"/>
      <c r="N311" s="195"/>
      <c r="O311" s="195"/>
      <c r="P311" s="195"/>
      <c r="Q311" s="195"/>
      <c r="R311" s="195"/>
      <c r="S311" s="195"/>
      <c r="T311" s="195"/>
      <c r="U311" s="195"/>
      <c r="V311" s="195"/>
      <c r="W311" s="195"/>
    </row>
    <row r="312" spans="1:23" ht="11.25" customHeight="1">
      <c r="A312" s="1173">
        <f t="shared" si="11"/>
        <v>0</v>
      </c>
      <c r="B312" s="1041"/>
      <c r="C312" s="2438"/>
      <c r="D312" s="2438"/>
      <c r="E312" s="2439"/>
      <c r="F312" s="2440"/>
      <c r="G312" s="2438"/>
      <c r="H312" s="2441"/>
      <c r="I312" s="2442"/>
      <c r="J312" s="2438"/>
      <c r="K312" s="2439"/>
      <c r="L312" s="194"/>
      <c r="M312" s="195"/>
      <c r="N312" s="195"/>
      <c r="O312" s="195"/>
      <c r="P312" s="195"/>
      <c r="Q312" s="195"/>
      <c r="R312" s="195"/>
      <c r="S312" s="195"/>
      <c r="T312" s="195"/>
      <c r="U312" s="195"/>
      <c r="V312" s="195"/>
      <c r="W312" s="195"/>
    </row>
    <row r="313" spans="1:23" ht="11.25" customHeight="1">
      <c r="A313" s="1173">
        <f t="shared" si="11"/>
        <v>0</v>
      </c>
      <c r="B313" s="1041"/>
      <c r="C313" s="2438"/>
      <c r="D313" s="2438"/>
      <c r="E313" s="2439"/>
      <c r="F313" s="2440"/>
      <c r="G313" s="2438"/>
      <c r="H313" s="2441"/>
      <c r="I313" s="2442"/>
      <c r="J313" s="2438"/>
      <c r="K313" s="2439"/>
      <c r="L313" s="194"/>
      <c r="M313" s="195"/>
      <c r="N313" s="195"/>
      <c r="O313" s="195"/>
      <c r="P313" s="195"/>
      <c r="Q313" s="195"/>
      <c r="R313" s="195"/>
      <c r="S313" s="195"/>
      <c r="T313" s="195"/>
      <c r="U313" s="195"/>
      <c r="V313" s="195"/>
      <c r="W313" s="195"/>
    </row>
    <row r="314" spans="1:23" ht="11.25" customHeight="1">
      <c r="A314" s="1173">
        <f t="shared" si="11"/>
        <v>0</v>
      </c>
      <c r="B314" s="1041"/>
      <c r="C314" s="2438"/>
      <c r="D314" s="2438"/>
      <c r="E314" s="2439"/>
      <c r="F314" s="2440"/>
      <c r="G314" s="2438"/>
      <c r="H314" s="2441"/>
      <c r="I314" s="2442"/>
      <c r="J314" s="2438"/>
      <c r="K314" s="2439"/>
      <c r="L314" s="194"/>
      <c r="M314" s="195"/>
      <c r="N314" s="195"/>
      <c r="O314" s="195"/>
      <c r="P314" s="195"/>
      <c r="Q314" s="195"/>
      <c r="R314" s="195"/>
      <c r="S314" s="195"/>
      <c r="T314" s="195"/>
      <c r="U314" s="195"/>
      <c r="V314" s="195"/>
      <c r="W314" s="195"/>
    </row>
    <row r="315" spans="1:23" ht="11.25" customHeight="1">
      <c r="A315" s="1173">
        <f t="shared" si="11"/>
        <v>0</v>
      </c>
      <c r="B315" s="1041"/>
      <c r="C315" s="2438"/>
      <c r="D315" s="2438"/>
      <c r="E315" s="2439"/>
      <c r="F315" s="2440"/>
      <c r="G315" s="2438"/>
      <c r="H315" s="2441"/>
      <c r="I315" s="2442"/>
      <c r="J315" s="2438"/>
      <c r="K315" s="2439"/>
      <c r="L315" s="194"/>
      <c r="M315" s="195"/>
      <c r="N315" s="195"/>
      <c r="O315" s="195"/>
      <c r="P315" s="195"/>
      <c r="Q315" s="195"/>
      <c r="R315" s="195"/>
      <c r="S315" s="195"/>
      <c r="T315" s="195"/>
      <c r="U315" s="195"/>
      <c r="V315" s="195"/>
      <c r="W315" s="195"/>
    </row>
    <row r="316" spans="1:23" ht="11.25" customHeight="1">
      <c r="A316" s="1172" t="str">
        <f t="shared" si="11"/>
        <v>Vote14 - Example 14</v>
      </c>
      <c r="B316" s="1041"/>
      <c r="C316" s="2433">
        <v>0</v>
      </c>
      <c r="D316" s="2433">
        <v>0</v>
      </c>
      <c r="E316" s="2434">
        <v>0</v>
      </c>
      <c r="F316" s="2435">
        <v>0</v>
      </c>
      <c r="G316" s="2433">
        <v>0</v>
      </c>
      <c r="H316" s="2436">
        <v>0</v>
      </c>
      <c r="I316" s="2437">
        <v>0</v>
      </c>
      <c r="J316" s="2433">
        <v>0</v>
      </c>
      <c r="K316" s="2434">
        <v>0</v>
      </c>
      <c r="L316" s="194"/>
      <c r="M316" s="195"/>
      <c r="N316" s="195"/>
      <c r="O316" s="195"/>
      <c r="P316" s="195"/>
      <c r="Q316" s="195"/>
      <c r="R316" s="195"/>
      <c r="S316" s="195"/>
      <c r="T316" s="195"/>
      <c r="U316" s="195"/>
      <c r="V316" s="195"/>
      <c r="W316" s="195"/>
    </row>
    <row r="317" spans="1:23" ht="11.25" customHeight="1">
      <c r="A317" s="1173" t="str">
        <f t="shared" si="11"/>
        <v>Subvote example 1</v>
      </c>
      <c r="B317" s="1041"/>
      <c r="C317" s="2438"/>
      <c r="D317" s="2438"/>
      <c r="E317" s="2439"/>
      <c r="F317" s="2440"/>
      <c r="G317" s="2438"/>
      <c r="H317" s="2441"/>
      <c r="I317" s="2442"/>
      <c r="J317" s="2438"/>
      <c r="K317" s="2439"/>
      <c r="L317" s="194"/>
      <c r="M317" s="195"/>
      <c r="N317" s="195"/>
      <c r="O317" s="195"/>
      <c r="P317" s="195"/>
      <c r="Q317" s="195"/>
      <c r="R317" s="195"/>
      <c r="S317" s="195"/>
      <c r="T317" s="195"/>
      <c r="U317" s="195"/>
      <c r="V317" s="195"/>
      <c r="W317" s="195"/>
    </row>
    <row r="318" spans="1:23" ht="11.25" customHeight="1">
      <c r="A318" s="1173">
        <f t="shared" si="11"/>
        <v>0</v>
      </c>
      <c r="B318" s="1041"/>
      <c r="C318" s="2438"/>
      <c r="D318" s="2438"/>
      <c r="E318" s="2439"/>
      <c r="F318" s="2440"/>
      <c r="G318" s="2438"/>
      <c r="H318" s="2441"/>
      <c r="I318" s="2442"/>
      <c r="J318" s="2438"/>
      <c r="K318" s="2439"/>
      <c r="L318" s="194"/>
      <c r="M318" s="195"/>
      <c r="N318" s="195"/>
      <c r="O318" s="195"/>
      <c r="P318" s="195"/>
      <c r="Q318" s="195"/>
      <c r="R318" s="195"/>
      <c r="S318" s="195"/>
      <c r="T318" s="195"/>
      <c r="U318" s="195"/>
      <c r="V318" s="195"/>
      <c r="W318" s="195"/>
    </row>
    <row r="319" spans="1:23" ht="11.25" customHeight="1">
      <c r="A319" s="1173">
        <f t="shared" si="11"/>
        <v>0</v>
      </c>
      <c r="B319" s="1041"/>
      <c r="C319" s="2438"/>
      <c r="D319" s="2438"/>
      <c r="E319" s="2439"/>
      <c r="F319" s="2440"/>
      <c r="G319" s="2438"/>
      <c r="H319" s="2441"/>
      <c r="I319" s="2442"/>
      <c r="J319" s="2438"/>
      <c r="K319" s="2439"/>
      <c r="L319" s="194"/>
      <c r="M319" s="195"/>
      <c r="N319" s="195"/>
      <c r="O319" s="195"/>
      <c r="P319" s="195"/>
      <c r="Q319" s="195"/>
      <c r="R319" s="195"/>
      <c r="S319" s="195"/>
      <c r="T319" s="195"/>
      <c r="U319" s="195"/>
      <c r="V319" s="195"/>
      <c r="W319" s="195"/>
    </row>
    <row r="320" spans="1:23" ht="11.25" customHeight="1">
      <c r="A320" s="1173">
        <f t="shared" si="11"/>
        <v>0</v>
      </c>
      <c r="B320" s="1041"/>
      <c r="C320" s="2438"/>
      <c r="D320" s="2438"/>
      <c r="E320" s="2439"/>
      <c r="F320" s="2440"/>
      <c r="G320" s="2438"/>
      <c r="H320" s="2441"/>
      <c r="I320" s="2442"/>
      <c r="J320" s="2438"/>
      <c r="K320" s="2439"/>
      <c r="L320" s="194"/>
      <c r="M320" s="195"/>
      <c r="N320" s="195"/>
      <c r="O320" s="195"/>
      <c r="P320" s="195"/>
      <c r="Q320" s="195"/>
      <c r="R320" s="195"/>
      <c r="S320" s="195"/>
      <c r="T320" s="195"/>
      <c r="U320" s="195"/>
      <c r="V320" s="195"/>
      <c r="W320" s="195"/>
    </row>
    <row r="321" spans="1:23" ht="11.25" customHeight="1">
      <c r="A321" s="1173">
        <f t="shared" si="11"/>
        <v>0</v>
      </c>
      <c r="B321" s="1041"/>
      <c r="C321" s="2438"/>
      <c r="D321" s="2438"/>
      <c r="E321" s="2439"/>
      <c r="F321" s="2440"/>
      <c r="G321" s="2438"/>
      <c r="H321" s="2441"/>
      <c r="I321" s="2442"/>
      <c r="J321" s="2438"/>
      <c r="K321" s="2439"/>
      <c r="L321" s="194"/>
      <c r="M321" s="195"/>
      <c r="N321" s="195"/>
      <c r="O321" s="195"/>
      <c r="P321" s="195"/>
      <c r="Q321" s="195"/>
      <c r="R321" s="195"/>
      <c r="S321" s="195"/>
      <c r="T321" s="195"/>
      <c r="U321" s="195"/>
      <c r="V321" s="195"/>
      <c r="W321" s="195"/>
    </row>
    <row r="322" spans="1:23" ht="11.25" customHeight="1">
      <c r="A322" s="1173">
        <f t="shared" si="11"/>
        <v>0</v>
      </c>
      <c r="B322" s="1041"/>
      <c r="C322" s="2438"/>
      <c r="D322" s="2438"/>
      <c r="E322" s="2439"/>
      <c r="F322" s="2440"/>
      <c r="G322" s="2438"/>
      <c r="H322" s="2441"/>
      <c r="I322" s="2442"/>
      <c r="J322" s="2438"/>
      <c r="K322" s="2439"/>
      <c r="L322" s="194"/>
      <c r="M322" s="195"/>
      <c r="N322" s="195"/>
      <c r="O322" s="195"/>
      <c r="P322" s="195"/>
      <c r="Q322" s="195"/>
      <c r="R322" s="195"/>
      <c r="S322" s="195"/>
      <c r="T322" s="195"/>
      <c r="U322" s="195"/>
      <c r="V322" s="195"/>
      <c r="W322" s="195"/>
    </row>
    <row r="323" spans="1:23" ht="11.25" customHeight="1">
      <c r="A323" s="1173">
        <f t="shared" si="11"/>
        <v>0</v>
      </c>
      <c r="B323" s="1041"/>
      <c r="C323" s="2438"/>
      <c r="D323" s="2438"/>
      <c r="E323" s="2439"/>
      <c r="F323" s="2440"/>
      <c r="G323" s="2438"/>
      <c r="H323" s="2441"/>
      <c r="I323" s="2442"/>
      <c r="J323" s="2438"/>
      <c r="K323" s="2439"/>
      <c r="L323" s="194"/>
      <c r="M323" s="195"/>
      <c r="N323" s="195"/>
      <c r="O323" s="195"/>
      <c r="P323" s="195"/>
      <c r="Q323" s="195"/>
      <c r="R323" s="195"/>
      <c r="S323" s="195"/>
      <c r="T323" s="195"/>
      <c r="U323" s="195"/>
      <c r="V323" s="195"/>
      <c r="W323" s="195"/>
    </row>
    <row r="324" spans="1:23" ht="11.25" customHeight="1">
      <c r="A324" s="1173">
        <f t="shared" si="11"/>
        <v>0</v>
      </c>
      <c r="B324" s="1041"/>
      <c r="C324" s="2438"/>
      <c r="D324" s="2438"/>
      <c r="E324" s="2439"/>
      <c r="F324" s="2440"/>
      <c r="G324" s="2438"/>
      <c r="H324" s="2441"/>
      <c r="I324" s="2442"/>
      <c r="J324" s="2438"/>
      <c r="K324" s="2439"/>
      <c r="L324" s="194"/>
      <c r="M324" s="195"/>
      <c r="N324" s="195"/>
      <c r="O324" s="195"/>
      <c r="P324" s="195"/>
      <c r="Q324" s="195"/>
      <c r="R324" s="195"/>
      <c r="S324" s="195"/>
      <c r="T324" s="195"/>
      <c r="U324" s="195"/>
      <c r="V324" s="195"/>
      <c r="W324" s="195"/>
    </row>
    <row r="325" spans="1:23" ht="11.25" customHeight="1">
      <c r="A325" s="1173">
        <f t="shared" si="11"/>
        <v>0</v>
      </c>
      <c r="B325" s="1041"/>
      <c r="C325" s="2438"/>
      <c r="D325" s="2438"/>
      <c r="E325" s="2439"/>
      <c r="F325" s="2440"/>
      <c r="G325" s="2438"/>
      <c r="H325" s="2441"/>
      <c r="I325" s="2442"/>
      <c r="J325" s="2438"/>
      <c r="K325" s="2439"/>
      <c r="L325" s="194"/>
      <c r="M325" s="195"/>
      <c r="N325" s="195"/>
      <c r="O325" s="195"/>
      <c r="P325" s="195"/>
      <c r="Q325" s="195"/>
      <c r="R325" s="195"/>
      <c r="S325" s="195"/>
      <c r="T325" s="195"/>
      <c r="U325" s="195"/>
      <c r="V325" s="195"/>
      <c r="W325" s="195"/>
    </row>
    <row r="326" spans="1:23" ht="11.25" customHeight="1">
      <c r="A326" s="1173">
        <f t="shared" si="11"/>
        <v>0</v>
      </c>
      <c r="B326" s="1041"/>
      <c r="C326" s="2438"/>
      <c r="D326" s="2438"/>
      <c r="E326" s="2439"/>
      <c r="F326" s="2440"/>
      <c r="G326" s="2438"/>
      <c r="H326" s="2441"/>
      <c r="I326" s="2442"/>
      <c r="J326" s="2438"/>
      <c r="K326" s="2439"/>
      <c r="L326" s="194"/>
      <c r="M326" s="195"/>
      <c r="N326" s="195"/>
      <c r="O326" s="195"/>
      <c r="P326" s="195"/>
      <c r="Q326" s="195"/>
      <c r="R326" s="195"/>
      <c r="S326" s="195"/>
      <c r="T326" s="195"/>
      <c r="U326" s="195"/>
      <c r="V326" s="195"/>
      <c r="W326" s="195"/>
    </row>
    <row r="327" spans="1:23" ht="11.25" customHeight="1">
      <c r="A327" s="1172" t="str">
        <f t="shared" si="11"/>
        <v>Vote15 - Example 15</v>
      </c>
      <c r="B327" s="1041"/>
      <c r="C327" s="2433">
        <v>0</v>
      </c>
      <c r="D327" s="2433">
        <v>0</v>
      </c>
      <c r="E327" s="2434">
        <v>0</v>
      </c>
      <c r="F327" s="2435">
        <v>0</v>
      </c>
      <c r="G327" s="2433">
        <v>0</v>
      </c>
      <c r="H327" s="2436">
        <v>0</v>
      </c>
      <c r="I327" s="2437">
        <v>0</v>
      </c>
      <c r="J327" s="2433">
        <v>0</v>
      </c>
      <c r="K327" s="2434">
        <v>0</v>
      </c>
      <c r="L327" s="194"/>
      <c r="M327" s="195"/>
      <c r="N327" s="195"/>
      <c r="O327" s="195"/>
      <c r="P327" s="195"/>
      <c r="Q327" s="195"/>
      <c r="R327" s="195"/>
      <c r="S327" s="195"/>
      <c r="T327" s="195"/>
      <c r="U327" s="195"/>
      <c r="V327" s="195"/>
      <c r="W327" s="195"/>
    </row>
    <row r="328" spans="1:23" ht="11.25" customHeight="1">
      <c r="A328" s="1173" t="str">
        <f t="shared" si="11"/>
        <v>Subvote example 1</v>
      </c>
      <c r="B328" s="1041"/>
      <c r="C328" s="2438"/>
      <c r="D328" s="2438"/>
      <c r="E328" s="2439"/>
      <c r="F328" s="2440"/>
      <c r="G328" s="2438"/>
      <c r="H328" s="2441"/>
      <c r="I328" s="2442"/>
      <c r="J328" s="2438"/>
      <c r="K328" s="2439"/>
      <c r="L328" s="194"/>
      <c r="M328" s="195"/>
      <c r="N328" s="195"/>
      <c r="O328" s="195"/>
      <c r="P328" s="195"/>
      <c r="Q328" s="195"/>
      <c r="R328" s="195"/>
      <c r="S328" s="195"/>
      <c r="T328" s="195"/>
      <c r="U328" s="195"/>
      <c r="V328" s="195"/>
      <c r="W328" s="195"/>
    </row>
    <row r="329" spans="1:23" ht="11.25" customHeight="1">
      <c r="A329" s="1173">
        <f t="shared" si="11"/>
        <v>0</v>
      </c>
      <c r="B329" s="1041"/>
      <c r="C329" s="2438"/>
      <c r="D329" s="2438"/>
      <c r="E329" s="2439"/>
      <c r="F329" s="2440"/>
      <c r="G329" s="2438"/>
      <c r="H329" s="2441"/>
      <c r="I329" s="2442"/>
      <c r="J329" s="2438"/>
      <c r="K329" s="2439"/>
      <c r="L329" s="194"/>
      <c r="M329" s="195"/>
      <c r="N329" s="195"/>
      <c r="O329" s="195"/>
      <c r="P329" s="195"/>
      <c r="Q329" s="195"/>
      <c r="R329" s="195"/>
      <c r="S329" s="195"/>
      <c r="T329" s="195"/>
      <c r="U329" s="195"/>
      <c r="V329" s="195"/>
      <c r="W329" s="195"/>
    </row>
    <row r="330" spans="1:23" ht="11.25" customHeight="1">
      <c r="A330" s="1173">
        <f t="shared" si="11"/>
        <v>0</v>
      </c>
      <c r="B330" s="1041"/>
      <c r="C330" s="2438"/>
      <c r="D330" s="2438"/>
      <c r="E330" s="2439"/>
      <c r="F330" s="2440"/>
      <c r="G330" s="2438"/>
      <c r="H330" s="2441"/>
      <c r="I330" s="2442"/>
      <c r="J330" s="2438"/>
      <c r="K330" s="2439"/>
      <c r="L330" s="194"/>
      <c r="M330" s="195"/>
      <c r="N330" s="195"/>
      <c r="O330" s="195"/>
      <c r="P330" s="195"/>
      <c r="Q330" s="195"/>
      <c r="R330" s="195"/>
      <c r="S330" s="195"/>
      <c r="T330" s="195"/>
      <c r="U330" s="195"/>
      <c r="V330" s="195"/>
      <c r="W330" s="195"/>
    </row>
    <row r="331" spans="1:23" ht="11.25" customHeight="1">
      <c r="A331" s="1173">
        <f t="shared" si="11"/>
        <v>0</v>
      </c>
      <c r="B331" s="1041"/>
      <c r="C331" s="2438"/>
      <c r="D331" s="2438"/>
      <c r="E331" s="2439"/>
      <c r="F331" s="2440"/>
      <c r="G331" s="2438"/>
      <c r="H331" s="2441"/>
      <c r="I331" s="2442"/>
      <c r="J331" s="2438"/>
      <c r="K331" s="2439"/>
      <c r="L331" s="194"/>
      <c r="M331" s="195"/>
      <c r="N331" s="195"/>
      <c r="O331" s="195"/>
      <c r="P331" s="195"/>
      <c r="Q331" s="195"/>
      <c r="R331" s="195"/>
      <c r="S331" s="195"/>
      <c r="T331" s="195"/>
      <c r="U331" s="195"/>
      <c r="V331" s="195"/>
      <c r="W331" s="195"/>
    </row>
    <row r="332" spans="1:23" ht="11.25" customHeight="1">
      <c r="A332" s="1173">
        <f t="shared" si="11"/>
        <v>0</v>
      </c>
      <c r="B332" s="1041"/>
      <c r="C332" s="2438"/>
      <c r="D332" s="2438"/>
      <c r="E332" s="2439"/>
      <c r="F332" s="2440"/>
      <c r="G332" s="2438"/>
      <c r="H332" s="2441"/>
      <c r="I332" s="2442"/>
      <c r="J332" s="2438"/>
      <c r="K332" s="2439"/>
      <c r="L332" s="194"/>
      <c r="M332" s="195"/>
      <c r="N332" s="195"/>
      <c r="O332" s="195"/>
      <c r="P332" s="195"/>
      <c r="Q332" s="195"/>
      <c r="R332" s="195"/>
      <c r="S332" s="195"/>
      <c r="T332" s="195"/>
      <c r="U332" s="195"/>
      <c r="V332" s="195"/>
      <c r="W332" s="195"/>
    </row>
    <row r="333" spans="1:23" ht="11.25" customHeight="1">
      <c r="A333" s="1173">
        <f t="shared" si="11"/>
        <v>0</v>
      </c>
      <c r="B333" s="1041"/>
      <c r="C333" s="2438"/>
      <c r="D333" s="2438"/>
      <c r="E333" s="2439"/>
      <c r="F333" s="2440"/>
      <c r="G333" s="2438"/>
      <c r="H333" s="2441"/>
      <c r="I333" s="2442"/>
      <c r="J333" s="2438"/>
      <c r="K333" s="2439"/>
      <c r="L333" s="194"/>
      <c r="M333" s="195"/>
      <c r="N333" s="195"/>
      <c r="O333" s="195"/>
      <c r="P333" s="195"/>
      <c r="Q333" s="195"/>
      <c r="R333" s="195"/>
      <c r="S333" s="195"/>
      <c r="T333" s="195"/>
      <c r="U333" s="195"/>
      <c r="V333" s="195"/>
      <c r="W333" s="195"/>
    </row>
    <row r="334" spans="1:23" ht="11.25" customHeight="1">
      <c r="A334" s="1173">
        <f t="shared" si="11"/>
        <v>0</v>
      </c>
      <c r="B334" s="1041"/>
      <c r="C334" s="2438"/>
      <c r="D334" s="2438"/>
      <c r="E334" s="2439"/>
      <c r="F334" s="2440"/>
      <c r="G334" s="2438"/>
      <c r="H334" s="2441"/>
      <c r="I334" s="2442"/>
      <c r="J334" s="2438"/>
      <c r="K334" s="2439"/>
      <c r="L334" s="194"/>
      <c r="M334" s="195"/>
      <c r="N334" s="195"/>
      <c r="O334" s="195"/>
      <c r="P334" s="195"/>
      <c r="Q334" s="195"/>
      <c r="R334" s="195"/>
      <c r="S334" s="195"/>
      <c r="T334" s="195"/>
      <c r="U334" s="195"/>
      <c r="V334" s="195"/>
      <c r="W334" s="195"/>
    </row>
    <row r="335" spans="1:23" ht="11.25" customHeight="1">
      <c r="A335" s="1173">
        <f t="shared" si="11"/>
        <v>0</v>
      </c>
      <c r="B335" s="1041"/>
      <c r="C335" s="2438"/>
      <c r="D335" s="2438"/>
      <c r="E335" s="2439"/>
      <c r="F335" s="2440"/>
      <c r="G335" s="2438"/>
      <c r="H335" s="2441"/>
      <c r="I335" s="2442"/>
      <c r="J335" s="2438"/>
      <c r="K335" s="2439"/>
      <c r="L335" s="194"/>
      <c r="M335" s="195"/>
      <c r="N335" s="195"/>
      <c r="O335" s="195"/>
      <c r="P335" s="195"/>
      <c r="Q335" s="195"/>
      <c r="R335" s="195"/>
      <c r="S335" s="195"/>
      <c r="T335" s="195"/>
      <c r="U335" s="195"/>
      <c r="V335" s="195"/>
      <c r="W335" s="195"/>
    </row>
    <row r="336" spans="1:23" ht="11.25" customHeight="1">
      <c r="A336" s="1173">
        <f t="shared" si="11"/>
        <v>0</v>
      </c>
      <c r="B336" s="1041"/>
      <c r="C336" s="2438"/>
      <c r="D336" s="2438"/>
      <c r="E336" s="2439"/>
      <c r="F336" s="2440"/>
      <c r="G336" s="2438"/>
      <c r="H336" s="2441"/>
      <c r="I336" s="2442"/>
      <c r="J336" s="2438"/>
      <c r="K336" s="2439"/>
      <c r="L336" s="194"/>
      <c r="M336" s="195"/>
      <c r="N336" s="195"/>
      <c r="O336" s="195"/>
      <c r="P336" s="195"/>
      <c r="Q336" s="195"/>
      <c r="R336" s="195"/>
      <c r="S336" s="195"/>
      <c r="T336" s="195"/>
      <c r="U336" s="195"/>
      <c r="V336" s="195"/>
      <c r="W336" s="195"/>
    </row>
    <row r="337" spans="1:23" ht="11.25" customHeight="1">
      <c r="A337" s="1173">
        <f t="shared" si="11"/>
        <v>0</v>
      </c>
      <c r="B337" s="1041"/>
      <c r="C337" s="2438"/>
      <c r="D337" s="2438"/>
      <c r="E337" s="2439"/>
      <c r="F337" s="2440"/>
      <c r="G337" s="2438"/>
      <c r="H337" s="2441"/>
      <c r="I337" s="2442"/>
      <c r="J337" s="2438"/>
      <c r="K337" s="2439"/>
      <c r="L337" s="194"/>
      <c r="M337" s="195"/>
      <c r="N337" s="195"/>
      <c r="O337" s="195"/>
      <c r="P337" s="195"/>
      <c r="Q337" s="195"/>
      <c r="R337" s="195"/>
      <c r="S337" s="195"/>
      <c r="T337" s="195"/>
      <c r="U337" s="195"/>
      <c r="V337" s="195"/>
      <c r="W337" s="195"/>
    </row>
    <row r="338" spans="1:23" ht="11.25" customHeight="1">
      <c r="A338" s="183" t="s">
        <v>181</v>
      </c>
      <c r="B338" s="1041">
        <v>2</v>
      </c>
      <c r="C338" s="2418">
        <v>25927033.329999998</v>
      </c>
      <c r="D338" s="2418">
        <v>50691898.04658246</v>
      </c>
      <c r="E338" s="2419">
        <v>43166945.006627761</v>
      </c>
      <c r="F338" s="2420">
        <v>50317010</v>
      </c>
      <c r="G338" s="2418">
        <v>50024155</v>
      </c>
      <c r="H338" s="2417">
        <v>77212269</v>
      </c>
      <c r="I338" s="2421">
        <v>71072981.021125481</v>
      </c>
      <c r="J338" s="2418">
        <v>67208138.17665799</v>
      </c>
      <c r="K338" s="2419">
        <v>72115491.728997484</v>
      </c>
      <c r="L338" s="185">
        <f t="shared" ref="L338:W338" si="12">SUM(L173:L249)</f>
        <v>0</v>
      </c>
      <c r="M338" s="186">
        <f t="shared" si="12"/>
        <v>0</v>
      </c>
      <c r="N338" s="186">
        <f t="shared" si="12"/>
        <v>0</v>
      </c>
      <c r="O338" s="186">
        <f t="shared" si="12"/>
        <v>0</v>
      </c>
      <c r="P338" s="186">
        <f t="shared" si="12"/>
        <v>0</v>
      </c>
      <c r="Q338" s="186">
        <f t="shared" si="12"/>
        <v>0</v>
      </c>
      <c r="R338" s="186">
        <f t="shared" si="12"/>
        <v>0</v>
      </c>
      <c r="S338" s="186">
        <f t="shared" si="12"/>
        <v>0</v>
      </c>
      <c r="T338" s="186">
        <f t="shared" si="12"/>
        <v>0</v>
      </c>
      <c r="U338" s="186">
        <f t="shared" si="12"/>
        <v>0</v>
      </c>
      <c r="V338" s="186">
        <f t="shared" si="12"/>
        <v>0</v>
      </c>
      <c r="W338" s="186">
        <f t="shared" si="12"/>
        <v>0</v>
      </c>
    </row>
    <row r="339" spans="1:23" ht="5.0999999999999996" customHeight="1">
      <c r="A339" s="187"/>
      <c r="B339" s="1041"/>
      <c r="C339" s="2423"/>
      <c r="D339" s="2423"/>
      <c r="E339" s="2424"/>
      <c r="F339" s="2425"/>
      <c r="G339" s="2423"/>
      <c r="H339" s="2422"/>
      <c r="I339" s="2426"/>
      <c r="J339" s="2423"/>
      <c r="K339" s="2424"/>
      <c r="L339" s="208"/>
      <c r="M339" s="209"/>
      <c r="N339" s="209"/>
      <c r="O339" s="209"/>
      <c r="P339" s="209"/>
      <c r="Q339" s="209"/>
      <c r="R339" s="209"/>
      <c r="S339" s="209"/>
      <c r="T339" s="209"/>
      <c r="U339" s="209"/>
      <c r="V339" s="209"/>
      <c r="W339" s="209"/>
    </row>
    <row r="340" spans="1:23" ht="13.5" thickBot="1">
      <c r="A340" s="210" t="str">
        <f>result</f>
        <v>Surplus/(Deficit) for the year</v>
      </c>
      <c r="B340" s="1042">
        <v>2</v>
      </c>
      <c r="C340" s="2427">
        <v>1233944.2400000021</v>
      </c>
      <c r="D340" s="2427">
        <v>19286660.254558817</v>
      </c>
      <c r="E340" s="2428">
        <v>11118601.625485189</v>
      </c>
      <c r="F340" s="2429">
        <v>0</v>
      </c>
      <c r="G340" s="2430">
        <v>1911035</v>
      </c>
      <c r="H340" s="2431">
        <v>88061</v>
      </c>
      <c r="I340" s="2432">
        <v>-16672631.357525475</v>
      </c>
      <c r="J340" s="2430">
        <v>-5654541.2314819917</v>
      </c>
      <c r="K340" s="2428">
        <v>-6244057.1944194883</v>
      </c>
      <c r="L340" s="219">
        <f t="shared" ref="L340:W340" si="13">L170-L338</f>
        <v>0</v>
      </c>
      <c r="M340" s="220">
        <f t="shared" si="13"/>
        <v>0</v>
      </c>
      <c r="N340" s="220">
        <f t="shared" si="13"/>
        <v>0</v>
      </c>
      <c r="O340" s="220">
        <f t="shared" si="13"/>
        <v>0</v>
      </c>
      <c r="P340" s="220">
        <f t="shared" si="13"/>
        <v>0</v>
      </c>
      <c r="Q340" s="220">
        <f t="shared" si="13"/>
        <v>0</v>
      </c>
      <c r="R340" s="220">
        <f t="shared" si="13"/>
        <v>0</v>
      </c>
      <c r="S340" s="220">
        <f t="shared" si="13"/>
        <v>0</v>
      </c>
      <c r="T340" s="220">
        <f t="shared" si="13"/>
        <v>0</v>
      </c>
      <c r="U340" s="220">
        <f t="shared" si="13"/>
        <v>0</v>
      </c>
      <c r="V340" s="220">
        <f t="shared" si="13"/>
        <v>0</v>
      </c>
      <c r="W340" s="220">
        <f t="shared" si="13"/>
        <v>0</v>
      </c>
    </row>
    <row r="341" spans="1:23" s="693" customFormat="1" ht="11.25" hidden="1" customHeight="1" thickTop="1">
      <c r="A341" s="1220" t="str">
        <f>head27a</f>
        <v>References</v>
      </c>
      <c r="B341" s="1033"/>
      <c r="C341" s="1034"/>
      <c r="D341" s="1035"/>
      <c r="E341" s="1035"/>
      <c r="F341" s="1035"/>
      <c r="G341" s="1035"/>
      <c r="H341" s="1035"/>
      <c r="I341" s="1035"/>
      <c r="J341" s="1035"/>
      <c r="K341" s="1035"/>
    </row>
    <row r="342" spans="1:23" s="693" customFormat="1" ht="11.25" hidden="1" customHeight="1">
      <c r="A342" s="1204" t="s">
        <v>682</v>
      </c>
      <c r="B342" s="1033"/>
      <c r="C342" s="1036"/>
      <c r="D342" s="1036"/>
      <c r="E342" s="1037"/>
      <c r="F342" s="1037"/>
      <c r="G342" s="1037"/>
      <c r="H342" s="1037"/>
      <c r="I342" s="1037"/>
      <c r="J342" s="1037"/>
      <c r="K342" s="1037"/>
    </row>
    <row r="343" spans="1:23" s="693" customFormat="1" ht="11.25" hidden="1" customHeight="1">
      <c r="A343" s="1226" t="s">
        <v>456</v>
      </c>
      <c r="B343" s="1033"/>
      <c r="C343" s="1036"/>
      <c r="D343" s="1036"/>
      <c r="E343" s="1037"/>
      <c r="F343" s="1037"/>
      <c r="G343" s="1037"/>
      <c r="H343" s="1037"/>
      <c r="I343" s="1037"/>
      <c r="J343" s="1037"/>
      <c r="K343" s="1037"/>
    </row>
    <row r="344" spans="1:23" s="693" customFormat="1" ht="11.25" hidden="1" customHeight="1">
      <c r="A344" s="1226" t="s">
        <v>454</v>
      </c>
      <c r="B344" s="1038"/>
      <c r="C344" s="1039"/>
      <c r="D344" s="1039"/>
      <c r="E344" s="1040"/>
      <c r="F344" s="1040"/>
      <c r="G344" s="1040"/>
      <c r="H344" s="1040"/>
      <c r="I344" s="1040"/>
      <c r="J344" s="1040"/>
      <c r="K344" s="1040"/>
    </row>
    <row r="345" spans="1:23" ht="11.25" hidden="1" customHeight="1">
      <c r="A345" s="232"/>
    </row>
    <row r="346" spans="1:23" ht="11.25" hidden="1" customHeight="1">
      <c r="A346" s="1227" t="s">
        <v>11</v>
      </c>
      <c r="B346" s="688"/>
      <c r="C346" s="1228">
        <f>C170-'A4-FinPerf RE'!C60</f>
        <v>0</v>
      </c>
      <c r="D346" s="1228">
        <f>D170-'A4-FinPerf RE'!D60</f>
        <v>0</v>
      </c>
      <c r="E346" s="1228">
        <f>E170-'A4-FinPerf RE'!E60</f>
        <v>918502.65000000596</v>
      </c>
      <c r="F346" s="1228">
        <f>F170-'A4-FinPerf RE'!F60</f>
        <v>395</v>
      </c>
      <c r="G346" s="1228">
        <f>G170-'A4-FinPerf RE'!G60</f>
        <v>930000</v>
      </c>
      <c r="H346" s="1228">
        <f>H170-'A4-FinPerf RE'!H60</f>
        <v>35454423</v>
      </c>
      <c r="I346" s="1228">
        <f>I170-'A4-FinPerf RE'!J60</f>
        <v>-8292626.2199999914</v>
      </c>
      <c r="J346" s="1228">
        <f>J170-'A4-FinPerf RE'!K60</f>
        <v>-10269903.793200009</v>
      </c>
      <c r="K346" s="1228">
        <f>K170-'A4-FinPerf RE'!L60</f>
        <v>-10827878.020792007</v>
      </c>
    </row>
    <row r="347" spans="1:23" ht="11.25" hidden="1" customHeight="1">
      <c r="A347" s="1227" t="s">
        <v>12</v>
      </c>
      <c r="B347" s="688"/>
      <c r="C347" s="1228">
        <f>C338-'A4-FinPerf RE'!C36</f>
        <v>0</v>
      </c>
      <c r="D347" s="1228">
        <f>D338-'A4-FinPerf RE'!D36</f>
        <v>119668.1800000146</v>
      </c>
      <c r="E347" s="1228">
        <f>E338-'A4-FinPerf RE'!E36</f>
        <v>921577.8599999994</v>
      </c>
      <c r="F347" s="1228">
        <f>F338-'A4-FinPerf RE'!F36</f>
        <v>335</v>
      </c>
      <c r="G347" s="1228">
        <f>G338-'A4-FinPerf RE'!G36</f>
        <v>935000</v>
      </c>
      <c r="H347" s="1228">
        <f>H338-'A4-FinPerf RE'!H36</f>
        <v>35456599</v>
      </c>
      <c r="I347" s="1228">
        <f>I338-'A4-FinPerf RE'!J36</f>
        <v>1200373.7800000012</v>
      </c>
      <c r="J347" s="1228">
        <f>J338-'A4-FinPerf RE'!K36</f>
        <v>1272096.206799984</v>
      </c>
      <c r="K347" s="1228">
        <f>K338-'A4-FinPerf RE'!L36</f>
        <v>1348121.9792080075</v>
      </c>
    </row>
    <row r="348" spans="1:23" ht="11.25" hidden="1" customHeight="1">
      <c r="A348" s="232"/>
    </row>
    <row r="349" spans="1:23" ht="11.25" hidden="1" customHeight="1">
      <c r="A349" s="232"/>
    </row>
    <row r="350" spans="1:23" ht="11.25" hidden="1" customHeight="1">
      <c r="A350" s="232"/>
    </row>
    <row r="351" spans="1:23" ht="11.25" hidden="1" customHeight="1"/>
    <row r="352" spans="1:23" ht="11.25" hidden="1" customHeight="1"/>
    <row r="353" ht="11.25" hidden="1" customHeight="1"/>
    <row r="354" ht="11.25" hidden="1" customHeight="1"/>
    <row r="355" ht="11.25" hidden="1" customHeight="1"/>
    <row r="356" ht="11.25" hidden="1" customHeight="1"/>
    <row r="357" ht="11.25" hidden="1" customHeight="1"/>
    <row r="358" ht="11.25" hidden="1" customHeight="1"/>
    <row r="359" ht="11.25" hidden="1" customHeight="1"/>
    <row r="360" ht="11.25" hidden="1" customHeight="1"/>
    <row r="361" ht="11.25" hidden="1" customHeight="1"/>
    <row r="362" ht="11.25" customHeight="1" thickTop="1"/>
    <row r="363" ht="11.25" customHeight="1"/>
    <row r="364" ht="11.25" customHeight="1"/>
    <row r="365" ht="11.25" customHeight="1"/>
    <row r="366" ht="11.25" customHeight="1"/>
    <row r="367" ht="11.25" customHeight="1"/>
    <row r="368" ht="11.25" customHeight="1"/>
    <row r="369" ht="11.25" customHeight="1"/>
    <row r="370" ht="11.25" customHeight="1"/>
    <row r="371" ht="11.25" customHeight="1"/>
    <row r="372" ht="11.25" customHeight="1"/>
    <row r="373" ht="11.25" customHeight="1"/>
    <row r="374" ht="11.25" customHeight="1"/>
    <row r="375" ht="11.25" customHeight="1"/>
    <row r="376" ht="11.25" customHeight="1"/>
    <row r="377" ht="11.25" customHeight="1"/>
    <row r="378" ht="11.25" customHeight="1"/>
    <row r="379" ht="11.25" customHeight="1"/>
  </sheetData>
  <mergeCells count="3">
    <mergeCell ref="L2:W2"/>
    <mergeCell ref="F2:H2"/>
    <mergeCell ref="I2:K2"/>
  </mergeCells>
  <phoneticPr fontId="3" type="noConversion"/>
  <dataValidations xWindow="147" yWindow="547" count="16">
    <dataValidation type="list" allowBlank="1" showInputMessage="1" showErrorMessage="1" promptTitle="Select Vote" prompt="Select Vote from list" sqref="A184 A82 A104 A93 A38 A71 A60 A16 A27 A5 A49 A115 A159 A126 A137 A148">
      <formula1>Vote</formula1>
    </dataValidation>
    <dataValidation type="list" allowBlank="1" showInputMessage="1" showErrorMessage="1" promptTitle="Select Sub-Vote" prompt="Select sub-vote from list" sqref="A83:A92">
      <formula1>Vote8</formula1>
    </dataValidation>
    <dataValidation type="list" allowBlank="1" showInputMessage="1" showErrorMessage="1" promptTitle="Select Sub-Vote" prompt="Select sub-vote from list" sqref="A94:A103">
      <formula1>Vote9</formula1>
    </dataValidation>
    <dataValidation type="list" allowBlank="1" showInputMessage="1" showErrorMessage="1" promptTitle="Select Sub-Vote" prompt="Select sub-vote from list" sqref="A105:A114">
      <formula1>Vote10</formula1>
    </dataValidation>
    <dataValidation type="list" allowBlank="1" showInputMessage="1" showErrorMessage="1" promptTitle="Select Sub-Vote" prompt="Select sub-vote from list" sqref="A39:A48">
      <formula1>Vote4</formula1>
    </dataValidation>
    <dataValidation type="list" allowBlank="1" showInputMessage="1" showErrorMessage="1" promptTitle="Select Sub-Vote" prompt="Select sub-vote from list" sqref="A50:A59">
      <formula1>Vote5</formula1>
    </dataValidation>
    <dataValidation type="list" allowBlank="1" showInputMessage="1" showErrorMessage="1" promptTitle="Select Sub-Vote" prompt="Select sub-vote from list" sqref="A61:A70">
      <formula1>Vote6</formula1>
    </dataValidation>
    <dataValidation type="list" allowBlank="1" showInputMessage="1" showErrorMessage="1" promptTitle="Select Sub-Vote" prompt="Select sub-vote from list" sqref="A72:A81">
      <formula1>Vote7</formula1>
    </dataValidation>
    <dataValidation type="list" allowBlank="1" showInputMessage="1" showErrorMessage="1" promptTitle="Select Sub-Vote" prompt="Select sub-vote from list" sqref="A6:A15">
      <formula1>Vote1</formula1>
    </dataValidation>
    <dataValidation type="list" allowBlank="1" showInputMessage="1" showErrorMessage="1" promptTitle="Select Sub-Vote" prompt="Select sub-vote from list" sqref="A17:A26">
      <formula1>Vote2</formula1>
    </dataValidation>
    <dataValidation type="list" allowBlank="1" showInputMessage="1" showErrorMessage="1" promptTitle="Select Sub-Vote" prompt="Select sub-vote from list" sqref="A28:A37">
      <formula1>Vote3</formula1>
    </dataValidation>
    <dataValidation type="list" allowBlank="1" showInputMessage="1" showErrorMessage="1" promptTitle="Select Sub-Vote" prompt="Select sub-vote from list" sqref="A116:A125">
      <formula1>Vote11</formula1>
    </dataValidation>
    <dataValidation type="list" allowBlank="1" showInputMessage="1" showErrorMessage="1" promptTitle="Select Sub-Vote" prompt="Select sub-vote from list" sqref="A127:A136">
      <formula1>Vote12</formula1>
    </dataValidation>
    <dataValidation type="list" allowBlank="1" showInputMessage="1" showErrorMessage="1" promptTitle="Select Sub-Vote" prompt="Select sub-vote from list" sqref="A138:A147">
      <formula1>Vote13</formula1>
    </dataValidation>
    <dataValidation type="list" allowBlank="1" showInputMessage="1" showErrorMessage="1" promptTitle="Select Sub-Vote" prompt="Select sub-vote from list" sqref="A149:A158">
      <formula1>Vote14</formula1>
    </dataValidation>
    <dataValidation type="list" allowBlank="1" showInputMessage="1" showErrorMessage="1" promptTitle="Select Sub-Vote" prompt="Select sub-vote from list" sqref="A160:A169">
      <formula1>Vote15</formula1>
    </dataValidation>
  </dataValidations>
  <pageMargins left="0.35433070866141736" right="0.11811023622047245" top="0.78740157480314965" bottom="0.59055118110236227" header="0.51181102362204722" footer="0.35433070866141736"/>
  <pageSetup paperSize="9" scale="85" fitToHeight="2" orientation="portrait" r:id="rId1"/>
  <headerFooter alignWithMargins="0"/>
  <rowBreaks count="1" manualBreakCount="1">
    <brk id="170"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indexed="44"/>
    <pageSetUpPr fitToPage="1"/>
  </sheetPr>
  <dimension ref="A1:Y92"/>
  <sheetViews>
    <sheetView showGridLines="0" workbookViewId="0">
      <pane xSplit="2" ySplit="3" topLeftCell="C4" activePane="bottomRight" state="frozen"/>
      <selection activeCell="O37" sqref="A1:IV65536"/>
      <selection pane="topRight" activeCell="O37" sqref="A1:IV65536"/>
      <selection pane="bottomLeft" activeCell="O37" sqref="A1:IV65536"/>
      <selection pane="bottomRight" activeCell="G20" sqref="G20"/>
    </sheetView>
  </sheetViews>
  <sheetFormatPr defaultRowHeight="12.75"/>
  <cols>
    <col min="1" max="1" width="30.7109375" style="150" customWidth="1"/>
    <col min="2" max="2" width="3" style="233" hidden="1" customWidth="1"/>
    <col min="3" max="8" width="9.28515625" style="150" customWidth="1"/>
    <col min="9" max="9" width="9.140625" style="150" hidden="1" customWidth="1"/>
    <col min="10" max="12" width="9.28515625" style="150" customWidth="1"/>
    <col min="13" max="13" width="9.85546875" style="150" hidden="1" customWidth="1"/>
    <col min="14" max="14" width="9.5703125" style="150" hidden="1" customWidth="1"/>
    <col min="15" max="15" width="9.85546875" style="150" hidden="1" customWidth="1"/>
    <col min="16" max="18" width="9.5703125" style="150" hidden="1" customWidth="1"/>
    <col min="19" max="19" width="9.85546875" style="150" hidden="1" customWidth="1"/>
    <col min="20" max="22" width="9.5703125" style="150" hidden="1" customWidth="1"/>
    <col min="23" max="24" width="9.85546875" style="150" hidden="1" customWidth="1"/>
    <col min="25" max="16384" width="9.140625" style="150"/>
  </cols>
  <sheetData>
    <row r="1" spans="1:25" s="168" customFormat="1">
      <c r="A1" s="148" t="str">
        <f>muni&amp;" - "&amp;Approve4</f>
        <v>NC071 Ubuntu - Table A4 Budgeted Financial Performance (revenue and expenditure)</v>
      </c>
      <c r="B1" s="148"/>
      <c r="C1" s="148"/>
      <c r="D1" s="148"/>
      <c r="E1" s="148"/>
      <c r="F1" s="148"/>
      <c r="G1" s="148"/>
      <c r="H1" s="148"/>
      <c r="I1" s="148"/>
      <c r="J1" s="148"/>
      <c r="K1" s="148"/>
      <c r="L1" s="148"/>
    </row>
    <row r="2" spans="1:25" ht="28.5" customHeight="1">
      <c r="A2" s="972" t="str">
        <f>desc</f>
        <v>Description</v>
      </c>
      <c r="B2" s="394" t="str">
        <f>head27</f>
        <v>Ref</v>
      </c>
      <c r="C2" s="151" t="str">
        <f>head1b</f>
        <v>2007/8</v>
      </c>
      <c r="D2" s="151" t="str">
        <f>head1A</f>
        <v>2008/9</v>
      </c>
      <c r="E2" s="147" t="str">
        <f>Head1</f>
        <v>2009/10</v>
      </c>
      <c r="F2" s="2772" t="str">
        <f>Head2</f>
        <v>Current Year 2010/11</v>
      </c>
      <c r="G2" s="2773"/>
      <c r="H2" s="2773"/>
      <c r="I2" s="2773"/>
      <c r="J2" s="2769" t="str">
        <f>Head3</f>
        <v>2011/12 Medium Term Revenue &amp; Expenditure Framework</v>
      </c>
      <c r="K2" s="2770"/>
      <c r="L2" s="2771"/>
      <c r="M2" s="2786" t="str">
        <f>Head4</f>
        <v>LTFS</v>
      </c>
      <c r="N2" s="2786"/>
      <c r="O2" s="2786"/>
      <c r="P2" s="2786"/>
      <c r="Q2" s="2786"/>
      <c r="R2" s="2786"/>
      <c r="S2" s="2786"/>
      <c r="T2" s="2786"/>
      <c r="U2" s="2786"/>
      <c r="V2" s="2786"/>
      <c r="W2" s="2786"/>
      <c r="X2" s="2787"/>
    </row>
    <row r="3" spans="1:25" ht="25.5">
      <c r="A3" s="169" t="s">
        <v>697</v>
      </c>
      <c r="B3" s="275">
        <v>1</v>
      </c>
      <c r="C3" s="365" t="str">
        <f>Head5</f>
        <v>Audited Outcome</v>
      </c>
      <c r="D3" s="365" t="str">
        <f>Head5</f>
        <v>Audited Outcome</v>
      </c>
      <c r="E3" s="366" t="str">
        <f>Head5</f>
        <v>Audited Outcome</v>
      </c>
      <c r="F3" s="283" t="str">
        <f>Head6</f>
        <v>Original Budget</v>
      </c>
      <c r="G3" s="365" t="str">
        <f>Head7</f>
        <v>Adjusted Budget</v>
      </c>
      <c r="H3" s="366" t="str">
        <f>Head8</f>
        <v>Full Year Forecast</v>
      </c>
      <c r="I3" s="364" t="str">
        <f>Head5b</f>
        <v>Pre-audit outcome</v>
      </c>
      <c r="J3" s="283" t="str">
        <f>Head9</f>
        <v>Budget Year 2011/12</v>
      </c>
      <c r="K3" s="365" t="str">
        <f>Head10</f>
        <v>Budget Year +1 2012/13</v>
      </c>
      <c r="L3" s="366" t="str">
        <f>Head11</f>
        <v>Budget Year +2 2013/14</v>
      </c>
      <c r="M3" s="1514" t="str">
        <f>Head12</f>
        <v>Forecast 2014/15</v>
      </c>
      <c r="N3" s="1515" t="str">
        <f>Head13</f>
        <v>Forecast 2015/16</v>
      </c>
      <c r="O3" s="1515" t="str">
        <f>Head14</f>
        <v>Forecast 2016/17</v>
      </c>
      <c r="P3" s="1515" t="str">
        <f>Head15</f>
        <v>Forecast 2017/18</v>
      </c>
      <c r="Q3" s="1515" t="str">
        <f>Head16</f>
        <v>Forecast 2018/19</v>
      </c>
      <c r="R3" s="1515" t="str">
        <f>Head17</f>
        <v>Forecast 2019/20</v>
      </c>
      <c r="S3" s="1515" t="str">
        <f>Head18</f>
        <v>Forecast 2020/21</v>
      </c>
      <c r="T3" s="1515" t="str">
        <f>Head19</f>
        <v>Forecast 2021/22</v>
      </c>
      <c r="U3" s="1515" t="str">
        <f>Head20</f>
        <v>Forecast 2022/23</v>
      </c>
      <c r="V3" s="1515" t="str">
        <f>Head21</f>
        <v>Forecast 2023/24</v>
      </c>
      <c r="W3" s="1515" t="str">
        <f>Head22</f>
        <v>Forecast 2024/25</v>
      </c>
      <c r="X3" s="1515" t="str">
        <f>Head23</f>
        <v>Forecast 2025/26</v>
      </c>
    </row>
    <row r="4" spans="1:25" ht="12.75" customHeight="1">
      <c r="A4" s="235" t="s">
        <v>699</v>
      </c>
      <c r="B4" s="276"/>
      <c r="C4" s="173"/>
      <c r="D4" s="173"/>
      <c r="E4" s="277"/>
      <c r="F4" s="175"/>
      <c r="G4" s="173"/>
      <c r="H4" s="174"/>
      <c r="I4" s="172"/>
      <c r="J4" s="176"/>
      <c r="K4" s="173"/>
      <c r="L4" s="174"/>
      <c r="M4" s="177"/>
      <c r="N4" s="178"/>
      <c r="O4" s="178"/>
      <c r="P4" s="178"/>
      <c r="Q4" s="178"/>
      <c r="R4" s="178"/>
      <c r="S4" s="178"/>
      <c r="T4" s="178"/>
      <c r="U4" s="178"/>
      <c r="V4" s="178"/>
      <c r="W4" s="178"/>
      <c r="X4" s="178"/>
      <c r="Y4" s="345"/>
    </row>
    <row r="5" spans="1:25" ht="12.75" customHeight="1">
      <c r="A5" s="236" t="s">
        <v>566</v>
      </c>
      <c r="B5" s="279">
        <v>2</v>
      </c>
      <c r="C5" s="2504">
        <v>2640135.62</v>
      </c>
      <c r="D5" s="2504">
        <v>2889951.94</v>
      </c>
      <c r="E5" s="2517">
        <v>4144259.06</v>
      </c>
      <c r="F5" s="2506">
        <v>3570000</v>
      </c>
      <c r="G5" s="2504">
        <v>3570000</v>
      </c>
      <c r="H5" s="2507">
        <v>-4238526</v>
      </c>
      <c r="I5" s="2505">
        <v>-4238526</v>
      </c>
      <c r="J5" s="2506">
        <v>3880165.05</v>
      </c>
      <c r="K5" s="2504">
        <v>4112974.9530000007</v>
      </c>
      <c r="L5" s="2507">
        <v>4359753.4501800006</v>
      </c>
      <c r="M5" s="181"/>
      <c r="N5" s="182"/>
      <c r="O5" s="182"/>
      <c r="P5" s="182"/>
      <c r="Q5" s="182"/>
      <c r="R5" s="182"/>
      <c r="S5" s="182"/>
      <c r="T5" s="182"/>
      <c r="U5" s="182"/>
      <c r="V5" s="182"/>
      <c r="W5" s="182"/>
      <c r="X5" s="182"/>
      <c r="Y5" s="345"/>
    </row>
    <row r="6" spans="1:25" ht="12.75" customHeight="1">
      <c r="A6" s="236" t="s">
        <v>1721</v>
      </c>
      <c r="B6" s="279"/>
      <c r="C6" s="2518">
        <v>0</v>
      </c>
      <c r="D6" s="2518">
        <v>0</v>
      </c>
      <c r="E6" s="2519">
        <v>0</v>
      </c>
      <c r="F6" s="2520">
        <v>0</v>
      </c>
      <c r="G6" s="2518">
        <v>0</v>
      </c>
      <c r="H6" s="2521">
        <v>0</v>
      </c>
      <c r="I6" s="2524">
        <v>0</v>
      </c>
      <c r="J6" s="2520">
        <v>0</v>
      </c>
      <c r="K6" s="2518">
        <v>0</v>
      </c>
      <c r="L6" s="2521">
        <v>0</v>
      </c>
      <c r="M6" s="181"/>
      <c r="N6" s="182"/>
      <c r="O6" s="182"/>
      <c r="P6" s="182"/>
      <c r="Q6" s="182"/>
      <c r="R6" s="182"/>
      <c r="S6" s="182"/>
      <c r="T6" s="182"/>
      <c r="U6" s="182"/>
      <c r="V6" s="182"/>
      <c r="W6" s="182"/>
      <c r="X6" s="182"/>
      <c r="Y6" s="345"/>
    </row>
    <row r="7" spans="1:25" ht="12.75" customHeight="1">
      <c r="A7" s="240" t="s">
        <v>1919</v>
      </c>
      <c r="B7" s="279">
        <v>2</v>
      </c>
      <c r="C7" s="2504">
        <v>3797370.19</v>
      </c>
      <c r="D7" s="2504">
        <v>4997575.4399999995</v>
      </c>
      <c r="E7" s="2517">
        <v>6081064.3700000001</v>
      </c>
      <c r="F7" s="2506">
        <v>6821175</v>
      </c>
      <c r="G7" s="2504">
        <v>6701100</v>
      </c>
      <c r="H7" s="2507">
        <v>6937271</v>
      </c>
      <c r="I7" s="2505">
        <v>6937271</v>
      </c>
      <c r="J7" s="2506">
        <v>5289862.8486000011</v>
      </c>
      <c r="K7" s="2504">
        <v>8241039.267376001</v>
      </c>
      <c r="L7" s="2507">
        <v>9018515</v>
      </c>
      <c r="M7" s="181"/>
      <c r="N7" s="182"/>
      <c r="O7" s="182"/>
      <c r="P7" s="182"/>
      <c r="Q7" s="182"/>
      <c r="R7" s="182"/>
      <c r="S7" s="182"/>
      <c r="T7" s="182"/>
      <c r="U7" s="182"/>
      <c r="V7" s="182"/>
      <c r="W7" s="182"/>
      <c r="X7" s="182"/>
      <c r="Y7" s="345"/>
    </row>
    <row r="8" spans="1:25" ht="12.75" customHeight="1">
      <c r="A8" s="240" t="s">
        <v>1920</v>
      </c>
      <c r="B8" s="279">
        <v>2</v>
      </c>
      <c r="C8" s="2504">
        <v>2501242.21</v>
      </c>
      <c r="D8" s="2504">
        <v>3007305.7299999995</v>
      </c>
      <c r="E8" s="2517">
        <v>4063905.7</v>
      </c>
      <c r="F8" s="2506">
        <v>3906885</v>
      </c>
      <c r="G8" s="2504">
        <v>3892615</v>
      </c>
      <c r="H8" s="2507">
        <v>4867594</v>
      </c>
      <c r="I8" s="2505">
        <v>4867594</v>
      </c>
      <c r="J8" s="2506">
        <v>2109020.77</v>
      </c>
      <c r="K8" s="2504">
        <v>2328907.8470000001</v>
      </c>
      <c r="L8" s="2507">
        <v>2606233.5886400002</v>
      </c>
      <c r="M8" s="181"/>
      <c r="N8" s="182"/>
      <c r="O8" s="182"/>
      <c r="P8" s="182"/>
      <c r="Q8" s="182"/>
      <c r="R8" s="182"/>
      <c r="S8" s="182"/>
      <c r="T8" s="182"/>
      <c r="U8" s="182"/>
      <c r="V8" s="182"/>
      <c r="W8" s="182"/>
      <c r="X8" s="182"/>
      <c r="Y8" s="345"/>
    </row>
    <row r="9" spans="1:25" ht="12.75" customHeight="1">
      <c r="A9" s="240" t="s">
        <v>995</v>
      </c>
      <c r="B9" s="279">
        <v>2</v>
      </c>
      <c r="C9" s="2504">
        <v>1940824.3</v>
      </c>
      <c r="D9" s="2504">
        <v>2270283.7400000002</v>
      </c>
      <c r="E9" s="2517">
        <v>1647476.7499999998</v>
      </c>
      <c r="F9" s="2506">
        <v>2410475</v>
      </c>
      <c r="G9" s="2504">
        <v>2410475</v>
      </c>
      <c r="H9" s="2507">
        <v>2428724</v>
      </c>
      <c r="I9" s="2505">
        <v>2428724</v>
      </c>
      <c r="J9" s="2506">
        <v>1603002.1949999998</v>
      </c>
      <c r="K9" s="2504">
        <v>2555100</v>
      </c>
      <c r="L9" s="2507">
        <v>2708410</v>
      </c>
      <c r="M9" s="181"/>
      <c r="N9" s="182"/>
      <c r="O9" s="182"/>
      <c r="P9" s="182"/>
      <c r="Q9" s="182"/>
      <c r="R9" s="182"/>
      <c r="S9" s="182"/>
      <c r="T9" s="182"/>
      <c r="U9" s="182"/>
      <c r="V9" s="182"/>
      <c r="W9" s="182"/>
      <c r="X9" s="182"/>
      <c r="Y9" s="345"/>
    </row>
    <row r="10" spans="1:25" ht="12.75" customHeight="1">
      <c r="A10" s="240" t="s">
        <v>1109</v>
      </c>
      <c r="B10" s="279">
        <v>2</v>
      </c>
      <c r="C10" s="2483">
        <v>1845573.98</v>
      </c>
      <c r="D10" s="2483">
        <v>1996840.48</v>
      </c>
      <c r="E10" s="2480">
        <v>2280786.84</v>
      </c>
      <c r="F10" s="2481">
        <v>2329660</v>
      </c>
      <c r="G10" s="2479">
        <v>2329660</v>
      </c>
      <c r="H10" s="2503">
        <v>2413471</v>
      </c>
      <c r="I10" s="2478">
        <v>2413471</v>
      </c>
      <c r="J10" s="2482">
        <v>2592865.02</v>
      </c>
      <c r="K10" s="2479">
        <v>2722448.2710000002</v>
      </c>
      <c r="L10" s="2480">
        <v>2858610.6845500004</v>
      </c>
      <c r="M10" s="181"/>
      <c r="N10" s="182"/>
      <c r="O10" s="182"/>
      <c r="P10" s="182"/>
      <c r="Q10" s="182"/>
      <c r="R10" s="182"/>
      <c r="S10" s="182"/>
      <c r="T10" s="182"/>
      <c r="U10" s="182"/>
      <c r="V10" s="182"/>
      <c r="W10" s="182"/>
      <c r="X10" s="182"/>
      <c r="Y10" s="345"/>
    </row>
    <row r="11" spans="1:25" ht="12.75" customHeight="1">
      <c r="A11" s="240" t="s">
        <v>997</v>
      </c>
      <c r="B11" s="278"/>
      <c r="C11" s="2518">
        <v>0</v>
      </c>
      <c r="D11" s="2518">
        <v>0</v>
      </c>
      <c r="E11" s="2522">
        <v>0</v>
      </c>
      <c r="F11" s="2523">
        <v>0</v>
      </c>
      <c r="G11" s="2518">
        <v>0</v>
      </c>
      <c r="H11" s="2522">
        <v>0</v>
      </c>
      <c r="I11" s="2524">
        <v>0</v>
      </c>
      <c r="J11" s="2520">
        <v>0</v>
      </c>
      <c r="K11" s="2518">
        <v>0</v>
      </c>
      <c r="L11" s="2522">
        <v>0</v>
      </c>
      <c r="M11" s="181"/>
      <c r="N11" s="182"/>
      <c r="O11" s="182"/>
      <c r="P11" s="182"/>
      <c r="Q11" s="182"/>
      <c r="R11" s="182"/>
      <c r="S11" s="182"/>
      <c r="T11" s="182"/>
      <c r="U11" s="182"/>
      <c r="V11" s="182"/>
      <c r="W11" s="182"/>
      <c r="X11" s="182"/>
      <c r="Y11" s="345"/>
    </row>
    <row r="12" spans="1:25" ht="12.75" customHeight="1">
      <c r="A12" s="240" t="s">
        <v>1723</v>
      </c>
      <c r="B12" s="278"/>
      <c r="C12" s="2518">
        <v>240100.2</v>
      </c>
      <c r="D12" s="2518">
        <v>347573.96734127984</v>
      </c>
      <c r="E12" s="2522">
        <v>410449.80811294453</v>
      </c>
      <c r="F12" s="2523">
        <v>393920</v>
      </c>
      <c r="G12" s="2518">
        <v>541520</v>
      </c>
      <c r="H12" s="2522">
        <v>422967</v>
      </c>
      <c r="I12" s="2524">
        <v>422967</v>
      </c>
      <c r="J12" s="2520">
        <v>498910</v>
      </c>
      <c r="K12" s="2518">
        <v>690200.4</v>
      </c>
      <c r="L12" s="2522">
        <v>714554.83200000005</v>
      </c>
      <c r="M12" s="181"/>
      <c r="N12" s="182"/>
      <c r="O12" s="182"/>
      <c r="P12" s="182"/>
      <c r="Q12" s="182"/>
      <c r="R12" s="182"/>
      <c r="S12" s="182"/>
      <c r="T12" s="182"/>
      <c r="U12" s="182"/>
      <c r="V12" s="182"/>
      <c r="W12" s="182"/>
      <c r="X12" s="182"/>
    </row>
    <row r="13" spans="1:25" ht="12.75" customHeight="1">
      <c r="A13" s="236" t="s">
        <v>492</v>
      </c>
      <c r="B13" s="278"/>
      <c r="C13" s="2518">
        <v>227904.82</v>
      </c>
      <c r="D13" s="2518">
        <v>864018.77999999991</v>
      </c>
      <c r="E13" s="2522">
        <v>416264.64</v>
      </c>
      <c r="F13" s="2523">
        <v>290000</v>
      </c>
      <c r="G13" s="2518">
        <v>290000</v>
      </c>
      <c r="H13" s="2522">
        <v>162728</v>
      </c>
      <c r="I13" s="2524">
        <v>162728</v>
      </c>
      <c r="J13" s="2520">
        <v>250000</v>
      </c>
      <c r="K13" s="2518">
        <v>270000</v>
      </c>
      <c r="L13" s="2522">
        <v>280000</v>
      </c>
      <c r="M13" s="181"/>
      <c r="N13" s="182"/>
      <c r="O13" s="182"/>
      <c r="P13" s="182"/>
      <c r="Q13" s="182"/>
      <c r="R13" s="182"/>
      <c r="S13" s="182"/>
      <c r="T13" s="182"/>
      <c r="U13" s="182"/>
      <c r="V13" s="182"/>
      <c r="W13" s="182"/>
      <c r="X13" s="182"/>
    </row>
    <row r="14" spans="1:25" ht="12.75" customHeight="1">
      <c r="A14" s="236" t="s">
        <v>493</v>
      </c>
      <c r="B14" s="278"/>
      <c r="C14" s="2518">
        <v>1335514.96</v>
      </c>
      <c r="D14" s="2518">
        <v>1520977.19</v>
      </c>
      <c r="E14" s="2522">
        <v>1738372.84</v>
      </c>
      <c r="F14" s="2523">
        <v>1800000</v>
      </c>
      <c r="G14" s="2518">
        <v>1800000</v>
      </c>
      <c r="H14" s="2522">
        <v>1702189</v>
      </c>
      <c r="I14" s="2524">
        <v>1702189</v>
      </c>
      <c r="J14" s="2520">
        <v>1800000</v>
      </c>
      <c r="K14" s="2518">
        <v>1800000</v>
      </c>
      <c r="L14" s="2522">
        <v>1800000</v>
      </c>
      <c r="M14" s="181"/>
      <c r="N14" s="182"/>
      <c r="O14" s="182"/>
      <c r="P14" s="182"/>
      <c r="Q14" s="182"/>
      <c r="R14" s="182"/>
      <c r="S14" s="182"/>
      <c r="T14" s="182"/>
      <c r="U14" s="182"/>
      <c r="V14" s="182"/>
      <c r="W14" s="182"/>
      <c r="X14" s="182"/>
    </row>
    <row r="15" spans="1:25" ht="12.75" customHeight="1">
      <c r="A15" s="236" t="s">
        <v>1634</v>
      </c>
      <c r="B15" s="278"/>
      <c r="C15" s="2525">
        <v>0</v>
      </c>
      <c r="D15" s="2525">
        <v>0</v>
      </c>
      <c r="E15" s="2526">
        <v>0</v>
      </c>
      <c r="F15" s="2527">
        <v>0</v>
      </c>
      <c r="G15" s="2525">
        <v>0</v>
      </c>
      <c r="H15" s="2526">
        <v>0</v>
      </c>
      <c r="I15" s="2528">
        <v>0</v>
      </c>
      <c r="J15" s="2529">
        <v>0</v>
      </c>
      <c r="K15" s="2525">
        <v>0</v>
      </c>
      <c r="L15" s="2526">
        <v>0</v>
      </c>
      <c r="M15" s="181"/>
      <c r="N15" s="182"/>
      <c r="O15" s="182"/>
      <c r="P15" s="182"/>
      <c r="Q15" s="182"/>
      <c r="R15" s="182"/>
      <c r="S15" s="182"/>
      <c r="T15" s="182"/>
      <c r="U15" s="182"/>
      <c r="V15" s="182"/>
      <c r="W15" s="182"/>
      <c r="X15" s="182"/>
    </row>
    <row r="16" spans="1:25" ht="12.75" customHeight="1">
      <c r="A16" s="236" t="s">
        <v>494</v>
      </c>
      <c r="B16" s="278"/>
      <c r="C16" s="2518">
        <v>3872606.4400000004</v>
      </c>
      <c r="D16" s="2518">
        <v>4441817.17</v>
      </c>
      <c r="E16" s="2522">
        <v>4720438.5</v>
      </c>
      <c r="F16" s="2523">
        <v>10380000</v>
      </c>
      <c r="G16" s="2518">
        <v>11688520</v>
      </c>
      <c r="H16" s="2522">
        <v>8139110</v>
      </c>
      <c r="I16" s="2524">
        <v>8139110</v>
      </c>
      <c r="J16" s="2520">
        <v>16108000</v>
      </c>
      <c r="K16" s="2518">
        <v>16889500</v>
      </c>
      <c r="L16" s="2522">
        <v>17390000</v>
      </c>
      <c r="M16" s="181"/>
      <c r="N16" s="182"/>
      <c r="O16" s="182"/>
      <c r="P16" s="182"/>
      <c r="Q16" s="182"/>
      <c r="R16" s="182"/>
      <c r="S16" s="182"/>
      <c r="T16" s="182"/>
      <c r="U16" s="182"/>
      <c r="V16" s="182"/>
      <c r="W16" s="182"/>
      <c r="X16" s="182"/>
    </row>
    <row r="17" spans="1:24" ht="12.75" customHeight="1">
      <c r="A17" s="236" t="s">
        <v>495</v>
      </c>
      <c r="B17" s="278"/>
      <c r="C17" s="2518">
        <v>208150.86</v>
      </c>
      <c r="D17" s="2518">
        <v>235340.30000000002</v>
      </c>
      <c r="E17" s="2522">
        <v>301476.14</v>
      </c>
      <c r="F17" s="2523">
        <v>453500</v>
      </c>
      <c r="G17" s="2518">
        <v>442500</v>
      </c>
      <c r="H17" s="2522">
        <v>420555</v>
      </c>
      <c r="I17" s="2524">
        <v>420555</v>
      </c>
      <c r="J17" s="2520">
        <v>419800</v>
      </c>
      <c r="K17" s="2518">
        <v>479300</v>
      </c>
      <c r="L17" s="2522">
        <v>489600</v>
      </c>
      <c r="M17" s="181"/>
      <c r="N17" s="182"/>
      <c r="O17" s="182"/>
      <c r="P17" s="182"/>
      <c r="Q17" s="182"/>
      <c r="R17" s="182"/>
      <c r="S17" s="182"/>
      <c r="T17" s="182"/>
      <c r="U17" s="182"/>
      <c r="V17" s="182"/>
      <c r="W17" s="182"/>
      <c r="X17" s="182"/>
    </row>
    <row r="18" spans="1:24" ht="12.75" customHeight="1">
      <c r="A18" s="240" t="s">
        <v>1610</v>
      </c>
      <c r="B18" s="279"/>
      <c r="C18" s="2525">
        <v>38209.160000000003</v>
      </c>
      <c r="D18" s="2525">
        <v>40785.32</v>
      </c>
      <c r="E18" s="2526">
        <v>13568.14</v>
      </c>
      <c r="F18" s="2527"/>
      <c r="G18" s="2525">
        <v>20000</v>
      </c>
      <c r="H18" s="2526">
        <v>16877</v>
      </c>
      <c r="I18" s="2528">
        <v>16877</v>
      </c>
      <c r="J18" s="2529">
        <v>20000</v>
      </c>
      <c r="K18" s="2525">
        <v>20000</v>
      </c>
      <c r="L18" s="2526">
        <v>20000</v>
      </c>
      <c r="M18" s="181"/>
      <c r="N18" s="182"/>
      <c r="O18" s="182"/>
      <c r="P18" s="182"/>
      <c r="Q18" s="182"/>
      <c r="R18" s="182"/>
      <c r="S18" s="182"/>
      <c r="T18" s="182"/>
      <c r="U18" s="182"/>
      <c r="V18" s="182"/>
      <c r="W18" s="182"/>
      <c r="X18" s="182"/>
    </row>
    <row r="19" spans="1:24" ht="12.75" customHeight="1">
      <c r="A19" s="236" t="s">
        <v>35</v>
      </c>
      <c r="B19" s="278"/>
      <c r="C19" s="2518">
        <v>7437817</v>
      </c>
      <c r="D19" s="2518">
        <v>35690775.583800003</v>
      </c>
      <c r="E19" s="2522">
        <v>26974491.153999999</v>
      </c>
      <c r="F19" s="2523">
        <v>16605000</v>
      </c>
      <c r="G19" s="2518">
        <v>16625000</v>
      </c>
      <c r="H19" s="2522">
        <v>18044873</v>
      </c>
      <c r="I19" s="2524">
        <v>18044873</v>
      </c>
      <c r="J19" s="2520">
        <v>18061000</v>
      </c>
      <c r="K19" s="2518">
        <v>19804000</v>
      </c>
      <c r="L19" s="2522">
        <v>21904000</v>
      </c>
      <c r="M19" s="194"/>
      <c r="N19" s="182"/>
      <c r="O19" s="182"/>
      <c r="P19" s="182"/>
      <c r="Q19" s="182"/>
      <c r="R19" s="182"/>
      <c r="S19" s="182"/>
      <c r="T19" s="182"/>
      <c r="U19" s="182"/>
      <c r="V19" s="182"/>
      <c r="W19" s="182"/>
      <c r="X19" s="182"/>
    </row>
    <row r="20" spans="1:24" ht="12.75" customHeight="1">
      <c r="A20" s="236" t="s">
        <v>1666</v>
      </c>
      <c r="B20" s="278">
        <v>2</v>
      </c>
      <c r="C20" s="2483">
        <v>1074552.8299999996</v>
      </c>
      <c r="D20" s="2483">
        <v>11665846.659999998</v>
      </c>
      <c r="E20" s="2480">
        <v>571931.04</v>
      </c>
      <c r="F20" s="2481">
        <v>1356000</v>
      </c>
      <c r="G20" s="2479">
        <v>637700</v>
      </c>
      <c r="H20" s="2480">
        <v>508622</v>
      </c>
      <c r="I20" s="2478">
        <v>508622</v>
      </c>
      <c r="J20" s="2482">
        <v>516250</v>
      </c>
      <c r="K20" s="2479">
        <v>316830</v>
      </c>
      <c r="L20" s="2480">
        <v>322335</v>
      </c>
      <c r="M20" s="194"/>
      <c r="N20" s="182"/>
      <c r="O20" s="182"/>
      <c r="P20" s="182"/>
      <c r="Q20" s="182"/>
      <c r="R20" s="182"/>
      <c r="S20" s="182"/>
      <c r="T20" s="182"/>
      <c r="U20" s="182"/>
      <c r="V20" s="182"/>
      <c r="W20" s="182"/>
      <c r="X20" s="182"/>
    </row>
    <row r="21" spans="1:24" ht="12.75" customHeight="1">
      <c r="A21" s="236" t="s">
        <v>496</v>
      </c>
      <c r="B21" s="278"/>
      <c r="C21" s="2525">
        <v>975</v>
      </c>
      <c r="D21" s="2518">
        <v>9466</v>
      </c>
      <c r="E21" s="2522">
        <v>2559</v>
      </c>
      <c r="F21" s="2523"/>
      <c r="G21" s="2518">
        <v>56100</v>
      </c>
      <c r="H21" s="2522">
        <v>19452</v>
      </c>
      <c r="I21" s="2524">
        <v>19452</v>
      </c>
      <c r="J21" s="2520">
        <v>56100</v>
      </c>
      <c r="K21" s="2518">
        <v>56200</v>
      </c>
      <c r="L21" s="2522">
        <v>56300</v>
      </c>
      <c r="M21" s="194"/>
      <c r="N21" s="182"/>
      <c r="O21" s="182"/>
      <c r="P21" s="182"/>
      <c r="Q21" s="182"/>
      <c r="R21" s="182"/>
      <c r="S21" s="182"/>
      <c r="T21" s="182"/>
      <c r="U21" s="182"/>
      <c r="V21" s="182"/>
      <c r="W21" s="182"/>
      <c r="X21" s="182"/>
    </row>
    <row r="22" spans="1:24" ht="24" customHeight="1">
      <c r="A22" s="1314" t="s">
        <v>1110</v>
      </c>
      <c r="B22" s="1315"/>
      <c r="C22" s="2513">
        <v>27160977.57</v>
      </c>
      <c r="D22" s="2513">
        <v>69978558.301141277</v>
      </c>
      <c r="E22" s="2514">
        <v>53367043.982112944</v>
      </c>
      <c r="F22" s="2515">
        <v>50316615</v>
      </c>
      <c r="G22" s="2513">
        <v>51005190</v>
      </c>
      <c r="H22" s="2514">
        <v>41845907</v>
      </c>
      <c r="I22" s="2515">
        <v>41845907</v>
      </c>
      <c r="J22" s="2516">
        <v>53204975.883599997</v>
      </c>
      <c r="K22" s="2513">
        <v>60286500.738376006</v>
      </c>
      <c r="L22" s="2514">
        <v>64528312.555370003</v>
      </c>
      <c r="M22" s="185">
        <f t="shared" ref="M22:X22" si="0">SUM(M5:M21)</f>
        <v>0</v>
      </c>
      <c r="N22" s="186">
        <f t="shared" si="0"/>
        <v>0</v>
      </c>
      <c r="O22" s="186">
        <f t="shared" si="0"/>
        <v>0</v>
      </c>
      <c r="P22" s="186">
        <f t="shared" si="0"/>
        <v>0</v>
      </c>
      <c r="Q22" s="186">
        <f t="shared" si="0"/>
        <v>0</v>
      </c>
      <c r="R22" s="186">
        <f t="shared" si="0"/>
        <v>0</v>
      </c>
      <c r="S22" s="186">
        <f t="shared" si="0"/>
        <v>0</v>
      </c>
      <c r="T22" s="186">
        <f t="shared" si="0"/>
        <v>0</v>
      </c>
      <c r="U22" s="186">
        <f t="shared" si="0"/>
        <v>0</v>
      </c>
      <c r="V22" s="186">
        <f t="shared" si="0"/>
        <v>0</v>
      </c>
      <c r="W22" s="186">
        <f t="shared" si="0"/>
        <v>0</v>
      </c>
      <c r="X22" s="186">
        <f t="shared" si="0"/>
        <v>0</v>
      </c>
    </row>
    <row r="23" spans="1:24" ht="5.0999999999999996" customHeight="1">
      <c r="A23" s="259"/>
      <c r="B23" s="278"/>
      <c r="C23" s="2479"/>
      <c r="D23" s="2479"/>
      <c r="E23" s="2480"/>
      <c r="F23" s="2481"/>
      <c r="G23" s="2479"/>
      <c r="H23" s="2480"/>
      <c r="I23" s="2478"/>
      <c r="J23" s="2482"/>
      <c r="K23" s="2479"/>
      <c r="L23" s="2480"/>
      <c r="M23" s="181"/>
      <c r="N23" s="182"/>
      <c r="O23" s="182"/>
      <c r="P23" s="182"/>
      <c r="Q23" s="182"/>
      <c r="R23" s="182"/>
      <c r="S23" s="182"/>
      <c r="T23" s="182"/>
      <c r="U23" s="182"/>
      <c r="V23" s="182"/>
      <c r="W23" s="182"/>
      <c r="X23" s="182"/>
    </row>
    <row r="24" spans="1:24" ht="11.25" customHeight="1">
      <c r="A24" s="235" t="s">
        <v>1759</v>
      </c>
      <c r="B24" s="280"/>
      <c r="C24" s="2479"/>
      <c r="D24" s="2479"/>
      <c r="E24" s="2480"/>
      <c r="F24" s="2481"/>
      <c r="G24" s="2479"/>
      <c r="H24" s="2480"/>
      <c r="I24" s="2478"/>
      <c r="J24" s="2482"/>
      <c r="K24" s="2479"/>
      <c r="L24" s="2480"/>
      <c r="M24" s="181"/>
      <c r="N24" s="182"/>
      <c r="O24" s="182"/>
      <c r="P24" s="182"/>
      <c r="Q24" s="182"/>
      <c r="R24" s="182"/>
      <c r="S24" s="182"/>
      <c r="T24" s="182"/>
      <c r="U24" s="182"/>
      <c r="V24" s="182"/>
      <c r="W24" s="182"/>
      <c r="X24" s="182"/>
    </row>
    <row r="25" spans="1:24" ht="11.25" customHeight="1">
      <c r="A25" s="240" t="s">
        <v>497</v>
      </c>
      <c r="B25" s="279">
        <v>2</v>
      </c>
      <c r="C25" s="2479">
        <v>10576660.059999999</v>
      </c>
      <c r="D25" s="2483">
        <v>11816013.710000001</v>
      </c>
      <c r="E25" s="2480">
        <v>13579497.119999997</v>
      </c>
      <c r="F25" s="2481">
        <v>18695710</v>
      </c>
      <c r="G25" s="2479">
        <v>19220645</v>
      </c>
      <c r="H25" s="2480">
        <v>16767022</v>
      </c>
      <c r="I25" s="2478">
        <v>16767022</v>
      </c>
      <c r="J25" s="2482">
        <v>23278845.536823008</v>
      </c>
      <c r="K25" s="2479">
        <v>24705577.725229669</v>
      </c>
      <c r="L25" s="2480">
        <v>26406330.990956668</v>
      </c>
      <c r="M25" s="181"/>
      <c r="N25" s="182"/>
      <c r="O25" s="182"/>
      <c r="P25" s="182"/>
      <c r="Q25" s="182"/>
      <c r="R25" s="182"/>
      <c r="S25" s="182"/>
      <c r="T25" s="182"/>
      <c r="U25" s="182"/>
      <c r="V25" s="182"/>
      <c r="W25" s="182"/>
      <c r="X25" s="182"/>
    </row>
    <row r="26" spans="1:24" ht="11.25" customHeight="1">
      <c r="A26" s="240" t="s">
        <v>555</v>
      </c>
      <c r="B26" s="279"/>
      <c r="C26" s="2525">
        <v>1423440.1600000001</v>
      </c>
      <c r="D26" s="2518">
        <v>1591397.97</v>
      </c>
      <c r="E26" s="2522">
        <v>1693387.8599999999</v>
      </c>
      <c r="F26" s="2523">
        <v>1780000</v>
      </c>
      <c r="G26" s="2518">
        <v>1780000</v>
      </c>
      <c r="H26" s="2522">
        <v>1783890</v>
      </c>
      <c r="I26" s="2524">
        <v>1783890</v>
      </c>
      <c r="J26" s="2520">
        <v>1850000</v>
      </c>
      <c r="K26" s="2518">
        <v>1916000</v>
      </c>
      <c r="L26" s="2522">
        <v>2033280</v>
      </c>
      <c r="M26" s="181"/>
      <c r="N26" s="182"/>
      <c r="O26" s="182"/>
      <c r="P26" s="182"/>
      <c r="Q26" s="182"/>
      <c r="R26" s="182"/>
      <c r="S26" s="182"/>
      <c r="T26" s="182"/>
      <c r="U26" s="182"/>
      <c r="V26" s="182"/>
      <c r="W26" s="182"/>
      <c r="X26" s="182"/>
    </row>
    <row r="27" spans="1:24" ht="11.25" customHeight="1">
      <c r="A27" s="240" t="s">
        <v>1563</v>
      </c>
      <c r="B27" s="279">
        <v>3</v>
      </c>
      <c r="C27" s="2518">
        <v>2029758.72</v>
      </c>
      <c r="D27" s="2518">
        <v>-238904.13999135193</v>
      </c>
      <c r="E27" s="2522">
        <v>3541767.8020000746</v>
      </c>
      <c r="F27" s="2523">
        <v>0</v>
      </c>
      <c r="G27" s="2518">
        <v>560000</v>
      </c>
      <c r="H27" s="2522">
        <v>62720</v>
      </c>
      <c r="I27" s="2524">
        <v>62720</v>
      </c>
      <c r="J27" s="2520">
        <v>8899166.4600000437</v>
      </c>
      <c r="K27" s="2518">
        <v>560000</v>
      </c>
      <c r="L27" s="2522">
        <v>560000</v>
      </c>
      <c r="M27" s="181"/>
      <c r="N27" s="182"/>
      <c r="O27" s="182"/>
      <c r="P27" s="182"/>
      <c r="Q27" s="182"/>
      <c r="R27" s="182"/>
      <c r="S27" s="182"/>
      <c r="T27" s="182"/>
      <c r="U27" s="182"/>
      <c r="V27" s="182"/>
      <c r="W27" s="182"/>
      <c r="X27" s="182"/>
    </row>
    <row r="28" spans="1:24" ht="11.25" customHeight="1">
      <c r="A28" s="240" t="s">
        <v>1596</v>
      </c>
      <c r="B28" s="279">
        <v>2</v>
      </c>
      <c r="C28" s="2479">
        <v>0</v>
      </c>
      <c r="D28" s="2483">
        <v>4025720.9765738035</v>
      </c>
      <c r="E28" s="2480">
        <v>4524935.8346276861</v>
      </c>
      <c r="F28" s="2481">
        <v>204800</v>
      </c>
      <c r="G28" s="2479">
        <v>221400</v>
      </c>
      <c r="H28" s="2480">
        <v>24798</v>
      </c>
      <c r="I28" s="2478">
        <v>24798</v>
      </c>
      <c r="J28" s="2482">
        <v>5357533.0649144258</v>
      </c>
      <c r="K28" s="2479">
        <v>5802697.0488092918</v>
      </c>
      <c r="L28" s="2480">
        <v>6140314.8717378499</v>
      </c>
      <c r="M28" s="194"/>
      <c r="N28" s="195"/>
      <c r="O28" s="195"/>
      <c r="P28" s="195"/>
      <c r="Q28" s="195"/>
      <c r="R28" s="195"/>
      <c r="S28" s="195"/>
      <c r="T28" s="195"/>
      <c r="U28" s="195"/>
      <c r="V28" s="195"/>
      <c r="W28" s="195"/>
      <c r="X28" s="195"/>
    </row>
    <row r="29" spans="1:24" ht="11.25" customHeight="1">
      <c r="A29" s="240" t="s">
        <v>1665</v>
      </c>
      <c r="B29" s="279"/>
      <c r="C29" s="2518">
        <v>764314.14999999991</v>
      </c>
      <c r="D29" s="2518">
        <v>601015.97</v>
      </c>
      <c r="E29" s="2522">
        <v>565750.5199999999</v>
      </c>
      <c r="F29" s="2523">
        <v>8783000</v>
      </c>
      <c r="G29" s="2518">
        <v>250000</v>
      </c>
      <c r="H29" s="2522">
        <v>342863</v>
      </c>
      <c r="I29" s="2524">
        <v>342863</v>
      </c>
      <c r="J29" s="2520">
        <v>453000</v>
      </c>
      <c r="K29" s="2518">
        <v>610000</v>
      </c>
      <c r="L29" s="2522">
        <v>620000</v>
      </c>
      <c r="M29" s="181"/>
      <c r="N29" s="182"/>
      <c r="O29" s="182"/>
      <c r="P29" s="182"/>
      <c r="Q29" s="182"/>
      <c r="R29" s="182"/>
      <c r="S29" s="182"/>
      <c r="T29" s="182"/>
      <c r="U29" s="182"/>
      <c r="V29" s="182"/>
      <c r="W29" s="182"/>
      <c r="X29" s="182"/>
    </row>
    <row r="30" spans="1:24" ht="11.25" customHeight="1">
      <c r="A30" s="240" t="s">
        <v>500</v>
      </c>
      <c r="B30" s="279">
        <v>2</v>
      </c>
      <c r="C30" s="2479">
        <v>3160154.76</v>
      </c>
      <c r="D30" s="2483">
        <v>4344688.4399999995</v>
      </c>
      <c r="E30" s="2480">
        <v>5985964.4299999997</v>
      </c>
      <c r="F30" s="2481">
        <v>7585515</v>
      </c>
      <c r="G30" s="2479">
        <v>8456100</v>
      </c>
      <c r="H30" s="2480">
        <v>8472926</v>
      </c>
      <c r="I30" s="2478">
        <v>8472926</v>
      </c>
      <c r="J30" s="2482">
        <v>8450000</v>
      </c>
      <c r="K30" s="2479">
        <v>9317470</v>
      </c>
      <c r="L30" s="2480">
        <v>11479760</v>
      </c>
      <c r="M30" s="181"/>
      <c r="N30" s="182"/>
      <c r="O30" s="182"/>
      <c r="P30" s="182"/>
      <c r="Q30" s="182"/>
      <c r="R30" s="182"/>
      <c r="S30" s="182"/>
      <c r="T30" s="182"/>
      <c r="U30" s="182"/>
      <c r="V30" s="182"/>
      <c r="W30" s="182"/>
      <c r="X30" s="182"/>
    </row>
    <row r="31" spans="1:24" ht="11.25" customHeight="1">
      <c r="A31" s="240" t="s">
        <v>1629</v>
      </c>
      <c r="B31" s="279">
        <v>8</v>
      </c>
      <c r="C31" s="2525">
        <v>0</v>
      </c>
      <c r="D31" s="2525">
        <v>0</v>
      </c>
      <c r="E31" s="2526">
        <v>0</v>
      </c>
      <c r="F31" s="2527">
        <v>5042000</v>
      </c>
      <c r="G31" s="2525">
        <v>0</v>
      </c>
      <c r="H31" s="2526">
        <v>0</v>
      </c>
      <c r="I31" s="2528">
        <v>0</v>
      </c>
      <c r="J31" s="2529">
        <v>0</v>
      </c>
      <c r="K31" s="2525">
        <v>0</v>
      </c>
      <c r="L31" s="2526">
        <v>0</v>
      </c>
      <c r="M31" s="181"/>
      <c r="N31" s="182"/>
      <c r="O31" s="182"/>
      <c r="P31" s="182"/>
      <c r="Q31" s="182"/>
      <c r="R31" s="182"/>
      <c r="S31" s="182"/>
      <c r="T31" s="182"/>
      <c r="U31" s="182"/>
      <c r="V31" s="182"/>
      <c r="W31" s="182"/>
      <c r="X31" s="182"/>
    </row>
    <row r="32" spans="1:24" ht="11.25" customHeight="1">
      <c r="A32" s="240" t="s">
        <v>501</v>
      </c>
      <c r="B32" s="279"/>
      <c r="C32" s="2479">
        <v>0</v>
      </c>
      <c r="D32" s="2483">
        <v>0</v>
      </c>
      <c r="E32" s="2480">
        <v>0</v>
      </c>
      <c r="F32" s="2481">
        <v>90000</v>
      </c>
      <c r="G32" s="2479">
        <v>0</v>
      </c>
      <c r="H32" s="2480">
        <v>0</v>
      </c>
      <c r="I32" s="2478">
        <v>0</v>
      </c>
      <c r="J32" s="2482">
        <v>0</v>
      </c>
      <c r="K32" s="2479">
        <v>0</v>
      </c>
      <c r="L32" s="2480">
        <v>0</v>
      </c>
      <c r="M32" s="181"/>
      <c r="N32" s="182"/>
      <c r="O32" s="182"/>
      <c r="P32" s="182"/>
      <c r="Q32" s="182"/>
      <c r="R32" s="182"/>
      <c r="S32" s="182"/>
      <c r="T32" s="182"/>
      <c r="U32" s="182"/>
      <c r="V32" s="182"/>
      <c r="W32" s="182"/>
      <c r="X32" s="182"/>
    </row>
    <row r="33" spans="1:25" ht="11.25" customHeight="1">
      <c r="A33" s="240" t="s">
        <v>838</v>
      </c>
      <c r="B33" s="279"/>
      <c r="C33" s="2518">
        <v>2404407.1399999997</v>
      </c>
      <c r="D33" s="2518">
        <v>3404607.72</v>
      </c>
      <c r="E33" s="2522">
        <v>2658653.4800000004</v>
      </c>
      <c r="F33" s="2523">
        <v>3858650</v>
      </c>
      <c r="G33" s="2518">
        <v>3767700</v>
      </c>
      <c r="H33" s="2522">
        <v>3573842</v>
      </c>
      <c r="I33" s="2524">
        <v>3573842</v>
      </c>
      <c r="J33" s="2520">
        <v>3483078.63</v>
      </c>
      <c r="K33" s="2518">
        <v>3695670.26248</v>
      </c>
      <c r="L33" s="2522">
        <v>3908692.1782288002</v>
      </c>
      <c r="M33" s="181"/>
      <c r="N33" s="182"/>
      <c r="O33" s="182"/>
      <c r="P33" s="182"/>
      <c r="Q33" s="182"/>
      <c r="R33" s="182"/>
      <c r="S33" s="182"/>
      <c r="T33" s="182"/>
      <c r="U33" s="182"/>
      <c r="V33" s="182"/>
      <c r="W33" s="182"/>
      <c r="X33" s="182"/>
    </row>
    <row r="34" spans="1:25" ht="11.25" customHeight="1">
      <c r="A34" s="240" t="s">
        <v>1020</v>
      </c>
      <c r="B34" s="279" t="s">
        <v>683</v>
      </c>
      <c r="C34" s="2479">
        <v>5568298.3400000008</v>
      </c>
      <c r="D34" s="2483">
        <v>25015941.469999999</v>
      </c>
      <c r="E34" s="2480">
        <v>9695410.1000000015</v>
      </c>
      <c r="F34" s="2481">
        <v>4277000</v>
      </c>
      <c r="G34" s="2479">
        <v>14823310</v>
      </c>
      <c r="H34" s="2480">
        <v>10726489</v>
      </c>
      <c r="I34" s="2478">
        <v>10726489</v>
      </c>
      <c r="J34" s="2482">
        <v>18097983.549387999</v>
      </c>
      <c r="K34" s="2479">
        <v>19318626.933339041</v>
      </c>
      <c r="L34" s="2480">
        <v>19608991.708866164</v>
      </c>
      <c r="M34" s="181"/>
      <c r="N34" s="182"/>
      <c r="O34" s="182"/>
      <c r="P34" s="182"/>
      <c r="Q34" s="182"/>
      <c r="R34" s="182"/>
      <c r="S34" s="182"/>
      <c r="T34" s="182"/>
      <c r="U34" s="182"/>
      <c r="V34" s="182"/>
      <c r="W34" s="182"/>
      <c r="X34" s="182"/>
    </row>
    <row r="35" spans="1:25" ht="11.25" customHeight="1">
      <c r="A35" s="236" t="s">
        <v>420</v>
      </c>
      <c r="B35" s="278"/>
      <c r="C35" s="2525">
        <v>0</v>
      </c>
      <c r="D35" s="2525">
        <v>11747.75</v>
      </c>
      <c r="E35" s="2522">
        <v>0</v>
      </c>
      <c r="F35" s="2527">
        <v>0</v>
      </c>
      <c r="G35" s="2525">
        <v>10000</v>
      </c>
      <c r="H35" s="2522">
        <v>1120</v>
      </c>
      <c r="I35" s="2524">
        <v>1120</v>
      </c>
      <c r="J35" s="2529">
        <v>3000</v>
      </c>
      <c r="K35" s="2525">
        <v>10000</v>
      </c>
      <c r="L35" s="2526">
        <v>10000</v>
      </c>
      <c r="M35" s="181"/>
      <c r="N35" s="182"/>
      <c r="O35" s="182"/>
      <c r="P35" s="182"/>
      <c r="Q35" s="182"/>
      <c r="R35" s="182"/>
      <c r="S35" s="182"/>
      <c r="T35" s="182"/>
      <c r="U35" s="182"/>
      <c r="V35" s="182"/>
      <c r="W35" s="182"/>
      <c r="X35" s="182"/>
    </row>
    <row r="36" spans="1:25" ht="11.25" customHeight="1">
      <c r="A36" s="1316" t="s">
        <v>1760</v>
      </c>
      <c r="B36" s="1315"/>
      <c r="C36" s="2513">
        <v>25927033.330000002</v>
      </c>
      <c r="D36" s="2513">
        <v>50572229.866582446</v>
      </c>
      <c r="E36" s="2514">
        <v>42245367.146627761</v>
      </c>
      <c r="F36" s="2515">
        <v>50316675</v>
      </c>
      <c r="G36" s="2513">
        <v>49089155</v>
      </c>
      <c r="H36" s="2514">
        <v>41755670</v>
      </c>
      <c r="I36" s="2515">
        <v>41755670</v>
      </c>
      <c r="J36" s="2516">
        <v>69872607.241125479</v>
      </c>
      <c r="K36" s="2513">
        <v>65936041.969858006</v>
      </c>
      <c r="L36" s="2514">
        <v>70767369.749789476</v>
      </c>
      <c r="M36" s="185">
        <f t="shared" ref="M36:X36" si="1">SUM(M25:M35)</f>
        <v>0</v>
      </c>
      <c r="N36" s="186">
        <f t="shared" si="1"/>
        <v>0</v>
      </c>
      <c r="O36" s="186">
        <f t="shared" si="1"/>
        <v>0</v>
      </c>
      <c r="P36" s="186">
        <f t="shared" si="1"/>
        <v>0</v>
      </c>
      <c r="Q36" s="186">
        <f t="shared" si="1"/>
        <v>0</v>
      </c>
      <c r="R36" s="186">
        <f t="shared" si="1"/>
        <v>0</v>
      </c>
      <c r="S36" s="186">
        <f t="shared" si="1"/>
        <v>0</v>
      </c>
      <c r="T36" s="186">
        <f t="shared" si="1"/>
        <v>0</v>
      </c>
      <c r="U36" s="186">
        <f t="shared" si="1"/>
        <v>0</v>
      </c>
      <c r="V36" s="186">
        <f t="shared" si="1"/>
        <v>0</v>
      </c>
      <c r="W36" s="186">
        <f t="shared" si="1"/>
        <v>0</v>
      </c>
      <c r="X36" s="186">
        <f t="shared" si="1"/>
        <v>0</v>
      </c>
    </row>
    <row r="37" spans="1:25" ht="5.0999999999999996" customHeight="1">
      <c r="A37" s="259"/>
      <c r="B37" s="278"/>
      <c r="C37" s="2484"/>
      <c r="D37" s="2484"/>
      <c r="E37" s="2485"/>
      <c r="F37" s="2486"/>
      <c r="G37" s="2484"/>
      <c r="H37" s="2485"/>
      <c r="I37" s="2486"/>
      <c r="J37" s="2487"/>
      <c r="K37" s="2484"/>
      <c r="L37" s="2485"/>
      <c r="M37" s="208"/>
      <c r="N37" s="209"/>
      <c r="O37" s="209"/>
      <c r="P37" s="209"/>
      <c r="Q37" s="209"/>
      <c r="R37" s="209"/>
      <c r="S37" s="209"/>
      <c r="T37" s="209"/>
      <c r="U37" s="209"/>
      <c r="V37" s="209"/>
      <c r="W37" s="209"/>
      <c r="X37" s="209"/>
    </row>
    <row r="38" spans="1:25" ht="12" customHeight="1">
      <c r="A38" s="251" t="s">
        <v>1831</v>
      </c>
      <c r="B38" s="278"/>
      <c r="C38" s="2488">
        <v>1233944.2399999984</v>
      </c>
      <c r="D38" s="2488">
        <v>19406328.434558831</v>
      </c>
      <c r="E38" s="2489">
        <v>11121676.835485183</v>
      </c>
      <c r="F38" s="2490">
        <v>-60</v>
      </c>
      <c r="G38" s="2488">
        <v>1916035</v>
      </c>
      <c r="H38" s="2489">
        <v>90237</v>
      </c>
      <c r="I38" s="2490">
        <v>90237</v>
      </c>
      <c r="J38" s="2491">
        <v>-16667631.357525483</v>
      </c>
      <c r="K38" s="2488">
        <v>-5649541.2314819992</v>
      </c>
      <c r="L38" s="2489">
        <v>-6239057.1944194734</v>
      </c>
      <c r="M38" s="208">
        <f t="shared" ref="M38:X38" si="2">M22+M36</f>
        <v>0</v>
      </c>
      <c r="N38" s="209">
        <f t="shared" si="2"/>
        <v>0</v>
      </c>
      <c r="O38" s="209">
        <f t="shared" si="2"/>
        <v>0</v>
      </c>
      <c r="P38" s="209">
        <f t="shared" si="2"/>
        <v>0</v>
      </c>
      <c r="Q38" s="209">
        <f t="shared" si="2"/>
        <v>0</v>
      </c>
      <c r="R38" s="209">
        <f t="shared" si="2"/>
        <v>0</v>
      </c>
      <c r="S38" s="209">
        <f t="shared" si="2"/>
        <v>0</v>
      </c>
      <c r="T38" s="209">
        <f t="shared" si="2"/>
        <v>0</v>
      </c>
      <c r="U38" s="209">
        <f t="shared" si="2"/>
        <v>0</v>
      </c>
      <c r="V38" s="209">
        <f t="shared" si="2"/>
        <v>0</v>
      </c>
      <c r="W38" s="209">
        <f t="shared" si="2"/>
        <v>0</v>
      </c>
      <c r="X38" s="209">
        <f t="shared" si="2"/>
        <v>0</v>
      </c>
    </row>
    <row r="39" spans="1:25" ht="11.25" customHeight="1">
      <c r="A39" s="236" t="s">
        <v>1449</v>
      </c>
      <c r="B39" s="278"/>
      <c r="C39" s="2508">
        <v>0</v>
      </c>
      <c r="D39" s="2508">
        <v>0</v>
      </c>
      <c r="E39" s="2510">
        <v>0</v>
      </c>
      <c r="F39" s="2511">
        <v>0</v>
      </c>
      <c r="G39" s="2508">
        <v>0</v>
      </c>
      <c r="H39" s="2510">
        <v>0</v>
      </c>
      <c r="I39" s="2512">
        <v>0</v>
      </c>
      <c r="J39" s="2509">
        <v>9488000</v>
      </c>
      <c r="K39" s="2508">
        <v>11537000</v>
      </c>
      <c r="L39" s="2510">
        <v>12171000</v>
      </c>
      <c r="M39" s="194"/>
      <c r="N39" s="195"/>
      <c r="O39" s="195"/>
      <c r="P39" s="195"/>
      <c r="Q39" s="195"/>
      <c r="R39" s="195"/>
      <c r="S39" s="195"/>
      <c r="T39" s="195"/>
      <c r="U39" s="195"/>
      <c r="V39" s="195"/>
      <c r="W39" s="195"/>
      <c r="X39" s="195"/>
      <c r="Y39" s="345"/>
    </row>
    <row r="40" spans="1:25" ht="11.25" customHeight="1">
      <c r="A40" s="236" t="s">
        <v>869</v>
      </c>
      <c r="B40" s="278">
        <v>6</v>
      </c>
      <c r="C40" s="2479">
        <v>0</v>
      </c>
      <c r="D40" s="2483">
        <v>0</v>
      </c>
      <c r="E40" s="2480">
        <v>0</v>
      </c>
      <c r="F40" s="2481">
        <v>0</v>
      </c>
      <c r="G40" s="2479">
        <v>0</v>
      </c>
      <c r="H40" s="2480">
        <v>0</v>
      </c>
      <c r="I40" s="2478">
        <v>0</v>
      </c>
      <c r="J40" s="2482">
        <v>0</v>
      </c>
      <c r="K40" s="2479">
        <v>0</v>
      </c>
      <c r="L40" s="2480">
        <v>0</v>
      </c>
      <c r="M40" s="181"/>
      <c r="N40" s="182"/>
      <c r="O40" s="182"/>
      <c r="P40" s="182"/>
      <c r="Q40" s="182"/>
      <c r="R40" s="182"/>
      <c r="S40" s="182"/>
      <c r="T40" s="182"/>
      <c r="U40" s="182"/>
      <c r="V40" s="182"/>
      <c r="W40" s="182"/>
      <c r="X40" s="182"/>
    </row>
    <row r="41" spans="1:25" ht="11.25" customHeight="1">
      <c r="A41" s="236" t="s">
        <v>39</v>
      </c>
      <c r="B41" s="278"/>
      <c r="C41" s="2525">
        <v>0</v>
      </c>
      <c r="D41" s="2518">
        <v>0</v>
      </c>
      <c r="E41" s="2522">
        <v>0</v>
      </c>
      <c r="F41" s="2530">
        <v>0</v>
      </c>
      <c r="G41" s="2531">
        <v>0</v>
      </c>
      <c r="H41" s="2532">
        <v>0</v>
      </c>
      <c r="I41" s="2524">
        <v>0</v>
      </c>
      <c r="J41" s="2533">
        <v>0</v>
      </c>
      <c r="K41" s="2531">
        <v>0</v>
      </c>
      <c r="L41" s="2532">
        <v>0</v>
      </c>
      <c r="M41" s="181"/>
      <c r="N41" s="182"/>
      <c r="O41" s="182"/>
      <c r="P41" s="182"/>
      <c r="Q41" s="182"/>
      <c r="R41" s="182"/>
      <c r="S41" s="182"/>
      <c r="T41" s="182"/>
      <c r="U41" s="182"/>
      <c r="V41" s="182"/>
      <c r="W41" s="182"/>
      <c r="X41" s="182"/>
    </row>
    <row r="42" spans="1:25" ht="25.5">
      <c r="A42" s="282" t="s">
        <v>453</v>
      </c>
      <c r="B42" s="278"/>
      <c r="C42" s="2497">
        <v>1233944.2399999984</v>
      </c>
      <c r="D42" s="2497">
        <v>19406328.434558831</v>
      </c>
      <c r="E42" s="2498">
        <v>11121676.835485183</v>
      </c>
      <c r="F42" s="2499">
        <v>-60</v>
      </c>
      <c r="G42" s="2497">
        <v>1916035</v>
      </c>
      <c r="H42" s="2498">
        <v>90237</v>
      </c>
      <c r="I42" s="2499">
        <v>90237</v>
      </c>
      <c r="J42" s="2500">
        <v>-7179631.3575254828</v>
      </c>
      <c r="K42" s="2497">
        <v>5887458.7685180008</v>
      </c>
      <c r="L42" s="2498">
        <v>5931942.8055805266</v>
      </c>
      <c r="M42" s="181"/>
      <c r="N42" s="182"/>
      <c r="O42" s="182"/>
      <c r="P42" s="182"/>
      <c r="Q42" s="182"/>
      <c r="R42" s="182"/>
      <c r="S42" s="182"/>
      <c r="T42" s="182"/>
      <c r="U42" s="182"/>
      <c r="V42" s="182"/>
      <c r="W42" s="182"/>
      <c r="X42" s="182"/>
    </row>
    <row r="43" spans="1:25" ht="11.25" customHeight="1">
      <c r="A43" s="236" t="s">
        <v>1114</v>
      </c>
      <c r="B43" s="278"/>
      <c r="C43" s="2525">
        <v>0</v>
      </c>
      <c r="D43" s="2525">
        <v>0</v>
      </c>
      <c r="E43" s="2526">
        <v>0</v>
      </c>
      <c r="F43" s="2527">
        <v>0</v>
      </c>
      <c r="G43" s="2525">
        <v>0</v>
      </c>
      <c r="H43" s="2526">
        <v>0</v>
      </c>
      <c r="I43" s="2527">
        <v>0</v>
      </c>
      <c r="J43" s="2529">
        <v>0</v>
      </c>
      <c r="K43" s="2525">
        <v>0</v>
      </c>
      <c r="L43" s="2526">
        <v>0</v>
      </c>
      <c r="M43" s="181"/>
      <c r="N43" s="182"/>
      <c r="O43" s="182"/>
      <c r="P43" s="182"/>
      <c r="Q43" s="182"/>
      <c r="R43" s="182"/>
      <c r="S43" s="182"/>
      <c r="T43" s="182"/>
      <c r="U43" s="182"/>
      <c r="V43" s="182"/>
      <c r="W43" s="182"/>
      <c r="X43" s="182"/>
    </row>
    <row r="44" spans="1:25" ht="11.25" customHeight="1">
      <c r="A44" s="284" t="s">
        <v>1115</v>
      </c>
      <c r="B44" s="278"/>
      <c r="C44" s="2484">
        <v>1233944.2399999984</v>
      </c>
      <c r="D44" s="2484">
        <v>19406328.434558831</v>
      </c>
      <c r="E44" s="2485">
        <v>11121676.835485183</v>
      </c>
      <c r="F44" s="2486">
        <v>-60</v>
      </c>
      <c r="G44" s="2484">
        <v>1916035</v>
      </c>
      <c r="H44" s="2485">
        <v>90237</v>
      </c>
      <c r="I44" s="2486">
        <v>90237</v>
      </c>
      <c r="J44" s="2487">
        <v>-7179631.3575254828</v>
      </c>
      <c r="K44" s="2484">
        <v>5887458.7685180008</v>
      </c>
      <c r="L44" s="2485">
        <v>5931942.8055805266</v>
      </c>
      <c r="M44" s="181"/>
      <c r="N44" s="182"/>
      <c r="O44" s="182"/>
      <c r="P44" s="182"/>
      <c r="Q44" s="182"/>
      <c r="R44" s="182"/>
      <c r="S44" s="182"/>
      <c r="T44" s="182"/>
      <c r="U44" s="182"/>
      <c r="V44" s="182"/>
      <c r="W44" s="182"/>
      <c r="X44" s="182"/>
    </row>
    <row r="45" spans="1:25" ht="11.25" customHeight="1">
      <c r="A45" s="236" t="s">
        <v>1187</v>
      </c>
      <c r="B45" s="278"/>
      <c r="C45" s="2525">
        <v>0</v>
      </c>
      <c r="D45" s="2525">
        <v>0</v>
      </c>
      <c r="E45" s="2526">
        <v>0</v>
      </c>
      <c r="F45" s="2527">
        <v>0</v>
      </c>
      <c r="G45" s="2525">
        <v>0</v>
      </c>
      <c r="H45" s="2526">
        <v>0</v>
      </c>
      <c r="I45" s="2527">
        <v>0</v>
      </c>
      <c r="J45" s="2529">
        <v>0</v>
      </c>
      <c r="K45" s="2525">
        <v>0</v>
      </c>
      <c r="L45" s="2526">
        <v>0</v>
      </c>
      <c r="M45" s="181"/>
      <c r="N45" s="182"/>
      <c r="O45" s="182"/>
      <c r="P45" s="182"/>
      <c r="Q45" s="182"/>
      <c r="R45" s="182"/>
      <c r="S45" s="182"/>
      <c r="T45" s="182"/>
      <c r="U45" s="182"/>
      <c r="V45" s="182"/>
      <c r="W45" s="182"/>
      <c r="X45" s="182"/>
    </row>
    <row r="46" spans="1:25">
      <c r="A46" s="284" t="s">
        <v>193</v>
      </c>
      <c r="B46" s="278"/>
      <c r="C46" s="2497">
        <v>1233944.2399999984</v>
      </c>
      <c r="D46" s="2497">
        <v>19406328.434558831</v>
      </c>
      <c r="E46" s="2498">
        <v>11121676.835485183</v>
      </c>
      <c r="F46" s="2499">
        <v>-60</v>
      </c>
      <c r="G46" s="2497">
        <v>1916035</v>
      </c>
      <c r="H46" s="2498">
        <v>90237</v>
      </c>
      <c r="I46" s="2499">
        <v>90237</v>
      </c>
      <c r="J46" s="2500">
        <v>-7179631.3575254828</v>
      </c>
      <c r="K46" s="2497">
        <v>5887458.7685180008</v>
      </c>
      <c r="L46" s="2498">
        <v>5931942.8055805266</v>
      </c>
      <c r="M46" s="181"/>
      <c r="N46" s="182"/>
      <c r="O46" s="182"/>
      <c r="P46" s="182"/>
      <c r="Q46" s="182"/>
      <c r="R46" s="182"/>
      <c r="S46" s="182"/>
      <c r="T46" s="182"/>
      <c r="U46" s="182"/>
      <c r="V46" s="182"/>
      <c r="W46" s="182"/>
      <c r="X46" s="182"/>
    </row>
    <row r="47" spans="1:25">
      <c r="A47" s="285" t="s">
        <v>478</v>
      </c>
      <c r="B47" s="278">
        <v>7</v>
      </c>
      <c r="C47" s="2525">
        <v>0</v>
      </c>
      <c r="D47" s="2525">
        <v>0</v>
      </c>
      <c r="E47" s="2526">
        <v>0</v>
      </c>
      <c r="F47" s="2523">
        <v>0</v>
      </c>
      <c r="G47" s="2518">
        <v>0</v>
      </c>
      <c r="H47" s="2522">
        <v>0</v>
      </c>
      <c r="I47" s="2523">
        <v>0</v>
      </c>
      <c r="J47" s="2520">
        <v>0</v>
      </c>
      <c r="K47" s="2518">
        <v>0</v>
      </c>
      <c r="L47" s="2522">
        <v>0</v>
      </c>
      <c r="M47" s="181"/>
      <c r="N47" s="182"/>
      <c r="O47" s="182"/>
      <c r="P47" s="182"/>
      <c r="Q47" s="182"/>
      <c r="R47" s="182"/>
      <c r="S47" s="182"/>
      <c r="T47" s="182"/>
      <c r="U47" s="182"/>
      <c r="V47" s="182"/>
      <c r="W47" s="182"/>
      <c r="X47" s="182"/>
    </row>
    <row r="48" spans="1:25" ht="13.5" thickBot="1">
      <c r="A48" s="286" t="str">
        <f>result</f>
        <v>Surplus/(Deficit) for the year</v>
      </c>
      <c r="B48" s="287"/>
      <c r="C48" s="2492">
        <v>1233944.2399999984</v>
      </c>
      <c r="D48" s="2495">
        <v>19406328.434558831</v>
      </c>
      <c r="E48" s="2501">
        <v>11121676.835485183</v>
      </c>
      <c r="F48" s="2502">
        <v>-60</v>
      </c>
      <c r="G48" s="2495">
        <v>1916035</v>
      </c>
      <c r="H48" s="2493">
        <v>90237</v>
      </c>
      <c r="I48" s="2494">
        <v>90237</v>
      </c>
      <c r="J48" s="2496">
        <v>-7179631.3575254828</v>
      </c>
      <c r="K48" s="2495">
        <v>5887458.7685180008</v>
      </c>
      <c r="L48" s="2493">
        <v>5931942.8055805266</v>
      </c>
      <c r="M48" s="219">
        <f t="shared" ref="M48:X48" si="3">M26+M47</f>
        <v>0</v>
      </c>
      <c r="N48" s="220">
        <f t="shared" si="3"/>
        <v>0</v>
      </c>
      <c r="O48" s="220">
        <f t="shared" si="3"/>
        <v>0</v>
      </c>
      <c r="P48" s="220">
        <f t="shared" si="3"/>
        <v>0</v>
      </c>
      <c r="Q48" s="220">
        <f t="shared" si="3"/>
        <v>0</v>
      </c>
      <c r="R48" s="220">
        <f t="shared" si="3"/>
        <v>0</v>
      </c>
      <c r="S48" s="220">
        <f t="shared" si="3"/>
        <v>0</v>
      </c>
      <c r="T48" s="220">
        <f t="shared" si="3"/>
        <v>0</v>
      </c>
      <c r="U48" s="220">
        <f t="shared" si="3"/>
        <v>0</v>
      </c>
      <c r="V48" s="220">
        <f t="shared" si="3"/>
        <v>0</v>
      </c>
      <c r="W48" s="220">
        <f t="shared" si="3"/>
        <v>0</v>
      </c>
      <c r="X48" s="220">
        <f t="shared" si="3"/>
        <v>0</v>
      </c>
    </row>
    <row r="49" spans="1:24" ht="13.5" hidden="1" thickTop="1">
      <c r="A49" s="1234" t="str">
        <f>head27a</f>
        <v>References</v>
      </c>
      <c r="B49" s="1221"/>
      <c r="C49" s="1225"/>
      <c r="D49" s="1225"/>
      <c r="E49" s="1225"/>
      <c r="F49" s="1225"/>
      <c r="G49" s="1225"/>
      <c r="H49" s="1225"/>
      <c r="I49" s="1225"/>
      <c r="J49" s="1225"/>
      <c r="K49" s="1225"/>
      <c r="L49" s="1225"/>
      <c r="M49" s="227"/>
      <c r="N49" s="227"/>
      <c r="O49" s="227"/>
      <c r="P49" s="227"/>
      <c r="Q49" s="227"/>
      <c r="R49" s="227"/>
      <c r="S49" s="227"/>
      <c r="T49" s="227"/>
      <c r="U49" s="227"/>
      <c r="V49" s="227"/>
      <c r="W49" s="227"/>
      <c r="X49" s="227"/>
    </row>
    <row r="50" spans="1:24" ht="11.25" hidden="1" customHeight="1">
      <c r="A50" s="272" t="s">
        <v>194</v>
      </c>
      <c r="B50" s="1221"/>
      <c r="C50" s="1224"/>
      <c r="D50" s="1224"/>
      <c r="E50" s="1225"/>
      <c r="F50" s="1225"/>
      <c r="G50" s="1225"/>
      <c r="H50" s="1225"/>
      <c r="I50" s="1225"/>
      <c r="J50" s="1225"/>
      <c r="K50" s="1225"/>
      <c r="L50" s="1225"/>
    </row>
    <row r="51" spans="1:24" ht="11.25" hidden="1" customHeight="1">
      <c r="A51" s="1235" t="s">
        <v>839</v>
      </c>
      <c r="B51" s="1221"/>
      <c r="C51" s="1225"/>
      <c r="D51" s="1224"/>
      <c r="E51" s="1225"/>
      <c r="F51" s="1225"/>
      <c r="G51" s="1225"/>
      <c r="H51" s="1225"/>
      <c r="I51" s="1225"/>
      <c r="J51" s="1225"/>
      <c r="K51" s="1225"/>
      <c r="L51" s="1225"/>
    </row>
    <row r="52" spans="1:24" ht="11.25" hidden="1" customHeight="1">
      <c r="A52" s="1235" t="s">
        <v>606</v>
      </c>
      <c r="B52" s="1221"/>
      <c r="C52" s="1225"/>
      <c r="D52" s="1224"/>
      <c r="E52" s="1225"/>
      <c r="F52" s="1225"/>
      <c r="G52" s="1225"/>
      <c r="H52" s="1225"/>
      <c r="I52" s="1225"/>
      <c r="J52" s="1225"/>
      <c r="K52" s="1225"/>
      <c r="L52" s="1225"/>
    </row>
    <row r="53" spans="1:24" ht="11.25" hidden="1" customHeight="1">
      <c r="A53" s="1235" t="s">
        <v>607</v>
      </c>
      <c r="B53" s="1221"/>
      <c r="C53" s="1225"/>
      <c r="D53" s="1224"/>
      <c r="E53" s="1225"/>
      <c r="F53" s="1225"/>
      <c r="G53" s="1225"/>
      <c r="H53" s="1225"/>
      <c r="I53" s="1225"/>
      <c r="J53" s="1225"/>
      <c r="K53" s="1225"/>
      <c r="L53" s="1225"/>
    </row>
    <row r="54" spans="1:24" ht="11.25" hidden="1" customHeight="1">
      <c r="A54" s="1235" t="s">
        <v>1349</v>
      </c>
      <c r="B54" s="1221"/>
      <c r="C54" s="1225"/>
      <c r="D54" s="1224"/>
      <c r="E54" s="1225"/>
      <c r="F54" s="1225"/>
      <c r="G54" s="1225"/>
      <c r="H54" s="1225"/>
      <c r="I54" s="1225"/>
      <c r="J54" s="1225"/>
      <c r="K54" s="1225"/>
      <c r="L54" s="1225"/>
    </row>
    <row r="55" spans="1:24" ht="11.25" hidden="1" customHeight="1">
      <c r="A55" s="1235" t="s">
        <v>195</v>
      </c>
      <c r="B55" s="1221"/>
      <c r="C55" s="1225"/>
      <c r="D55" s="1224"/>
      <c r="E55" s="1225"/>
      <c r="F55" s="1225"/>
      <c r="G55" s="1225"/>
      <c r="H55" s="1225"/>
      <c r="I55" s="1225"/>
      <c r="J55" s="1225"/>
      <c r="K55" s="1225"/>
      <c r="L55" s="1225"/>
    </row>
    <row r="56" spans="1:24" ht="11.25" hidden="1" customHeight="1">
      <c r="A56" s="1235" t="s">
        <v>1282</v>
      </c>
      <c r="B56" s="1221"/>
      <c r="C56" s="1225"/>
      <c r="D56" s="1224"/>
      <c r="E56" s="1225"/>
      <c r="F56" s="1225"/>
      <c r="G56" s="1225"/>
      <c r="H56" s="1225"/>
      <c r="I56" s="1225"/>
      <c r="J56" s="1225"/>
      <c r="K56" s="1225"/>
      <c r="L56" s="1225"/>
    </row>
    <row r="57" spans="1:24" ht="11.25" hidden="1" customHeight="1">
      <c r="A57" s="1235" t="s">
        <v>967</v>
      </c>
      <c r="B57" s="1221"/>
      <c r="C57" s="1225"/>
      <c r="D57" s="1224"/>
      <c r="E57" s="1225"/>
      <c r="F57" s="1225"/>
      <c r="G57" s="1225"/>
      <c r="H57" s="1225"/>
      <c r="I57" s="1225"/>
      <c r="J57" s="1225"/>
      <c r="K57" s="1225"/>
      <c r="L57" s="1225"/>
    </row>
    <row r="58" spans="1:24" ht="11.25" hidden="1" customHeight="1">
      <c r="A58" s="1236" t="s">
        <v>300</v>
      </c>
      <c r="B58" s="1200"/>
      <c r="C58" s="1228">
        <f>C46-'A3-FinPerf V'!C39</f>
        <v>-3.7252902984619141E-9</v>
      </c>
      <c r="D58" s="1228">
        <f>D46-'A3-FinPerf V'!D39</f>
        <v>119668.1800000146</v>
      </c>
      <c r="E58" s="1228">
        <f>E46-'A3-FinPerf V'!E39</f>
        <v>3075.2099999934435</v>
      </c>
      <c r="F58" s="1228">
        <f>F46-'A3-FinPerf V'!F39</f>
        <v>-60</v>
      </c>
      <c r="G58" s="1228">
        <f>G46-'A3-FinPerf V'!G39</f>
        <v>5000</v>
      </c>
      <c r="H58" s="1228">
        <f>H46-'A3-FinPerf V'!H39</f>
        <v>2176</v>
      </c>
      <c r="I58" s="1228">
        <f>I46-'A3-FinPerf V'!H39</f>
        <v>2176</v>
      </c>
      <c r="J58" s="1228">
        <f>J46-'A3-FinPerf V'!I39</f>
        <v>9492999.9999999925</v>
      </c>
      <c r="K58" s="1228">
        <f>K46-'A3-FinPerf V'!J39</f>
        <v>11541999.999999993</v>
      </c>
      <c r="L58" s="1228">
        <f>L46-'A3-FinPerf V'!K39</f>
        <v>12176000.000000015</v>
      </c>
    </row>
    <row r="59" spans="1:24" ht="11.25" hidden="1" customHeight="1">
      <c r="A59" s="1227"/>
      <c r="B59" s="1200"/>
      <c r="C59" s="1228"/>
      <c r="D59" s="1228"/>
      <c r="E59" s="1228"/>
      <c r="F59" s="1228"/>
      <c r="G59" s="1228"/>
      <c r="H59" s="1228"/>
      <c r="I59" s="1228"/>
      <c r="J59" s="1228"/>
      <c r="K59" s="1228"/>
      <c r="L59" s="1228"/>
    </row>
    <row r="60" spans="1:24" ht="11.25" hidden="1" customHeight="1">
      <c r="A60" s="1227" t="s">
        <v>8</v>
      </c>
      <c r="B60" s="1237"/>
      <c r="C60" s="1238">
        <f t="shared" ref="C60:L60" si="4">C22+SUM(C39:C41)</f>
        <v>27160977.57</v>
      </c>
      <c r="D60" s="1238">
        <f t="shared" si="4"/>
        <v>69978558.301141277</v>
      </c>
      <c r="E60" s="1238">
        <f t="shared" si="4"/>
        <v>53367043.982112944</v>
      </c>
      <c r="F60" s="1238">
        <f t="shared" si="4"/>
        <v>50316615</v>
      </c>
      <c r="G60" s="1238">
        <f t="shared" si="4"/>
        <v>51005190</v>
      </c>
      <c r="H60" s="1238">
        <f t="shared" si="4"/>
        <v>41845907</v>
      </c>
      <c r="I60" s="1238">
        <f t="shared" si="4"/>
        <v>41845907</v>
      </c>
      <c r="J60" s="1238">
        <f t="shared" si="4"/>
        <v>62692975.883599997</v>
      </c>
      <c r="K60" s="1238">
        <f t="shared" si="4"/>
        <v>71823500.738376006</v>
      </c>
      <c r="L60" s="1238">
        <f t="shared" si="4"/>
        <v>76699312.555370003</v>
      </c>
      <c r="M60" s="291"/>
    </row>
    <row r="61" spans="1:24" ht="11.25" hidden="1" customHeight="1">
      <c r="A61" s="232"/>
      <c r="B61" s="232"/>
      <c r="C61" s="227"/>
      <c r="D61" s="227"/>
      <c r="E61" s="232"/>
      <c r="F61" s="232"/>
      <c r="G61" s="227"/>
      <c r="M61" s="291"/>
    </row>
    <row r="62" spans="1:24" ht="11.25" hidden="1" customHeight="1">
      <c r="A62" s="232"/>
      <c r="B62" s="232"/>
      <c r="C62" s="227"/>
      <c r="D62" s="227"/>
      <c r="E62" s="232"/>
      <c r="F62" s="232"/>
      <c r="G62" s="227"/>
    </row>
    <row r="63" spans="1:24" ht="11.25" hidden="1" customHeight="1">
      <c r="A63" s="232"/>
      <c r="B63" s="232"/>
      <c r="C63" s="227"/>
      <c r="D63" s="227"/>
      <c r="E63" s="232"/>
      <c r="F63" s="232"/>
      <c r="G63" s="227"/>
    </row>
    <row r="64" spans="1:24" ht="11.25" hidden="1" customHeight="1">
      <c r="A64" s="232"/>
      <c r="B64" s="232"/>
      <c r="C64" s="318">
        <f>C48+TB!N564</f>
        <v>-5.3551048040390015E-9</v>
      </c>
      <c r="D64" s="188">
        <f>D48+TB!O564</f>
        <v>119668.18000001833</v>
      </c>
      <c r="E64" s="188">
        <f>E48+TB!P564</f>
        <v>3075.2100000008941</v>
      </c>
      <c r="F64" s="188">
        <f>F48+TB!Q564</f>
        <v>-60</v>
      </c>
      <c r="G64" s="188">
        <f>G48+TB!R564</f>
        <v>5000</v>
      </c>
      <c r="H64" s="188">
        <f>H48+TB!S564</f>
        <v>2176</v>
      </c>
      <c r="I64" s="188">
        <f>I48+TB!T564</f>
        <v>2176</v>
      </c>
      <c r="J64" s="188">
        <f>J48+TB!U564</f>
        <v>9492999.9999999925</v>
      </c>
      <c r="K64" s="188">
        <f>K48+TB!V564</f>
        <v>11542000</v>
      </c>
      <c r="L64" s="188">
        <f>L48+TB!W564</f>
        <v>12176000.000000004</v>
      </c>
    </row>
    <row r="65" spans="2:2" ht="11.25" hidden="1" customHeight="1">
      <c r="B65" s="150"/>
    </row>
    <row r="66" spans="2:2" ht="11.25" hidden="1" customHeight="1">
      <c r="B66" s="150"/>
    </row>
    <row r="67" spans="2:2" ht="11.25" hidden="1" customHeight="1">
      <c r="B67" s="150"/>
    </row>
    <row r="68" spans="2:2" ht="11.25" hidden="1" customHeight="1">
      <c r="B68" s="150"/>
    </row>
    <row r="69" spans="2:2" ht="11.25" hidden="1" customHeight="1">
      <c r="B69" s="150"/>
    </row>
    <row r="70" spans="2:2" ht="11.25" customHeight="1" thickTop="1">
      <c r="B70" s="150"/>
    </row>
    <row r="71" spans="2:2" ht="11.25" customHeight="1">
      <c r="B71" s="150"/>
    </row>
    <row r="72" spans="2:2" ht="11.25" customHeight="1">
      <c r="B72" s="150"/>
    </row>
    <row r="73" spans="2:2" ht="11.25" customHeight="1">
      <c r="B73" s="150"/>
    </row>
    <row r="74" spans="2:2" ht="11.25" customHeight="1">
      <c r="B74" s="150"/>
    </row>
    <row r="75" spans="2:2" ht="11.25" customHeight="1">
      <c r="B75" s="150"/>
    </row>
    <row r="76" spans="2:2" ht="11.25" customHeight="1">
      <c r="B76" s="150"/>
    </row>
    <row r="77" spans="2:2" ht="11.25" customHeight="1">
      <c r="B77" s="150"/>
    </row>
    <row r="78" spans="2:2" ht="11.25" customHeight="1">
      <c r="B78" s="150"/>
    </row>
    <row r="79" spans="2:2" ht="11.25" customHeight="1">
      <c r="B79" s="150"/>
    </row>
    <row r="80" spans="2:2" ht="11.25" customHeight="1">
      <c r="B80" s="150"/>
    </row>
    <row r="81" spans="2:2" ht="11.25" customHeight="1">
      <c r="B81" s="150"/>
    </row>
    <row r="82" spans="2:2" ht="11.25" customHeight="1">
      <c r="B82" s="150"/>
    </row>
    <row r="83" spans="2:2" ht="11.25" customHeight="1">
      <c r="B83" s="150"/>
    </row>
    <row r="84" spans="2:2" ht="11.25" customHeight="1"/>
    <row r="85" spans="2:2" ht="11.25" customHeight="1"/>
    <row r="86" spans="2:2" ht="11.25" customHeight="1"/>
    <row r="87" spans="2:2" ht="11.25" customHeight="1"/>
    <row r="88" spans="2:2" ht="11.25" customHeight="1"/>
    <row r="89" spans="2:2" ht="11.25" customHeight="1"/>
    <row r="90" spans="2:2" ht="11.25" customHeight="1"/>
    <row r="91" spans="2:2" ht="11.25" customHeight="1"/>
    <row r="92" spans="2:2" ht="11.25" customHeight="1"/>
  </sheetData>
  <mergeCells count="3">
    <mergeCell ref="M2:X2"/>
    <mergeCell ref="J2:L2"/>
    <mergeCell ref="F2:I2"/>
  </mergeCells>
  <phoneticPr fontId="3" type="noConversion"/>
  <printOptions horizontalCentered="1"/>
  <pageMargins left="0.37" right="0.2" top="0.6" bottom="0.5" header="0.511811023622047" footer="0.39370078740157499"/>
  <pageSetup paperSize="9" scale="8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indexed="44"/>
    <pageSetUpPr fitToPage="1"/>
  </sheetPr>
  <dimension ref="A1:R120"/>
  <sheetViews>
    <sheetView showGridLines="0" topLeftCell="A46" workbookViewId="0">
      <selection activeCell="C6" sqref="C6:L74"/>
    </sheetView>
  </sheetViews>
  <sheetFormatPr defaultRowHeight="12.75"/>
  <cols>
    <col min="1" max="1" width="30.7109375" style="150" customWidth="1"/>
    <col min="2" max="2" width="3" style="233" hidden="1" customWidth="1"/>
    <col min="3" max="8" width="9.28515625" style="150" customWidth="1"/>
    <col min="9" max="9" width="9.140625" style="150" hidden="1" customWidth="1"/>
    <col min="10" max="12" width="9.28515625" style="150" customWidth="1"/>
    <col min="13" max="13" width="11.7109375" style="150" bestFit="1" customWidth="1"/>
    <col min="14" max="14" width="9.5703125" style="150" customWidth="1"/>
    <col min="15" max="15" width="9.85546875" style="150" customWidth="1"/>
    <col min="16" max="18" width="9.5703125" style="150" customWidth="1"/>
    <col min="19" max="19" width="9.85546875" style="150" customWidth="1"/>
    <col min="20" max="22" width="9.5703125" style="150" customWidth="1"/>
    <col min="23" max="24" width="9.85546875" style="150" customWidth="1"/>
    <col min="25" max="16384" width="9.140625" style="150"/>
  </cols>
  <sheetData>
    <row r="1" spans="1:13" s="168" customFormat="1">
      <c r="A1" s="148" t="str">
        <f>muni&amp;" - "&amp;Approve5</f>
        <v>NC071 Ubuntu - Table A5 Budgeted Capital Expenditure by vote, standard classification and funding</v>
      </c>
      <c r="B1" s="148"/>
      <c r="C1" s="148"/>
      <c r="D1" s="148"/>
      <c r="E1" s="148"/>
      <c r="F1" s="148"/>
      <c r="G1" s="148"/>
      <c r="H1" s="148"/>
      <c r="I1" s="148"/>
      <c r="J1" s="148"/>
      <c r="K1" s="148"/>
      <c r="L1" s="148"/>
    </row>
    <row r="2" spans="1:13" ht="28.5" customHeight="1">
      <c r="A2" s="972" t="str">
        <f>Vdesc</f>
        <v>Vote Description</v>
      </c>
      <c r="B2" s="394" t="str">
        <f>head27</f>
        <v>Ref</v>
      </c>
      <c r="C2" s="151" t="str">
        <f>head1b</f>
        <v>2007/8</v>
      </c>
      <c r="D2" s="151" t="str">
        <f>head1A</f>
        <v>2008/9</v>
      </c>
      <c r="E2" s="147" t="str">
        <f>Head1</f>
        <v>2009/10</v>
      </c>
      <c r="F2" s="2772" t="str">
        <f>Head2</f>
        <v>Current Year 2010/11</v>
      </c>
      <c r="G2" s="2773"/>
      <c r="H2" s="2773"/>
      <c r="I2" s="2773"/>
      <c r="J2" s="2769" t="str">
        <f>Head3</f>
        <v>2011/12 Medium Term Revenue &amp; Expenditure Framework</v>
      </c>
      <c r="K2" s="2770"/>
      <c r="L2" s="2771"/>
    </row>
    <row r="3" spans="1:13" ht="25.5">
      <c r="A3" s="169" t="s">
        <v>697</v>
      </c>
      <c r="B3" s="275">
        <v>1</v>
      </c>
      <c r="C3" s="365" t="str">
        <f>Head5</f>
        <v>Audited Outcome</v>
      </c>
      <c r="D3" s="365" t="str">
        <f>Head5</f>
        <v>Audited Outcome</v>
      </c>
      <c r="E3" s="366" t="str">
        <f>Head5</f>
        <v>Audited Outcome</v>
      </c>
      <c r="F3" s="283" t="str">
        <f>Head6</f>
        <v>Original Budget</v>
      </c>
      <c r="G3" s="365" t="str">
        <f>Head7</f>
        <v>Adjusted Budget</v>
      </c>
      <c r="H3" s="366" t="str">
        <f>Head8</f>
        <v>Full Year Forecast</v>
      </c>
      <c r="I3" s="364" t="str">
        <f>Head5b</f>
        <v>Pre-audit outcome</v>
      </c>
      <c r="J3" s="283" t="str">
        <f>Head9</f>
        <v>Budget Year 2011/12</v>
      </c>
      <c r="K3" s="365" t="str">
        <f>Head10</f>
        <v>Budget Year +1 2012/13</v>
      </c>
      <c r="L3" s="366" t="str">
        <f>Head11</f>
        <v>Budget Year +2 2013/14</v>
      </c>
    </row>
    <row r="4" spans="1:13">
      <c r="A4" s="170" t="s">
        <v>540</v>
      </c>
      <c r="B4" s="276"/>
      <c r="C4" s="292"/>
      <c r="D4" s="292"/>
      <c r="E4" s="293"/>
      <c r="F4" s="294"/>
      <c r="G4" s="292"/>
      <c r="H4" s="295"/>
      <c r="I4" s="293"/>
      <c r="J4" s="294"/>
      <c r="K4" s="292"/>
      <c r="L4" s="295"/>
    </row>
    <row r="5" spans="1:13" ht="11.25" customHeight="1">
      <c r="A5" s="170" t="s">
        <v>1101</v>
      </c>
      <c r="B5" s="278">
        <v>2</v>
      </c>
      <c r="C5" s="296"/>
      <c r="D5" s="296"/>
      <c r="E5" s="297"/>
      <c r="F5" s="298"/>
      <c r="G5" s="296"/>
      <c r="H5" s="299"/>
      <c r="I5" s="297"/>
      <c r="J5" s="298"/>
      <c r="K5" s="296"/>
      <c r="L5" s="299"/>
    </row>
    <row r="6" spans="1:13" ht="11.25" customHeight="1">
      <c r="A6" s="179" t="str">
        <f>A5A!A6</f>
        <v>Vote1 - Executive and Council</v>
      </c>
      <c r="B6" s="278"/>
      <c r="C6" s="2535">
        <v>0</v>
      </c>
      <c r="D6" s="2535">
        <v>0</v>
      </c>
      <c r="E6" s="2536">
        <v>0</v>
      </c>
      <c r="F6" s="2537">
        <v>0</v>
      </c>
      <c r="G6" s="2535">
        <v>0</v>
      </c>
      <c r="H6" s="2536">
        <v>0</v>
      </c>
      <c r="I6" s="2571">
        <v>0</v>
      </c>
      <c r="J6" s="2537">
        <v>0</v>
      </c>
      <c r="K6" s="2535">
        <v>0</v>
      </c>
      <c r="L6" s="2536">
        <v>0</v>
      </c>
      <c r="M6" s="300"/>
    </row>
    <row r="7" spans="1:13" ht="11.25" customHeight="1">
      <c r="A7" s="179" t="str">
        <f>A5A!A17</f>
        <v>Vote2 - Budget and Treasury Office</v>
      </c>
      <c r="B7" s="278"/>
      <c r="C7" s="2535">
        <v>0</v>
      </c>
      <c r="D7" s="2535">
        <v>0</v>
      </c>
      <c r="E7" s="2536">
        <v>0</v>
      </c>
      <c r="F7" s="2537">
        <v>0</v>
      </c>
      <c r="G7" s="2535">
        <v>0</v>
      </c>
      <c r="H7" s="2536">
        <v>0</v>
      </c>
      <c r="I7" s="2534">
        <v>0</v>
      </c>
      <c r="J7" s="2537">
        <v>0</v>
      </c>
      <c r="K7" s="2535">
        <v>0</v>
      </c>
      <c r="L7" s="2536">
        <v>0</v>
      </c>
      <c r="M7" s="302"/>
    </row>
    <row r="8" spans="1:13" ht="11.25" customHeight="1">
      <c r="A8" s="179" t="str">
        <f>A5A!A28</f>
        <v>Vote3 - Corporate Services</v>
      </c>
      <c r="B8" s="278"/>
      <c r="C8" s="2535">
        <v>0</v>
      </c>
      <c r="D8" s="2535">
        <v>0</v>
      </c>
      <c r="E8" s="2536">
        <v>0</v>
      </c>
      <c r="F8" s="2537">
        <v>0</v>
      </c>
      <c r="G8" s="2535">
        <v>0</v>
      </c>
      <c r="H8" s="2536">
        <v>0</v>
      </c>
      <c r="I8" s="2534">
        <v>0</v>
      </c>
      <c r="J8" s="2537">
        <v>0</v>
      </c>
      <c r="K8" s="2535">
        <v>0</v>
      </c>
      <c r="L8" s="2536">
        <v>0</v>
      </c>
      <c r="M8" s="301"/>
    </row>
    <row r="9" spans="1:13" ht="11.25" customHeight="1">
      <c r="A9" s="179" t="str">
        <f>A5A!A39</f>
        <v>Vote4 - Community and Social Services</v>
      </c>
      <c r="B9" s="278"/>
      <c r="C9" s="2535">
        <v>0</v>
      </c>
      <c r="D9" s="2535">
        <v>0</v>
      </c>
      <c r="E9" s="2536">
        <v>0</v>
      </c>
      <c r="F9" s="2561">
        <v>0</v>
      </c>
      <c r="G9" s="2535">
        <v>0</v>
      </c>
      <c r="H9" s="2536">
        <v>0</v>
      </c>
      <c r="I9" s="2534">
        <v>0</v>
      </c>
      <c r="J9" s="2537">
        <v>0</v>
      </c>
      <c r="K9" s="2535">
        <v>0</v>
      </c>
      <c r="L9" s="2562">
        <v>0</v>
      </c>
      <c r="M9" s="301"/>
    </row>
    <row r="10" spans="1:13" ht="11.25" customHeight="1">
      <c r="A10" s="179" t="str">
        <f>A5A!A50</f>
        <v>Vote5 - Sport and Recreation</v>
      </c>
      <c r="B10" s="278"/>
      <c r="C10" s="2535">
        <v>0</v>
      </c>
      <c r="D10" s="2535">
        <v>0</v>
      </c>
      <c r="E10" s="2536">
        <v>0</v>
      </c>
      <c r="F10" s="2537">
        <v>0</v>
      </c>
      <c r="G10" s="2535">
        <v>0</v>
      </c>
      <c r="H10" s="2536">
        <v>0</v>
      </c>
      <c r="I10" s="2534">
        <v>0</v>
      </c>
      <c r="J10" s="2537">
        <v>0</v>
      </c>
      <c r="K10" s="2535">
        <v>0</v>
      </c>
      <c r="L10" s="2536">
        <v>0</v>
      </c>
      <c r="M10" s="301"/>
    </row>
    <row r="11" spans="1:13" ht="11.25" customHeight="1">
      <c r="A11" s="179" t="str">
        <f>A5A!A61</f>
        <v>Vote6 - Public Safety</v>
      </c>
      <c r="B11" s="278"/>
      <c r="C11" s="2535">
        <v>0</v>
      </c>
      <c r="D11" s="2535">
        <v>0</v>
      </c>
      <c r="E11" s="2536">
        <v>0</v>
      </c>
      <c r="F11" s="2537">
        <v>0</v>
      </c>
      <c r="G11" s="2535">
        <v>0</v>
      </c>
      <c r="H11" s="2536">
        <v>0</v>
      </c>
      <c r="I11" s="2534">
        <v>0</v>
      </c>
      <c r="J11" s="2537">
        <v>0</v>
      </c>
      <c r="K11" s="2535">
        <v>0</v>
      </c>
      <c r="L11" s="2536">
        <v>0</v>
      </c>
      <c r="M11" s="301"/>
    </row>
    <row r="12" spans="1:13" ht="11.25" customHeight="1">
      <c r="A12" s="179" t="str">
        <f>A5A!A72</f>
        <v>Vote7 - Road Transport</v>
      </c>
      <c r="B12" s="278"/>
      <c r="C12" s="2535">
        <v>0</v>
      </c>
      <c r="D12" s="2535">
        <v>0</v>
      </c>
      <c r="E12" s="2536">
        <v>0</v>
      </c>
      <c r="F12" s="2537">
        <v>0</v>
      </c>
      <c r="G12" s="2535">
        <v>0</v>
      </c>
      <c r="H12" s="2536">
        <v>0</v>
      </c>
      <c r="I12" s="2534">
        <v>0</v>
      </c>
      <c r="J12" s="2537">
        <v>0</v>
      </c>
      <c r="K12" s="2535">
        <v>0</v>
      </c>
      <c r="L12" s="2536">
        <v>0</v>
      </c>
      <c r="M12" s="301"/>
    </row>
    <row r="13" spans="1:13" ht="11.25" customHeight="1">
      <c r="A13" s="179" t="str">
        <f>A5A!A83</f>
        <v>Vote8 - Electricity</v>
      </c>
      <c r="B13" s="278"/>
      <c r="C13" s="2535">
        <v>0</v>
      </c>
      <c r="D13" s="2535">
        <v>0</v>
      </c>
      <c r="E13" s="2534">
        <v>0</v>
      </c>
      <c r="F13" s="2537">
        <v>0</v>
      </c>
      <c r="G13" s="2535">
        <v>0</v>
      </c>
      <c r="H13" s="2536">
        <v>0</v>
      </c>
      <c r="I13" s="2534">
        <v>0</v>
      </c>
      <c r="J13" s="2537">
        <v>0</v>
      </c>
      <c r="K13" s="2535">
        <v>0</v>
      </c>
      <c r="L13" s="2536">
        <v>0</v>
      </c>
      <c r="M13" s="301"/>
    </row>
    <row r="14" spans="1:13" ht="11.25" customHeight="1">
      <c r="A14" s="179" t="str">
        <f>A5A!A94</f>
        <v>Vote9 - Water</v>
      </c>
      <c r="B14" s="278"/>
      <c r="C14" s="2535">
        <v>0</v>
      </c>
      <c r="D14" s="2535">
        <v>0</v>
      </c>
      <c r="E14" s="2534">
        <v>0</v>
      </c>
      <c r="F14" s="2537">
        <v>0</v>
      </c>
      <c r="G14" s="2535">
        <v>0</v>
      </c>
      <c r="H14" s="2536">
        <v>0</v>
      </c>
      <c r="I14" s="2534">
        <v>0</v>
      </c>
      <c r="J14" s="2537">
        <v>0</v>
      </c>
      <c r="K14" s="2535">
        <v>0</v>
      </c>
      <c r="L14" s="2536">
        <v>0</v>
      </c>
      <c r="M14" s="1517"/>
    </row>
    <row r="15" spans="1:13" ht="11.25" customHeight="1">
      <c r="A15" s="179" t="str">
        <f>A5A!A105</f>
        <v>Vote10 - Waste Water Management</v>
      </c>
      <c r="B15" s="278"/>
      <c r="C15" s="2535">
        <v>0</v>
      </c>
      <c r="D15" s="2535">
        <v>0</v>
      </c>
      <c r="E15" s="2534">
        <v>0</v>
      </c>
      <c r="F15" s="2537">
        <v>0</v>
      </c>
      <c r="G15" s="2535">
        <v>0</v>
      </c>
      <c r="H15" s="2536">
        <v>0</v>
      </c>
      <c r="I15" s="2534">
        <v>0</v>
      </c>
      <c r="J15" s="2537">
        <v>0</v>
      </c>
      <c r="K15" s="2535">
        <v>0</v>
      </c>
      <c r="L15" s="2536">
        <v>0</v>
      </c>
      <c r="M15" s="1517"/>
    </row>
    <row r="16" spans="1:13" ht="11.25" customHeight="1">
      <c r="A16" s="179" t="str">
        <f>A5A!A116</f>
        <v>Vote11 - Waste Management</v>
      </c>
      <c r="B16" s="278"/>
      <c r="C16" s="2535">
        <v>0</v>
      </c>
      <c r="D16" s="2535">
        <v>0</v>
      </c>
      <c r="E16" s="2534">
        <v>0</v>
      </c>
      <c r="F16" s="2537">
        <v>0</v>
      </c>
      <c r="G16" s="2535">
        <v>0</v>
      </c>
      <c r="H16" s="2536">
        <v>0</v>
      </c>
      <c r="I16" s="2534">
        <v>0</v>
      </c>
      <c r="J16" s="2537">
        <v>0</v>
      </c>
      <c r="K16" s="2535">
        <v>0</v>
      </c>
      <c r="L16" s="2536">
        <v>0</v>
      </c>
      <c r="M16" s="345"/>
    </row>
    <row r="17" spans="1:13" ht="11.25" customHeight="1">
      <c r="A17" s="179" t="str">
        <f>A5A!A127</f>
        <v>Vote12 - Environmental Protection</v>
      </c>
      <c r="B17" s="278"/>
      <c r="C17" s="2535">
        <v>0</v>
      </c>
      <c r="D17" s="2535">
        <v>0</v>
      </c>
      <c r="E17" s="2534">
        <v>0</v>
      </c>
      <c r="F17" s="2537">
        <v>0</v>
      </c>
      <c r="G17" s="2535">
        <v>0</v>
      </c>
      <c r="H17" s="2536">
        <v>0</v>
      </c>
      <c r="I17" s="2534">
        <v>0</v>
      </c>
      <c r="J17" s="2537">
        <v>0</v>
      </c>
      <c r="K17" s="2535">
        <v>0</v>
      </c>
      <c r="L17" s="2536">
        <v>0</v>
      </c>
      <c r="M17" s="1517"/>
    </row>
    <row r="18" spans="1:13" ht="11.25" customHeight="1">
      <c r="A18" s="179" t="str">
        <f>A5A!A138</f>
        <v>Vote13 - Other</v>
      </c>
      <c r="B18" s="278"/>
      <c r="C18" s="2535">
        <v>0</v>
      </c>
      <c r="D18" s="2535">
        <v>0</v>
      </c>
      <c r="E18" s="2534">
        <v>0</v>
      </c>
      <c r="F18" s="2537">
        <v>0</v>
      </c>
      <c r="G18" s="2535">
        <v>0</v>
      </c>
      <c r="H18" s="2536">
        <v>0</v>
      </c>
      <c r="I18" s="2534">
        <v>0</v>
      </c>
      <c r="J18" s="2537">
        <v>0</v>
      </c>
      <c r="K18" s="2535">
        <v>0</v>
      </c>
      <c r="L18" s="2536">
        <v>0</v>
      </c>
      <c r="M18" s="1517"/>
    </row>
    <row r="19" spans="1:13" ht="11.25" customHeight="1">
      <c r="A19" s="179" t="str">
        <f>A5A!A149</f>
        <v>Vote14 - Example 14</v>
      </c>
      <c r="B19" s="278"/>
      <c r="C19" s="2535">
        <v>0</v>
      </c>
      <c r="D19" s="2535">
        <v>0</v>
      </c>
      <c r="E19" s="2534">
        <v>0</v>
      </c>
      <c r="F19" s="2537">
        <v>0</v>
      </c>
      <c r="G19" s="2535">
        <v>0</v>
      </c>
      <c r="H19" s="2536">
        <v>0</v>
      </c>
      <c r="I19" s="2534">
        <v>0</v>
      </c>
      <c r="J19" s="2537">
        <v>0</v>
      </c>
      <c r="K19" s="2535">
        <v>0</v>
      </c>
      <c r="L19" s="2536">
        <v>0</v>
      </c>
      <c r="M19" s="1517"/>
    </row>
    <row r="20" spans="1:13" ht="11.25" customHeight="1">
      <c r="A20" s="179" t="str">
        <f>A5A!A160</f>
        <v>Vote15 - Example 15</v>
      </c>
      <c r="B20" s="278"/>
      <c r="C20" s="2535">
        <v>0</v>
      </c>
      <c r="D20" s="2535">
        <v>0</v>
      </c>
      <c r="E20" s="2534">
        <v>0</v>
      </c>
      <c r="F20" s="2537">
        <v>0</v>
      </c>
      <c r="G20" s="2535">
        <v>0</v>
      </c>
      <c r="H20" s="2536">
        <v>0</v>
      </c>
      <c r="I20" s="2534">
        <v>0</v>
      </c>
      <c r="J20" s="2537">
        <v>0</v>
      </c>
      <c r="K20" s="2535">
        <v>0</v>
      </c>
      <c r="L20" s="2536">
        <v>0</v>
      </c>
      <c r="M20" s="1517"/>
    </row>
    <row r="21" spans="1:13">
      <c r="A21" s="183" t="s">
        <v>199</v>
      </c>
      <c r="B21" s="278">
        <v>7</v>
      </c>
      <c r="C21" s="2582">
        <v>0</v>
      </c>
      <c r="D21" s="2582">
        <v>0</v>
      </c>
      <c r="E21" s="2557">
        <v>0</v>
      </c>
      <c r="F21" s="2560">
        <v>0</v>
      </c>
      <c r="G21" s="2558">
        <v>0</v>
      </c>
      <c r="H21" s="2559">
        <v>0</v>
      </c>
      <c r="I21" s="2557">
        <v>0</v>
      </c>
      <c r="J21" s="2560">
        <v>0</v>
      </c>
      <c r="K21" s="2558">
        <v>0</v>
      </c>
      <c r="L21" s="2559">
        <v>0</v>
      </c>
      <c r="M21" s="345"/>
    </row>
    <row r="22" spans="1:13" ht="5.0999999999999996" customHeight="1">
      <c r="A22" s="187"/>
      <c r="B22" s="278"/>
      <c r="C22" s="2539"/>
      <c r="D22" s="2556"/>
      <c r="E22" s="2538"/>
      <c r="F22" s="2541"/>
      <c r="G22" s="2539"/>
      <c r="H22" s="2540"/>
      <c r="I22" s="2538"/>
      <c r="J22" s="2541"/>
      <c r="K22" s="2539"/>
      <c r="L22" s="2540"/>
      <c r="M22" s="345"/>
    </row>
    <row r="23" spans="1:13" ht="11.25" customHeight="1">
      <c r="A23" s="170" t="s">
        <v>1102</v>
      </c>
      <c r="B23" s="278">
        <v>2</v>
      </c>
      <c r="C23" s="2563"/>
      <c r="D23" s="2563"/>
      <c r="E23" s="2536"/>
      <c r="F23" s="2537"/>
      <c r="G23" s="2535"/>
      <c r="H23" s="2536"/>
      <c r="I23" s="2534"/>
      <c r="J23" s="2537"/>
      <c r="K23" s="2535"/>
      <c r="L23" s="2536"/>
      <c r="M23" s="345"/>
    </row>
    <row r="24" spans="1:13" ht="11.25" customHeight="1">
      <c r="A24" s="179" t="str">
        <f>A6</f>
        <v>Vote1 - Executive and Council</v>
      </c>
      <c r="B24" s="278"/>
      <c r="C24" s="2563">
        <v>0</v>
      </c>
      <c r="D24" s="2563">
        <v>0</v>
      </c>
      <c r="E24" s="2536">
        <v>0</v>
      </c>
      <c r="F24" s="2537">
        <v>0</v>
      </c>
      <c r="G24" s="2535">
        <v>0</v>
      </c>
      <c r="H24" s="2536">
        <v>0</v>
      </c>
      <c r="I24" s="2534">
        <v>0</v>
      </c>
      <c r="J24" s="2537">
        <v>888000</v>
      </c>
      <c r="K24" s="2535">
        <v>0</v>
      </c>
      <c r="L24" s="2536">
        <v>0</v>
      </c>
      <c r="M24" s="345"/>
    </row>
    <row r="25" spans="1:13" ht="11.25" customHeight="1">
      <c r="A25" s="179" t="str">
        <f t="shared" ref="A25:A38" si="0">A7</f>
        <v>Vote2 - Budget and Treasury Office</v>
      </c>
      <c r="B25" s="278"/>
      <c r="C25" s="2563">
        <v>0</v>
      </c>
      <c r="D25" s="2563">
        <v>0</v>
      </c>
      <c r="E25" s="2536">
        <v>0</v>
      </c>
      <c r="F25" s="2537">
        <v>0</v>
      </c>
      <c r="G25" s="2535">
        <v>0</v>
      </c>
      <c r="H25" s="2536">
        <v>0</v>
      </c>
      <c r="I25" s="2534">
        <v>0</v>
      </c>
      <c r="J25" s="2537">
        <v>0</v>
      </c>
      <c r="K25" s="2535">
        <v>0</v>
      </c>
      <c r="L25" s="2536">
        <v>0</v>
      </c>
      <c r="M25" s="345"/>
    </row>
    <row r="26" spans="1:13" ht="11.25" customHeight="1">
      <c r="A26" s="179" t="str">
        <f t="shared" si="0"/>
        <v>Vote3 - Corporate Services</v>
      </c>
      <c r="B26" s="278"/>
      <c r="C26" s="2563">
        <v>0</v>
      </c>
      <c r="D26" s="2563">
        <v>0</v>
      </c>
      <c r="E26" s="2536">
        <v>0</v>
      </c>
      <c r="F26" s="2537">
        <v>0</v>
      </c>
      <c r="G26" s="2535">
        <v>0</v>
      </c>
      <c r="H26" s="2536">
        <v>0</v>
      </c>
      <c r="I26" s="2534">
        <v>0</v>
      </c>
      <c r="J26" s="2537">
        <v>0</v>
      </c>
      <c r="K26" s="2535">
        <v>0</v>
      </c>
      <c r="L26" s="2536">
        <v>0</v>
      </c>
      <c r="M26" s="345"/>
    </row>
    <row r="27" spans="1:13" ht="11.25" customHeight="1">
      <c r="A27" s="179" t="str">
        <f t="shared" si="0"/>
        <v>Vote4 - Community and Social Services</v>
      </c>
      <c r="B27" s="278"/>
      <c r="C27" s="2563">
        <v>0</v>
      </c>
      <c r="D27" s="2563">
        <v>0</v>
      </c>
      <c r="E27" s="2536">
        <v>0</v>
      </c>
      <c r="F27" s="2537">
        <v>0</v>
      </c>
      <c r="G27" s="2535">
        <v>0</v>
      </c>
      <c r="H27" s="2536">
        <v>0</v>
      </c>
      <c r="I27" s="2534">
        <v>0</v>
      </c>
      <c r="J27" s="2537">
        <v>300000</v>
      </c>
      <c r="K27" s="2535">
        <v>0</v>
      </c>
      <c r="L27" s="2536">
        <v>0</v>
      </c>
      <c r="M27" s="345"/>
    </row>
    <row r="28" spans="1:13" ht="11.25" customHeight="1">
      <c r="A28" s="179" t="str">
        <f t="shared" si="0"/>
        <v>Vote5 - Sport and Recreation</v>
      </c>
      <c r="B28" s="278"/>
      <c r="C28" s="2563">
        <v>0</v>
      </c>
      <c r="D28" s="2563">
        <v>0</v>
      </c>
      <c r="E28" s="2536">
        <v>0</v>
      </c>
      <c r="F28" s="2537">
        <v>0</v>
      </c>
      <c r="G28" s="2535">
        <v>0</v>
      </c>
      <c r="H28" s="2536">
        <v>0</v>
      </c>
      <c r="I28" s="2534">
        <v>0</v>
      </c>
      <c r="J28" s="2537">
        <v>0</v>
      </c>
      <c r="K28" s="2535">
        <v>0</v>
      </c>
      <c r="L28" s="2536">
        <v>0</v>
      </c>
      <c r="M28" s="345"/>
    </row>
    <row r="29" spans="1:13" ht="11.25" customHeight="1">
      <c r="A29" s="179" t="str">
        <f t="shared" si="0"/>
        <v>Vote6 - Public Safety</v>
      </c>
      <c r="B29" s="278"/>
      <c r="C29" s="2563">
        <v>0</v>
      </c>
      <c r="D29" s="2563">
        <v>0</v>
      </c>
      <c r="E29" s="2536">
        <v>0</v>
      </c>
      <c r="F29" s="2537">
        <v>0</v>
      </c>
      <c r="G29" s="2535">
        <v>0</v>
      </c>
      <c r="H29" s="2536">
        <v>0</v>
      </c>
      <c r="I29" s="2534">
        <v>0</v>
      </c>
      <c r="J29" s="2537">
        <v>0</v>
      </c>
      <c r="K29" s="2535">
        <v>0</v>
      </c>
      <c r="L29" s="2536">
        <v>0</v>
      </c>
      <c r="M29" s="345"/>
    </row>
    <row r="30" spans="1:13" ht="11.25" customHeight="1">
      <c r="A30" s="179" t="str">
        <f t="shared" si="0"/>
        <v>Vote7 - Road Transport</v>
      </c>
      <c r="B30" s="278"/>
      <c r="C30" s="2563">
        <v>0</v>
      </c>
      <c r="D30" s="2563">
        <v>0</v>
      </c>
      <c r="E30" s="2536">
        <v>0</v>
      </c>
      <c r="F30" s="2537">
        <v>0</v>
      </c>
      <c r="G30" s="2535">
        <v>0</v>
      </c>
      <c r="H30" s="2536">
        <v>0</v>
      </c>
      <c r="I30" s="2534">
        <v>0</v>
      </c>
      <c r="J30" s="2537">
        <v>5150000</v>
      </c>
      <c r="K30" s="2535">
        <v>0</v>
      </c>
      <c r="L30" s="2536">
        <v>0</v>
      </c>
      <c r="M30" s="345"/>
    </row>
    <row r="31" spans="1:13" ht="11.25" customHeight="1">
      <c r="A31" s="179" t="str">
        <f t="shared" si="0"/>
        <v>Vote8 - Electricity</v>
      </c>
      <c r="B31" s="278"/>
      <c r="C31" s="2563">
        <v>0</v>
      </c>
      <c r="D31" s="2563">
        <v>0</v>
      </c>
      <c r="E31" s="2536">
        <v>0</v>
      </c>
      <c r="F31" s="2537">
        <v>0</v>
      </c>
      <c r="G31" s="2535">
        <v>0</v>
      </c>
      <c r="H31" s="2536">
        <v>0</v>
      </c>
      <c r="I31" s="2534">
        <v>0</v>
      </c>
      <c r="J31" s="2537">
        <v>0</v>
      </c>
      <c r="K31" s="2535">
        <v>0</v>
      </c>
      <c r="L31" s="2536">
        <v>0</v>
      </c>
      <c r="M31" s="345"/>
    </row>
    <row r="32" spans="1:13" ht="11.25" customHeight="1">
      <c r="A32" s="179" t="str">
        <f t="shared" si="0"/>
        <v>Vote9 - Water</v>
      </c>
      <c r="B32" s="278"/>
      <c r="C32" s="2563">
        <v>0</v>
      </c>
      <c r="D32" s="2563">
        <v>0</v>
      </c>
      <c r="E32" s="2536">
        <v>0</v>
      </c>
      <c r="F32" s="2537">
        <v>0</v>
      </c>
      <c r="G32" s="2535">
        <v>0</v>
      </c>
      <c r="H32" s="2536">
        <v>0</v>
      </c>
      <c r="I32" s="2534">
        <v>0</v>
      </c>
      <c r="J32" s="2537">
        <v>200000</v>
      </c>
      <c r="K32" s="2535">
        <v>0</v>
      </c>
      <c r="L32" s="2536">
        <v>0</v>
      </c>
      <c r="M32" s="345"/>
    </row>
    <row r="33" spans="1:18" ht="11.25" customHeight="1">
      <c r="A33" s="179" t="str">
        <f t="shared" si="0"/>
        <v>Vote10 - Waste Water Management</v>
      </c>
      <c r="B33" s="278"/>
      <c r="C33" s="2563">
        <v>0</v>
      </c>
      <c r="D33" s="2563">
        <v>0</v>
      </c>
      <c r="E33" s="2536">
        <v>0</v>
      </c>
      <c r="F33" s="2537">
        <v>0</v>
      </c>
      <c r="G33" s="2535">
        <v>0</v>
      </c>
      <c r="H33" s="2536">
        <v>0</v>
      </c>
      <c r="I33" s="2534">
        <v>0</v>
      </c>
      <c r="J33" s="2537">
        <v>2950000</v>
      </c>
      <c r="K33" s="2535">
        <v>0</v>
      </c>
      <c r="L33" s="2536">
        <v>0</v>
      </c>
      <c r="M33" s="345"/>
    </row>
    <row r="34" spans="1:18" ht="11.25" customHeight="1">
      <c r="A34" s="179" t="str">
        <f t="shared" si="0"/>
        <v>Vote11 - Waste Management</v>
      </c>
      <c r="B34" s="278"/>
      <c r="C34" s="2563">
        <v>0</v>
      </c>
      <c r="D34" s="2563">
        <v>0</v>
      </c>
      <c r="E34" s="2536">
        <v>0</v>
      </c>
      <c r="F34" s="2537">
        <v>0</v>
      </c>
      <c r="G34" s="2535">
        <v>0</v>
      </c>
      <c r="H34" s="2536">
        <v>0</v>
      </c>
      <c r="I34" s="2534">
        <v>0</v>
      </c>
      <c r="J34" s="2537">
        <v>0</v>
      </c>
      <c r="K34" s="2535">
        <v>0</v>
      </c>
      <c r="L34" s="2536">
        <v>0</v>
      </c>
      <c r="M34" s="345"/>
    </row>
    <row r="35" spans="1:18" ht="11.25" customHeight="1">
      <c r="A35" s="179" t="str">
        <f t="shared" si="0"/>
        <v>Vote12 - Environmental Protection</v>
      </c>
      <c r="B35" s="278"/>
      <c r="C35" s="2563">
        <v>0</v>
      </c>
      <c r="D35" s="2563">
        <v>0</v>
      </c>
      <c r="E35" s="2536">
        <v>0</v>
      </c>
      <c r="F35" s="2537">
        <v>0</v>
      </c>
      <c r="G35" s="2535">
        <v>0</v>
      </c>
      <c r="H35" s="2536">
        <v>0</v>
      </c>
      <c r="I35" s="2534">
        <v>0</v>
      </c>
      <c r="J35" s="2537">
        <v>0</v>
      </c>
      <c r="K35" s="2535">
        <v>0</v>
      </c>
      <c r="L35" s="2536">
        <v>0</v>
      </c>
      <c r="M35" s="345"/>
    </row>
    <row r="36" spans="1:18" ht="11.25" customHeight="1">
      <c r="A36" s="179" t="str">
        <f t="shared" si="0"/>
        <v>Vote13 - Other</v>
      </c>
      <c r="B36" s="278"/>
      <c r="C36" s="2588">
        <v>0</v>
      </c>
      <c r="D36" s="2588">
        <v>0</v>
      </c>
      <c r="E36" s="2589">
        <v>0</v>
      </c>
      <c r="F36" s="2590">
        <v>0</v>
      </c>
      <c r="G36" s="2586">
        <v>0</v>
      </c>
      <c r="H36" s="2589">
        <v>0</v>
      </c>
      <c r="I36" s="2587">
        <v>0</v>
      </c>
      <c r="J36" s="2590">
        <v>0</v>
      </c>
      <c r="K36" s="2586">
        <v>0</v>
      </c>
      <c r="L36" s="2589">
        <v>0</v>
      </c>
      <c r="M36" s="345"/>
    </row>
    <row r="37" spans="1:18" ht="11.25" customHeight="1">
      <c r="A37" s="179" t="str">
        <f t="shared" si="0"/>
        <v>Vote14 - Example 14</v>
      </c>
      <c r="B37" s="278"/>
      <c r="C37" s="2588">
        <v>0</v>
      </c>
      <c r="D37" s="2588">
        <v>0</v>
      </c>
      <c r="E37" s="2589">
        <v>0</v>
      </c>
      <c r="F37" s="2590">
        <v>0</v>
      </c>
      <c r="G37" s="2586">
        <v>0</v>
      </c>
      <c r="H37" s="2589">
        <v>0</v>
      </c>
      <c r="I37" s="2587">
        <v>0</v>
      </c>
      <c r="J37" s="2590">
        <v>0</v>
      </c>
      <c r="K37" s="2586">
        <v>0</v>
      </c>
      <c r="L37" s="2589">
        <v>0</v>
      </c>
      <c r="M37" s="345"/>
    </row>
    <row r="38" spans="1:18" ht="11.25" customHeight="1">
      <c r="A38" s="179" t="str">
        <f t="shared" si="0"/>
        <v>Vote15 - Example 15</v>
      </c>
      <c r="B38" s="278"/>
      <c r="C38" s="2588">
        <v>0</v>
      </c>
      <c r="D38" s="2588">
        <v>0</v>
      </c>
      <c r="E38" s="2589">
        <v>0</v>
      </c>
      <c r="F38" s="2590">
        <v>0</v>
      </c>
      <c r="G38" s="2586">
        <v>0</v>
      </c>
      <c r="H38" s="2589">
        <v>0</v>
      </c>
      <c r="I38" s="2587">
        <v>0</v>
      </c>
      <c r="J38" s="2590">
        <v>0</v>
      </c>
      <c r="K38" s="2586">
        <v>0</v>
      </c>
      <c r="L38" s="2589">
        <v>0</v>
      </c>
      <c r="M38" s="345"/>
    </row>
    <row r="39" spans="1:18" ht="11.25" customHeight="1">
      <c r="A39" s="305" t="s">
        <v>1428</v>
      </c>
      <c r="B39" s="278"/>
      <c r="C39" s="2579">
        <v>0</v>
      </c>
      <c r="D39" s="2579">
        <v>0</v>
      </c>
      <c r="E39" s="2580">
        <v>0</v>
      </c>
      <c r="F39" s="2581">
        <v>0</v>
      </c>
      <c r="G39" s="2582">
        <v>0</v>
      </c>
      <c r="H39" s="2580">
        <v>0</v>
      </c>
      <c r="I39" s="2583">
        <v>0</v>
      </c>
      <c r="J39" s="2581">
        <v>9488000</v>
      </c>
      <c r="K39" s="2582">
        <v>0</v>
      </c>
      <c r="L39" s="2580">
        <v>0</v>
      </c>
      <c r="M39" s="345"/>
    </row>
    <row r="40" spans="1:18">
      <c r="A40" s="210" t="s">
        <v>1103</v>
      </c>
      <c r="B40" s="287"/>
      <c r="C40" s="2564">
        <v>0</v>
      </c>
      <c r="D40" s="2564">
        <v>0</v>
      </c>
      <c r="E40" s="2565">
        <v>0</v>
      </c>
      <c r="F40" s="2566">
        <v>0</v>
      </c>
      <c r="G40" s="2567">
        <v>0</v>
      </c>
      <c r="H40" s="2565">
        <v>0</v>
      </c>
      <c r="I40" s="2568">
        <v>0</v>
      </c>
      <c r="J40" s="2566">
        <v>9488000</v>
      </c>
      <c r="K40" s="2567">
        <v>0</v>
      </c>
      <c r="L40" s="2565">
        <v>0</v>
      </c>
      <c r="M40" s="345"/>
    </row>
    <row r="41" spans="1:18" ht="5.0999999999999996" customHeight="1">
      <c r="A41" s="187"/>
      <c r="B41" s="278"/>
      <c r="C41" s="2563"/>
      <c r="D41" s="2563"/>
      <c r="E41" s="2536"/>
      <c r="F41" s="2537"/>
      <c r="G41" s="2535"/>
      <c r="H41" s="2536"/>
      <c r="I41" s="2534"/>
      <c r="J41" s="2537"/>
      <c r="K41" s="2535"/>
      <c r="L41" s="2536"/>
      <c r="M41" s="345"/>
    </row>
    <row r="42" spans="1:18" ht="11.25" customHeight="1">
      <c r="A42" s="170" t="s">
        <v>1325</v>
      </c>
      <c r="B42" s="278"/>
      <c r="C42" s="2563"/>
      <c r="D42" s="2563"/>
      <c r="E42" s="2536"/>
      <c r="F42" s="2537"/>
      <c r="G42" s="2535"/>
      <c r="H42" s="2536"/>
      <c r="I42" s="2534"/>
      <c r="J42" s="2577"/>
      <c r="K42" s="2535"/>
      <c r="L42" s="2578"/>
      <c r="M42" s="345"/>
    </row>
    <row r="43" spans="1:18" ht="11.25" customHeight="1">
      <c r="A43" s="1243" t="s">
        <v>1203</v>
      </c>
      <c r="B43" s="1194"/>
      <c r="C43" s="2572">
        <v>0</v>
      </c>
      <c r="D43" s="2572">
        <v>0</v>
      </c>
      <c r="E43" s="2584">
        <v>0</v>
      </c>
      <c r="F43" s="2576">
        <v>0</v>
      </c>
      <c r="G43" s="2572">
        <v>0</v>
      </c>
      <c r="H43" s="2585">
        <v>0</v>
      </c>
      <c r="I43" s="2575">
        <v>0</v>
      </c>
      <c r="J43" s="2576">
        <v>888000</v>
      </c>
      <c r="K43" s="2572">
        <v>0</v>
      </c>
      <c r="L43" s="2585">
        <v>0</v>
      </c>
      <c r="M43" s="345"/>
      <c r="Q43" s="238"/>
      <c r="R43" s="239"/>
    </row>
    <row r="44" spans="1:18" ht="11.25" customHeight="1">
      <c r="A44" s="1244" t="s">
        <v>141</v>
      </c>
      <c r="B44" s="1194"/>
      <c r="C44" s="2591">
        <v>0</v>
      </c>
      <c r="D44" s="2591">
        <v>0</v>
      </c>
      <c r="E44" s="2594">
        <v>0</v>
      </c>
      <c r="F44" s="2595">
        <v>0</v>
      </c>
      <c r="G44" s="2591">
        <v>0</v>
      </c>
      <c r="H44" s="2596">
        <v>0</v>
      </c>
      <c r="I44" s="2595">
        <v>0</v>
      </c>
      <c r="J44" s="2592">
        <v>888000</v>
      </c>
      <c r="K44" s="2591">
        <v>0</v>
      </c>
      <c r="L44" s="2593">
        <v>0</v>
      </c>
      <c r="M44" s="345"/>
      <c r="Q44" s="238"/>
      <c r="R44" s="239"/>
    </row>
    <row r="45" spans="1:18" ht="11.25" customHeight="1">
      <c r="A45" s="1244" t="s">
        <v>142</v>
      </c>
      <c r="B45" s="1194"/>
      <c r="C45" s="2597">
        <v>0</v>
      </c>
      <c r="D45" s="2597">
        <v>0</v>
      </c>
      <c r="E45" s="2598">
        <v>0</v>
      </c>
      <c r="F45" s="2599">
        <v>0</v>
      </c>
      <c r="G45" s="2597">
        <v>0</v>
      </c>
      <c r="H45" s="2600">
        <v>0</v>
      </c>
      <c r="I45" s="2599">
        <v>0</v>
      </c>
      <c r="J45" s="2601">
        <v>0</v>
      </c>
      <c r="K45" s="2597">
        <v>0</v>
      </c>
      <c r="L45" s="2602">
        <v>0</v>
      </c>
      <c r="M45" s="345"/>
      <c r="Q45" s="238"/>
      <c r="R45" s="239"/>
    </row>
    <row r="46" spans="1:18" ht="11.25" customHeight="1">
      <c r="A46" s="1244" t="s">
        <v>143</v>
      </c>
      <c r="B46" s="1194"/>
      <c r="C46" s="2591">
        <v>0</v>
      </c>
      <c r="D46" s="2591">
        <v>0</v>
      </c>
      <c r="E46" s="2594">
        <v>0</v>
      </c>
      <c r="F46" s="2595">
        <v>0</v>
      </c>
      <c r="G46" s="2591">
        <v>0</v>
      </c>
      <c r="H46" s="2596">
        <v>0</v>
      </c>
      <c r="I46" s="2595">
        <v>0</v>
      </c>
      <c r="J46" s="2592">
        <v>0</v>
      </c>
      <c r="K46" s="2591">
        <v>0</v>
      </c>
      <c r="L46" s="2593">
        <v>0</v>
      </c>
      <c r="M46" s="345"/>
      <c r="Q46" s="238"/>
      <c r="R46" s="239"/>
    </row>
    <row r="47" spans="1:18" ht="11.25" customHeight="1">
      <c r="A47" s="1243" t="s">
        <v>144</v>
      </c>
      <c r="B47" s="1194"/>
      <c r="C47" s="2572">
        <v>0</v>
      </c>
      <c r="D47" s="2572">
        <v>0</v>
      </c>
      <c r="E47" s="2573">
        <v>0</v>
      </c>
      <c r="F47" s="2574">
        <v>0</v>
      </c>
      <c r="G47" s="2572">
        <v>0</v>
      </c>
      <c r="H47" s="2575">
        <v>0</v>
      </c>
      <c r="I47" s="2574">
        <v>0</v>
      </c>
      <c r="J47" s="2576">
        <v>300000</v>
      </c>
      <c r="K47" s="2572">
        <v>0</v>
      </c>
      <c r="L47" s="2585">
        <v>0</v>
      </c>
      <c r="M47" s="345"/>
      <c r="Q47" s="238"/>
      <c r="R47" s="239"/>
    </row>
    <row r="48" spans="1:18" ht="11.25" customHeight="1">
      <c r="A48" s="1244" t="s">
        <v>145</v>
      </c>
      <c r="B48" s="1194"/>
      <c r="C48" s="2591">
        <v>0</v>
      </c>
      <c r="D48" s="2591">
        <v>0</v>
      </c>
      <c r="E48" s="2594">
        <v>0</v>
      </c>
      <c r="F48" s="2595">
        <v>0</v>
      </c>
      <c r="G48" s="2591">
        <v>0</v>
      </c>
      <c r="H48" s="2596">
        <v>0</v>
      </c>
      <c r="I48" s="2595">
        <v>0</v>
      </c>
      <c r="J48" s="2592">
        <v>300000</v>
      </c>
      <c r="K48" s="2591">
        <v>0</v>
      </c>
      <c r="L48" s="2593">
        <v>0</v>
      </c>
      <c r="M48" s="345"/>
      <c r="Q48" s="238"/>
      <c r="R48" s="239"/>
    </row>
    <row r="49" spans="1:18" ht="11.25" customHeight="1">
      <c r="A49" s="1244" t="s">
        <v>146</v>
      </c>
      <c r="B49" s="1194"/>
      <c r="C49" s="2591">
        <v>0</v>
      </c>
      <c r="D49" s="2591">
        <v>0</v>
      </c>
      <c r="E49" s="2594">
        <v>0</v>
      </c>
      <c r="F49" s="2595">
        <v>0</v>
      </c>
      <c r="G49" s="2591">
        <v>0</v>
      </c>
      <c r="H49" s="2596">
        <v>0</v>
      </c>
      <c r="I49" s="2595">
        <v>0</v>
      </c>
      <c r="J49" s="2592">
        <v>0</v>
      </c>
      <c r="K49" s="2591">
        <v>0</v>
      </c>
      <c r="L49" s="2593">
        <v>0</v>
      </c>
      <c r="M49" s="345"/>
      <c r="Q49" s="238"/>
      <c r="R49" s="239"/>
    </row>
    <row r="50" spans="1:18" ht="11.25" customHeight="1">
      <c r="A50" s="1244" t="s">
        <v>147</v>
      </c>
      <c r="B50" s="1194"/>
      <c r="C50" s="2591">
        <v>0</v>
      </c>
      <c r="D50" s="2591">
        <v>0</v>
      </c>
      <c r="E50" s="2594">
        <v>0</v>
      </c>
      <c r="F50" s="2595">
        <v>0</v>
      </c>
      <c r="G50" s="2591">
        <v>0</v>
      </c>
      <c r="H50" s="2596">
        <v>0</v>
      </c>
      <c r="I50" s="2595">
        <v>0</v>
      </c>
      <c r="J50" s="2592">
        <v>0</v>
      </c>
      <c r="K50" s="2591">
        <v>0</v>
      </c>
      <c r="L50" s="2593">
        <v>0</v>
      </c>
      <c r="M50" s="345"/>
      <c r="Q50" s="238"/>
      <c r="R50" s="239"/>
    </row>
    <row r="51" spans="1:18" ht="11.25" customHeight="1">
      <c r="A51" s="1244" t="s">
        <v>1828</v>
      </c>
      <c r="B51" s="1194"/>
      <c r="C51" s="2591">
        <v>0</v>
      </c>
      <c r="D51" s="2591">
        <v>0</v>
      </c>
      <c r="E51" s="2594">
        <v>0</v>
      </c>
      <c r="F51" s="2595">
        <v>0</v>
      </c>
      <c r="G51" s="2591">
        <v>0</v>
      </c>
      <c r="H51" s="2596">
        <v>0</v>
      </c>
      <c r="I51" s="2595">
        <v>0</v>
      </c>
      <c r="J51" s="2592">
        <v>0</v>
      </c>
      <c r="K51" s="2591">
        <v>0</v>
      </c>
      <c r="L51" s="2593">
        <v>0</v>
      </c>
      <c r="M51" s="345"/>
      <c r="Q51" s="238"/>
      <c r="R51" s="239"/>
    </row>
    <row r="52" spans="1:18" ht="11.25" customHeight="1">
      <c r="A52" s="1244" t="s">
        <v>1912</v>
      </c>
      <c r="B52" s="1194"/>
      <c r="C52" s="2597">
        <v>0</v>
      </c>
      <c r="D52" s="2597">
        <v>0</v>
      </c>
      <c r="E52" s="2598">
        <v>0</v>
      </c>
      <c r="F52" s="2599">
        <v>0</v>
      </c>
      <c r="G52" s="2597">
        <v>0</v>
      </c>
      <c r="H52" s="2600">
        <v>0</v>
      </c>
      <c r="I52" s="2599">
        <v>0</v>
      </c>
      <c r="J52" s="2601">
        <v>0</v>
      </c>
      <c r="K52" s="2597">
        <v>0</v>
      </c>
      <c r="L52" s="2602">
        <v>0</v>
      </c>
      <c r="M52" s="345"/>
      <c r="Q52" s="238"/>
      <c r="R52" s="239"/>
    </row>
    <row r="53" spans="1:18" ht="11.25" customHeight="1">
      <c r="A53" s="1243" t="s">
        <v>148</v>
      </c>
      <c r="B53" s="1130"/>
      <c r="C53" s="2572">
        <v>0</v>
      </c>
      <c r="D53" s="2572">
        <v>0</v>
      </c>
      <c r="E53" s="2573">
        <v>0</v>
      </c>
      <c r="F53" s="2574">
        <v>0</v>
      </c>
      <c r="G53" s="2572">
        <v>0</v>
      </c>
      <c r="H53" s="2575">
        <v>0</v>
      </c>
      <c r="I53" s="2574">
        <v>0</v>
      </c>
      <c r="J53" s="2576">
        <v>5150000</v>
      </c>
      <c r="K53" s="2572">
        <v>0</v>
      </c>
      <c r="L53" s="2585">
        <v>0</v>
      </c>
      <c r="M53" s="345"/>
      <c r="Q53" s="238"/>
      <c r="R53" s="239"/>
    </row>
    <row r="54" spans="1:18" ht="11.25" customHeight="1">
      <c r="A54" s="1244" t="s">
        <v>149</v>
      </c>
      <c r="B54" s="1194"/>
      <c r="C54" s="2591">
        <v>0</v>
      </c>
      <c r="D54" s="2591">
        <v>0</v>
      </c>
      <c r="E54" s="2594">
        <v>0</v>
      </c>
      <c r="F54" s="2595">
        <v>0</v>
      </c>
      <c r="G54" s="2591">
        <v>0</v>
      </c>
      <c r="H54" s="2596">
        <v>0</v>
      </c>
      <c r="I54" s="2595">
        <v>0</v>
      </c>
      <c r="J54" s="2592">
        <v>0</v>
      </c>
      <c r="K54" s="2591">
        <v>0</v>
      </c>
      <c r="L54" s="2593">
        <v>0</v>
      </c>
      <c r="M54" s="345"/>
      <c r="Q54" s="238"/>
      <c r="R54" s="239"/>
    </row>
    <row r="55" spans="1:18" ht="11.25" customHeight="1">
      <c r="A55" s="1244" t="s">
        <v>150</v>
      </c>
      <c r="B55" s="1194"/>
      <c r="C55" s="2591">
        <v>0</v>
      </c>
      <c r="D55" s="2591">
        <v>0</v>
      </c>
      <c r="E55" s="2594">
        <v>0</v>
      </c>
      <c r="F55" s="2595">
        <v>0</v>
      </c>
      <c r="G55" s="2591">
        <v>0</v>
      </c>
      <c r="H55" s="2596">
        <v>0</v>
      </c>
      <c r="I55" s="2595">
        <v>0</v>
      </c>
      <c r="J55" s="2592">
        <v>5150000</v>
      </c>
      <c r="K55" s="2591">
        <v>0</v>
      </c>
      <c r="L55" s="2593">
        <v>0</v>
      </c>
      <c r="M55" s="345"/>
      <c r="Q55" s="238"/>
      <c r="R55" s="239"/>
    </row>
    <row r="56" spans="1:18" ht="11.25" customHeight="1">
      <c r="A56" s="1244" t="s">
        <v>151</v>
      </c>
      <c r="B56" s="1194"/>
      <c r="C56" s="2591">
        <v>0</v>
      </c>
      <c r="D56" s="2591">
        <v>0</v>
      </c>
      <c r="E56" s="2594">
        <v>0</v>
      </c>
      <c r="F56" s="2595">
        <v>0</v>
      </c>
      <c r="G56" s="2591">
        <v>0</v>
      </c>
      <c r="H56" s="2596">
        <v>0</v>
      </c>
      <c r="I56" s="2595">
        <v>0</v>
      </c>
      <c r="J56" s="2592">
        <v>0</v>
      </c>
      <c r="K56" s="2591">
        <v>0</v>
      </c>
      <c r="L56" s="2593">
        <v>0</v>
      </c>
      <c r="M56" s="345"/>
      <c r="Q56" s="238"/>
      <c r="R56" s="239"/>
    </row>
    <row r="57" spans="1:18" ht="11.25" customHeight="1">
      <c r="A57" s="1243" t="s">
        <v>152</v>
      </c>
      <c r="B57" s="1130"/>
      <c r="C57" s="2572">
        <v>0</v>
      </c>
      <c r="D57" s="2572">
        <v>0</v>
      </c>
      <c r="E57" s="2573">
        <v>0</v>
      </c>
      <c r="F57" s="2574">
        <v>0</v>
      </c>
      <c r="G57" s="2572">
        <v>0</v>
      </c>
      <c r="H57" s="2575">
        <v>0</v>
      </c>
      <c r="I57" s="2574">
        <v>0</v>
      </c>
      <c r="J57" s="2576">
        <v>3150000</v>
      </c>
      <c r="K57" s="2572">
        <v>0</v>
      </c>
      <c r="L57" s="2585">
        <v>0</v>
      </c>
      <c r="M57" s="345"/>
      <c r="Q57" s="238"/>
      <c r="R57" s="239"/>
    </row>
    <row r="58" spans="1:18" ht="11.25" customHeight="1">
      <c r="A58" s="1244" t="s">
        <v>684</v>
      </c>
      <c r="B58" s="1194"/>
      <c r="C58" s="2591">
        <v>0</v>
      </c>
      <c r="D58" s="2591">
        <v>0</v>
      </c>
      <c r="E58" s="2594">
        <v>0</v>
      </c>
      <c r="F58" s="2595">
        <v>0</v>
      </c>
      <c r="G58" s="2591">
        <v>0</v>
      </c>
      <c r="H58" s="2596">
        <v>0</v>
      </c>
      <c r="I58" s="2595">
        <v>0</v>
      </c>
      <c r="J58" s="2592">
        <v>0</v>
      </c>
      <c r="K58" s="2591">
        <v>0</v>
      </c>
      <c r="L58" s="2593">
        <v>0</v>
      </c>
      <c r="M58" s="345"/>
      <c r="Q58" s="238"/>
      <c r="R58" s="239"/>
    </row>
    <row r="59" spans="1:18" ht="11.25" customHeight="1">
      <c r="A59" s="1244" t="s">
        <v>1018</v>
      </c>
      <c r="B59" s="1194"/>
      <c r="C59" s="2591">
        <v>0</v>
      </c>
      <c r="D59" s="2591">
        <v>0</v>
      </c>
      <c r="E59" s="2594">
        <v>0</v>
      </c>
      <c r="F59" s="2595">
        <v>0</v>
      </c>
      <c r="G59" s="2591">
        <v>0</v>
      </c>
      <c r="H59" s="2596">
        <v>0</v>
      </c>
      <c r="I59" s="2595">
        <v>0</v>
      </c>
      <c r="J59" s="2592">
        <v>200000</v>
      </c>
      <c r="K59" s="2591">
        <v>0</v>
      </c>
      <c r="L59" s="2593">
        <v>0</v>
      </c>
      <c r="M59" s="345"/>
      <c r="Q59" s="238"/>
      <c r="R59" s="239"/>
    </row>
    <row r="60" spans="1:18" ht="11.25" customHeight="1">
      <c r="A60" s="1244" t="s">
        <v>1205</v>
      </c>
      <c r="B60" s="1194"/>
      <c r="C60" s="2597">
        <v>0</v>
      </c>
      <c r="D60" s="2597">
        <v>0</v>
      </c>
      <c r="E60" s="2598">
        <v>0</v>
      </c>
      <c r="F60" s="2599">
        <v>0</v>
      </c>
      <c r="G60" s="2597">
        <v>0</v>
      </c>
      <c r="H60" s="2600">
        <v>0</v>
      </c>
      <c r="I60" s="2599">
        <v>0</v>
      </c>
      <c r="J60" s="2601">
        <v>2950000</v>
      </c>
      <c r="K60" s="2597">
        <v>0</v>
      </c>
      <c r="L60" s="2602">
        <v>0</v>
      </c>
      <c r="M60" s="345"/>
      <c r="Q60" s="238"/>
      <c r="R60" s="239"/>
    </row>
    <row r="61" spans="1:18" ht="11.25" customHeight="1">
      <c r="A61" s="1244" t="s">
        <v>1206</v>
      </c>
      <c r="B61" s="1194"/>
      <c r="C61" s="2591">
        <v>0</v>
      </c>
      <c r="D61" s="2591">
        <v>0</v>
      </c>
      <c r="E61" s="2594">
        <v>0</v>
      </c>
      <c r="F61" s="2595">
        <v>0</v>
      </c>
      <c r="G61" s="2591">
        <v>0</v>
      </c>
      <c r="H61" s="2596">
        <v>0</v>
      </c>
      <c r="I61" s="2595">
        <v>0</v>
      </c>
      <c r="J61" s="2592">
        <v>0</v>
      </c>
      <c r="K61" s="2591">
        <v>0</v>
      </c>
      <c r="L61" s="2593">
        <v>0</v>
      </c>
      <c r="M61" s="345"/>
      <c r="Q61" s="238"/>
      <c r="R61" s="239"/>
    </row>
    <row r="62" spans="1:18" ht="11.25" customHeight="1">
      <c r="A62" s="1243" t="s">
        <v>297</v>
      </c>
      <c r="B62" s="1130"/>
      <c r="C62" s="2603">
        <v>0</v>
      </c>
      <c r="D62" s="2603">
        <v>0</v>
      </c>
      <c r="E62" s="2604">
        <v>0</v>
      </c>
      <c r="F62" s="2605">
        <v>0</v>
      </c>
      <c r="G62" s="2603">
        <v>0</v>
      </c>
      <c r="H62" s="2606">
        <v>0</v>
      </c>
      <c r="I62" s="2605">
        <v>0</v>
      </c>
      <c r="J62" s="2607">
        <v>0</v>
      </c>
      <c r="K62" s="2608">
        <v>0</v>
      </c>
      <c r="L62" s="2609">
        <v>0</v>
      </c>
      <c r="M62" s="345"/>
      <c r="Q62" s="238"/>
      <c r="R62" s="239"/>
    </row>
    <row r="63" spans="1:18">
      <c r="A63" s="306" t="s">
        <v>1326</v>
      </c>
      <c r="B63" s="287">
        <v>3</v>
      </c>
      <c r="C63" s="2551">
        <v>0</v>
      </c>
      <c r="D63" s="2551">
        <v>0</v>
      </c>
      <c r="E63" s="2569">
        <v>0</v>
      </c>
      <c r="F63" s="2570">
        <v>0</v>
      </c>
      <c r="G63" s="2551">
        <v>0</v>
      </c>
      <c r="H63" s="2569">
        <v>0</v>
      </c>
      <c r="I63" s="2550">
        <v>0</v>
      </c>
      <c r="J63" s="2570">
        <v>9488000</v>
      </c>
      <c r="K63" s="2551">
        <v>0</v>
      </c>
      <c r="L63" s="2569">
        <v>0</v>
      </c>
      <c r="M63" s="345"/>
    </row>
    <row r="64" spans="1:18" ht="5.0999999999999996" customHeight="1">
      <c r="A64" s="183"/>
      <c r="B64" s="278"/>
      <c r="C64" s="2547"/>
      <c r="D64" s="2547"/>
      <c r="E64" s="2546"/>
      <c r="F64" s="2549"/>
      <c r="G64" s="2547"/>
      <c r="H64" s="2548"/>
      <c r="I64" s="2546"/>
      <c r="J64" s="2549"/>
      <c r="K64" s="2547"/>
      <c r="L64" s="2548"/>
      <c r="M64" s="345"/>
    </row>
    <row r="65" spans="1:13" ht="11.25" customHeight="1">
      <c r="A65" s="170" t="s">
        <v>515</v>
      </c>
      <c r="B65" s="278"/>
      <c r="C65" s="2539"/>
      <c r="D65" s="2539"/>
      <c r="E65" s="2538"/>
      <c r="F65" s="2541"/>
      <c r="G65" s="2539"/>
      <c r="H65" s="2540"/>
      <c r="I65" s="2538"/>
      <c r="J65" s="2541"/>
      <c r="K65" s="2539"/>
      <c r="L65" s="2540"/>
      <c r="M65" s="345"/>
    </row>
    <row r="66" spans="1:13" ht="11.25" customHeight="1">
      <c r="A66" s="393" t="s">
        <v>1661</v>
      </c>
      <c r="B66" s="278"/>
      <c r="C66" s="2591">
        <v>0</v>
      </c>
      <c r="D66" s="2591">
        <v>0</v>
      </c>
      <c r="E66" s="2596">
        <v>0</v>
      </c>
      <c r="F66" s="2595">
        <v>0</v>
      </c>
      <c r="G66" s="2591">
        <v>0</v>
      </c>
      <c r="H66" s="2594">
        <v>0</v>
      </c>
      <c r="I66" s="2596">
        <v>0</v>
      </c>
      <c r="J66" s="2595">
        <v>9488000</v>
      </c>
      <c r="K66" s="2591">
        <v>11537000</v>
      </c>
      <c r="L66" s="2594">
        <v>12171000</v>
      </c>
      <c r="M66" s="345"/>
    </row>
    <row r="67" spans="1:13" ht="11.25" customHeight="1">
      <c r="A67" s="393" t="s">
        <v>568</v>
      </c>
      <c r="B67" s="278"/>
      <c r="C67" s="2597">
        <v>0</v>
      </c>
      <c r="D67" s="2591">
        <v>0</v>
      </c>
      <c r="E67" s="2596">
        <v>0</v>
      </c>
      <c r="F67" s="2595">
        <v>0</v>
      </c>
      <c r="G67" s="2591">
        <v>0</v>
      </c>
      <c r="H67" s="2594">
        <v>0</v>
      </c>
      <c r="I67" s="2596">
        <v>0</v>
      </c>
      <c r="J67" s="2595">
        <v>0</v>
      </c>
      <c r="K67" s="2591">
        <v>0</v>
      </c>
      <c r="L67" s="2594">
        <v>0</v>
      </c>
      <c r="M67" s="345"/>
    </row>
    <row r="68" spans="1:13" ht="11.25" customHeight="1">
      <c r="A68" s="393" t="s">
        <v>569</v>
      </c>
      <c r="B68" s="278"/>
      <c r="C68" s="2597">
        <v>0</v>
      </c>
      <c r="D68" s="2597">
        <v>0</v>
      </c>
      <c r="E68" s="2597">
        <v>0</v>
      </c>
      <c r="F68" s="2599">
        <v>0</v>
      </c>
      <c r="G68" s="2597">
        <v>0</v>
      </c>
      <c r="H68" s="2598">
        <v>0</v>
      </c>
      <c r="I68" s="2596">
        <v>0</v>
      </c>
      <c r="J68" s="2599">
        <v>0</v>
      </c>
      <c r="K68" s="2597">
        <v>0</v>
      </c>
      <c r="L68" s="2598">
        <v>0</v>
      </c>
      <c r="M68" s="345"/>
    </row>
    <row r="69" spans="1:13" ht="11.25" customHeight="1">
      <c r="A69" s="1251" t="s">
        <v>1104</v>
      </c>
      <c r="B69" s="278"/>
      <c r="C69" s="2597">
        <v>0</v>
      </c>
      <c r="D69" s="2597">
        <v>0</v>
      </c>
      <c r="E69" s="2600">
        <v>0</v>
      </c>
      <c r="F69" s="2599">
        <v>0</v>
      </c>
      <c r="G69" s="2597">
        <v>0</v>
      </c>
      <c r="H69" s="2598">
        <v>0</v>
      </c>
      <c r="I69" s="2595">
        <v>0</v>
      </c>
      <c r="J69" s="2599">
        <v>0</v>
      </c>
      <c r="K69" s="2597">
        <v>0</v>
      </c>
      <c r="L69" s="2598">
        <v>0</v>
      </c>
      <c r="M69" s="345"/>
    </row>
    <row r="70" spans="1:13" ht="11.25" customHeight="1">
      <c r="A70" s="1513" t="s">
        <v>1449</v>
      </c>
      <c r="B70" s="278">
        <v>4</v>
      </c>
      <c r="C70" s="2543">
        <v>0</v>
      </c>
      <c r="D70" s="2543">
        <v>0</v>
      </c>
      <c r="E70" s="2542">
        <v>0</v>
      </c>
      <c r="F70" s="2545">
        <v>0</v>
      </c>
      <c r="G70" s="2543">
        <v>0</v>
      </c>
      <c r="H70" s="2544">
        <v>0</v>
      </c>
      <c r="I70" s="2542">
        <v>0</v>
      </c>
      <c r="J70" s="2545">
        <v>9488000</v>
      </c>
      <c r="K70" s="2543">
        <v>11537000</v>
      </c>
      <c r="L70" s="2544">
        <v>12171000</v>
      </c>
      <c r="M70" s="1518"/>
    </row>
    <row r="71" spans="1:13" ht="11.25" customHeight="1">
      <c r="A71" s="392" t="s">
        <v>477</v>
      </c>
      <c r="B71" s="278">
        <v>5</v>
      </c>
      <c r="C71" s="2597">
        <v>0</v>
      </c>
      <c r="D71" s="2591">
        <v>0</v>
      </c>
      <c r="E71" s="2596">
        <v>0</v>
      </c>
      <c r="F71" s="2595">
        <v>0</v>
      </c>
      <c r="G71" s="2591">
        <v>0</v>
      </c>
      <c r="H71" s="2594">
        <v>0</v>
      </c>
      <c r="I71" s="2596">
        <v>0</v>
      </c>
      <c r="J71" s="2595">
        <v>0</v>
      </c>
      <c r="K71" s="2591">
        <v>0</v>
      </c>
      <c r="L71" s="2594">
        <v>0</v>
      </c>
      <c r="M71" s="345"/>
    </row>
    <row r="72" spans="1:13" ht="11.25" customHeight="1">
      <c r="A72" s="392" t="s">
        <v>1374</v>
      </c>
      <c r="B72" s="278">
        <v>6</v>
      </c>
      <c r="C72" s="2591">
        <v>0</v>
      </c>
      <c r="D72" s="2591">
        <v>0</v>
      </c>
      <c r="E72" s="2596">
        <v>0</v>
      </c>
      <c r="F72" s="2595">
        <v>0</v>
      </c>
      <c r="G72" s="2591">
        <v>0</v>
      </c>
      <c r="H72" s="2594">
        <v>0</v>
      </c>
      <c r="I72" s="2596">
        <v>0</v>
      </c>
      <c r="J72" s="2595">
        <v>0</v>
      </c>
      <c r="K72" s="2591">
        <v>0</v>
      </c>
      <c r="L72" s="2594">
        <v>0</v>
      </c>
      <c r="M72" s="345"/>
    </row>
    <row r="73" spans="1:13" ht="11.25" customHeight="1">
      <c r="A73" s="392" t="s">
        <v>516</v>
      </c>
      <c r="B73" s="278"/>
      <c r="C73" s="2591">
        <v>0</v>
      </c>
      <c r="D73" s="2591">
        <v>0</v>
      </c>
      <c r="E73" s="2596">
        <v>0</v>
      </c>
      <c r="F73" s="2595">
        <v>0</v>
      </c>
      <c r="G73" s="2591">
        <v>0</v>
      </c>
      <c r="H73" s="2594">
        <v>0</v>
      </c>
      <c r="I73" s="2596">
        <v>0</v>
      </c>
      <c r="J73" s="2595">
        <v>0</v>
      </c>
      <c r="K73" s="2591">
        <v>-11537000</v>
      </c>
      <c r="L73" s="2594">
        <v>0</v>
      </c>
      <c r="M73" s="345"/>
    </row>
    <row r="74" spans="1:13">
      <c r="A74" s="210" t="s">
        <v>822</v>
      </c>
      <c r="B74" s="287">
        <v>7</v>
      </c>
      <c r="C74" s="2554">
        <v>0</v>
      </c>
      <c r="D74" s="2554">
        <v>0</v>
      </c>
      <c r="E74" s="2555">
        <v>0</v>
      </c>
      <c r="F74" s="2553">
        <v>0</v>
      </c>
      <c r="G74" s="2554">
        <v>0</v>
      </c>
      <c r="H74" s="2552">
        <v>0</v>
      </c>
      <c r="I74" s="2555">
        <v>0</v>
      </c>
      <c r="J74" s="2553">
        <v>9488000</v>
      </c>
      <c r="K74" s="2554">
        <v>0</v>
      </c>
      <c r="L74" s="2552">
        <v>12171000</v>
      </c>
      <c r="M74" s="345"/>
    </row>
    <row r="75" spans="1:13" s="693" customFormat="1" hidden="1">
      <c r="A75" s="1220" t="str">
        <f>head27a</f>
        <v>References</v>
      </c>
      <c r="B75" s="1200"/>
      <c r="C75" s="1203"/>
      <c r="D75" s="1203"/>
      <c r="E75" s="1203"/>
      <c r="F75" s="1203"/>
      <c r="G75" s="1203"/>
      <c r="H75" s="1203"/>
      <c r="I75" s="1203"/>
      <c r="J75" s="1203"/>
      <c r="K75" s="1203"/>
      <c r="L75" s="1203"/>
      <c r="M75" s="1077"/>
    </row>
    <row r="76" spans="1:13" s="693" customFormat="1" ht="12" hidden="1" customHeight="1">
      <c r="A76" s="1201" t="s">
        <v>196</v>
      </c>
      <c r="B76" s="1200"/>
      <c r="C76" s="1202"/>
      <c r="D76" s="1202"/>
      <c r="E76" s="1203"/>
      <c r="F76" s="1203"/>
      <c r="G76" s="1203"/>
      <c r="H76" s="1203"/>
      <c r="I76" s="1203"/>
      <c r="J76" s="1203"/>
      <c r="K76" s="1203"/>
      <c r="L76" s="1203"/>
      <c r="M76" s="1077"/>
    </row>
    <row r="77" spans="1:13" s="693" customFormat="1" ht="12" hidden="1" customHeight="1">
      <c r="A77" s="2789" t="s">
        <v>1105</v>
      </c>
      <c r="B77" s="2789"/>
      <c r="C77" s="2789"/>
      <c r="D77" s="2789"/>
      <c r="E77" s="2789"/>
      <c r="F77" s="2789"/>
      <c r="G77" s="2789"/>
      <c r="H77" s="2789"/>
      <c r="I77" s="2789"/>
      <c r="J77" s="2789"/>
      <c r="K77" s="2789"/>
      <c r="L77" s="2789"/>
      <c r="M77" s="1077"/>
    </row>
    <row r="78" spans="1:13" s="693" customFormat="1" ht="12" hidden="1" customHeight="1">
      <c r="A78" s="2789" t="s">
        <v>1106</v>
      </c>
      <c r="B78" s="2789"/>
      <c r="C78" s="2789"/>
      <c r="D78" s="2789"/>
      <c r="E78" s="2789"/>
      <c r="F78" s="2789"/>
      <c r="G78" s="2789"/>
      <c r="H78" s="2789"/>
      <c r="I78" s="2789"/>
      <c r="J78" s="2789"/>
      <c r="K78" s="2789"/>
      <c r="L78" s="2789"/>
      <c r="M78" s="1077"/>
    </row>
    <row r="79" spans="1:13" s="693" customFormat="1" ht="12" hidden="1" customHeight="1">
      <c r="A79" s="2790" t="s">
        <v>1107</v>
      </c>
      <c r="B79" s="2790"/>
      <c r="C79" s="2790"/>
      <c r="D79" s="2790"/>
      <c r="E79" s="2790"/>
      <c r="F79" s="2790"/>
      <c r="G79" s="2790"/>
      <c r="H79" s="2790"/>
      <c r="I79" s="2790"/>
      <c r="J79" s="2790"/>
      <c r="K79" s="2790"/>
      <c r="L79" s="2790"/>
      <c r="M79" s="1077"/>
    </row>
    <row r="80" spans="1:13" s="693" customFormat="1" ht="12" hidden="1" customHeight="1">
      <c r="A80" s="1201" t="s">
        <v>197</v>
      </c>
      <c r="B80" s="1239"/>
      <c r="C80" s="1239"/>
      <c r="D80" s="1239"/>
      <c r="E80" s="1239"/>
      <c r="F80" s="1239"/>
      <c r="G80" s="1239"/>
      <c r="H80" s="1239"/>
      <c r="I80" s="1239"/>
      <c r="J80" s="1239"/>
      <c r="K80" s="1239"/>
      <c r="L80" s="1239"/>
      <c r="M80" s="1077"/>
    </row>
    <row r="81" spans="1:13" s="693" customFormat="1" ht="12" hidden="1" customHeight="1">
      <c r="A81" s="1201" t="s">
        <v>1108</v>
      </c>
      <c r="B81" s="1239"/>
      <c r="C81" s="1239"/>
      <c r="D81" s="1239"/>
      <c r="E81" s="1239"/>
      <c r="F81" s="1239"/>
      <c r="G81" s="1239"/>
      <c r="H81" s="1239"/>
      <c r="I81" s="1239"/>
      <c r="J81" s="1239"/>
      <c r="K81" s="1239"/>
      <c r="L81" s="1239"/>
      <c r="M81" s="1077"/>
    </row>
    <row r="82" spans="1:13" s="693" customFormat="1" ht="12" hidden="1" customHeight="1">
      <c r="A82" s="1201" t="s">
        <v>198</v>
      </c>
      <c r="B82" s="1200"/>
      <c r="C82" s="1202"/>
      <c r="D82" s="1202"/>
      <c r="E82" s="1203"/>
      <c r="F82" s="1203"/>
      <c r="G82" s="1203"/>
      <c r="H82" s="1203"/>
      <c r="I82" s="1203"/>
      <c r="J82" s="1203"/>
      <c r="K82" s="1203"/>
      <c r="L82" s="1203"/>
      <c r="M82" s="1077"/>
    </row>
    <row r="83" spans="1:13" s="1051" customFormat="1" ht="12" hidden="1" customHeight="1">
      <c r="A83" s="2788" t="s">
        <v>1548</v>
      </c>
      <c r="B83" s="2788"/>
      <c r="C83" s="2788"/>
      <c r="D83" s="2788"/>
      <c r="E83" s="2788"/>
      <c r="F83" s="2788"/>
      <c r="G83" s="2788"/>
      <c r="H83" s="2788"/>
      <c r="I83" s="2788"/>
      <c r="J83" s="2788"/>
      <c r="K83" s="2788"/>
      <c r="L83" s="2788"/>
      <c r="M83" s="1519"/>
    </row>
    <row r="84" spans="1:13" s="1051" customFormat="1" ht="11.25" hidden="1" customHeight="1">
      <c r="M84" s="1519"/>
    </row>
    <row r="85" spans="1:13" ht="11.25" hidden="1" customHeight="1">
      <c r="A85" s="273" t="s">
        <v>300</v>
      </c>
      <c r="B85" s="229"/>
      <c r="C85" s="312">
        <f t="shared" ref="C85:I85" si="1">C21-C74</f>
        <v>0</v>
      </c>
      <c r="D85" s="312">
        <f t="shared" si="1"/>
        <v>0</v>
      </c>
      <c r="E85" s="313">
        <f t="shared" si="1"/>
        <v>0</v>
      </c>
      <c r="F85" s="314">
        <f t="shared" si="1"/>
        <v>0</v>
      </c>
      <c r="G85" s="313">
        <f t="shared" si="1"/>
        <v>0</v>
      </c>
      <c r="H85" s="313">
        <f t="shared" si="1"/>
        <v>0</v>
      </c>
      <c r="I85" s="313">
        <f t="shared" si="1"/>
        <v>0</v>
      </c>
      <c r="J85" s="313">
        <f>J21-J74</f>
        <v>-9488000</v>
      </c>
      <c r="K85" s="313">
        <f>K21-K74</f>
        <v>0</v>
      </c>
      <c r="L85" s="313">
        <f>L21-L74</f>
        <v>-12171000</v>
      </c>
    </row>
    <row r="86" spans="1:13" ht="11.25" hidden="1" customHeight="1">
      <c r="A86" s="273"/>
      <c r="C86" s="312"/>
      <c r="D86" s="312"/>
      <c r="E86" s="313"/>
      <c r="F86" s="314"/>
      <c r="G86" s="313"/>
      <c r="H86" s="313"/>
      <c r="I86" s="313"/>
      <c r="J86" s="313"/>
      <c r="K86" s="313"/>
      <c r="L86" s="313"/>
    </row>
    <row r="87" spans="1:13" ht="11.25" hidden="1" customHeight="1"/>
    <row r="88" spans="1:13" ht="11.25" hidden="1" customHeight="1"/>
    <row r="89" spans="1:13" ht="11.25" hidden="1" customHeight="1"/>
    <row r="90" spans="1:13" ht="11.25" hidden="1" customHeight="1"/>
    <row r="91" spans="1:13" ht="11.25" hidden="1" customHeight="1"/>
    <row r="92" spans="1:13" ht="11.25" hidden="1" customHeight="1"/>
    <row r="93" spans="1:13" ht="11.25" hidden="1" customHeight="1"/>
    <row r="94" spans="1:13" ht="11.25" hidden="1" customHeight="1"/>
    <row r="95" spans="1:13" ht="11.25" hidden="1" customHeight="1"/>
    <row r="96" spans="1:13"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sheetData>
  <mergeCells count="6">
    <mergeCell ref="J2:L2"/>
    <mergeCell ref="F2:I2"/>
    <mergeCell ref="A83:L83"/>
    <mergeCell ref="A78:L78"/>
    <mergeCell ref="A77:L77"/>
    <mergeCell ref="A79:L79"/>
  </mergeCells>
  <phoneticPr fontId="3" type="noConversion"/>
  <printOptions horizontalCentered="1"/>
  <pageMargins left="0" right="0" top="0.78740157480314965" bottom="0.59055118110236227" header="0.51181102362204722" footer="0.43307086614173229"/>
  <pageSetup paperSize="9" scale="8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indexed="44"/>
    <pageSetUpPr fitToPage="1"/>
  </sheetPr>
  <dimension ref="A1:O342"/>
  <sheetViews>
    <sheetView showGridLines="0" showZeros="0" topLeftCell="A124" workbookViewId="0">
      <pane xSplit="1" topLeftCell="G1" activePane="topRight" state="frozen"/>
      <selection activeCell="A159" sqref="A159"/>
      <selection pane="topRight" activeCell="J116" sqref="J116"/>
    </sheetView>
  </sheetViews>
  <sheetFormatPr defaultRowHeight="12.75"/>
  <cols>
    <col min="1" max="1" width="30.7109375" style="150" customWidth="1"/>
    <col min="2" max="2" width="3" style="233" hidden="1" customWidth="1"/>
    <col min="3" max="8" width="9.28515625" style="150" customWidth="1"/>
    <col min="9" max="9" width="9.140625" style="150" hidden="1" customWidth="1"/>
    <col min="10" max="12" width="9.28515625" style="150" customWidth="1"/>
    <col min="13" max="13" width="11.7109375" style="150" bestFit="1" customWidth="1"/>
    <col min="14" max="14" width="9.5703125" style="150" customWidth="1"/>
    <col min="15" max="15" width="9.85546875" style="150" customWidth="1"/>
    <col min="16" max="18" width="9.5703125" style="150" customWidth="1"/>
    <col min="19" max="19" width="9.85546875" style="150" customWidth="1"/>
    <col min="20" max="22" width="9.5703125" style="150" customWidth="1"/>
    <col min="23" max="24" width="9.85546875" style="150" customWidth="1"/>
    <col min="25" max="16384" width="9.140625" style="150"/>
  </cols>
  <sheetData>
    <row r="1" spans="1:13" s="168" customFormat="1">
      <c r="A1" s="148" t="str">
        <f>muni&amp;" - "&amp;Approve5</f>
        <v>NC071 Ubuntu - Table A5 Budgeted Capital Expenditure by vote, standard classification and funding</v>
      </c>
      <c r="B1" s="148"/>
      <c r="C1" s="148"/>
      <c r="D1" s="148"/>
      <c r="E1" s="148"/>
      <c r="F1" s="148"/>
      <c r="G1" s="148"/>
      <c r="H1" s="148"/>
      <c r="I1" s="148"/>
      <c r="J1" s="148"/>
      <c r="K1" s="148"/>
      <c r="L1" s="148"/>
    </row>
    <row r="2" spans="1:13" ht="28.5" customHeight="1">
      <c r="A2" s="972" t="str">
        <f>Vdesc</f>
        <v>Vote Description</v>
      </c>
      <c r="B2" s="394" t="str">
        <f>head27</f>
        <v>Ref</v>
      </c>
      <c r="C2" s="151" t="str">
        <f>head1b</f>
        <v>2007/8</v>
      </c>
      <c r="D2" s="151" t="str">
        <f>head1A</f>
        <v>2008/9</v>
      </c>
      <c r="E2" s="147" t="str">
        <f>Head1</f>
        <v>2009/10</v>
      </c>
      <c r="F2" s="2772" t="str">
        <f>Head2</f>
        <v>Current Year 2010/11</v>
      </c>
      <c r="G2" s="2773"/>
      <c r="H2" s="2773"/>
      <c r="I2" s="2773"/>
      <c r="J2" s="2769" t="str">
        <f>Head3</f>
        <v>2011/12 Medium Term Revenue &amp; Expenditure Framework</v>
      </c>
      <c r="K2" s="2770"/>
      <c r="L2" s="2771"/>
    </row>
    <row r="3" spans="1:13" ht="25.5">
      <c r="A3" s="169" t="s">
        <v>697</v>
      </c>
      <c r="B3" s="275">
        <v>1</v>
      </c>
      <c r="C3" s="365" t="str">
        <f>Head5</f>
        <v>Audited Outcome</v>
      </c>
      <c r="D3" s="365" t="str">
        <f>Head5</f>
        <v>Audited Outcome</v>
      </c>
      <c r="E3" s="366" t="str">
        <f>Head5</f>
        <v>Audited Outcome</v>
      </c>
      <c r="F3" s="283" t="str">
        <f>Head6</f>
        <v>Original Budget</v>
      </c>
      <c r="G3" s="365" t="str">
        <f>Head7</f>
        <v>Adjusted Budget</v>
      </c>
      <c r="H3" s="366" t="str">
        <f>Head8</f>
        <v>Full Year Forecast</v>
      </c>
      <c r="I3" s="364" t="str">
        <f>Head5b</f>
        <v>Pre-audit outcome</v>
      </c>
      <c r="J3" s="283" t="str">
        <f>Head9</f>
        <v>Budget Year 2011/12</v>
      </c>
      <c r="K3" s="365" t="str">
        <f>Head10</f>
        <v>Budget Year +1 2012/13</v>
      </c>
      <c r="L3" s="366" t="str">
        <f>Head11</f>
        <v>Budget Year +2 2013/14</v>
      </c>
    </row>
    <row r="4" spans="1:13">
      <c r="A4" s="170" t="s">
        <v>1932</v>
      </c>
      <c r="B4" s="276"/>
      <c r="C4" s="292"/>
      <c r="D4" s="292"/>
      <c r="E4" s="293"/>
      <c r="F4" s="294"/>
      <c r="G4" s="292"/>
      <c r="H4" s="295"/>
      <c r="I4" s="293"/>
      <c r="J4" s="294"/>
      <c r="K4" s="292"/>
      <c r="L4" s="295"/>
    </row>
    <row r="5" spans="1:13" ht="11.25" customHeight="1">
      <c r="A5" s="170" t="s">
        <v>402</v>
      </c>
      <c r="B5" s="278">
        <v>2</v>
      </c>
      <c r="C5" s="296"/>
      <c r="D5" s="296"/>
      <c r="E5" s="297"/>
      <c r="F5" s="298"/>
      <c r="G5" s="296"/>
      <c r="H5" s="299"/>
      <c r="I5" s="297"/>
      <c r="J5" s="298"/>
      <c r="K5" s="296"/>
      <c r="L5" s="299"/>
    </row>
    <row r="6" spans="1:13" ht="11.25" customHeight="1">
      <c r="A6" s="1816" t="s">
        <v>2176</v>
      </c>
      <c r="B6" s="976"/>
      <c r="C6" s="973">
        <f>SUM(C7:C16)</f>
        <v>0</v>
      </c>
      <c r="D6" s="973">
        <f t="shared" ref="D6:F6" si="0">SUM(D7:D16)</f>
        <v>0</v>
      </c>
      <c r="E6" s="974">
        <f t="shared" si="0"/>
        <v>0</v>
      </c>
      <c r="F6" s="975">
        <f t="shared" si="0"/>
        <v>0</v>
      </c>
      <c r="G6" s="2624">
        <v>0</v>
      </c>
      <c r="H6" s="2625">
        <v>0</v>
      </c>
      <c r="I6" s="2623">
        <v>0</v>
      </c>
      <c r="J6" s="2626">
        <v>0</v>
      </c>
      <c r="K6" s="2624">
        <v>0</v>
      </c>
      <c r="L6" s="2625">
        <v>0</v>
      </c>
      <c r="M6" s="1175"/>
    </row>
    <row r="7" spans="1:13" ht="11.25" customHeight="1">
      <c r="A7" s="1817" t="s">
        <v>2169</v>
      </c>
      <c r="B7" s="278"/>
      <c r="C7" s="1812">
        <v>0</v>
      </c>
      <c r="D7" s="1812">
        <v>0</v>
      </c>
      <c r="E7" s="1820">
        <f>SUMIFS('SA36'!I:I,'SA36'!$A:$A,A5A!$A7,'SA36'!$Q:$Q,"M")</f>
        <v>0</v>
      </c>
      <c r="F7" s="1814">
        <f>SUMIFS('SA36'!P:P,'SA36'!$A:$A,A5A!$A7,'SA36'!$Q:$Q,"M")</f>
        <v>0</v>
      </c>
      <c r="G7" s="2646">
        <v>0</v>
      </c>
      <c r="H7" s="2647">
        <v>0</v>
      </c>
      <c r="I7" s="2649">
        <v>0</v>
      </c>
      <c r="J7" s="2648">
        <v>0</v>
      </c>
      <c r="K7" s="2646">
        <v>0</v>
      </c>
      <c r="L7" s="2647">
        <v>0</v>
      </c>
      <c r="M7" s="1174"/>
    </row>
    <row r="8" spans="1:13" ht="11.25" customHeight="1">
      <c r="A8" s="1817" t="s">
        <v>343</v>
      </c>
      <c r="B8" s="278"/>
      <c r="C8" s="1812">
        <v>0</v>
      </c>
      <c r="D8" s="1812">
        <v>0</v>
      </c>
      <c r="E8" s="1820">
        <f>SUMIFS('SA36'!I:I,'SA36'!$A:$A,A5A!$A8,'SA36'!$Q:$Q,"M")</f>
        <v>0</v>
      </c>
      <c r="F8" s="1814">
        <f>SUMIFS('SA36'!P:P,'SA36'!$A:$A,A5A!$A8,'SA36'!$Q:$Q,"M")</f>
        <v>0</v>
      </c>
      <c r="G8" s="2646">
        <v>0</v>
      </c>
      <c r="H8" s="2647">
        <v>0</v>
      </c>
      <c r="I8" s="2649">
        <v>0</v>
      </c>
      <c r="J8" s="2648">
        <v>0</v>
      </c>
      <c r="K8" s="2646">
        <v>0</v>
      </c>
      <c r="L8" s="2647">
        <v>0</v>
      </c>
      <c r="M8" s="1174"/>
    </row>
    <row r="9" spans="1:13" ht="11.25" customHeight="1">
      <c r="A9" s="1817" t="s">
        <v>2123</v>
      </c>
      <c r="B9" s="278"/>
      <c r="C9" s="1812">
        <v>0</v>
      </c>
      <c r="D9" s="1812">
        <v>0</v>
      </c>
      <c r="E9" s="1820">
        <f>SUMIFS('SA36'!I:I,'SA36'!$A:$A,A5A!$A9,'SA36'!$Q:$Q,"M")</f>
        <v>0</v>
      </c>
      <c r="F9" s="1814">
        <f>SUMIFS('SA36'!P:P,'SA36'!$A:$A,A5A!$A9,'SA36'!$Q:$Q,"M")</f>
        <v>0</v>
      </c>
      <c r="G9" s="2646">
        <v>0</v>
      </c>
      <c r="H9" s="2647">
        <v>0</v>
      </c>
      <c r="I9" s="2649">
        <v>0</v>
      </c>
      <c r="J9" s="2648">
        <v>0</v>
      </c>
      <c r="K9" s="2646">
        <v>0</v>
      </c>
      <c r="L9" s="2647">
        <v>0</v>
      </c>
      <c r="M9" s="1174"/>
    </row>
    <row r="10" spans="1:13" ht="11.25" customHeight="1">
      <c r="A10" s="1817"/>
      <c r="B10" s="278"/>
      <c r="C10" s="1812"/>
      <c r="D10" s="1812"/>
      <c r="E10" s="1813"/>
      <c r="F10" s="1814"/>
      <c r="G10" s="2646"/>
      <c r="H10" s="2647"/>
      <c r="I10" s="2649"/>
      <c r="J10" s="2648"/>
      <c r="K10" s="2646"/>
      <c r="L10" s="2647"/>
      <c r="M10" s="1174"/>
    </row>
    <row r="11" spans="1:13" ht="11.25" customHeight="1">
      <c r="A11" s="1817"/>
      <c r="B11" s="278"/>
      <c r="C11" s="1812"/>
      <c r="D11" s="1812"/>
      <c r="E11" s="1813"/>
      <c r="F11" s="1814"/>
      <c r="G11" s="2646"/>
      <c r="H11" s="2647"/>
      <c r="I11" s="2649"/>
      <c r="J11" s="2648"/>
      <c r="K11" s="2646"/>
      <c r="L11" s="2647"/>
      <c r="M11" s="1174"/>
    </row>
    <row r="12" spans="1:13" ht="11.25" customHeight="1">
      <c r="A12" s="1817"/>
      <c r="B12" s="278"/>
      <c r="C12" s="1812"/>
      <c r="D12" s="1812"/>
      <c r="E12" s="1813"/>
      <c r="F12" s="1814"/>
      <c r="G12" s="2646"/>
      <c r="H12" s="2647"/>
      <c r="I12" s="2649"/>
      <c r="J12" s="2648"/>
      <c r="K12" s="2646"/>
      <c r="L12" s="2647"/>
      <c r="M12" s="1174"/>
    </row>
    <row r="13" spans="1:13" ht="11.25" customHeight="1">
      <c r="A13" s="1817"/>
      <c r="B13" s="278"/>
      <c r="C13" s="1812"/>
      <c r="D13" s="1812"/>
      <c r="E13" s="1813"/>
      <c r="F13" s="1814"/>
      <c r="G13" s="2646"/>
      <c r="H13" s="2647"/>
      <c r="I13" s="2649"/>
      <c r="J13" s="2648"/>
      <c r="K13" s="2646"/>
      <c r="L13" s="2647"/>
      <c r="M13" s="1174"/>
    </row>
    <row r="14" spans="1:13" ht="11.25" customHeight="1">
      <c r="A14" s="1817"/>
      <c r="B14" s="278"/>
      <c r="C14" s="1812"/>
      <c r="D14" s="1812"/>
      <c r="E14" s="1813"/>
      <c r="F14" s="1814"/>
      <c r="G14" s="2646"/>
      <c r="H14" s="2647"/>
      <c r="I14" s="2649"/>
      <c r="J14" s="2648"/>
      <c r="K14" s="2646"/>
      <c r="L14" s="2647"/>
      <c r="M14" s="1174"/>
    </row>
    <row r="15" spans="1:13" ht="11.25" customHeight="1">
      <c r="A15" s="1817"/>
      <c r="B15" s="278"/>
      <c r="C15" s="1812"/>
      <c r="D15" s="1812"/>
      <c r="E15" s="1813"/>
      <c r="F15" s="1814"/>
      <c r="G15" s="2646"/>
      <c r="H15" s="2647"/>
      <c r="I15" s="2649"/>
      <c r="J15" s="2648"/>
      <c r="K15" s="2646"/>
      <c r="L15" s="2647"/>
      <c r="M15" s="1174"/>
    </row>
    <row r="16" spans="1:13" ht="11.25" customHeight="1">
      <c r="A16" s="1817"/>
      <c r="B16" s="278"/>
      <c r="C16" s="1812"/>
      <c r="D16" s="1812"/>
      <c r="E16" s="1813"/>
      <c r="F16" s="1814"/>
      <c r="G16" s="2646"/>
      <c r="H16" s="2647"/>
      <c r="I16" s="2649"/>
      <c r="J16" s="2648"/>
      <c r="K16" s="2646"/>
      <c r="L16" s="2647"/>
      <c r="M16" s="301"/>
    </row>
    <row r="17" spans="1:13" ht="11.25" customHeight="1">
      <c r="A17" s="1816" t="s">
        <v>2177</v>
      </c>
      <c r="B17" s="976"/>
      <c r="C17" s="973">
        <f>SUM(C18:C27)</f>
        <v>0</v>
      </c>
      <c r="D17" s="973">
        <f t="shared" ref="D17:F17" si="1">SUM(D18:D27)</f>
        <v>0</v>
      </c>
      <c r="E17" s="974">
        <f t="shared" si="1"/>
        <v>0</v>
      </c>
      <c r="F17" s="975">
        <f t="shared" si="1"/>
        <v>0</v>
      </c>
      <c r="G17" s="2624">
        <v>0</v>
      </c>
      <c r="H17" s="2625">
        <v>0</v>
      </c>
      <c r="I17" s="2627">
        <v>0</v>
      </c>
      <c r="J17" s="2626">
        <v>0</v>
      </c>
      <c r="K17" s="2624">
        <v>0</v>
      </c>
      <c r="L17" s="2625">
        <v>0</v>
      </c>
      <c r="M17" s="1176"/>
    </row>
    <row r="18" spans="1:13" ht="11.25" customHeight="1">
      <c r="A18" s="1817" t="s">
        <v>2142</v>
      </c>
      <c r="B18" s="278"/>
      <c r="C18" s="1812">
        <v>0</v>
      </c>
      <c r="D18" s="1812">
        <v>0</v>
      </c>
      <c r="E18" s="1820">
        <f>SUMIFS('SA36'!I:I,'SA36'!$A:$A,A5A!$A18,'SA36'!$Q:$Q,"M")</f>
        <v>0</v>
      </c>
      <c r="F18" s="1814">
        <f>SUMIFS('SA36'!P:P,'SA36'!$A:$A,A5A!$A18,'SA36'!$Q:$Q,"M")</f>
        <v>0</v>
      </c>
      <c r="G18" s="2646">
        <v>0</v>
      </c>
      <c r="H18" s="2647">
        <v>0</v>
      </c>
      <c r="I18" s="2649">
        <v>0</v>
      </c>
      <c r="J18" s="2648">
        <v>0</v>
      </c>
      <c r="K18" s="2646">
        <v>0</v>
      </c>
      <c r="L18" s="2647">
        <v>0</v>
      </c>
      <c r="M18" s="1174"/>
    </row>
    <row r="19" spans="1:13" ht="11.25" customHeight="1">
      <c r="A19" s="1817" t="s">
        <v>1945</v>
      </c>
      <c r="B19" s="278"/>
      <c r="C19" s="1812">
        <v>0</v>
      </c>
      <c r="D19" s="1812">
        <v>0</v>
      </c>
      <c r="E19" s="1820">
        <f>SUMIFS('SA36'!I:I,'SA36'!$A:$A,A5A!$A19,'SA36'!$Q:$Q,"M")</f>
        <v>0</v>
      </c>
      <c r="F19" s="1814">
        <f>SUMIFS('SA36'!P:P,'SA36'!$A:$A,A5A!$A19,'SA36'!$Q:$Q,"M")</f>
        <v>0</v>
      </c>
      <c r="G19" s="2646">
        <v>0</v>
      </c>
      <c r="H19" s="2647">
        <v>0</v>
      </c>
      <c r="I19" s="2649">
        <v>0</v>
      </c>
      <c r="J19" s="2648">
        <v>0</v>
      </c>
      <c r="K19" s="2646">
        <v>0</v>
      </c>
      <c r="L19" s="2647">
        <v>0</v>
      </c>
      <c r="M19" s="1174"/>
    </row>
    <row r="20" spans="1:13" ht="11.25" customHeight="1">
      <c r="A20" s="1817" t="s">
        <v>2147</v>
      </c>
      <c r="B20" s="278"/>
      <c r="C20" s="1812">
        <v>0</v>
      </c>
      <c r="D20" s="1812">
        <v>0</v>
      </c>
      <c r="E20" s="1820">
        <f>SUMIFS('SA36'!I:I,'SA36'!$A:$A,A5A!$A20,'SA36'!$Q:$Q,"M")</f>
        <v>0</v>
      </c>
      <c r="F20" s="1814">
        <f>SUMIFS('SA36'!P:P,'SA36'!$A:$A,A5A!$A20,'SA36'!$Q:$Q,"M")</f>
        <v>0</v>
      </c>
      <c r="G20" s="2646">
        <v>0</v>
      </c>
      <c r="H20" s="2647">
        <v>0</v>
      </c>
      <c r="I20" s="2649">
        <v>0</v>
      </c>
      <c r="J20" s="2648">
        <v>0</v>
      </c>
      <c r="K20" s="2646">
        <v>0</v>
      </c>
      <c r="L20" s="2647">
        <v>0</v>
      </c>
      <c r="M20" s="1174"/>
    </row>
    <row r="21" spans="1:13" ht="11.25" customHeight="1">
      <c r="A21" s="1817" t="s">
        <v>345</v>
      </c>
      <c r="B21" s="278"/>
      <c r="C21" s="1812">
        <v>0</v>
      </c>
      <c r="D21" s="1812">
        <v>0</v>
      </c>
      <c r="E21" s="1820">
        <f>SUMIFS('SA36'!I:I,'SA36'!$A:$A,A5A!$A21,'SA36'!$Q:$Q,"M")</f>
        <v>0</v>
      </c>
      <c r="F21" s="1814">
        <f>SUMIFS('SA36'!P:P,'SA36'!$A:$A,A5A!$A21,'SA36'!$Q:$Q,"M")</f>
        <v>0</v>
      </c>
      <c r="G21" s="2646">
        <v>0</v>
      </c>
      <c r="H21" s="2647">
        <v>0</v>
      </c>
      <c r="I21" s="2649">
        <v>0</v>
      </c>
      <c r="J21" s="2648">
        <v>0</v>
      </c>
      <c r="K21" s="2646">
        <v>0</v>
      </c>
      <c r="L21" s="2647">
        <v>0</v>
      </c>
      <c r="M21" s="1174"/>
    </row>
    <row r="22" spans="1:13" ht="11.25" customHeight="1">
      <c r="A22" s="1817" t="s">
        <v>2167</v>
      </c>
      <c r="B22" s="278"/>
      <c r="C22" s="1812">
        <v>0</v>
      </c>
      <c r="D22" s="1812">
        <v>0</v>
      </c>
      <c r="E22" s="1820">
        <f>SUMIFS('SA36'!I:I,'SA36'!$A:$A,A5A!$A22,'SA36'!$Q:$Q,"M")</f>
        <v>0</v>
      </c>
      <c r="F22" s="1814">
        <f>SUMIFS('SA36'!P:P,'SA36'!$A:$A,A5A!$A22,'SA36'!$Q:$Q,"M")</f>
        <v>0</v>
      </c>
      <c r="G22" s="2646">
        <v>0</v>
      </c>
      <c r="H22" s="2647">
        <v>0</v>
      </c>
      <c r="I22" s="2649">
        <v>0</v>
      </c>
      <c r="J22" s="2648">
        <v>0</v>
      </c>
      <c r="K22" s="2646">
        <v>0</v>
      </c>
      <c r="L22" s="2647">
        <v>0</v>
      </c>
      <c r="M22" s="1174"/>
    </row>
    <row r="23" spans="1:13" ht="11.25" customHeight="1">
      <c r="A23" s="1817"/>
      <c r="B23" s="278"/>
      <c r="C23" s="1812"/>
      <c r="D23" s="1812"/>
      <c r="E23" s="1813"/>
      <c r="F23" s="1814"/>
      <c r="G23" s="2646"/>
      <c r="H23" s="2647"/>
      <c r="I23" s="2649"/>
      <c r="J23" s="2648"/>
      <c r="K23" s="2646"/>
      <c r="L23" s="2647"/>
      <c r="M23" s="1174"/>
    </row>
    <row r="24" spans="1:13" ht="11.25" customHeight="1">
      <c r="A24" s="1817"/>
      <c r="B24" s="278"/>
      <c r="C24" s="1812"/>
      <c r="D24" s="1812"/>
      <c r="E24" s="1813"/>
      <c r="F24" s="1814"/>
      <c r="G24" s="2646"/>
      <c r="H24" s="2647"/>
      <c r="I24" s="2649"/>
      <c r="J24" s="2648"/>
      <c r="K24" s="2646"/>
      <c r="L24" s="2647"/>
      <c r="M24" s="1174"/>
    </row>
    <row r="25" spans="1:13" ht="11.25" customHeight="1">
      <c r="A25" s="1817"/>
      <c r="B25" s="278"/>
      <c r="C25" s="1812"/>
      <c r="D25" s="1812"/>
      <c r="E25" s="1813"/>
      <c r="F25" s="1814"/>
      <c r="G25" s="2646"/>
      <c r="H25" s="2647"/>
      <c r="I25" s="2649"/>
      <c r="J25" s="2648"/>
      <c r="K25" s="2646"/>
      <c r="L25" s="2647"/>
      <c r="M25" s="1174"/>
    </row>
    <row r="26" spans="1:13" ht="11.25" customHeight="1">
      <c r="A26" s="1817"/>
      <c r="B26" s="278"/>
      <c r="C26" s="1812"/>
      <c r="D26" s="1812"/>
      <c r="E26" s="1813"/>
      <c r="F26" s="1814"/>
      <c r="G26" s="2646"/>
      <c r="H26" s="2647"/>
      <c r="I26" s="2649"/>
      <c r="J26" s="2648"/>
      <c r="K26" s="2646"/>
      <c r="L26" s="2647"/>
      <c r="M26" s="1174"/>
    </row>
    <row r="27" spans="1:13" ht="11.25" customHeight="1">
      <c r="A27" s="1817"/>
      <c r="B27" s="278"/>
      <c r="C27" s="1812"/>
      <c r="D27" s="1812"/>
      <c r="E27" s="1813"/>
      <c r="F27" s="1814"/>
      <c r="G27" s="2646"/>
      <c r="H27" s="2647"/>
      <c r="I27" s="2649"/>
      <c r="J27" s="2648"/>
      <c r="K27" s="2646"/>
      <c r="L27" s="2647"/>
      <c r="M27" s="1174"/>
    </row>
    <row r="28" spans="1:13" ht="11.25" customHeight="1">
      <c r="A28" s="1816" t="s">
        <v>2178</v>
      </c>
      <c r="B28" s="976"/>
      <c r="C28" s="973">
        <f>SUM(C29:C38)</f>
        <v>0</v>
      </c>
      <c r="D28" s="973">
        <f t="shared" ref="D28:F28" si="2">SUM(D29:D38)</f>
        <v>0</v>
      </c>
      <c r="E28" s="974">
        <f t="shared" si="2"/>
        <v>0</v>
      </c>
      <c r="F28" s="975">
        <f t="shared" si="2"/>
        <v>0</v>
      </c>
      <c r="G28" s="2624">
        <v>0</v>
      </c>
      <c r="H28" s="2625">
        <v>0</v>
      </c>
      <c r="I28" s="2627">
        <v>0</v>
      </c>
      <c r="J28" s="2626">
        <v>0</v>
      </c>
      <c r="K28" s="2624">
        <v>0</v>
      </c>
      <c r="L28" s="2625">
        <v>0</v>
      </c>
      <c r="M28" s="1174"/>
    </row>
    <row r="29" spans="1:13" ht="11.25" customHeight="1">
      <c r="A29" s="1817" t="s">
        <v>2129</v>
      </c>
      <c r="B29" s="278"/>
      <c r="C29" s="1812">
        <v>0</v>
      </c>
      <c r="D29" s="1812">
        <v>0</v>
      </c>
      <c r="E29" s="1820">
        <f>SUMIFS('SA36'!I:I,'SA36'!$A:$A,A5A!$A29,'SA36'!$Q:$Q,"M")</f>
        <v>0</v>
      </c>
      <c r="F29" s="1814">
        <f>SUMIFS('SA36'!P:P,'SA36'!$A:$A,A5A!$A29,'SA36'!$Q:$Q,"M")</f>
        <v>0</v>
      </c>
      <c r="G29" s="2646">
        <v>0</v>
      </c>
      <c r="H29" s="2647">
        <v>0</v>
      </c>
      <c r="I29" s="2649">
        <v>0</v>
      </c>
      <c r="J29" s="2648">
        <v>0</v>
      </c>
      <c r="K29" s="2646">
        <v>0</v>
      </c>
      <c r="L29" s="2647">
        <v>0</v>
      </c>
      <c r="M29" s="1174"/>
    </row>
    <row r="30" spans="1:13" ht="11.25" customHeight="1">
      <c r="A30" s="1817" t="s">
        <v>344</v>
      </c>
      <c r="B30" s="278"/>
      <c r="C30" s="1812">
        <v>0</v>
      </c>
      <c r="D30" s="1812">
        <v>0</v>
      </c>
      <c r="E30" s="1820">
        <f>SUMIFS('SA36'!I:I,'SA36'!$A:$A,A5A!$A30,'SA36'!$Q:$Q,"M")</f>
        <v>0</v>
      </c>
      <c r="F30" s="1814">
        <f>SUMIFS('SA36'!P:P,'SA36'!$A:$A,A5A!$A30,'SA36'!$Q:$Q,"M")</f>
        <v>0</v>
      </c>
      <c r="G30" s="2646">
        <v>0</v>
      </c>
      <c r="H30" s="2647">
        <v>0</v>
      </c>
      <c r="I30" s="2649">
        <v>0</v>
      </c>
      <c r="J30" s="2648">
        <v>0</v>
      </c>
      <c r="K30" s="2646">
        <v>0</v>
      </c>
      <c r="L30" s="2647">
        <v>0</v>
      </c>
      <c r="M30" s="1174"/>
    </row>
    <row r="31" spans="1:13" ht="11.25" customHeight="1">
      <c r="A31" s="1817"/>
      <c r="B31" s="278"/>
      <c r="C31" s="1812"/>
      <c r="D31" s="1812"/>
      <c r="E31" s="1813"/>
      <c r="F31" s="1814"/>
      <c r="G31" s="2646"/>
      <c r="H31" s="2647"/>
      <c r="I31" s="2649"/>
      <c r="J31" s="2648"/>
      <c r="K31" s="2646"/>
      <c r="L31" s="2647"/>
      <c r="M31" s="1174"/>
    </row>
    <row r="32" spans="1:13" ht="11.25" customHeight="1">
      <c r="A32" s="1817"/>
      <c r="B32" s="278"/>
      <c r="C32" s="1812"/>
      <c r="D32" s="1812"/>
      <c r="E32" s="1813"/>
      <c r="F32" s="1814"/>
      <c r="G32" s="2646"/>
      <c r="H32" s="2647"/>
      <c r="I32" s="2649"/>
      <c r="J32" s="2648"/>
      <c r="K32" s="2646"/>
      <c r="L32" s="2647"/>
      <c r="M32" s="1174"/>
    </row>
    <row r="33" spans="1:15" ht="11.25" customHeight="1">
      <c r="A33" s="1817"/>
      <c r="B33" s="278"/>
      <c r="C33" s="1812"/>
      <c r="D33" s="1812"/>
      <c r="E33" s="1813"/>
      <c r="F33" s="1814"/>
      <c r="G33" s="2646"/>
      <c r="H33" s="2647"/>
      <c r="I33" s="2649"/>
      <c r="J33" s="2648"/>
      <c r="K33" s="2646"/>
      <c r="L33" s="2647"/>
      <c r="M33" s="1174"/>
    </row>
    <row r="34" spans="1:15" ht="11.25" customHeight="1">
      <c r="A34" s="1817"/>
      <c r="B34" s="278"/>
      <c r="C34" s="1812"/>
      <c r="D34" s="1812"/>
      <c r="E34" s="1813"/>
      <c r="F34" s="1814"/>
      <c r="G34" s="2646"/>
      <c r="H34" s="2647"/>
      <c r="I34" s="2649"/>
      <c r="J34" s="2648"/>
      <c r="K34" s="2646"/>
      <c r="L34" s="2647"/>
      <c r="M34" s="1174"/>
    </row>
    <row r="35" spans="1:15" ht="11.25" customHeight="1">
      <c r="A35" s="1817"/>
      <c r="B35" s="278"/>
      <c r="C35" s="1812"/>
      <c r="D35" s="1812"/>
      <c r="E35" s="1813"/>
      <c r="F35" s="1814"/>
      <c r="G35" s="2646"/>
      <c r="H35" s="2647"/>
      <c r="I35" s="2649"/>
      <c r="J35" s="2648"/>
      <c r="K35" s="2646"/>
      <c r="L35" s="2647"/>
      <c r="M35" s="1174"/>
      <c r="O35" s="345"/>
    </row>
    <row r="36" spans="1:15" ht="11.25" customHeight="1">
      <c r="A36" s="1817"/>
      <c r="B36" s="278"/>
      <c r="C36" s="1812"/>
      <c r="D36" s="1812"/>
      <c r="E36" s="1813"/>
      <c r="F36" s="1814"/>
      <c r="G36" s="2646"/>
      <c r="H36" s="2647"/>
      <c r="I36" s="2649"/>
      <c r="J36" s="2648"/>
      <c r="K36" s="2646"/>
      <c r="L36" s="2647"/>
      <c r="M36" s="1174"/>
      <c r="O36" s="345"/>
    </row>
    <row r="37" spans="1:15" ht="11.25" customHeight="1">
      <c r="A37" s="1817"/>
      <c r="B37" s="278"/>
      <c r="C37" s="1812"/>
      <c r="D37" s="1812"/>
      <c r="E37" s="1813"/>
      <c r="F37" s="1814"/>
      <c r="G37" s="2646"/>
      <c r="H37" s="2647"/>
      <c r="I37" s="2649"/>
      <c r="J37" s="2648"/>
      <c r="K37" s="2646"/>
      <c r="L37" s="2647"/>
      <c r="M37" s="1174"/>
      <c r="O37" s="345"/>
    </row>
    <row r="38" spans="1:15" ht="11.25" customHeight="1">
      <c r="A38" s="1817"/>
      <c r="B38" s="278"/>
      <c r="C38" s="1812"/>
      <c r="D38" s="1812"/>
      <c r="E38" s="1813"/>
      <c r="F38" s="1814"/>
      <c r="G38" s="2646"/>
      <c r="H38" s="2647"/>
      <c r="I38" s="2649"/>
      <c r="J38" s="2648"/>
      <c r="K38" s="2646"/>
      <c r="L38" s="2647"/>
      <c r="M38" s="1174"/>
      <c r="O38" s="345"/>
    </row>
    <row r="39" spans="1:15" ht="11.25" customHeight="1">
      <c r="A39" s="1816" t="s">
        <v>2179</v>
      </c>
      <c r="B39" s="976"/>
      <c r="C39" s="973">
        <f>SUM(C40:C49)</f>
        <v>0</v>
      </c>
      <c r="D39" s="973">
        <f t="shared" ref="D39:F39" si="3">SUM(D40:D49)</f>
        <v>0</v>
      </c>
      <c r="E39" s="974">
        <f t="shared" si="3"/>
        <v>0</v>
      </c>
      <c r="F39" s="977">
        <f t="shared" si="3"/>
        <v>0</v>
      </c>
      <c r="G39" s="2624">
        <v>0</v>
      </c>
      <c r="H39" s="2625">
        <v>0</v>
      </c>
      <c r="I39" s="2627">
        <v>0</v>
      </c>
      <c r="J39" s="2626">
        <v>0</v>
      </c>
      <c r="K39" s="2624">
        <v>0</v>
      </c>
      <c r="L39" s="2628">
        <v>0</v>
      </c>
      <c r="M39" s="1174"/>
      <c r="O39" s="345"/>
    </row>
    <row r="40" spans="1:15" ht="11.25" customHeight="1">
      <c r="A40" s="1817" t="s">
        <v>2130</v>
      </c>
      <c r="B40" s="278"/>
      <c r="C40" s="1812">
        <v>0</v>
      </c>
      <c r="D40" s="1812">
        <v>0</v>
      </c>
      <c r="E40" s="1820">
        <f>SUMIFS('SA36'!I:I,'SA36'!$A:$A,A5A!$A40,'SA36'!$Q:$Q,"M")</f>
        <v>0</v>
      </c>
      <c r="F40" s="1814">
        <f>SUMIFS('SA36'!P:P,'SA36'!$A:$A,A5A!$A40,'SA36'!$Q:$Q,"M")</f>
        <v>0</v>
      </c>
      <c r="G40" s="2646">
        <v>0</v>
      </c>
      <c r="H40" s="2647">
        <v>0</v>
      </c>
      <c r="I40" s="2649">
        <v>0</v>
      </c>
      <c r="J40" s="2648">
        <v>0</v>
      </c>
      <c r="K40" s="2646">
        <v>0</v>
      </c>
      <c r="L40" s="2647">
        <v>0</v>
      </c>
      <c r="M40" s="1174"/>
      <c r="O40" s="345"/>
    </row>
    <row r="41" spans="1:15" ht="11.25" customHeight="1">
      <c r="A41" s="1817" t="s">
        <v>2150</v>
      </c>
      <c r="B41" s="278"/>
      <c r="C41" s="1812">
        <v>0</v>
      </c>
      <c r="D41" s="1812">
        <v>0</v>
      </c>
      <c r="E41" s="1820">
        <f>SUMIFS('SA36'!I:I,'SA36'!$A:$A,A5A!$A41,'SA36'!$Q:$Q,"M")</f>
        <v>0</v>
      </c>
      <c r="F41" s="1814">
        <f>SUMIFS('SA36'!P:P,'SA36'!$A:$A,A5A!$A41,'SA36'!$Q:$Q,"M")</f>
        <v>0</v>
      </c>
      <c r="G41" s="2646">
        <v>0</v>
      </c>
      <c r="H41" s="2647">
        <v>0</v>
      </c>
      <c r="I41" s="2649">
        <v>0</v>
      </c>
      <c r="J41" s="2648">
        <v>0</v>
      </c>
      <c r="K41" s="2646">
        <v>0</v>
      </c>
      <c r="L41" s="2647">
        <v>0</v>
      </c>
      <c r="M41" s="1174"/>
      <c r="O41" s="345"/>
    </row>
    <row r="42" spans="1:15" ht="11.25" customHeight="1">
      <c r="A42" s="1817" t="s">
        <v>2151</v>
      </c>
      <c r="B42" s="278"/>
      <c r="C42" s="1812">
        <v>0</v>
      </c>
      <c r="D42" s="1812">
        <v>0</v>
      </c>
      <c r="E42" s="1820">
        <f>SUMIFS('SA36'!I:I,'SA36'!$A:$A,A5A!$A42,'SA36'!$Q:$Q,"M")</f>
        <v>0</v>
      </c>
      <c r="F42" s="1814">
        <f>SUMIFS('SA36'!P:P,'SA36'!$A:$A,A5A!$A42,'SA36'!$Q:$Q,"M")</f>
        <v>0</v>
      </c>
      <c r="G42" s="2646">
        <v>0</v>
      </c>
      <c r="H42" s="2647">
        <v>0</v>
      </c>
      <c r="I42" s="2649">
        <v>0</v>
      </c>
      <c r="J42" s="2648">
        <v>0</v>
      </c>
      <c r="K42" s="2646">
        <v>0</v>
      </c>
      <c r="L42" s="2647">
        <v>0</v>
      </c>
      <c r="M42" s="1174"/>
      <c r="O42" s="345"/>
    </row>
    <row r="43" spans="1:15" ht="11.25" customHeight="1">
      <c r="A43" s="1817" t="s">
        <v>2152</v>
      </c>
      <c r="B43" s="278"/>
      <c r="C43" s="1812">
        <v>0</v>
      </c>
      <c r="D43" s="1812">
        <v>0</v>
      </c>
      <c r="E43" s="1820">
        <f>SUMIFS('SA36'!I:I,'SA36'!$A:$A,A5A!$A43,'SA36'!$Q:$Q,"M")</f>
        <v>0</v>
      </c>
      <c r="F43" s="1814">
        <f>SUMIFS('SA36'!P:P,'SA36'!$A:$A,A5A!$A43,'SA36'!$Q:$Q,"M")</f>
        <v>0</v>
      </c>
      <c r="G43" s="2646">
        <v>0</v>
      </c>
      <c r="H43" s="2647">
        <v>0</v>
      </c>
      <c r="I43" s="2649">
        <v>0</v>
      </c>
      <c r="J43" s="2648">
        <v>0</v>
      </c>
      <c r="K43" s="2646">
        <v>0</v>
      </c>
      <c r="L43" s="2647">
        <v>0</v>
      </c>
      <c r="M43" s="1174"/>
      <c r="O43" s="345"/>
    </row>
    <row r="44" spans="1:15" ht="11.25" customHeight="1">
      <c r="A44" s="1817"/>
      <c r="B44" s="278"/>
      <c r="C44" s="1812"/>
      <c r="D44" s="1812"/>
      <c r="E44" s="1813"/>
      <c r="F44" s="1814"/>
      <c r="G44" s="2646"/>
      <c r="H44" s="2647"/>
      <c r="I44" s="2649"/>
      <c r="J44" s="2648"/>
      <c r="K44" s="2646"/>
      <c r="L44" s="2647"/>
      <c r="M44" s="1174"/>
    </row>
    <row r="45" spans="1:15" ht="11.25" customHeight="1">
      <c r="A45" s="1817"/>
      <c r="B45" s="278"/>
      <c r="C45" s="1812"/>
      <c r="D45" s="1812"/>
      <c r="E45" s="1813"/>
      <c r="F45" s="1814"/>
      <c r="G45" s="2646"/>
      <c r="H45" s="2647"/>
      <c r="I45" s="2649"/>
      <c r="J45" s="2648"/>
      <c r="K45" s="2646"/>
      <c r="L45" s="2647"/>
      <c r="M45" s="1174"/>
    </row>
    <row r="46" spans="1:15" ht="11.25" customHeight="1">
      <c r="A46" s="1817"/>
      <c r="B46" s="278"/>
      <c r="C46" s="1812"/>
      <c r="D46" s="1812"/>
      <c r="E46" s="1813"/>
      <c r="F46" s="1814"/>
      <c r="G46" s="2646"/>
      <c r="H46" s="2647"/>
      <c r="I46" s="2649"/>
      <c r="J46" s="2648"/>
      <c r="K46" s="2646"/>
      <c r="L46" s="2647"/>
      <c r="M46" s="1174"/>
    </row>
    <row r="47" spans="1:15" ht="11.25" customHeight="1">
      <c r="A47" s="1817"/>
      <c r="B47" s="278"/>
      <c r="C47" s="1812"/>
      <c r="D47" s="1812"/>
      <c r="E47" s="1813"/>
      <c r="F47" s="1814"/>
      <c r="G47" s="2646"/>
      <c r="H47" s="2647"/>
      <c r="I47" s="2649"/>
      <c r="J47" s="2648"/>
      <c r="K47" s="2646"/>
      <c r="L47" s="2647"/>
      <c r="M47" s="1174"/>
    </row>
    <row r="48" spans="1:15" ht="11.25" customHeight="1">
      <c r="A48" s="1817"/>
      <c r="B48" s="278"/>
      <c r="C48" s="1812"/>
      <c r="D48" s="1812"/>
      <c r="E48" s="1813"/>
      <c r="F48" s="1814"/>
      <c r="G48" s="2646"/>
      <c r="H48" s="2647"/>
      <c r="I48" s="2649"/>
      <c r="J48" s="2648"/>
      <c r="K48" s="2646"/>
      <c r="L48" s="2647"/>
      <c r="M48" s="1174"/>
    </row>
    <row r="49" spans="1:13" ht="11.25" customHeight="1">
      <c r="A49" s="1817"/>
      <c r="B49" s="278"/>
      <c r="C49" s="1812"/>
      <c r="D49" s="1812"/>
      <c r="E49" s="1813"/>
      <c r="F49" s="1814"/>
      <c r="G49" s="2646"/>
      <c r="H49" s="2647"/>
      <c r="I49" s="2649"/>
      <c r="J49" s="2648"/>
      <c r="K49" s="2646"/>
      <c r="L49" s="2647"/>
      <c r="M49" s="1174"/>
    </row>
    <row r="50" spans="1:13" ht="11.25" customHeight="1">
      <c r="A50" s="1816" t="s">
        <v>2180</v>
      </c>
      <c r="B50" s="976"/>
      <c r="C50" s="973">
        <f>SUM(C51:C60)</f>
        <v>0</v>
      </c>
      <c r="D50" s="973">
        <f t="shared" ref="D50:F50" si="4">SUM(D51:D60)</f>
        <v>0</v>
      </c>
      <c r="E50" s="974">
        <f t="shared" si="4"/>
        <v>0</v>
      </c>
      <c r="F50" s="975">
        <f t="shared" si="4"/>
        <v>0</v>
      </c>
      <c r="G50" s="2624">
        <v>0</v>
      </c>
      <c r="H50" s="2625">
        <v>0</v>
      </c>
      <c r="I50" s="2627">
        <v>0</v>
      </c>
      <c r="J50" s="2626">
        <v>0</v>
      </c>
      <c r="K50" s="2624">
        <v>0</v>
      </c>
      <c r="L50" s="2625">
        <v>0</v>
      </c>
      <c r="M50" s="1174"/>
    </row>
    <row r="51" spans="1:13" ht="11.25" customHeight="1">
      <c r="A51" s="1817" t="s">
        <v>2155</v>
      </c>
      <c r="B51" s="278"/>
      <c r="C51" s="1812">
        <v>0</v>
      </c>
      <c r="D51" s="1812">
        <v>0</v>
      </c>
      <c r="E51" s="1820">
        <f>SUMIFS('SA36'!I:I,'SA36'!$A:$A,A5A!$A51,'SA36'!$Q:$Q,"M")</f>
        <v>0</v>
      </c>
      <c r="F51" s="1814">
        <f>SUMIFS('SA36'!P:P,'SA36'!$A:$A,A5A!$A51,'SA36'!$Q:$Q,"M")</f>
        <v>0</v>
      </c>
      <c r="G51" s="2646">
        <v>0</v>
      </c>
      <c r="H51" s="2647">
        <v>0</v>
      </c>
      <c r="I51" s="2649">
        <v>0</v>
      </c>
      <c r="J51" s="2648">
        <v>0</v>
      </c>
      <c r="K51" s="2646">
        <v>0</v>
      </c>
      <c r="L51" s="2647">
        <v>0</v>
      </c>
      <c r="M51" s="1174"/>
    </row>
    <row r="52" spans="1:13" ht="11.25" customHeight="1">
      <c r="A52" s="1817" t="s">
        <v>2156</v>
      </c>
      <c r="B52" s="278"/>
      <c r="C52" s="1812">
        <v>0</v>
      </c>
      <c r="D52" s="1812">
        <v>0</v>
      </c>
      <c r="E52" s="1820">
        <f>SUMIFS('SA36'!I:I,'SA36'!$A:$A,A5A!$A52,'SA36'!$Q:$Q,"M")</f>
        <v>0</v>
      </c>
      <c r="F52" s="1814">
        <f>SUMIFS('SA36'!P:P,'SA36'!$A:$A,A5A!$A52,'SA36'!$Q:$Q,"M")</f>
        <v>0</v>
      </c>
      <c r="G52" s="2646">
        <v>0</v>
      </c>
      <c r="H52" s="2647">
        <v>0</v>
      </c>
      <c r="I52" s="2649">
        <v>0</v>
      </c>
      <c r="J52" s="2648">
        <v>0</v>
      </c>
      <c r="K52" s="2646">
        <v>0</v>
      </c>
      <c r="L52" s="2647">
        <v>0</v>
      </c>
      <c r="M52" s="1174"/>
    </row>
    <row r="53" spans="1:13" ht="11.25" customHeight="1">
      <c r="A53" s="1817" t="s">
        <v>2157</v>
      </c>
      <c r="B53" s="278"/>
      <c r="C53" s="1812">
        <v>0</v>
      </c>
      <c r="D53" s="1812">
        <v>0</v>
      </c>
      <c r="E53" s="1820">
        <f>SUMIFS('SA36'!I:I,'SA36'!$A:$A,A5A!$A53,'SA36'!$Q:$Q,"M")</f>
        <v>0</v>
      </c>
      <c r="F53" s="1814">
        <f>SUMIFS('SA36'!P:P,'SA36'!$A:$A,A5A!$A53,'SA36'!$Q:$Q,"M")</f>
        <v>0</v>
      </c>
      <c r="G53" s="2646">
        <v>0</v>
      </c>
      <c r="H53" s="2647">
        <v>0</v>
      </c>
      <c r="I53" s="2649">
        <v>0</v>
      </c>
      <c r="J53" s="2648">
        <v>0</v>
      </c>
      <c r="K53" s="2646">
        <v>0</v>
      </c>
      <c r="L53" s="2647">
        <v>0</v>
      </c>
      <c r="M53" s="1174"/>
    </row>
    <row r="54" spans="1:13" ht="11.25" customHeight="1">
      <c r="A54" s="1817" t="s">
        <v>2158</v>
      </c>
      <c r="B54" s="278"/>
      <c r="C54" s="1812">
        <v>0</v>
      </c>
      <c r="D54" s="1812">
        <v>0</v>
      </c>
      <c r="E54" s="1820">
        <f>SUMIFS('SA36'!I:I,'SA36'!$A:$A,A5A!$A54,'SA36'!$Q:$Q,"M")</f>
        <v>0</v>
      </c>
      <c r="F54" s="1814">
        <f>SUMIFS('SA36'!P:P,'SA36'!$A:$A,A5A!$A54,'SA36'!$Q:$Q,"M")</f>
        <v>0</v>
      </c>
      <c r="G54" s="2646">
        <v>0</v>
      </c>
      <c r="H54" s="2647">
        <v>0</v>
      </c>
      <c r="I54" s="2649">
        <v>0</v>
      </c>
      <c r="J54" s="2648">
        <v>0</v>
      </c>
      <c r="K54" s="2646">
        <v>0</v>
      </c>
      <c r="L54" s="2647">
        <v>0</v>
      </c>
      <c r="M54" s="1174"/>
    </row>
    <row r="55" spans="1:13" ht="11.25" customHeight="1">
      <c r="A55" s="1817" t="s">
        <v>2159</v>
      </c>
      <c r="B55" s="278"/>
      <c r="C55" s="1812">
        <v>0</v>
      </c>
      <c r="D55" s="1812">
        <v>0</v>
      </c>
      <c r="E55" s="1820">
        <f>SUMIFS('SA36'!I:I,'SA36'!$A:$A,A5A!$A55,'SA36'!$Q:$Q,"M")</f>
        <v>0</v>
      </c>
      <c r="F55" s="1814">
        <f>SUMIFS('SA36'!P:P,'SA36'!$A:$A,A5A!$A55,'SA36'!$Q:$Q,"M")</f>
        <v>0</v>
      </c>
      <c r="G55" s="2646">
        <v>0</v>
      </c>
      <c r="H55" s="2647">
        <v>0</v>
      </c>
      <c r="I55" s="2649">
        <v>0</v>
      </c>
      <c r="J55" s="2648">
        <v>0</v>
      </c>
      <c r="K55" s="2646">
        <v>0</v>
      </c>
      <c r="L55" s="2647">
        <v>0</v>
      </c>
      <c r="M55" s="1174"/>
    </row>
    <row r="56" spans="1:13" ht="11.25" customHeight="1">
      <c r="A56" s="1817"/>
      <c r="B56" s="278"/>
      <c r="C56" s="1812"/>
      <c r="D56" s="1812"/>
      <c r="E56" s="1813"/>
      <c r="F56" s="1814"/>
      <c r="G56" s="2646"/>
      <c r="H56" s="2647"/>
      <c r="I56" s="2649"/>
      <c r="J56" s="2648"/>
      <c r="K56" s="2646"/>
      <c r="L56" s="2647"/>
      <c r="M56" s="1174"/>
    </row>
    <row r="57" spans="1:13" ht="11.25" customHeight="1">
      <c r="A57" s="1817"/>
      <c r="B57" s="278"/>
      <c r="C57" s="1812"/>
      <c r="D57" s="1812"/>
      <c r="E57" s="1813"/>
      <c r="F57" s="1814"/>
      <c r="G57" s="2646"/>
      <c r="H57" s="2647"/>
      <c r="I57" s="2649"/>
      <c r="J57" s="2648"/>
      <c r="K57" s="2646"/>
      <c r="L57" s="2647"/>
      <c r="M57" s="1174"/>
    </row>
    <row r="58" spans="1:13" ht="11.25" customHeight="1">
      <c r="A58" s="1817"/>
      <c r="B58" s="278"/>
      <c r="C58" s="1812"/>
      <c r="D58" s="1812"/>
      <c r="E58" s="1813"/>
      <c r="F58" s="1814"/>
      <c r="G58" s="2646"/>
      <c r="H58" s="2647"/>
      <c r="I58" s="2649"/>
      <c r="J58" s="2648"/>
      <c r="K58" s="2646"/>
      <c r="L58" s="2647"/>
      <c r="M58" s="1174"/>
    </row>
    <row r="59" spans="1:13" ht="11.25" customHeight="1">
      <c r="A59" s="1817"/>
      <c r="B59" s="278"/>
      <c r="C59" s="1812"/>
      <c r="D59" s="1812"/>
      <c r="E59" s="1813"/>
      <c r="F59" s="1814"/>
      <c r="G59" s="2646"/>
      <c r="H59" s="2647"/>
      <c r="I59" s="2649"/>
      <c r="J59" s="2648"/>
      <c r="K59" s="2646"/>
      <c r="L59" s="2647"/>
      <c r="M59" s="1174"/>
    </row>
    <row r="60" spans="1:13" ht="11.25" customHeight="1">
      <c r="A60" s="1817"/>
      <c r="B60" s="278"/>
      <c r="C60" s="1812"/>
      <c r="D60" s="1812"/>
      <c r="E60" s="1813"/>
      <c r="F60" s="1814"/>
      <c r="G60" s="2646"/>
      <c r="H60" s="2647"/>
      <c r="I60" s="2649"/>
      <c r="J60" s="2648"/>
      <c r="K60" s="2646"/>
      <c r="L60" s="2647"/>
      <c r="M60" s="1174"/>
    </row>
    <row r="61" spans="1:13" ht="11.25" customHeight="1">
      <c r="A61" s="1816" t="s">
        <v>2181</v>
      </c>
      <c r="B61" s="976"/>
      <c r="C61" s="973">
        <f>SUM(C62:C71)</f>
        <v>0</v>
      </c>
      <c r="D61" s="973">
        <f t="shared" ref="D61:F61" si="5">SUM(D62:D71)</f>
        <v>0</v>
      </c>
      <c r="E61" s="974">
        <f t="shared" si="5"/>
        <v>0</v>
      </c>
      <c r="F61" s="975">
        <f t="shared" si="5"/>
        <v>0</v>
      </c>
      <c r="G61" s="2624">
        <v>0</v>
      </c>
      <c r="H61" s="2625">
        <v>0</v>
      </c>
      <c r="I61" s="2627">
        <v>0</v>
      </c>
      <c r="J61" s="2626">
        <v>0</v>
      </c>
      <c r="K61" s="2624">
        <v>0</v>
      </c>
      <c r="L61" s="2625">
        <v>0</v>
      </c>
      <c r="M61" s="1174"/>
    </row>
    <row r="62" spans="1:13" ht="11.25" customHeight="1">
      <c r="A62" s="1817" t="s">
        <v>2132</v>
      </c>
      <c r="B62" s="278"/>
      <c r="C62" s="1812">
        <v>0</v>
      </c>
      <c r="D62" s="1812">
        <v>0</v>
      </c>
      <c r="E62" s="1820">
        <f>SUMIFS('SA36'!I:I,'SA36'!$A:$A,A5A!$A62,'SA36'!$Q:$Q,"M")</f>
        <v>0</v>
      </c>
      <c r="F62" s="1814">
        <f>SUMIFS('SA36'!P:P,'SA36'!$A:$A,A5A!$A62,'SA36'!$Q:$Q,"M")</f>
        <v>0</v>
      </c>
      <c r="G62" s="2646">
        <v>0</v>
      </c>
      <c r="H62" s="2647">
        <v>0</v>
      </c>
      <c r="I62" s="2649">
        <v>0</v>
      </c>
      <c r="J62" s="2648">
        <v>0</v>
      </c>
      <c r="K62" s="2646">
        <v>0</v>
      </c>
      <c r="L62" s="2647">
        <v>0</v>
      </c>
      <c r="M62" s="1174"/>
    </row>
    <row r="63" spans="1:13" ht="11.25" customHeight="1">
      <c r="A63" s="1817" t="s">
        <v>2134</v>
      </c>
      <c r="B63" s="278"/>
      <c r="C63" s="1812">
        <v>0</v>
      </c>
      <c r="D63" s="1812">
        <v>0</v>
      </c>
      <c r="E63" s="1820">
        <f>SUMIFS('SA36'!I:I,'SA36'!$A:$A,A5A!$A63,'SA36'!$Q:$Q,"M")</f>
        <v>0</v>
      </c>
      <c r="F63" s="1814">
        <f>SUMIFS('SA36'!P:P,'SA36'!$A:$A,A5A!$A63,'SA36'!$Q:$Q,"M")</f>
        <v>0</v>
      </c>
      <c r="G63" s="2646">
        <v>0</v>
      </c>
      <c r="H63" s="2647">
        <v>0</v>
      </c>
      <c r="I63" s="2649">
        <v>0</v>
      </c>
      <c r="J63" s="2648">
        <v>0</v>
      </c>
      <c r="K63" s="2646">
        <v>0</v>
      </c>
      <c r="L63" s="2647">
        <v>0</v>
      </c>
      <c r="M63" s="1174"/>
    </row>
    <row r="64" spans="1:13" ht="11.25" customHeight="1">
      <c r="A64" s="1817"/>
      <c r="B64" s="278"/>
      <c r="C64" s="1812"/>
      <c r="D64" s="1812"/>
      <c r="E64" s="1813"/>
      <c r="F64" s="1814"/>
      <c r="G64" s="2646"/>
      <c r="H64" s="2647"/>
      <c r="I64" s="2649"/>
      <c r="J64" s="2648"/>
      <c r="K64" s="2646"/>
      <c r="L64" s="2647"/>
      <c r="M64" s="1174"/>
    </row>
    <row r="65" spans="1:13" ht="11.25" customHeight="1">
      <c r="A65" s="1817"/>
      <c r="B65" s="278"/>
      <c r="C65" s="1812"/>
      <c r="D65" s="1812"/>
      <c r="E65" s="1813"/>
      <c r="F65" s="1814"/>
      <c r="G65" s="2646"/>
      <c r="H65" s="2647"/>
      <c r="I65" s="2649"/>
      <c r="J65" s="2648"/>
      <c r="K65" s="2646"/>
      <c r="L65" s="2647"/>
      <c r="M65" s="1174"/>
    </row>
    <row r="66" spans="1:13" ht="11.25" customHeight="1">
      <c r="A66" s="1817"/>
      <c r="B66" s="278"/>
      <c r="C66" s="1812"/>
      <c r="D66" s="1812"/>
      <c r="E66" s="1813"/>
      <c r="F66" s="1814"/>
      <c r="G66" s="2646"/>
      <c r="H66" s="2647"/>
      <c r="I66" s="2649"/>
      <c r="J66" s="2648"/>
      <c r="K66" s="2646"/>
      <c r="L66" s="2647"/>
      <c r="M66" s="1174"/>
    </row>
    <row r="67" spans="1:13" ht="11.25" customHeight="1">
      <c r="A67" s="1817"/>
      <c r="B67" s="278"/>
      <c r="C67" s="1812"/>
      <c r="D67" s="1812"/>
      <c r="E67" s="1813"/>
      <c r="F67" s="1814"/>
      <c r="G67" s="2646"/>
      <c r="H67" s="2647"/>
      <c r="I67" s="2649"/>
      <c r="J67" s="2648"/>
      <c r="K67" s="2646"/>
      <c r="L67" s="2647"/>
      <c r="M67" s="1174"/>
    </row>
    <row r="68" spans="1:13" ht="11.25" customHeight="1">
      <c r="A68" s="1817"/>
      <c r="B68" s="278"/>
      <c r="C68" s="1812"/>
      <c r="D68" s="1812"/>
      <c r="E68" s="1813"/>
      <c r="F68" s="1814"/>
      <c r="G68" s="2646"/>
      <c r="H68" s="2647"/>
      <c r="I68" s="2649"/>
      <c r="J68" s="2648"/>
      <c r="K68" s="2646"/>
      <c r="L68" s="2647"/>
      <c r="M68" s="1174"/>
    </row>
    <row r="69" spans="1:13" ht="11.25" customHeight="1">
      <c r="A69" s="1817"/>
      <c r="B69" s="278"/>
      <c r="C69" s="1812"/>
      <c r="D69" s="1812"/>
      <c r="E69" s="1813"/>
      <c r="F69" s="1814"/>
      <c r="G69" s="2646"/>
      <c r="H69" s="2647"/>
      <c r="I69" s="2649"/>
      <c r="J69" s="2648"/>
      <c r="K69" s="2646"/>
      <c r="L69" s="2647"/>
      <c r="M69" s="1174"/>
    </row>
    <row r="70" spans="1:13" ht="11.25" customHeight="1">
      <c r="A70" s="1817"/>
      <c r="B70" s="278"/>
      <c r="C70" s="1812"/>
      <c r="D70" s="1812"/>
      <c r="E70" s="1813"/>
      <c r="F70" s="1814"/>
      <c r="G70" s="2646"/>
      <c r="H70" s="2647"/>
      <c r="I70" s="2649"/>
      <c r="J70" s="2648"/>
      <c r="K70" s="2646"/>
      <c r="L70" s="2647"/>
      <c r="M70" s="1174"/>
    </row>
    <row r="71" spans="1:13" ht="11.25" customHeight="1">
      <c r="A71" s="1817"/>
      <c r="B71" s="278"/>
      <c r="C71" s="1812"/>
      <c r="D71" s="1812"/>
      <c r="E71" s="1813"/>
      <c r="F71" s="1814"/>
      <c r="G71" s="2646"/>
      <c r="H71" s="2647"/>
      <c r="I71" s="2649"/>
      <c r="J71" s="2648"/>
      <c r="K71" s="2646"/>
      <c r="L71" s="2647"/>
      <c r="M71" s="1174"/>
    </row>
    <row r="72" spans="1:13" ht="11.25" customHeight="1">
      <c r="A72" s="1816" t="s">
        <v>2182</v>
      </c>
      <c r="B72" s="976"/>
      <c r="C72" s="973">
        <f t="shared" ref="C72:F72" si="6">SUM(C73:C82)</f>
        <v>0</v>
      </c>
      <c r="D72" s="973">
        <f t="shared" si="6"/>
        <v>0</v>
      </c>
      <c r="E72" s="974">
        <f t="shared" si="6"/>
        <v>0</v>
      </c>
      <c r="F72" s="975">
        <f t="shared" si="6"/>
        <v>0</v>
      </c>
      <c r="G72" s="2624">
        <v>0</v>
      </c>
      <c r="H72" s="2625">
        <v>0</v>
      </c>
      <c r="I72" s="2627">
        <v>0</v>
      </c>
      <c r="J72" s="2626">
        <v>0</v>
      </c>
      <c r="K72" s="2624">
        <v>0</v>
      </c>
      <c r="L72" s="2625">
        <v>0</v>
      </c>
      <c r="M72" s="1174"/>
    </row>
    <row r="73" spans="1:13" ht="11.25" customHeight="1">
      <c r="A73" s="1817" t="s">
        <v>2161</v>
      </c>
      <c r="B73" s="278"/>
      <c r="C73" s="1812">
        <v>0</v>
      </c>
      <c r="D73" s="1812">
        <v>0</v>
      </c>
      <c r="E73" s="1820">
        <f>SUMIFS('SA36'!I:I,'SA36'!$A:$A,A5A!$A73,'SA36'!$Q:$Q,"M")</f>
        <v>0</v>
      </c>
      <c r="F73" s="1814">
        <f>SUMIFS('SA36'!P:P,'SA36'!$A:$A,A5A!$A73,'SA36'!$Q:$Q,"M")</f>
        <v>0</v>
      </c>
      <c r="G73" s="2646">
        <v>0</v>
      </c>
      <c r="H73" s="2647">
        <v>0</v>
      </c>
      <c r="I73" s="2649">
        <v>0</v>
      </c>
      <c r="J73" s="2648">
        <v>0</v>
      </c>
      <c r="K73" s="2646">
        <v>0</v>
      </c>
      <c r="L73" s="2647">
        <v>0</v>
      </c>
      <c r="M73" s="1174"/>
    </row>
    <row r="74" spans="1:13" ht="11.25" customHeight="1">
      <c r="A74" s="1817" t="s">
        <v>2164</v>
      </c>
      <c r="B74" s="278"/>
      <c r="C74" s="1812">
        <v>0</v>
      </c>
      <c r="D74" s="1812">
        <v>0</v>
      </c>
      <c r="E74" s="1820">
        <f>SUMIFS('SA36'!I:I,'SA36'!$A:$A,A5A!$A74,'SA36'!$Q:$Q,"M")</f>
        <v>0</v>
      </c>
      <c r="F74" s="1814">
        <f>SUMIFS('SA36'!P:P,'SA36'!$A:$A,A5A!$A74,'SA36'!$Q:$Q,"M")</f>
        <v>0</v>
      </c>
      <c r="G74" s="2646">
        <v>0</v>
      </c>
      <c r="H74" s="2647">
        <v>0</v>
      </c>
      <c r="I74" s="2649">
        <v>0</v>
      </c>
      <c r="J74" s="2648">
        <v>0</v>
      </c>
      <c r="K74" s="2646">
        <v>0</v>
      </c>
      <c r="L74" s="2647">
        <v>0</v>
      </c>
      <c r="M74" s="1174"/>
    </row>
    <row r="75" spans="1:13" ht="11.25" customHeight="1">
      <c r="A75" s="1817"/>
      <c r="B75" s="278"/>
      <c r="C75" s="1812"/>
      <c r="D75" s="1812">
        <v>0</v>
      </c>
      <c r="E75" s="1813"/>
      <c r="F75" s="1814"/>
      <c r="G75" s="2646"/>
      <c r="H75" s="2647"/>
      <c r="I75" s="2649"/>
      <c r="J75" s="2648"/>
      <c r="K75" s="2646"/>
      <c r="L75" s="2647"/>
      <c r="M75" s="1174"/>
    </row>
    <row r="76" spans="1:13" ht="11.25" customHeight="1">
      <c r="A76" s="1817"/>
      <c r="B76" s="278"/>
      <c r="C76" s="1812"/>
      <c r="D76" s="1812"/>
      <c r="E76" s="1813"/>
      <c r="F76" s="1814"/>
      <c r="G76" s="2646"/>
      <c r="H76" s="2647"/>
      <c r="I76" s="2649"/>
      <c r="J76" s="2648"/>
      <c r="K76" s="2646"/>
      <c r="L76" s="2647"/>
      <c r="M76" s="1174"/>
    </row>
    <row r="77" spans="1:13" ht="11.25" customHeight="1">
      <c r="A77" s="1817"/>
      <c r="B77" s="278"/>
      <c r="C77" s="1812"/>
      <c r="D77" s="1812"/>
      <c r="E77" s="1813"/>
      <c r="F77" s="1814"/>
      <c r="G77" s="2646"/>
      <c r="H77" s="2647"/>
      <c r="I77" s="2649"/>
      <c r="J77" s="2648"/>
      <c r="K77" s="2646"/>
      <c r="L77" s="2647"/>
      <c r="M77" s="1174"/>
    </row>
    <row r="78" spans="1:13" ht="11.25" customHeight="1">
      <c r="A78" s="1817"/>
      <c r="B78" s="278"/>
      <c r="C78" s="1812"/>
      <c r="D78" s="1812"/>
      <c r="E78" s="1813"/>
      <c r="F78" s="1814"/>
      <c r="G78" s="2646"/>
      <c r="H78" s="2647"/>
      <c r="I78" s="2649"/>
      <c r="J78" s="2648"/>
      <c r="K78" s="2646"/>
      <c r="L78" s="2647"/>
      <c r="M78" s="1174"/>
    </row>
    <row r="79" spans="1:13" ht="11.25" customHeight="1">
      <c r="A79" s="1817"/>
      <c r="B79" s="278"/>
      <c r="C79" s="1812"/>
      <c r="D79" s="1812"/>
      <c r="E79" s="1813"/>
      <c r="F79" s="1814"/>
      <c r="G79" s="2646"/>
      <c r="H79" s="2647"/>
      <c r="I79" s="2649"/>
      <c r="J79" s="2648"/>
      <c r="K79" s="2646"/>
      <c r="L79" s="2647"/>
      <c r="M79" s="1174"/>
    </row>
    <row r="80" spans="1:13" ht="11.25" customHeight="1">
      <c r="A80" s="1817"/>
      <c r="B80" s="278"/>
      <c r="C80" s="1812"/>
      <c r="D80" s="1812"/>
      <c r="E80" s="1813"/>
      <c r="F80" s="1814"/>
      <c r="G80" s="2646"/>
      <c r="H80" s="2647"/>
      <c r="I80" s="2649"/>
      <c r="J80" s="2648"/>
      <c r="K80" s="2646"/>
      <c r="L80" s="2647"/>
      <c r="M80" s="1174"/>
    </row>
    <row r="81" spans="1:13" ht="11.25" customHeight="1">
      <c r="A81" s="1817"/>
      <c r="B81" s="278"/>
      <c r="C81" s="1812"/>
      <c r="D81" s="1812"/>
      <c r="E81" s="1813"/>
      <c r="F81" s="1814"/>
      <c r="G81" s="2646"/>
      <c r="H81" s="2647"/>
      <c r="I81" s="2649"/>
      <c r="J81" s="2648"/>
      <c r="K81" s="2646"/>
      <c r="L81" s="2647"/>
      <c r="M81" s="1174"/>
    </row>
    <row r="82" spans="1:13" ht="11.25" customHeight="1">
      <c r="A82" s="1817"/>
      <c r="B82" s="278"/>
      <c r="C82" s="1812"/>
      <c r="D82" s="1812"/>
      <c r="E82" s="1813"/>
      <c r="F82" s="1814"/>
      <c r="G82" s="2646"/>
      <c r="H82" s="2647"/>
      <c r="I82" s="2649"/>
      <c r="J82" s="2648"/>
      <c r="K82" s="2646"/>
      <c r="L82" s="2647"/>
      <c r="M82" s="1174"/>
    </row>
    <row r="83" spans="1:13" ht="11.25" customHeight="1">
      <c r="A83" s="1816" t="s">
        <v>2183</v>
      </c>
      <c r="B83" s="278"/>
      <c r="C83" s="973">
        <f t="shared" ref="C83:F83" si="7">SUM(C84:C93)</f>
        <v>0</v>
      </c>
      <c r="D83" s="973">
        <f t="shared" si="7"/>
        <v>0</v>
      </c>
      <c r="E83" s="974">
        <f t="shared" si="7"/>
        <v>0</v>
      </c>
      <c r="F83" s="975">
        <f t="shared" si="7"/>
        <v>0</v>
      </c>
      <c r="G83" s="2624">
        <v>0</v>
      </c>
      <c r="H83" s="2625">
        <v>0</v>
      </c>
      <c r="I83" s="2627">
        <v>0</v>
      </c>
      <c r="J83" s="2626">
        <v>0</v>
      </c>
      <c r="K83" s="2624">
        <v>0</v>
      </c>
      <c r="L83" s="2625">
        <v>0</v>
      </c>
      <c r="M83" s="301"/>
    </row>
    <row r="84" spans="1:13" ht="11.25" customHeight="1">
      <c r="A84" s="1817" t="s">
        <v>684</v>
      </c>
      <c r="B84" s="278"/>
      <c r="C84" s="1812">
        <v>0</v>
      </c>
      <c r="D84" s="1812">
        <v>0</v>
      </c>
      <c r="E84" s="1820">
        <f>SUMIFS('SA36'!I:I,'SA36'!$A:$A,A5A!$A84,'SA36'!$Q:$Q,"M")</f>
        <v>0</v>
      </c>
      <c r="F84" s="1814">
        <f>SUMIFS('SA36'!P:P,'SA36'!$A:$A,A5A!$A84,'SA36'!$Q:$Q,"M")</f>
        <v>0</v>
      </c>
      <c r="G84" s="2646">
        <v>0</v>
      </c>
      <c r="H84" s="2647">
        <v>0</v>
      </c>
      <c r="I84" s="2649">
        <v>0</v>
      </c>
      <c r="J84" s="2648">
        <v>0</v>
      </c>
      <c r="K84" s="2646">
        <v>0</v>
      </c>
      <c r="L84" s="2647">
        <v>0</v>
      </c>
      <c r="M84" s="301"/>
    </row>
    <row r="85" spans="1:13" ht="11.25" customHeight="1">
      <c r="A85" s="1817"/>
      <c r="B85" s="278"/>
      <c r="C85" s="1812"/>
      <c r="D85" s="1812"/>
      <c r="E85" s="1815"/>
      <c r="F85" s="1814"/>
      <c r="G85" s="2646"/>
      <c r="H85" s="2647"/>
      <c r="I85" s="2649"/>
      <c r="J85" s="2648"/>
      <c r="K85" s="2646"/>
      <c r="L85" s="2647"/>
      <c r="M85" s="301"/>
    </row>
    <row r="86" spans="1:13" ht="11.25" customHeight="1">
      <c r="A86" s="1817"/>
      <c r="B86" s="278"/>
      <c r="C86" s="1812"/>
      <c r="D86" s="1812"/>
      <c r="E86" s="1815"/>
      <c r="F86" s="1814"/>
      <c r="G86" s="2646"/>
      <c r="H86" s="2647"/>
      <c r="I86" s="2649"/>
      <c r="J86" s="2648"/>
      <c r="K86" s="2646"/>
      <c r="L86" s="2647"/>
      <c r="M86" s="301"/>
    </row>
    <row r="87" spans="1:13" ht="11.25" customHeight="1">
      <c r="A87" s="1817"/>
      <c r="B87" s="278"/>
      <c r="C87" s="1812"/>
      <c r="D87" s="1812"/>
      <c r="E87" s="1815"/>
      <c r="F87" s="1814"/>
      <c r="G87" s="2646"/>
      <c r="H87" s="2647"/>
      <c r="I87" s="2649"/>
      <c r="J87" s="2648"/>
      <c r="K87" s="2646"/>
      <c r="L87" s="2647"/>
      <c r="M87" s="301"/>
    </row>
    <row r="88" spans="1:13" ht="11.25" customHeight="1">
      <c r="A88" s="1817"/>
      <c r="B88" s="278"/>
      <c r="C88" s="1812"/>
      <c r="D88" s="1812"/>
      <c r="E88" s="1815"/>
      <c r="F88" s="1814"/>
      <c r="G88" s="2646"/>
      <c r="H88" s="2647"/>
      <c r="I88" s="2649"/>
      <c r="J88" s="2648"/>
      <c r="K88" s="2646"/>
      <c r="L88" s="2647"/>
      <c r="M88" s="301"/>
    </row>
    <row r="89" spans="1:13" ht="11.25" customHeight="1">
      <c r="A89" s="1817"/>
      <c r="B89" s="278"/>
      <c r="C89" s="1812"/>
      <c r="D89" s="1812"/>
      <c r="E89" s="1815"/>
      <c r="F89" s="1814"/>
      <c r="G89" s="2646"/>
      <c r="H89" s="2647"/>
      <c r="I89" s="2649"/>
      <c r="J89" s="2648"/>
      <c r="K89" s="2646"/>
      <c r="L89" s="2647"/>
      <c r="M89" s="301"/>
    </row>
    <row r="90" spans="1:13" ht="11.25" customHeight="1">
      <c r="A90" s="1817"/>
      <c r="B90" s="278"/>
      <c r="C90" s="1812"/>
      <c r="D90" s="1812"/>
      <c r="E90" s="1815"/>
      <c r="F90" s="1814"/>
      <c r="G90" s="2646"/>
      <c r="H90" s="2647"/>
      <c r="I90" s="2649"/>
      <c r="J90" s="2648"/>
      <c r="K90" s="2646"/>
      <c r="L90" s="2647"/>
      <c r="M90" s="301"/>
    </row>
    <row r="91" spans="1:13" ht="11.25" customHeight="1">
      <c r="A91" s="1817"/>
      <c r="B91" s="278"/>
      <c r="C91" s="1812"/>
      <c r="D91" s="1812"/>
      <c r="E91" s="1815"/>
      <c r="F91" s="1814"/>
      <c r="G91" s="2646"/>
      <c r="H91" s="2647"/>
      <c r="I91" s="2649"/>
      <c r="J91" s="2648"/>
      <c r="K91" s="2646"/>
      <c r="L91" s="2647"/>
      <c r="M91" s="301"/>
    </row>
    <row r="92" spans="1:13" ht="11.25" customHeight="1">
      <c r="A92" s="1817"/>
      <c r="B92" s="278"/>
      <c r="C92" s="1812"/>
      <c r="D92" s="1812"/>
      <c r="E92" s="1815"/>
      <c r="F92" s="1814"/>
      <c r="G92" s="2646"/>
      <c r="H92" s="2647"/>
      <c r="I92" s="2649"/>
      <c r="J92" s="2648"/>
      <c r="K92" s="2646"/>
      <c r="L92" s="2647"/>
      <c r="M92" s="301"/>
    </row>
    <row r="93" spans="1:13" ht="11.25" customHeight="1">
      <c r="A93" s="1817"/>
      <c r="B93" s="278"/>
      <c r="C93" s="1812"/>
      <c r="D93" s="1812"/>
      <c r="E93" s="1815"/>
      <c r="F93" s="1814"/>
      <c r="G93" s="2646"/>
      <c r="H93" s="2647"/>
      <c r="I93" s="2649"/>
      <c r="J93" s="2648"/>
      <c r="K93" s="2646"/>
      <c r="L93" s="2647"/>
      <c r="M93" s="301"/>
    </row>
    <row r="94" spans="1:13" ht="11.25" customHeight="1">
      <c r="A94" s="1816" t="s">
        <v>2185</v>
      </c>
      <c r="B94" s="278"/>
      <c r="C94" s="973">
        <f>SUM(C95:C104)</f>
        <v>0</v>
      </c>
      <c r="D94" s="973">
        <f t="shared" ref="D94:F94" si="8">SUM(D95:D104)</f>
        <v>0</v>
      </c>
      <c r="E94" s="974">
        <f t="shared" si="8"/>
        <v>0</v>
      </c>
      <c r="F94" s="975">
        <f t="shared" si="8"/>
        <v>0</v>
      </c>
      <c r="G94" s="2624">
        <v>0</v>
      </c>
      <c r="H94" s="2625">
        <v>0</v>
      </c>
      <c r="I94" s="2627">
        <v>0</v>
      </c>
      <c r="J94" s="2626">
        <v>0</v>
      </c>
      <c r="K94" s="2624">
        <v>0</v>
      </c>
      <c r="L94" s="2625">
        <v>0</v>
      </c>
      <c r="M94" s="301"/>
    </row>
    <row r="95" spans="1:13" ht="11.25" customHeight="1">
      <c r="A95" s="1817" t="s">
        <v>1018</v>
      </c>
      <c r="B95" s="278"/>
      <c r="C95" s="1812">
        <v>0</v>
      </c>
      <c r="D95" s="1812">
        <v>0</v>
      </c>
      <c r="E95" s="1820">
        <f>SUMIFS('SA36'!I:I,'SA36'!$A:$A,A5A!$A95,'SA36'!$Q:$Q,"M")</f>
        <v>0</v>
      </c>
      <c r="F95" s="1814">
        <f>SUMIFS('SA36'!P:P,'SA36'!$A:$A,A5A!$A95,'SA36'!$Q:$Q,"M")</f>
        <v>0</v>
      </c>
      <c r="G95" s="2646">
        <v>0</v>
      </c>
      <c r="H95" s="2647">
        <v>0</v>
      </c>
      <c r="I95" s="2649">
        <v>0</v>
      </c>
      <c r="J95" s="2648">
        <v>0</v>
      </c>
      <c r="K95" s="2646">
        <v>0</v>
      </c>
      <c r="L95" s="2647">
        <v>0</v>
      </c>
      <c r="M95" s="301"/>
    </row>
    <row r="96" spans="1:13" ht="11.25" customHeight="1">
      <c r="A96" s="1817"/>
      <c r="B96" s="278"/>
      <c r="C96" s="1812"/>
      <c r="D96" s="1812"/>
      <c r="E96" s="1815"/>
      <c r="F96" s="1814"/>
      <c r="G96" s="2646"/>
      <c r="H96" s="2647"/>
      <c r="I96" s="2649"/>
      <c r="J96" s="2648"/>
      <c r="K96" s="2646"/>
      <c r="L96" s="2647"/>
      <c r="M96" s="301"/>
    </row>
    <row r="97" spans="1:13" ht="11.25" customHeight="1">
      <c r="A97" s="1817"/>
      <c r="B97" s="278"/>
      <c r="C97" s="1812"/>
      <c r="D97" s="1812"/>
      <c r="E97" s="1815"/>
      <c r="F97" s="1814"/>
      <c r="G97" s="2646"/>
      <c r="H97" s="2647"/>
      <c r="I97" s="2649"/>
      <c r="J97" s="2648"/>
      <c r="K97" s="2646"/>
      <c r="L97" s="2647"/>
      <c r="M97" s="301"/>
    </row>
    <row r="98" spans="1:13" ht="11.25" customHeight="1">
      <c r="A98" s="1817"/>
      <c r="B98" s="278"/>
      <c r="C98" s="1812"/>
      <c r="D98" s="1812"/>
      <c r="E98" s="1815"/>
      <c r="F98" s="1814"/>
      <c r="G98" s="2646"/>
      <c r="H98" s="2647"/>
      <c r="I98" s="2649"/>
      <c r="J98" s="2648"/>
      <c r="K98" s="2646"/>
      <c r="L98" s="2647"/>
      <c r="M98" s="301"/>
    </row>
    <row r="99" spans="1:13" ht="11.25" customHeight="1">
      <c r="A99" s="1817"/>
      <c r="B99" s="278"/>
      <c r="C99" s="1812"/>
      <c r="D99" s="1812"/>
      <c r="E99" s="1815"/>
      <c r="F99" s="1814"/>
      <c r="G99" s="2646"/>
      <c r="H99" s="2647"/>
      <c r="I99" s="2649"/>
      <c r="J99" s="2648"/>
      <c r="K99" s="2646"/>
      <c r="L99" s="2647"/>
      <c r="M99" s="301"/>
    </row>
    <row r="100" spans="1:13" ht="11.25" customHeight="1">
      <c r="A100" s="1817"/>
      <c r="B100" s="278"/>
      <c r="C100" s="1812"/>
      <c r="D100" s="1812"/>
      <c r="E100" s="1815"/>
      <c r="F100" s="1814"/>
      <c r="G100" s="2646"/>
      <c r="H100" s="2647"/>
      <c r="I100" s="2649"/>
      <c r="J100" s="2648"/>
      <c r="K100" s="2646"/>
      <c r="L100" s="2647"/>
      <c r="M100" s="301"/>
    </row>
    <row r="101" spans="1:13" ht="11.25" customHeight="1">
      <c r="A101" s="1817"/>
      <c r="B101" s="278"/>
      <c r="C101" s="1812"/>
      <c r="D101" s="1812"/>
      <c r="E101" s="1815"/>
      <c r="F101" s="1814"/>
      <c r="G101" s="2646"/>
      <c r="H101" s="2647"/>
      <c r="I101" s="2649"/>
      <c r="J101" s="2648"/>
      <c r="K101" s="2646"/>
      <c r="L101" s="2647"/>
      <c r="M101" s="301"/>
    </row>
    <row r="102" spans="1:13" ht="11.25" customHeight="1">
      <c r="A102" s="1817"/>
      <c r="B102" s="278"/>
      <c r="C102" s="1812"/>
      <c r="D102" s="1812"/>
      <c r="E102" s="1815"/>
      <c r="F102" s="1814"/>
      <c r="G102" s="2646"/>
      <c r="H102" s="2647"/>
      <c r="I102" s="2649"/>
      <c r="J102" s="2648"/>
      <c r="K102" s="2646"/>
      <c r="L102" s="2647"/>
      <c r="M102" s="301"/>
    </row>
    <row r="103" spans="1:13" ht="11.25" customHeight="1">
      <c r="A103" s="1817"/>
      <c r="B103" s="278"/>
      <c r="C103" s="1812"/>
      <c r="D103" s="1812"/>
      <c r="E103" s="1815"/>
      <c r="F103" s="1814"/>
      <c r="G103" s="2646"/>
      <c r="H103" s="2647"/>
      <c r="I103" s="2649"/>
      <c r="J103" s="2648"/>
      <c r="K103" s="2646"/>
      <c r="L103" s="2647"/>
      <c r="M103" s="301"/>
    </row>
    <row r="104" spans="1:13" ht="11.25" customHeight="1">
      <c r="A104" s="1817"/>
      <c r="B104" s="278"/>
      <c r="C104" s="1812"/>
      <c r="D104" s="1812"/>
      <c r="E104" s="1815"/>
      <c r="F104" s="1814"/>
      <c r="G104" s="2646"/>
      <c r="H104" s="2647"/>
      <c r="I104" s="2649"/>
      <c r="J104" s="2648"/>
      <c r="K104" s="2646"/>
      <c r="L104" s="2647"/>
      <c r="M104" s="301"/>
    </row>
    <row r="105" spans="1:13" ht="11.25" customHeight="1">
      <c r="A105" s="1816" t="s">
        <v>2184</v>
      </c>
      <c r="B105" s="278"/>
      <c r="C105" s="973">
        <f>SUM(C106:C115)</f>
        <v>0</v>
      </c>
      <c r="D105" s="973">
        <f t="shared" ref="D105:F105" si="9">SUM(D106:D115)</f>
        <v>0</v>
      </c>
      <c r="E105" s="974">
        <f t="shared" si="9"/>
        <v>0</v>
      </c>
      <c r="F105" s="975">
        <f t="shared" si="9"/>
        <v>0</v>
      </c>
      <c r="G105" s="2624">
        <v>0</v>
      </c>
      <c r="H105" s="2625">
        <v>0</v>
      </c>
      <c r="I105" s="2627">
        <v>0</v>
      </c>
      <c r="J105" s="2626">
        <v>0</v>
      </c>
      <c r="K105" s="2624">
        <v>0</v>
      </c>
      <c r="L105" s="2625">
        <v>0</v>
      </c>
      <c r="M105" s="301"/>
    </row>
    <row r="106" spans="1:13" ht="11.25" customHeight="1">
      <c r="A106" s="1817" t="s">
        <v>2162</v>
      </c>
      <c r="B106" s="278"/>
      <c r="C106" s="1812">
        <v>0</v>
      </c>
      <c r="D106" s="1812">
        <v>0</v>
      </c>
      <c r="E106" s="1820">
        <f>SUMIFS('SA36'!I:I,'SA36'!$A:$A,A5A!$A106,'SA36'!$Q:$Q,"M")</f>
        <v>0</v>
      </c>
      <c r="F106" s="1814">
        <f>SUMIFS('SA36'!P:P,'SA36'!$A:$A,A5A!$A106,'SA36'!$Q:$Q,"M")</f>
        <v>0</v>
      </c>
      <c r="G106" s="2646">
        <v>0</v>
      </c>
      <c r="H106" s="2647">
        <v>0</v>
      </c>
      <c r="I106" s="2649">
        <v>0</v>
      </c>
      <c r="J106" s="2648">
        <v>0</v>
      </c>
      <c r="K106" s="2646">
        <v>0</v>
      </c>
      <c r="L106" s="2647">
        <v>0</v>
      </c>
      <c r="M106" s="301"/>
    </row>
    <row r="107" spans="1:13" ht="11.25" customHeight="1">
      <c r="A107" s="1817"/>
      <c r="B107" s="278"/>
      <c r="C107" s="1812"/>
      <c r="D107" s="1812"/>
      <c r="E107" s="1815"/>
      <c r="F107" s="1814"/>
      <c r="G107" s="2646"/>
      <c r="H107" s="2647"/>
      <c r="I107" s="2649"/>
      <c r="J107" s="2648"/>
      <c r="K107" s="2646"/>
      <c r="L107" s="2647"/>
      <c r="M107" s="301"/>
    </row>
    <row r="108" spans="1:13" ht="11.25" customHeight="1">
      <c r="A108" s="1817"/>
      <c r="B108" s="278"/>
      <c r="C108" s="1812"/>
      <c r="D108" s="1812"/>
      <c r="E108" s="1815"/>
      <c r="F108" s="1814"/>
      <c r="G108" s="2646"/>
      <c r="H108" s="2647"/>
      <c r="I108" s="2649"/>
      <c r="J108" s="2648"/>
      <c r="K108" s="2646"/>
      <c r="L108" s="2647"/>
      <c r="M108" s="301"/>
    </row>
    <row r="109" spans="1:13" ht="11.25" customHeight="1">
      <c r="A109" s="1817"/>
      <c r="B109" s="278"/>
      <c r="C109" s="1812"/>
      <c r="D109" s="1812"/>
      <c r="E109" s="1815"/>
      <c r="F109" s="1814"/>
      <c r="G109" s="2646"/>
      <c r="H109" s="2647"/>
      <c r="I109" s="2649"/>
      <c r="J109" s="2648"/>
      <c r="K109" s="2646"/>
      <c r="L109" s="2647"/>
      <c r="M109" s="301"/>
    </row>
    <row r="110" spans="1:13" ht="11.25" customHeight="1">
      <c r="A110" s="1817"/>
      <c r="B110" s="278"/>
      <c r="C110" s="1812"/>
      <c r="D110" s="1812"/>
      <c r="E110" s="1815"/>
      <c r="F110" s="1814"/>
      <c r="G110" s="2646"/>
      <c r="H110" s="2647"/>
      <c r="I110" s="2649"/>
      <c r="J110" s="2648"/>
      <c r="K110" s="2646"/>
      <c r="L110" s="2647"/>
      <c r="M110" s="301"/>
    </row>
    <row r="111" spans="1:13" ht="11.25" customHeight="1">
      <c r="A111" s="1817"/>
      <c r="B111" s="278"/>
      <c r="C111" s="1812"/>
      <c r="D111" s="1812"/>
      <c r="E111" s="1815"/>
      <c r="F111" s="1814"/>
      <c r="G111" s="2646"/>
      <c r="H111" s="2647"/>
      <c r="I111" s="2649"/>
      <c r="J111" s="2648"/>
      <c r="K111" s="2646"/>
      <c r="L111" s="2647"/>
      <c r="M111" s="301"/>
    </row>
    <row r="112" spans="1:13" ht="11.25" customHeight="1">
      <c r="A112" s="1817"/>
      <c r="B112" s="278"/>
      <c r="C112" s="1812"/>
      <c r="D112" s="1812"/>
      <c r="E112" s="1815"/>
      <c r="F112" s="1814"/>
      <c r="G112" s="2646"/>
      <c r="H112" s="2647"/>
      <c r="I112" s="2649"/>
      <c r="J112" s="2648"/>
      <c r="K112" s="2646"/>
      <c r="L112" s="2647"/>
      <c r="M112" s="301"/>
    </row>
    <row r="113" spans="1:13" ht="11.25" customHeight="1">
      <c r="A113" s="1817"/>
      <c r="B113" s="278"/>
      <c r="C113" s="1812"/>
      <c r="D113" s="1812"/>
      <c r="E113" s="1815"/>
      <c r="F113" s="1814"/>
      <c r="G113" s="2646"/>
      <c r="H113" s="2647"/>
      <c r="I113" s="2649"/>
      <c r="J113" s="2648"/>
      <c r="K113" s="2646"/>
      <c r="L113" s="2647"/>
      <c r="M113" s="301"/>
    </row>
    <row r="114" spans="1:13" ht="11.25" customHeight="1">
      <c r="A114" s="1817"/>
      <c r="B114" s="278"/>
      <c r="C114" s="1812"/>
      <c r="D114" s="1812"/>
      <c r="E114" s="1815"/>
      <c r="F114" s="1814"/>
      <c r="G114" s="2646"/>
      <c r="H114" s="2647"/>
      <c r="I114" s="2649"/>
      <c r="J114" s="2648"/>
      <c r="K114" s="2646"/>
      <c r="L114" s="2647"/>
      <c r="M114" s="301"/>
    </row>
    <row r="115" spans="1:13" ht="11.25" customHeight="1">
      <c r="A115" s="1817"/>
      <c r="B115" s="278"/>
      <c r="C115" s="1812"/>
      <c r="D115" s="1812"/>
      <c r="E115" s="1815"/>
      <c r="F115" s="1814"/>
      <c r="G115" s="2646"/>
      <c r="H115" s="2647"/>
      <c r="I115" s="2649"/>
      <c r="J115" s="2648"/>
      <c r="K115" s="2646"/>
      <c r="L115" s="2647"/>
      <c r="M115" s="301"/>
    </row>
    <row r="116" spans="1:13" ht="11.25" customHeight="1">
      <c r="A116" s="1816" t="s">
        <v>2186</v>
      </c>
      <c r="B116" s="278"/>
      <c r="C116" s="973">
        <f t="shared" ref="C116:F116" si="10">SUM(C117:C126)</f>
        <v>0</v>
      </c>
      <c r="D116" s="973">
        <f t="shared" si="10"/>
        <v>0</v>
      </c>
      <c r="E116" s="974">
        <f t="shared" si="10"/>
        <v>0</v>
      </c>
      <c r="F116" s="975">
        <f t="shared" si="10"/>
        <v>0</v>
      </c>
      <c r="G116" s="2624">
        <v>0</v>
      </c>
      <c r="H116" s="2625">
        <v>0</v>
      </c>
      <c r="I116" s="2627">
        <v>0</v>
      </c>
      <c r="J116" s="2626">
        <v>0</v>
      </c>
      <c r="K116" s="2624">
        <v>0</v>
      </c>
      <c r="L116" s="2625">
        <v>0</v>
      </c>
      <c r="M116" s="301"/>
    </row>
    <row r="117" spans="1:13" ht="11.25" customHeight="1">
      <c r="A117" s="1817" t="s">
        <v>767</v>
      </c>
      <c r="B117" s="278"/>
      <c r="C117" s="1812">
        <v>0</v>
      </c>
      <c r="D117" s="1812">
        <v>0</v>
      </c>
      <c r="E117" s="1820">
        <f>SUMIFS('SA36'!I:I,'SA36'!$A:$A,A5A!$A117,'SA36'!$Q:$Q,"M")</f>
        <v>0</v>
      </c>
      <c r="F117" s="1814">
        <f>SUMIFS('SA36'!P:P,'SA36'!$A:$A,A5A!$A117,'SA36'!$Q:$Q,"M")</f>
        <v>0</v>
      </c>
      <c r="G117" s="2646">
        <v>0</v>
      </c>
      <c r="H117" s="2647">
        <v>0</v>
      </c>
      <c r="I117" s="2649">
        <v>0</v>
      </c>
      <c r="J117" s="2648">
        <v>0</v>
      </c>
      <c r="K117" s="2646">
        <v>0</v>
      </c>
      <c r="L117" s="2647">
        <v>0</v>
      </c>
      <c r="M117" s="301"/>
    </row>
    <row r="118" spans="1:13" ht="11.25" customHeight="1">
      <c r="A118" s="1817"/>
      <c r="B118" s="278"/>
      <c r="C118" s="1812"/>
      <c r="D118" s="1812"/>
      <c r="E118" s="1815"/>
      <c r="F118" s="1814"/>
      <c r="G118" s="2646"/>
      <c r="H118" s="2647"/>
      <c r="I118" s="2649"/>
      <c r="J118" s="2648"/>
      <c r="K118" s="2646"/>
      <c r="L118" s="2647"/>
      <c r="M118" s="301"/>
    </row>
    <row r="119" spans="1:13" ht="11.25" customHeight="1">
      <c r="A119" s="1817"/>
      <c r="B119" s="278"/>
      <c r="C119" s="1812"/>
      <c r="D119" s="1812"/>
      <c r="E119" s="1815"/>
      <c r="F119" s="1814"/>
      <c r="G119" s="2646"/>
      <c r="H119" s="2647"/>
      <c r="I119" s="2649"/>
      <c r="J119" s="2648"/>
      <c r="K119" s="2646"/>
      <c r="L119" s="2647"/>
      <c r="M119" s="301"/>
    </row>
    <row r="120" spans="1:13" ht="11.25" customHeight="1">
      <c r="A120" s="1817"/>
      <c r="B120" s="278"/>
      <c r="C120" s="1812"/>
      <c r="D120" s="1812"/>
      <c r="E120" s="1815"/>
      <c r="F120" s="1814"/>
      <c r="G120" s="2646"/>
      <c r="H120" s="2647"/>
      <c r="I120" s="2649"/>
      <c r="J120" s="2648"/>
      <c r="K120" s="2646"/>
      <c r="L120" s="2647"/>
      <c r="M120" s="301"/>
    </row>
    <row r="121" spans="1:13" ht="11.25" customHeight="1">
      <c r="A121" s="1817"/>
      <c r="B121" s="278"/>
      <c r="C121" s="1812"/>
      <c r="D121" s="1812"/>
      <c r="E121" s="1815"/>
      <c r="F121" s="1814"/>
      <c r="G121" s="2646"/>
      <c r="H121" s="2647"/>
      <c r="I121" s="2649"/>
      <c r="J121" s="2648"/>
      <c r="K121" s="2646"/>
      <c r="L121" s="2647"/>
      <c r="M121" s="301"/>
    </row>
    <row r="122" spans="1:13" ht="11.25" customHeight="1">
      <c r="A122" s="1817"/>
      <c r="B122" s="278"/>
      <c r="C122" s="1812"/>
      <c r="D122" s="1812"/>
      <c r="E122" s="1815"/>
      <c r="F122" s="1814"/>
      <c r="G122" s="2646"/>
      <c r="H122" s="2647"/>
      <c r="I122" s="2649"/>
      <c r="J122" s="2648"/>
      <c r="K122" s="2646"/>
      <c r="L122" s="2647"/>
      <c r="M122" s="301"/>
    </row>
    <row r="123" spans="1:13" ht="11.25" customHeight="1">
      <c r="A123" s="1817"/>
      <c r="B123" s="278"/>
      <c r="C123" s="1812"/>
      <c r="D123" s="1812"/>
      <c r="E123" s="1815"/>
      <c r="F123" s="1814"/>
      <c r="G123" s="2646"/>
      <c r="H123" s="2647"/>
      <c r="I123" s="2649"/>
      <c r="J123" s="2648"/>
      <c r="K123" s="2646"/>
      <c r="L123" s="2647"/>
      <c r="M123" s="301"/>
    </row>
    <row r="124" spans="1:13" ht="11.25" customHeight="1">
      <c r="A124" s="1817"/>
      <c r="B124" s="278"/>
      <c r="C124" s="1812"/>
      <c r="D124" s="1812"/>
      <c r="E124" s="1815"/>
      <c r="F124" s="1814"/>
      <c r="G124" s="2646"/>
      <c r="H124" s="2647"/>
      <c r="I124" s="2649"/>
      <c r="J124" s="2648"/>
      <c r="K124" s="2646"/>
      <c r="L124" s="2647"/>
      <c r="M124" s="301"/>
    </row>
    <row r="125" spans="1:13" ht="11.25" customHeight="1">
      <c r="A125" s="1817"/>
      <c r="B125" s="278"/>
      <c r="C125" s="1812"/>
      <c r="D125" s="1812"/>
      <c r="E125" s="1815"/>
      <c r="F125" s="1814"/>
      <c r="G125" s="2646"/>
      <c r="H125" s="2647"/>
      <c r="I125" s="2649"/>
      <c r="J125" s="2648"/>
      <c r="K125" s="2646"/>
      <c r="L125" s="2647"/>
      <c r="M125" s="301"/>
    </row>
    <row r="126" spans="1:13" ht="11.25" customHeight="1">
      <c r="A126" s="1817"/>
      <c r="B126" s="278"/>
      <c r="C126" s="1812"/>
      <c r="D126" s="1812"/>
      <c r="E126" s="1815"/>
      <c r="F126" s="1814"/>
      <c r="G126" s="2646"/>
      <c r="H126" s="2647"/>
      <c r="I126" s="2649"/>
      <c r="J126" s="2648"/>
      <c r="K126" s="2646"/>
      <c r="L126" s="2647"/>
      <c r="M126" s="301"/>
    </row>
    <row r="127" spans="1:13" ht="11.25" customHeight="1">
      <c r="A127" s="1816" t="s">
        <v>2187</v>
      </c>
      <c r="B127" s="278"/>
      <c r="C127" s="973">
        <f t="shared" ref="C127:F127" si="11">SUM(C128:C137)</f>
        <v>0</v>
      </c>
      <c r="D127" s="973">
        <f t="shared" si="11"/>
        <v>0</v>
      </c>
      <c r="E127" s="974">
        <f t="shared" si="11"/>
        <v>0</v>
      </c>
      <c r="F127" s="975">
        <f t="shared" si="11"/>
        <v>0</v>
      </c>
      <c r="G127" s="2624">
        <v>0</v>
      </c>
      <c r="H127" s="2625">
        <v>0</v>
      </c>
      <c r="I127" s="2627">
        <v>0</v>
      </c>
      <c r="J127" s="2626">
        <v>0</v>
      </c>
      <c r="K127" s="2624">
        <v>0</v>
      </c>
      <c r="L127" s="2625">
        <v>0</v>
      </c>
      <c r="M127" s="301"/>
    </row>
    <row r="128" spans="1:13" ht="11.25" customHeight="1">
      <c r="A128" s="1817" t="s">
        <v>2154</v>
      </c>
      <c r="B128" s="278"/>
      <c r="C128" s="1812">
        <v>0</v>
      </c>
      <c r="D128" s="1812">
        <v>0</v>
      </c>
      <c r="E128" s="1820">
        <f>SUMIFS('SA36'!I:I,'SA36'!$A:$A,A5A!$A128,'SA36'!$Q:$Q,"M")</f>
        <v>0</v>
      </c>
      <c r="F128" s="1814">
        <f>SUMIFS('SA36'!P:P,'SA36'!$A:$A,A5A!$A128,'SA36'!$Q:$Q,"M")</f>
        <v>0</v>
      </c>
      <c r="G128" s="2646">
        <v>0</v>
      </c>
      <c r="H128" s="2647">
        <v>0</v>
      </c>
      <c r="I128" s="2649">
        <v>0</v>
      </c>
      <c r="J128" s="2648">
        <v>0</v>
      </c>
      <c r="K128" s="2646">
        <v>0</v>
      </c>
      <c r="L128" s="2647">
        <v>0</v>
      </c>
      <c r="M128" s="301"/>
    </row>
    <row r="129" spans="1:13" ht="11.25" customHeight="1">
      <c r="A129" s="1817"/>
      <c r="B129" s="278"/>
      <c r="C129" s="1812"/>
      <c r="D129" s="1812"/>
      <c r="E129" s="1815"/>
      <c r="F129" s="1814"/>
      <c r="G129" s="2646"/>
      <c r="H129" s="2647"/>
      <c r="I129" s="2649"/>
      <c r="J129" s="2648"/>
      <c r="K129" s="2646"/>
      <c r="L129" s="2647"/>
      <c r="M129" s="301"/>
    </row>
    <row r="130" spans="1:13" ht="11.25" customHeight="1">
      <c r="A130" s="1817"/>
      <c r="B130" s="278"/>
      <c r="C130" s="1812"/>
      <c r="D130" s="1812"/>
      <c r="E130" s="1815"/>
      <c r="F130" s="1814"/>
      <c r="G130" s="2646"/>
      <c r="H130" s="2647"/>
      <c r="I130" s="2649"/>
      <c r="J130" s="2648"/>
      <c r="K130" s="2646"/>
      <c r="L130" s="2647"/>
      <c r="M130" s="301"/>
    </row>
    <row r="131" spans="1:13" ht="11.25" customHeight="1">
      <c r="A131" s="1817"/>
      <c r="B131" s="278"/>
      <c r="C131" s="1812"/>
      <c r="D131" s="1812"/>
      <c r="E131" s="1815"/>
      <c r="F131" s="1814"/>
      <c r="G131" s="2646"/>
      <c r="H131" s="2647"/>
      <c r="I131" s="2649"/>
      <c r="J131" s="2648"/>
      <c r="K131" s="2646"/>
      <c r="L131" s="2647"/>
      <c r="M131" s="301"/>
    </row>
    <row r="132" spans="1:13" ht="11.25" customHeight="1">
      <c r="A132" s="1817"/>
      <c r="B132" s="278"/>
      <c r="C132" s="1812"/>
      <c r="D132" s="1812"/>
      <c r="E132" s="1815"/>
      <c r="F132" s="1814"/>
      <c r="G132" s="2646"/>
      <c r="H132" s="2647"/>
      <c r="I132" s="2649"/>
      <c r="J132" s="2648"/>
      <c r="K132" s="2646"/>
      <c r="L132" s="2647"/>
      <c r="M132" s="301"/>
    </row>
    <row r="133" spans="1:13" ht="11.25" customHeight="1">
      <c r="A133" s="1817"/>
      <c r="B133" s="278"/>
      <c r="C133" s="1812"/>
      <c r="D133" s="1812"/>
      <c r="E133" s="1815"/>
      <c r="F133" s="1814"/>
      <c r="G133" s="2646"/>
      <c r="H133" s="2647"/>
      <c r="I133" s="2649"/>
      <c r="J133" s="2648"/>
      <c r="K133" s="2646"/>
      <c r="L133" s="2647"/>
      <c r="M133" s="301"/>
    </row>
    <row r="134" spans="1:13" ht="11.25" customHeight="1">
      <c r="A134" s="1817"/>
      <c r="B134" s="278"/>
      <c r="C134" s="1812"/>
      <c r="D134" s="1812"/>
      <c r="E134" s="1815"/>
      <c r="F134" s="1814"/>
      <c r="G134" s="2646"/>
      <c r="H134" s="2647"/>
      <c r="I134" s="2649"/>
      <c r="J134" s="2648"/>
      <c r="K134" s="2646"/>
      <c r="L134" s="2647"/>
      <c r="M134" s="301"/>
    </row>
    <row r="135" spans="1:13" ht="11.25" customHeight="1">
      <c r="A135" s="1817"/>
      <c r="B135" s="278"/>
      <c r="C135" s="1812"/>
      <c r="D135" s="1812"/>
      <c r="E135" s="1815"/>
      <c r="F135" s="1814"/>
      <c r="G135" s="2646"/>
      <c r="H135" s="2647"/>
      <c r="I135" s="2649"/>
      <c r="J135" s="2648"/>
      <c r="K135" s="2646"/>
      <c r="L135" s="2647"/>
      <c r="M135" s="301"/>
    </row>
    <row r="136" spans="1:13" ht="11.25" customHeight="1">
      <c r="A136" s="1817"/>
      <c r="B136" s="278"/>
      <c r="C136" s="1812"/>
      <c r="D136" s="1812"/>
      <c r="E136" s="1815"/>
      <c r="F136" s="1814"/>
      <c r="G136" s="2646"/>
      <c r="H136" s="2647"/>
      <c r="I136" s="2649"/>
      <c r="J136" s="2648"/>
      <c r="K136" s="2646"/>
      <c r="L136" s="2647"/>
      <c r="M136" s="301"/>
    </row>
    <row r="137" spans="1:13" ht="11.25" customHeight="1">
      <c r="A137" s="1817"/>
      <c r="B137" s="278"/>
      <c r="C137" s="1812"/>
      <c r="D137" s="1812"/>
      <c r="E137" s="1815"/>
      <c r="F137" s="1814"/>
      <c r="G137" s="2646"/>
      <c r="H137" s="2647"/>
      <c r="I137" s="2649"/>
      <c r="J137" s="2648"/>
      <c r="K137" s="2646"/>
      <c r="L137" s="2647"/>
      <c r="M137" s="301"/>
    </row>
    <row r="138" spans="1:13" ht="11.25" customHeight="1">
      <c r="A138" s="1816" t="s">
        <v>2188</v>
      </c>
      <c r="B138" s="278"/>
      <c r="C138" s="973">
        <f t="shared" ref="C138:F138" si="12">SUM(C139:C148)</f>
        <v>0</v>
      </c>
      <c r="D138" s="973">
        <f t="shared" si="12"/>
        <v>0</v>
      </c>
      <c r="E138" s="974">
        <f t="shared" si="12"/>
        <v>0</v>
      </c>
      <c r="F138" s="975">
        <f t="shared" si="12"/>
        <v>0</v>
      </c>
      <c r="G138" s="2624">
        <v>0</v>
      </c>
      <c r="H138" s="2625">
        <v>0</v>
      </c>
      <c r="I138" s="2627">
        <v>0</v>
      </c>
      <c r="J138" s="2626">
        <v>0</v>
      </c>
      <c r="K138" s="2624">
        <v>0</v>
      </c>
      <c r="L138" s="2625">
        <v>0</v>
      </c>
      <c r="M138" s="301"/>
    </row>
    <row r="139" spans="1:13" ht="11.25" customHeight="1">
      <c r="A139" s="1817" t="s">
        <v>2149</v>
      </c>
      <c r="B139" s="278"/>
      <c r="C139" s="1812">
        <v>0</v>
      </c>
      <c r="D139" s="1812">
        <v>0</v>
      </c>
      <c r="E139" s="1820">
        <f>SUMIFS('SA36'!I:I,'SA36'!$A:$A,A5A!$A139,'SA36'!$Q:$Q,"M")</f>
        <v>0</v>
      </c>
      <c r="F139" s="1814">
        <f>SUMIFS('SA36'!P:P,'SA36'!$A:$A,A5A!$A139,'SA36'!$Q:$Q,"M")</f>
        <v>0</v>
      </c>
      <c r="G139" s="2646">
        <v>0</v>
      </c>
      <c r="H139" s="2647">
        <v>0</v>
      </c>
      <c r="I139" s="2649">
        <v>0</v>
      </c>
      <c r="J139" s="2648">
        <v>0</v>
      </c>
      <c r="K139" s="2646">
        <v>0</v>
      </c>
      <c r="L139" s="2647">
        <v>0</v>
      </c>
      <c r="M139" s="301"/>
    </row>
    <row r="140" spans="1:13" ht="11.25" customHeight="1">
      <c r="A140" s="1817" t="s">
        <v>2160</v>
      </c>
      <c r="B140" s="278"/>
      <c r="C140" s="1812">
        <v>0</v>
      </c>
      <c r="D140" s="1812">
        <v>0</v>
      </c>
      <c r="E140" s="1820">
        <f>SUMIFS('SA36'!I:I,'SA36'!$A:$A,A5A!$A140,'SA36'!$Q:$Q,"M")</f>
        <v>0</v>
      </c>
      <c r="F140" s="1814">
        <f>SUMIFS('SA36'!P:P,'SA36'!$A:$A,A5A!$A140,'SA36'!$Q:$Q,"M")</f>
        <v>0</v>
      </c>
      <c r="G140" s="2646">
        <v>0</v>
      </c>
      <c r="H140" s="2647">
        <v>0</v>
      </c>
      <c r="I140" s="2649">
        <v>0</v>
      </c>
      <c r="J140" s="2648">
        <v>0</v>
      </c>
      <c r="K140" s="2646">
        <v>0</v>
      </c>
      <c r="L140" s="2647">
        <v>0</v>
      </c>
      <c r="M140" s="301"/>
    </row>
    <row r="141" spans="1:13" ht="11.25" customHeight="1">
      <c r="A141" s="1817"/>
      <c r="B141" s="278"/>
      <c r="C141" s="1812"/>
      <c r="D141" s="1812"/>
      <c r="E141" s="1815"/>
      <c r="F141" s="1814"/>
      <c r="G141" s="2646"/>
      <c r="H141" s="2647"/>
      <c r="I141" s="2649"/>
      <c r="J141" s="2648"/>
      <c r="K141" s="2646"/>
      <c r="L141" s="2647"/>
      <c r="M141" s="301"/>
    </row>
    <row r="142" spans="1:13" ht="11.25" customHeight="1">
      <c r="A142" s="1817"/>
      <c r="B142" s="278"/>
      <c r="C142" s="1812"/>
      <c r="D142" s="1812"/>
      <c r="E142" s="1815"/>
      <c r="F142" s="1814"/>
      <c r="G142" s="2646"/>
      <c r="H142" s="2647"/>
      <c r="I142" s="2649"/>
      <c r="J142" s="2648"/>
      <c r="K142" s="2646"/>
      <c r="L142" s="2647"/>
      <c r="M142" s="301"/>
    </row>
    <row r="143" spans="1:13" ht="11.25" customHeight="1">
      <c r="A143" s="1817"/>
      <c r="B143" s="278"/>
      <c r="C143" s="1812"/>
      <c r="D143" s="1812"/>
      <c r="E143" s="1815"/>
      <c r="F143" s="1814"/>
      <c r="G143" s="2646"/>
      <c r="H143" s="2647"/>
      <c r="I143" s="2649"/>
      <c r="J143" s="2648"/>
      <c r="K143" s="2646"/>
      <c r="L143" s="2647"/>
      <c r="M143" s="301"/>
    </row>
    <row r="144" spans="1:13" ht="11.25" customHeight="1">
      <c r="A144" s="1817"/>
      <c r="B144" s="278"/>
      <c r="C144" s="1812"/>
      <c r="D144" s="1812"/>
      <c r="E144" s="1815"/>
      <c r="F144" s="1814"/>
      <c r="G144" s="2646"/>
      <c r="H144" s="2647"/>
      <c r="I144" s="2649"/>
      <c r="J144" s="2648"/>
      <c r="K144" s="2646"/>
      <c r="L144" s="2647"/>
      <c r="M144" s="301"/>
    </row>
    <row r="145" spans="1:13" ht="11.25" customHeight="1">
      <c r="A145" s="1817"/>
      <c r="B145" s="278"/>
      <c r="C145" s="1812"/>
      <c r="D145" s="1812"/>
      <c r="E145" s="1815"/>
      <c r="F145" s="1814"/>
      <c r="G145" s="2646"/>
      <c r="H145" s="2647"/>
      <c r="I145" s="2649"/>
      <c r="J145" s="2648"/>
      <c r="K145" s="2646"/>
      <c r="L145" s="2647"/>
      <c r="M145" s="301"/>
    </row>
    <row r="146" spans="1:13" ht="11.25" customHeight="1">
      <c r="A146" s="1817"/>
      <c r="B146" s="278"/>
      <c r="C146" s="1812"/>
      <c r="D146" s="1812"/>
      <c r="E146" s="1815"/>
      <c r="F146" s="1814"/>
      <c r="G146" s="2646"/>
      <c r="H146" s="2647"/>
      <c r="I146" s="2649"/>
      <c r="J146" s="2648"/>
      <c r="K146" s="2646"/>
      <c r="L146" s="2647"/>
      <c r="M146" s="301"/>
    </row>
    <row r="147" spans="1:13" ht="11.25" customHeight="1">
      <c r="A147" s="1817"/>
      <c r="B147" s="278"/>
      <c r="C147" s="1812"/>
      <c r="D147" s="1812"/>
      <c r="E147" s="1815"/>
      <c r="F147" s="1814"/>
      <c r="G147" s="2646"/>
      <c r="H147" s="2647"/>
      <c r="I147" s="2649"/>
      <c r="J147" s="2648"/>
      <c r="K147" s="2646"/>
      <c r="L147" s="2647"/>
      <c r="M147" s="301"/>
    </row>
    <row r="148" spans="1:13" ht="11.25" customHeight="1">
      <c r="A148" s="1817"/>
      <c r="B148" s="278"/>
      <c r="C148" s="1812"/>
      <c r="D148" s="1812"/>
      <c r="E148" s="1815"/>
      <c r="F148" s="1814"/>
      <c r="G148" s="2646"/>
      <c r="H148" s="2647"/>
      <c r="I148" s="2649"/>
      <c r="J148" s="2648"/>
      <c r="K148" s="2646"/>
      <c r="L148" s="2647"/>
      <c r="M148" s="301"/>
    </row>
    <row r="149" spans="1:13" ht="11.25" customHeight="1">
      <c r="A149" s="1816" t="s">
        <v>2086</v>
      </c>
      <c r="B149" s="278"/>
      <c r="C149" s="973">
        <f t="shared" ref="C149:F149" si="13">SUM(C150:C159)</f>
        <v>0</v>
      </c>
      <c r="D149" s="973">
        <f t="shared" si="13"/>
        <v>0</v>
      </c>
      <c r="E149" s="974">
        <f t="shared" si="13"/>
        <v>0</v>
      </c>
      <c r="F149" s="975">
        <f t="shared" si="13"/>
        <v>0</v>
      </c>
      <c r="G149" s="2624">
        <v>0</v>
      </c>
      <c r="H149" s="2625">
        <v>0</v>
      </c>
      <c r="I149" s="2627">
        <v>0</v>
      </c>
      <c r="J149" s="2626">
        <v>0</v>
      </c>
      <c r="K149" s="2624">
        <v>0</v>
      </c>
      <c r="L149" s="2625">
        <v>0</v>
      </c>
      <c r="M149" s="301"/>
    </row>
    <row r="150" spans="1:13" ht="11.25" customHeight="1">
      <c r="A150" s="1817" t="s">
        <v>823</v>
      </c>
      <c r="B150" s="278"/>
      <c r="C150" s="1812"/>
      <c r="D150" s="1812"/>
      <c r="E150" s="1815"/>
      <c r="F150" s="1814"/>
      <c r="G150" s="2646"/>
      <c r="H150" s="2647"/>
      <c r="I150" s="2649"/>
      <c r="J150" s="2648"/>
      <c r="K150" s="2646"/>
      <c r="L150" s="2647"/>
      <c r="M150" s="301"/>
    </row>
    <row r="151" spans="1:13" ht="11.25" customHeight="1">
      <c r="A151" s="1817"/>
      <c r="B151" s="278"/>
      <c r="C151" s="1812"/>
      <c r="D151" s="1812"/>
      <c r="E151" s="1815"/>
      <c r="F151" s="1814"/>
      <c r="G151" s="2646"/>
      <c r="H151" s="2647"/>
      <c r="I151" s="2649"/>
      <c r="J151" s="2648"/>
      <c r="K151" s="2646"/>
      <c r="L151" s="2647"/>
      <c r="M151" s="301"/>
    </row>
    <row r="152" spans="1:13" ht="11.25" customHeight="1">
      <c r="A152" s="1817"/>
      <c r="B152" s="278"/>
      <c r="C152" s="1812"/>
      <c r="D152" s="1812"/>
      <c r="E152" s="1815"/>
      <c r="F152" s="1814"/>
      <c r="G152" s="2646"/>
      <c r="H152" s="2647"/>
      <c r="I152" s="2649"/>
      <c r="J152" s="2648"/>
      <c r="K152" s="2646"/>
      <c r="L152" s="2647"/>
      <c r="M152" s="301"/>
    </row>
    <row r="153" spans="1:13" ht="11.25" customHeight="1">
      <c r="A153" s="1817"/>
      <c r="B153" s="278"/>
      <c r="C153" s="1812"/>
      <c r="D153" s="1812"/>
      <c r="E153" s="1815"/>
      <c r="F153" s="1814"/>
      <c r="G153" s="2646"/>
      <c r="H153" s="2647"/>
      <c r="I153" s="2649"/>
      <c r="J153" s="2648"/>
      <c r="K153" s="2646"/>
      <c r="L153" s="2647"/>
      <c r="M153" s="301"/>
    </row>
    <row r="154" spans="1:13" ht="11.25" customHeight="1">
      <c r="A154" s="1817"/>
      <c r="B154" s="278"/>
      <c r="C154" s="1812"/>
      <c r="D154" s="1812"/>
      <c r="E154" s="1815"/>
      <c r="F154" s="1814"/>
      <c r="G154" s="2646"/>
      <c r="H154" s="2647"/>
      <c r="I154" s="2649"/>
      <c r="J154" s="2648"/>
      <c r="K154" s="2646"/>
      <c r="L154" s="2647"/>
      <c r="M154" s="301"/>
    </row>
    <row r="155" spans="1:13" ht="11.25" customHeight="1">
      <c r="A155" s="1817"/>
      <c r="B155" s="278"/>
      <c r="C155" s="1812"/>
      <c r="D155" s="1812"/>
      <c r="E155" s="1815"/>
      <c r="F155" s="1814"/>
      <c r="G155" s="2646"/>
      <c r="H155" s="2647"/>
      <c r="I155" s="2649"/>
      <c r="J155" s="2648"/>
      <c r="K155" s="2646"/>
      <c r="L155" s="2647"/>
      <c r="M155" s="301"/>
    </row>
    <row r="156" spans="1:13" ht="11.25" customHeight="1">
      <c r="A156" s="1817"/>
      <c r="B156" s="278"/>
      <c r="C156" s="1812"/>
      <c r="D156" s="1812"/>
      <c r="E156" s="1815"/>
      <c r="F156" s="1814"/>
      <c r="G156" s="2646"/>
      <c r="H156" s="2647"/>
      <c r="I156" s="2649"/>
      <c r="J156" s="2648"/>
      <c r="K156" s="2646"/>
      <c r="L156" s="2647"/>
      <c r="M156" s="301"/>
    </row>
    <row r="157" spans="1:13" ht="11.25" customHeight="1">
      <c r="A157" s="1817"/>
      <c r="B157" s="278"/>
      <c r="C157" s="1812"/>
      <c r="D157" s="1812"/>
      <c r="E157" s="1815"/>
      <c r="F157" s="1814"/>
      <c r="G157" s="2646"/>
      <c r="H157" s="2647"/>
      <c r="I157" s="2649"/>
      <c r="J157" s="2648"/>
      <c r="K157" s="2646"/>
      <c r="L157" s="2647"/>
      <c r="M157" s="301"/>
    </row>
    <row r="158" spans="1:13" ht="11.25" customHeight="1">
      <c r="A158" s="1817"/>
      <c r="B158" s="278"/>
      <c r="C158" s="1812"/>
      <c r="D158" s="1812"/>
      <c r="E158" s="1815"/>
      <c r="F158" s="1814"/>
      <c r="G158" s="2646"/>
      <c r="H158" s="2647"/>
      <c r="I158" s="2649"/>
      <c r="J158" s="2648"/>
      <c r="K158" s="2646"/>
      <c r="L158" s="2647"/>
      <c r="M158" s="301"/>
    </row>
    <row r="159" spans="1:13" ht="11.25" customHeight="1">
      <c r="A159" s="1817"/>
      <c r="B159" s="278"/>
      <c r="C159" s="1812"/>
      <c r="D159" s="1812"/>
      <c r="E159" s="1815"/>
      <c r="F159" s="1814"/>
      <c r="G159" s="2646"/>
      <c r="H159" s="2647"/>
      <c r="I159" s="2649"/>
      <c r="J159" s="2648"/>
      <c r="K159" s="2646"/>
      <c r="L159" s="2647"/>
      <c r="M159" s="301"/>
    </row>
    <row r="160" spans="1:13" ht="11.25" customHeight="1">
      <c r="A160" s="1816" t="s">
        <v>2087</v>
      </c>
      <c r="B160" s="278"/>
      <c r="C160" s="973">
        <f t="shared" ref="C160:F160" si="14">SUM(C161:C170)</f>
        <v>0</v>
      </c>
      <c r="D160" s="973">
        <f t="shared" si="14"/>
        <v>0</v>
      </c>
      <c r="E160" s="974">
        <f t="shared" si="14"/>
        <v>0</v>
      </c>
      <c r="F160" s="975">
        <f t="shared" si="14"/>
        <v>0</v>
      </c>
      <c r="G160" s="2624">
        <v>0</v>
      </c>
      <c r="H160" s="2625">
        <v>0</v>
      </c>
      <c r="I160" s="2627">
        <v>0</v>
      </c>
      <c r="J160" s="2626">
        <v>0</v>
      </c>
      <c r="K160" s="2624">
        <v>0</v>
      </c>
      <c r="L160" s="2625">
        <v>0</v>
      </c>
      <c r="M160" s="301"/>
    </row>
    <row r="161" spans="1:13" ht="11.25" customHeight="1">
      <c r="A161" s="1817" t="s">
        <v>823</v>
      </c>
      <c r="B161" s="278"/>
      <c r="C161" s="1812"/>
      <c r="D161" s="1812"/>
      <c r="E161" s="1815"/>
      <c r="F161" s="1814"/>
      <c r="G161" s="2646"/>
      <c r="H161" s="2647"/>
      <c r="I161" s="2649"/>
      <c r="J161" s="2648"/>
      <c r="K161" s="2646"/>
      <c r="L161" s="2647"/>
      <c r="M161" s="301"/>
    </row>
    <row r="162" spans="1:13" ht="11.25" customHeight="1">
      <c r="A162" s="1817"/>
      <c r="B162" s="278"/>
      <c r="C162" s="1812"/>
      <c r="D162" s="1812"/>
      <c r="E162" s="1815"/>
      <c r="F162" s="1814"/>
      <c r="G162" s="2646"/>
      <c r="H162" s="2647"/>
      <c r="I162" s="2649"/>
      <c r="J162" s="2648"/>
      <c r="K162" s="2646"/>
      <c r="L162" s="2647"/>
      <c r="M162" s="301"/>
    </row>
    <row r="163" spans="1:13" ht="11.25" customHeight="1">
      <c r="A163" s="1817"/>
      <c r="B163" s="278"/>
      <c r="C163" s="1812"/>
      <c r="D163" s="1812"/>
      <c r="E163" s="1815"/>
      <c r="F163" s="1814"/>
      <c r="G163" s="2646"/>
      <c r="H163" s="2647"/>
      <c r="I163" s="2649"/>
      <c r="J163" s="2648"/>
      <c r="K163" s="2646"/>
      <c r="L163" s="2647"/>
      <c r="M163" s="301"/>
    </row>
    <row r="164" spans="1:13" ht="11.25" customHeight="1">
      <c r="A164" s="1817"/>
      <c r="B164" s="278"/>
      <c r="C164" s="1812"/>
      <c r="D164" s="1812"/>
      <c r="E164" s="1815"/>
      <c r="F164" s="1814"/>
      <c r="G164" s="2646"/>
      <c r="H164" s="2647"/>
      <c r="I164" s="2649"/>
      <c r="J164" s="2648"/>
      <c r="K164" s="2646"/>
      <c r="L164" s="2647"/>
      <c r="M164" s="301"/>
    </row>
    <row r="165" spans="1:13" ht="11.25" customHeight="1">
      <c r="A165" s="1817"/>
      <c r="B165" s="278"/>
      <c r="C165" s="1812"/>
      <c r="D165" s="1812"/>
      <c r="E165" s="1815"/>
      <c r="F165" s="1814"/>
      <c r="G165" s="2646"/>
      <c r="H165" s="2647"/>
      <c r="I165" s="2649"/>
      <c r="J165" s="2648"/>
      <c r="K165" s="2646"/>
      <c r="L165" s="2647"/>
      <c r="M165" s="301"/>
    </row>
    <row r="166" spans="1:13" ht="11.25" customHeight="1">
      <c r="A166" s="1817"/>
      <c r="B166" s="278"/>
      <c r="C166" s="1812"/>
      <c r="D166" s="1812"/>
      <c r="E166" s="1815"/>
      <c r="F166" s="1814"/>
      <c r="G166" s="2646"/>
      <c r="H166" s="2647"/>
      <c r="I166" s="2649"/>
      <c r="J166" s="2648"/>
      <c r="K166" s="2646"/>
      <c r="L166" s="2647"/>
      <c r="M166" s="301"/>
    </row>
    <row r="167" spans="1:13" ht="11.25" customHeight="1">
      <c r="A167" s="1817"/>
      <c r="B167" s="278"/>
      <c r="C167" s="1812"/>
      <c r="D167" s="1812"/>
      <c r="E167" s="1815"/>
      <c r="F167" s="1814"/>
      <c r="G167" s="2646"/>
      <c r="H167" s="2647"/>
      <c r="I167" s="2649"/>
      <c r="J167" s="2648"/>
      <c r="K167" s="2646"/>
      <c r="L167" s="2647"/>
      <c r="M167" s="301"/>
    </row>
    <row r="168" spans="1:13" ht="11.25" customHeight="1">
      <c r="A168" s="1817"/>
      <c r="B168" s="278"/>
      <c r="C168" s="1812"/>
      <c r="D168" s="1812"/>
      <c r="E168" s="1815"/>
      <c r="F168" s="1814"/>
      <c r="G168" s="2646"/>
      <c r="H168" s="2647"/>
      <c r="I168" s="2649"/>
      <c r="J168" s="2648"/>
      <c r="K168" s="2646"/>
      <c r="L168" s="2647"/>
      <c r="M168" s="301"/>
    </row>
    <row r="169" spans="1:13" ht="11.25" customHeight="1">
      <c r="A169" s="1817"/>
      <c r="B169" s="278"/>
      <c r="C169" s="1812"/>
      <c r="D169" s="1812"/>
      <c r="E169" s="1815"/>
      <c r="F169" s="1814"/>
      <c r="G169" s="2646"/>
      <c r="H169" s="2647"/>
      <c r="I169" s="2649"/>
      <c r="J169" s="2648"/>
      <c r="K169" s="2646"/>
      <c r="L169" s="2647"/>
      <c r="M169" s="301"/>
    </row>
    <row r="170" spans="1:13" ht="11.25" customHeight="1">
      <c r="A170" s="1817"/>
      <c r="B170" s="278"/>
      <c r="C170" s="1812"/>
      <c r="D170" s="1812"/>
      <c r="E170" s="1815"/>
      <c r="F170" s="1814"/>
      <c r="G170" s="2646"/>
      <c r="H170" s="2647"/>
      <c r="I170" s="2649"/>
      <c r="J170" s="2648"/>
      <c r="K170" s="2646"/>
      <c r="L170" s="2647"/>
      <c r="M170" s="301"/>
    </row>
    <row r="171" spans="1:13">
      <c r="A171" s="183" t="s">
        <v>199</v>
      </c>
      <c r="B171" s="278"/>
      <c r="C171" s="184">
        <f>C6+C17+C28+C39+C50+C61+C72+C83+C94+C105+C116+C127+C138+C149+C160</f>
        <v>0</v>
      </c>
      <c r="D171" s="184">
        <f t="shared" ref="D171:F171" si="15">D6+D17+D28+D39+D50+D61+D72+D83+D94+D105+D116+D127+D138+D149+D160</f>
        <v>0</v>
      </c>
      <c r="E171" s="1532">
        <f t="shared" si="15"/>
        <v>0</v>
      </c>
      <c r="F171" s="1531">
        <f t="shared" si="15"/>
        <v>0</v>
      </c>
      <c r="G171" s="2610">
        <v>0</v>
      </c>
      <c r="H171" s="2638">
        <v>0</v>
      </c>
      <c r="I171" s="2639">
        <v>0</v>
      </c>
      <c r="J171" s="2637">
        <v>0</v>
      </c>
      <c r="K171" s="2610">
        <v>0</v>
      </c>
      <c r="L171" s="2610">
        <v>0</v>
      </c>
      <c r="M171" s="345"/>
    </row>
    <row r="172" spans="1:13" ht="5.0999999999999996" customHeight="1">
      <c r="A172" s="310"/>
      <c r="B172" s="321"/>
      <c r="C172" s="408"/>
      <c r="D172" s="1018"/>
      <c r="E172" s="410"/>
      <c r="F172" s="409"/>
      <c r="G172" s="2619"/>
      <c r="H172" s="2620"/>
      <c r="I172" s="2622"/>
      <c r="J172" s="2621"/>
      <c r="K172" s="2619"/>
      <c r="L172" s="2620"/>
      <c r="M172" s="345"/>
    </row>
    <row r="173" spans="1:13" ht="11.25" customHeight="1">
      <c r="A173" s="170" t="s">
        <v>1932</v>
      </c>
      <c r="B173" s="276"/>
      <c r="C173" s="292"/>
      <c r="D173" s="292"/>
      <c r="E173" s="293"/>
      <c r="F173" s="294"/>
      <c r="G173" s="2611"/>
      <c r="H173" s="2614"/>
      <c r="I173" s="2612"/>
      <c r="J173" s="2613"/>
      <c r="K173" s="2611"/>
      <c r="L173" s="2614"/>
      <c r="M173" s="345"/>
    </row>
    <row r="174" spans="1:13" ht="11.25" customHeight="1">
      <c r="A174" s="170" t="s">
        <v>1100</v>
      </c>
      <c r="B174" s="278">
        <v>2</v>
      </c>
      <c r="C174" s="296"/>
      <c r="D174" s="296"/>
      <c r="E174" s="297"/>
      <c r="F174" s="298"/>
      <c r="G174" s="2615"/>
      <c r="H174" s="2618"/>
      <c r="I174" s="2616"/>
      <c r="J174" s="2617"/>
      <c r="K174" s="2615"/>
      <c r="L174" s="2618"/>
      <c r="M174" s="1520"/>
    </row>
    <row r="175" spans="1:13" ht="11.25" customHeight="1">
      <c r="A175" s="1172" t="str">
        <f>A6</f>
        <v>Vote1 - Executive and Council</v>
      </c>
      <c r="B175" s="976"/>
      <c r="C175" s="973">
        <f t="shared" ref="C175:F175" si="16">SUM(C176:C185)</f>
        <v>0</v>
      </c>
      <c r="D175" s="973">
        <f t="shared" si="16"/>
        <v>0</v>
      </c>
      <c r="E175" s="974">
        <f t="shared" si="16"/>
        <v>0</v>
      </c>
      <c r="F175" s="975">
        <f t="shared" si="16"/>
        <v>0</v>
      </c>
      <c r="G175" s="2624">
        <v>0</v>
      </c>
      <c r="H175" s="2625">
        <v>0</v>
      </c>
      <c r="I175" s="2623">
        <v>0</v>
      </c>
      <c r="J175" s="2626">
        <v>888000</v>
      </c>
      <c r="K175" s="2624">
        <v>0</v>
      </c>
      <c r="L175" s="2625">
        <v>0</v>
      </c>
      <c r="M175" s="1520"/>
    </row>
    <row r="176" spans="1:13" ht="11.25" customHeight="1">
      <c r="A176" s="1172" t="str">
        <f t="shared" ref="A176:A239" si="17">A7</f>
        <v>Government Grants &amp; Subsidies</v>
      </c>
      <c r="B176" s="278"/>
      <c r="C176" s="1812">
        <v>0</v>
      </c>
      <c r="D176" s="1812">
        <v>0</v>
      </c>
      <c r="E176" s="1820">
        <f>SUMIFS('SA36'!I:I,'SA36'!$A:$A,A5A!$A176,'SA36'!$Q:$Q,"S")</f>
        <v>0</v>
      </c>
      <c r="F176" s="1814">
        <f>SUMIFS('SA36'!P:P,'SA36'!$A:$A,A5A!$A176,'SA36'!$Q:$Q,"S")</f>
        <v>0</v>
      </c>
      <c r="G176" s="2646">
        <v>0</v>
      </c>
      <c r="H176" s="2647">
        <v>0</v>
      </c>
      <c r="I176" s="2649">
        <v>0</v>
      </c>
      <c r="J176" s="2648">
        <v>0</v>
      </c>
      <c r="K176" s="2646">
        <v>0</v>
      </c>
      <c r="L176" s="2647">
        <v>0</v>
      </c>
      <c r="M176" s="1520"/>
    </row>
    <row r="177" spans="1:13" ht="11.25" customHeight="1">
      <c r="A177" s="1172" t="str">
        <f t="shared" si="17"/>
        <v>Municipal Manager</v>
      </c>
      <c r="B177" s="278"/>
      <c r="C177" s="1812">
        <v>0</v>
      </c>
      <c r="D177" s="1812">
        <v>0</v>
      </c>
      <c r="E177" s="1820">
        <f>SUMIFS('SA36'!I:I,'SA36'!$A:$A,A5A!$A177,'SA36'!$Q:$Q,"S")</f>
        <v>0</v>
      </c>
      <c r="F177" s="1814">
        <f>SUMIFS('SA36'!P:P,'SA36'!$A:$A,A5A!$A177,'SA36'!$Q:$Q,"S")</f>
        <v>0</v>
      </c>
      <c r="G177" s="2646">
        <v>0</v>
      </c>
      <c r="H177" s="2647">
        <v>0</v>
      </c>
      <c r="I177" s="2649">
        <v>0</v>
      </c>
      <c r="J177" s="2648">
        <v>0</v>
      </c>
      <c r="K177" s="2646">
        <v>0</v>
      </c>
      <c r="L177" s="2647">
        <v>0</v>
      </c>
      <c r="M177" s="1520"/>
    </row>
    <row r="178" spans="1:13" ht="11.25" customHeight="1">
      <c r="A178" s="1172" t="str">
        <f t="shared" si="17"/>
        <v>Council General Expenses</v>
      </c>
      <c r="B178" s="278"/>
      <c r="C178" s="1812">
        <v>0</v>
      </c>
      <c r="D178" s="1812">
        <v>0</v>
      </c>
      <c r="E178" s="1820">
        <f>SUMIFS('SA36'!I:I,'SA36'!$A:$A,A5A!$A178,'SA36'!$Q:$Q,"S")</f>
        <v>0</v>
      </c>
      <c r="F178" s="1814">
        <f>SUMIFS('SA36'!P:P,'SA36'!$A:$A,A5A!$A178,'SA36'!$Q:$Q,"S")</f>
        <v>0</v>
      </c>
      <c r="G178" s="2646">
        <v>0</v>
      </c>
      <c r="H178" s="2647">
        <v>0</v>
      </c>
      <c r="I178" s="2649">
        <v>0</v>
      </c>
      <c r="J178" s="2648">
        <v>888000</v>
      </c>
      <c r="K178" s="2646">
        <v>0</v>
      </c>
      <c r="L178" s="2647">
        <v>0</v>
      </c>
      <c r="M178" s="1520"/>
    </row>
    <row r="179" spans="1:13" ht="11.25" customHeight="1">
      <c r="A179" s="1172">
        <f t="shared" si="17"/>
        <v>0</v>
      </c>
      <c r="B179" s="278"/>
      <c r="C179" s="1812"/>
      <c r="D179" s="1812"/>
      <c r="E179" s="1813"/>
      <c r="F179" s="1814"/>
      <c r="G179" s="2646"/>
      <c r="H179" s="2647"/>
      <c r="I179" s="2649"/>
      <c r="J179" s="2648"/>
      <c r="K179" s="2646"/>
      <c r="L179" s="2647"/>
      <c r="M179" s="1520"/>
    </row>
    <row r="180" spans="1:13" ht="11.25" customHeight="1">
      <c r="A180" s="1172">
        <f t="shared" si="17"/>
        <v>0</v>
      </c>
      <c r="B180" s="278"/>
      <c r="C180" s="1812"/>
      <c r="D180" s="1812"/>
      <c r="E180" s="1813"/>
      <c r="F180" s="1814"/>
      <c r="G180" s="2646"/>
      <c r="H180" s="2647"/>
      <c r="I180" s="2649"/>
      <c r="J180" s="2648"/>
      <c r="K180" s="2646"/>
      <c r="L180" s="2647"/>
      <c r="M180" s="1520"/>
    </row>
    <row r="181" spans="1:13" ht="11.25" customHeight="1">
      <c r="A181" s="1172">
        <f t="shared" si="17"/>
        <v>0</v>
      </c>
      <c r="B181" s="278"/>
      <c r="C181" s="1812"/>
      <c r="D181" s="1812"/>
      <c r="E181" s="1813"/>
      <c r="F181" s="1814"/>
      <c r="G181" s="2646"/>
      <c r="H181" s="2647"/>
      <c r="I181" s="2649"/>
      <c r="J181" s="2648"/>
      <c r="K181" s="2646"/>
      <c r="L181" s="2647"/>
      <c r="M181" s="1520"/>
    </row>
    <row r="182" spans="1:13" ht="11.25" customHeight="1">
      <c r="A182" s="1172">
        <f t="shared" si="17"/>
        <v>0</v>
      </c>
      <c r="B182" s="278"/>
      <c r="C182" s="1812"/>
      <c r="D182" s="1812"/>
      <c r="E182" s="1813"/>
      <c r="F182" s="1814"/>
      <c r="G182" s="2646"/>
      <c r="H182" s="2647"/>
      <c r="I182" s="2649"/>
      <c r="J182" s="2648"/>
      <c r="K182" s="2646"/>
      <c r="L182" s="2647"/>
      <c r="M182" s="1520"/>
    </row>
    <row r="183" spans="1:13" ht="11.25" customHeight="1">
      <c r="A183" s="1172">
        <f t="shared" si="17"/>
        <v>0</v>
      </c>
      <c r="B183" s="278"/>
      <c r="C183" s="1812"/>
      <c r="D183" s="1812"/>
      <c r="E183" s="1813"/>
      <c r="F183" s="1814"/>
      <c r="G183" s="2646"/>
      <c r="H183" s="2647"/>
      <c r="I183" s="2649"/>
      <c r="J183" s="2648"/>
      <c r="K183" s="2646"/>
      <c r="L183" s="2647"/>
      <c r="M183" s="1520"/>
    </row>
    <row r="184" spans="1:13" ht="11.25" customHeight="1">
      <c r="A184" s="1172">
        <f t="shared" si="17"/>
        <v>0</v>
      </c>
      <c r="B184" s="278"/>
      <c r="C184" s="1812"/>
      <c r="D184" s="1812"/>
      <c r="E184" s="1813"/>
      <c r="F184" s="1814"/>
      <c r="G184" s="2646"/>
      <c r="H184" s="2647"/>
      <c r="I184" s="2649"/>
      <c r="J184" s="2648"/>
      <c r="K184" s="2646"/>
      <c r="L184" s="2647"/>
      <c r="M184" s="1520"/>
    </row>
    <row r="185" spans="1:13" ht="11.25" customHeight="1">
      <c r="A185" s="1172">
        <f t="shared" si="17"/>
        <v>0</v>
      </c>
      <c r="B185" s="278"/>
      <c r="C185" s="1812"/>
      <c r="D185" s="1812"/>
      <c r="E185" s="1813"/>
      <c r="F185" s="1814"/>
      <c r="G185" s="2646"/>
      <c r="H185" s="2647"/>
      <c r="I185" s="2649"/>
      <c r="J185" s="2648"/>
      <c r="K185" s="2646"/>
      <c r="L185" s="2647"/>
      <c r="M185" s="1520"/>
    </row>
    <row r="186" spans="1:13" ht="11.25" customHeight="1">
      <c r="A186" s="1172" t="str">
        <f t="shared" si="17"/>
        <v>Vote2 - Budget and Treasury Office</v>
      </c>
      <c r="B186" s="976"/>
      <c r="C186" s="973">
        <f t="shared" ref="C186:F186" si="18">SUM(C187:C196)</f>
        <v>0</v>
      </c>
      <c r="D186" s="973">
        <f t="shared" si="18"/>
        <v>0</v>
      </c>
      <c r="E186" s="974">
        <f t="shared" si="18"/>
        <v>0</v>
      </c>
      <c r="F186" s="975">
        <f t="shared" si="18"/>
        <v>0</v>
      </c>
      <c r="G186" s="2624">
        <v>0</v>
      </c>
      <c r="H186" s="2625">
        <v>0</v>
      </c>
      <c r="I186" s="2627">
        <v>0</v>
      </c>
      <c r="J186" s="2626">
        <v>0</v>
      </c>
      <c r="K186" s="2624">
        <v>0</v>
      </c>
      <c r="L186" s="2625">
        <v>0</v>
      </c>
      <c r="M186" s="1520"/>
    </row>
    <row r="187" spans="1:13" ht="11.25" customHeight="1">
      <c r="A187" s="1172" t="str">
        <f t="shared" si="17"/>
        <v>Property Tax</v>
      </c>
      <c r="B187" s="278"/>
      <c r="C187" s="1812">
        <v>0</v>
      </c>
      <c r="D187" s="1812">
        <v>0</v>
      </c>
      <c r="E187" s="1820">
        <f>SUMIFS('SA36'!I:I,'SA36'!$A:$A,A5A!$A187,'SA36'!$Q:$Q,"S")</f>
        <v>0</v>
      </c>
      <c r="F187" s="1814">
        <f>SUMIFS('SA36'!P:P,'SA36'!$A:$A,A5A!$A187,'SA36'!$Q:$Q,"S")</f>
        <v>0</v>
      </c>
      <c r="G187" s="2646">
        <v>0</v>
      </c>
      <c r="H187" s="2647">
        <v>0</v>
      </c>
      <c r="I187" s="2649">
        <v>0</v>
      </c>
      <c r="J187" s="2648">
        <v>0</v>
      </c>
      <c r="K187" s="2646">
        <v>0</v>
      </c>
      <c r="L187" s="2647">
        <v>0</v>
      </c>
      <c r="M187" s="1520"/>
    </row>
    <row r="188" spans="1:13" ht="11.25" customHeight="1">
      <c r="A188" s="1172" t="str">
        <f t="shared" si="17"/>
        <v>Finance</v>
      </c>
      <c r="B188" s="278"/>
      <c r="C188" s="1812">
        <v>0</v>
      </c>
      <c r="D188" s="1812">
        <v>0</v>
      </c>
      <c r="E188" s="1820">
        <f>SUMIFS('SA36'!I:I,'SA36'!$A:$A,A5A!$A188,'SA36'!$Q:$Q,"S")</f>
        <v>0</v>
      </c>
      <c r="F188" s="1814">
        <f>SUMIFS('SA36'!P:P,'SA36'!$A:$A,A5A!$A188,'SA36'!$Q:$Q,"S")</f>
        <v>0</v>
      </c>
      <c r="G188" s="2646">
        <v>0</v>
      </c>
      <c r="H188" s="2647">
        <v>0</v>
      </c>
      <c r="I188" s="2649">
        <v>0</v>
      </c>
      <c r="J188" s="2648">
        <v>0</v>
      </c>
      <c r="K188" s="2646">
        <v>0</v>
      </c>
      <c r="L188" s="2647">
        <v>0</v>
      </c>
      <c r="M188" s="1520"/>
    </row>
    <row r="189" spans="1:13" ht="11.25" customHeight="1">
      <c r="A189" s="1172" t="str">
        <f t="shared" si="17"/>
        <v>Stores</v>
      </c>
      <c r="B189" s="278"/>
      <c r="C189" s="1812">
        <v>0</v>
      </c>
      <c r="D189" s="1812">
        <v>0</v>
      </c>
      <c r="E189" s="1820">
        <f>SUMIFS('SA36'!I:I,'SA36'!$A:$A,A5A!$A189,'SA36'!$Q:$Q,"S")</f>
        <v>0</v>
      </c>
      <c r="F189" s="1814">
        <f>SUMIFS('SA36'!P:P,'SA36'!$A:$A,A5A!$A189,'SA36'!$Q:$Q,"S")</f>
        <v>0</v>
      </c>
      <c r="G189" s="2646">
        <v>0</v>
      </c>
      <c r="H189" s="2647">
        <v>0</v>
      </c>
      <c r="I189" s="2649">
        <v>0</v>
      </c>
      <c r="J189" s="2648">
        <v>0</v>
      </c>
      <c r="K189" s="2646">
        <v>0</v>
      </c>
      <c r="L189" s="2647">
        <v>0</v>
      </c>
      <c r="M189" s="1520"/>
    </row>
    <row r="190" spans="1:13" ht="11.25" customHeight="1">
      <c r="A190" s="1172" t="str">
        <f t="shared" si="17"/>
        <v>Information Technology</v>
      </c>
      <c r="B190" s="278"/>
      <c r="C190" s="1812">
        <v>0</v>
      </c>
      <c r="D190" s="1812">
        <v>0</v>
      </c>
      <c r="E190" s="1820">
        <f>SUMIFS('SA36'!I:I,'SA36'!$A:$A,A5A!$A190,'SA36'!$Q:$Q,"S")</f>
        <v>0</v>
      </c>
      <c r="F190" s="1814">
        <f>SUMIFS('SA36'!P:P,'SA36'!$A:$A,A5A!$A190,'SA36'!$Q:$Q,"S")</f>
        <v>0</v>
      </c>
      <c r="G190" s="2646">
        <v>0</v>
      </c>
      <c r="H190" s="2647">
        <v>0</v>
      </c>
      <c r="I190" s="2649">
        <v>0</v>
      </c>
      <c r="J190" s="2648">
        <v>0</v>
      </c>
      <c r="K190" s="2646">
        <v>0</v>
      </c>
      <c r="L190" s="2647">
        <v>0</v>
      </c>
      <c r="M190" s="1520"/>
    </row>
    <row r="191" spans="1:13" ht="11.25" customHeight="1">
      <c r="A191" s="1172" t="str">
        <f t="shared" si="17"/>
        <v>Funds &amp; Reserves</v>
      </c>
      <c r="B191" s="278"/>
      <c r="C191" s="1812"/>
      <c r="D191" s="1812"/>
      <c r="E191" s="1813"/>
      <c r="F191" s="1814">
        <f>SUMIFS('SA36'!P:P,'SA36'!$A:$A,A5A!$A191,'SA36'!$Q:$Q,"S")</f>
        <v>0</v>
      </c>
      <c r="G191" s="2646">
        <v>0</v>
      </c>
      <c r="H191" s="2647">
        <v>0</v>
      </c>
      <c r="I191" s="2649">
        <v>0</v>
      </c>
      <c r="J191" s="2648">
        <v>0</v>
      </c>
      <c r="K191" s="2646">
        <v>0</v>
      </c>
      <c r="L191" s="2647">
        <v>0</v>
      </c>
      <c r="M191" s="1520"/>
    </row>
    <row r="192" spans="1:13" ht="11.25" customHeight="1">
      <c r="A192" s="1172">
        <f t="shared" si="17"/>
        <v>0</v>
      </c>
      <c r="B192" s="278"/>
      <c r="C192" s="1812"/>
      <c r="D192" s="1812"/>
      <c r="E192" s="1813"/>
      <c r="F192" s="1814"/>
      <c r="G192" s="2646"/>
      <c r="H192" s="2647"/>
      <c r="I192" s="2649"/>
      <c r="J192" s="2648"/>
      <c r="K192" s="2646"/>
      <c r="L192" s="2647"/>
      <c r="M192" s="1520"/>
    </row>
    <row r="193" spans="1:13" ht="11.25" customHeight="1">
      <c r="A193" s="1172">
        <f t="shared" si="17"/>
        <v>0</v>
      </c>
      <c r="B193" s="278"/>
      <c r="C193" s="1812"/>
      <c r="D193" s="1812"/>
      <c r="E193" s="1813"/>
      <c r="F193" s="1814"/>
      <c r="G193" s="2646"/>
      <c r="H193" s="2647"/>
      <c r="I193" s="2649"/>
      <c r="J193" s="2648"/>
      <c r="K193" s="2646"/>
      <c r="L193" s="2647"/>
      <c r="M193" s="1520"/>
    </row>
    <row r="194" spans="1:13" ht="13.5">
      <c r="A194" s="1172">
        <f t="shared" si="17"/>
        <v>0</v>
      </c>
      <c r="B194" s="278"/>
      <c r="C194" s="1812"/>
      <c r="D194" s="1812"/>
      <c r="E194" s="1813"/>
      <c r="F194" s="1814"/>
      <c r="G194" s="2646"/>
      <c r="H194" s="2647"/>
      <c r="I194" s="2649"/>
      <c r="J194" s="2648"/>
      <c r="K194" s="2646"/>
      <c r="L194" s="2647"/>
      <c r="M194" s="1520"/>
    </row>
    <row r="195" spans="1:13" ht="11.25" customHeight="1">
      <c r="A195" s="1172">
        <f t="shared" si="17"/>
        <v>0</v>
      </c>
      <c r="B195" s="278"/>
      <c r="C195" s="1812"/>
      <c r="D195" s="1812"/>
      <c r="E195" s="1813"/>
      <c r="F195" s="1814"/>
      <c r="G195" s="2646"/>
      <c r="H195" s="2647"/>
      <c r="I195" s="2649"/>
      <c r="J195" s="2648"/>
      <c r="K195" s="2646"/>
      <c r="L195" s="2647"/>
      <c r="M195" s="1520"/>
    </row>
    <row r="196" spans="1:13" ht="11.25" customHeight="1">
      <c r="A196" s="1172">
        <f t="shared" si="17"/>
        <v>0</v>
      </c>
      <c r="B196" s="278"/>
      <c r="C196" s="1812"/>
      <c r="D196" s="1812"/>
      <c r="E196" s="1813"/>
      <c r="F196" s="1814"/>
      <c r="G196" s="2646"/>
      <c r="H196" s="2647"/>
      <c r="I196" s="2649"/>
      <c r="J196" s="2648"/>
      <c r="K196" s="2646"/>
      <c r="L196" s="2647"/>
      <c r="M196" s="1520"/>
    </row>
    <row r="197" spans="1:13" ht="11.25" customHeight="1">
      <c r="A197" s="1172" t="str">
        <f t="shared" si="17"/>
        <v>Vote3 - Corporate Services</v>
      </c>
      <c r="B197" s="976"/>
      <c r="C197" s="973">
        <f t="shared" ref="C197:F197" si="19">SUM(C198:C207)</f>
        <v>0</v>
      </c>
      <c r="D197" s="973">
        <f t="shared" si="19"/>
        <v>0</v>
      </c>
      <c r="E197" s="974">
        <f t="shared" si="19"/>
        <v>0</v>
      </c>
      <c r="F197" s="975">
        <f t="shared" si="19"/>
        <v>0</v>
      </c>
      <c r="G197" s="2624">
        <v>0</v>
      </c>
      <c r="H197" s="2625">
        <v>0</v>
      </c>
      <c r="I197" s="2627">
        <v>0</v>
      </c>
      <c r="J197" s="2626">
        <v>0</v>
      </c>
      <c r="K197" s="2624">
        <v>0</v>
      </c>
      <c r="L197" s="2625">
        <v>0</v>
      </c>
      <c r="M197" s="1520"/>
    </row>
    <row r="198" spans="1:13" ht="11.25" customHeight="1">
      <c r="A198" s="1172" t="str">
        <f t="shared" si="17"/>
        <v>Corporate Services</v>
      </c>
      <c r="B198" s="278"/>
      <c r="C198" s="1812">
        <v>0</v>
      </c>
      <c r="D198" s="1812">
        <v>0</v>
      </c>
      <c r="E198" s="1820">
        <f>SUMIFS('SA36'!I:I,'SA36'!$A:$A,A5A!$A198,'SA36'!$Q:$Q,"S")</f>
        <v>0</v>
      </c>
      <c r="F198" s="1814">
        <f>SUMIFS('SA36'!P:P,'SA36'!$A:$A,A5A!$A198,'SA36'!$Q:$Q,"S")</f>
        <v>0</v>
      </c>
      <c r="G198" s="2646">
        <v>0</v>
      </c>
      <c r="H198" s="2647">
        <v>0</v>
      </c>
      <c r="I198" s="2649">
        <v>0</v>
      </c>
      <c r="J198" s="2648">
        <v>0</v>
      </c>
      <c r="K198" s="2646">
        <v>0</v>
      </c>
      <c r="L198" s="2647">
        <v>0</v>
      </c>
      <c r="M198" s="1520"/>
    </row>
    <row r="199" spans="1:13" ht="11.25" customHeight="1">
      <c r="A199" s="1172" t="str">
        <f t="shared" si="17"/>
        <v>Human Resources</v>
      </c>
      <c r="B199" s="278"/>
      <c r="C199" s="1812">
        <v>0</v>
      </c>
      <c r="D199" s="1812">
        <v>0</v>
      </c>
      <c r="E199" s="1820">
        <f>SUMIFS('SA36'!I:I,'SA36'!$A:$A,A5A!$A199,'SA36'!$Q:$Q,"S")</f>
        <v>0</v>
      </c>
      <c r="F199" s="1814">
        <f>SUMIFS('SA36'!P:P,'SA36'!$A:$A,A5A!$A199,'SA36'!$Q:$Q,"S")</f>
        <v>0</v>
      </c>
      <c r="G199" s="2646">
        <v>0</v>
      </c>
      <c r="H199" s="2647">
        <v>0</v>
      </c>
      <c r="I199" s="2649">
        <v>0</v>
      </c>
      <c r="J199" s="2648">
        <v>0</v>
      </c>
      <c r="K199" s="2646">
        <v>0</v>
      </c>
      <c r="L199" s="2647">
        <v>0</v>
      </c>
      <c r="M199" s="1520"/>
    </row>
    <row r="200" spans="1:13" ht="11.25" customHeight="1">
      <c r="A200" s="1172">
        <f t="shared" si="17"/>
        <v>0</v>
      </c>
      <c r="B200" s="278"/>
      <c r="C200" s="1812"/>
      <c r="D200" s="1812"/>
      <c r="E200" s="1813"/>
      <c r="F200" s="1814"/>
      <c r="G200" s="2646"/>
      <c r="H200" s="2647"/>
      <c r="I200" s="2649"/>
      <c r="J200" s="2648"/>
      <c r="K200" s="2646"/>
      <c r="L200" s="2647"/>
      <c r="M200" s="1520"/>
    </row>
    <row r="201" spans="1:13" ht="11.25" customHeight="1">
      <c r="A201" s="1172">
        <f t="shared" si="17"/>
        <v>0</v>
      </c>
      <c r="B201" s="278"/>
      <c r="C201" s="1044"/>
      <c r="D201" s="1044"/>
      <c r="E201" s="1045"/>
      <c r="F201" s="1046"/>
      <c r="G201" s="2629"/>
      <c r="H201" s="2630"/>
      <c r="I201" s="2632"/>
      <c r="J201" s="2631"/>
      <c r="K201" s="2629"/>
      <c r="L201" s="2630"/>
      <c r="M201" s="1520"/>
    </row>
    <row r="202" spans="1:13" ht="11.25" customHeight="1">
      <c r="A202" s="1172">
        <f t="shared" si="17"/>
        <v>0</v>
      </c>
      <c r="B202" s="278"/>
      <c r="C202" s="1044"/>
      <c r="D202" s="1044"/>
      <c r="E202" s="1045"/>
      <c r="F202" s="1046"/>
      <c r="G202" s="2629"/>
      <c r="H202" s="2630"/>
      <c r="I202" s="2632"/>
      <c r="J202" s="2631"/>
      <c r="K202" s="2629"/>
      <c r="L202" s="2630"/>
      <c r="M202" s="1520"/>
    </row>
    <row r="203" spans="1:13" ht="11.25" customHeight="1">
      <c r="A203" s="1172">
        <f t="shared" si="17"/>
        <v>0</v>
      </c>
      <c r="B203" s="278"/>
      <c r="C203" s="1044"/>
      <c r="D203" s="1044"/>
      <c r="E203" s="1045"/>
      <c r="F203" s="1046"/>
      <c r="G203" s="2629"/>
      <c r="H203" s="2630"/>
      <c r="I203" s="2632"/>
      <c r="J203" s="2631"/>
      <c r="K203" s="2629"/>
      <c r="L203" s="2630"/>
      <c r="M203" s="1520"/>
    </row>
    <row r="204" spans="1:13" ht="13.5">
      <c r="A204" s="1172">
        <f t="shared" si="17"/>
        <v>0</v>
      </c>
      <c r="B204" s="278"/>
      <c r="C204" s="1044"/>
      <c r="D204" s="1044"/>
      <c r="E204" s="1045"/>
      <c r="F204" s="1046"/>
      <c r="G204" s="2629"/>
      <c r="H204" s="2630"/>
      <c r="I204" s="2632"/>
      <c r="J204" s="2631"/>
      <c r="K204" s="2629"/>
      <c r="L204" s="2630"/>
      <c r="M204" s="1520"/>
    </row>
    <row r="205" spans="1:13" ht="13.5">
      <c r="A205" s="1172">
        <f t="shared" si="17"/>
        <v>0</v>
      </c>
      <c r="B205" s="278"/>
      <c r="C205" s="1044"/>
      <c r="D205" s="1044"/>
      <c r="E205" s="1045"/>
      <c r="F205" s="1046"/>
      <c r="G205" s="2629"/>
      <c r="H205" s="2630"/>
      <c r="I205" s="2632"/>
      <c r="J205" s="2631"/>
      <c r="K205" s="2629"/>
      <c r="L205" s="2630"/>
      <c r="M205" s="1520"/>
    </row>
    <row r="206" spans="1:13" ht="11.25" customHeight="1">
      <c r="A206" s="1172">
        <f t="shared" si="17"/>
        <v>0</v>
      </c>
      <c r="B206" s="278"/>
      <c r="C206" s="1044"/>
      <c r="D206" s="1044"/>
      <c r="E206" s="1045"/>
      <c r="F206" s="1046"/>
      <c r="G206" s="2629"/>
      <c r="H206" s="2630"/>
      <c r="I206" s="2632"/>
      <c r="J206" s="2631"/>
      <c r="K206" s="2629"/>
      <c r="L206" s="2630"/>
      <c r="M206" s="1520"/>
    </row>
    <row r="207" spans="1:13" ht="13.5">
      <c r="A207" s="1172">
        <f t="shared" si="17"/>
        <v>0</v>
      </c>
      <c r="B207" s="278"/>
      <c r="C207" s="1044"/>
      <c r="D207" s="1044"/>
      <c r="E207" s="1045"/>
      <c r="F207" s="1046"/>
      <c r="G207" s="2629"/>
      <c r="H207" s="2630"/>
      <c r="I207" s="2632"/>
      <c r="J207" s="2631"/>
      <c r="K207" s="2629"/>
      <c r="L207" s="2630"/>
      <c r="M207" s="1520"/>
    </row>
    <row r="208" spans="1:13" ht="13.5">
      <c r="A208" s="1172" t="str">
        <f t="shared" si="17"/>
        <v>Vote4 - Community and Social Services</v>
      </c>
      <c r="B208" s="976"/>
      <c r="C208" s="973">
        <f t="shared" ref="C208:F208" si="20">SUM(C209:C218)</f>
        <v>0</v>
      </c>
      <c r="D208" s="973">
        <f t="shared" si="20"/>
        <v>0</v>
      </c>
      <c r="E208" s="974">
        <f t="shared" si="20"/>
        <v>0</v>
      </c>
      <c r="F208" s="977">
        <f t="shared" si="20"/>
        <v>0</v>
      </c>
      <c r="G208" s="2624">
        <v>0</v>
      </c>
      <c r="H208" s="2625">
        <v>0</v>
      </c>
      <c r="I208" s="2627">
        <v>0</v>
      </c>
      <c r="J208" s="2626">
        <v>300000</v>
      </c>
      <c r="K208" s="2624">
        <v>0</v>
      </c>
      <c r="L208" s="2628">
        <v>0</v>
      </c>
      <c r="M208" s="1520"/>
    </row>
    <row r="209" spans="1:13" ht="13.5">
      <c r="A209" s="1172" t="str">
        <f t="shared" si="17"/>
        <v>Library</v>
      </c>
      <c r="B209" s="278"/>
      <c r="C209" s="1044">
        <v>0</v>
      </c>
      <c r="D209" s="1044">
        <v>0</v>
      </c>
      <c r="E209" s="1569">
        <f>SUMIFS('SA36'!I:I,'SA36'!$A:$A,A5A!$A209,'SA36'!$Q:$Q,"S")</f>
        <v>0</v>
      </c>
      <c r="F209" s="1568">
        <f>SUMIFS('SA36'!P:P,'SA36'!$A:$A,A5A!$A209,'SA36'!$Q:$Q,"S")</f>
        <v>0</v>
      </c>
      <c r="G209" s="2642">
        <v>0</v>
      </c>
      <c r="H209" s="2643">
        <v>0</v>
      </c>
      <c r="I209" s="2645">
        <v>0</v>
      </c>
      <c r="J209" s="2644">
        <v>0</v>
      </c>
      <c r="K209" s="2642">
        <v>0</v>
      </c>
      <c r="L209" s="2643">
        <v>0</v>
      </c>
      <c r="M209" s="1520"/>
    </row>
    <row r="210" spans="1:13" ht="13.5">
      <c r="A210" s="1172" t="str">
        <f t="shared" si="17"/>
        <v>Community Services</v>
      </c>
      <c r="B210" s="278"/>
      <c r="C210" s="1044">
        <v>0</v>
      </c>
      <c r="D210" s="1044">
        <v>0</v>
      </c>
      <c r="E210" s="1569">
        <f>SUMIFS('SA36'!I:I,'SA36'!$A:$A,A5A!$A210,'SA36'!$Q:$Q,"S")</f>
        <v>0</v>
      </c>
      <c r="F210" s="1568">
        <f>SUMIFS('SA36'!P:P,'SA36'!$A:$A,A5A!$A210,'SA36'!$Q:$Q,"S")</f>
        <v>0</v>
      </c>
      <c r="G210" s="2642">
        <v>0</v>
      </c>
      <c r="H210" s="2643">
        <v>0</v>
      </c>
      <c r="I210" s="2645">
        <v>0</v>
      </c>
      <c r="J210" s="2644">
        <v>0</v>
      </c>
      <c r="K210" s="2642">
        <v>0</v>
      </c>
      <c r="L210" s="2643">
        <v>0</v>
      </c>
      <c r="M210" s="1520"/>
    </row>
    <row r="211" spans="1:13" ht="11.25" customHeight="1">
      <c r="A211" s="1172" t="str">
        <f t="shared" si="17"/>
        <v>Cemetry</v>
      </c>
      <c r="B211" s="278"/>
      <c r="C211" s="1044">
        <v>0</v>
      </c>
      <c r="D211" s="1044">
        <v>0</v>
      </c>
      <c r="E211" s="1569">
        <f>SUMIFS('SA36'!I:I,'SA36'!$A:$A,A5A!$A211,'SA36'!$Q:$Q,"S")</f>
        <v>0</v>
      </c>
      <c r="F211" s="1568">
        <f>SUMIFS('SA36'!P:P,'SA36'!$A:$A,A5A!$A211,'SA36'!$Q:$Q,"S")</f>
        <v>0</v>
      </c>
      <c r="G211" s="2642">
        <v>0</v>
      </c>
      <c r="H211" s="2643">
        <v>0</v>
      </c>
      <c r="I211" s="2645">
        <v>0</v>
      </c>
      <c r="J211" s="2644">
        <v>300000</v>
      </c>
      <c r="K211" s="2642">
        <v>0</v>
      </c>
      <c r="L211" s="2643">
        <v>0</v>
      </c>
      <c r="M211" s="1520"/>
    </row>
    <row r="212" spans="1:13" s="309" customFormat="1" ht="11.25" customHeight="1">
      <c r="A212" s="1172" t="str">
        <f t="shared" si="17"/>
        <v>Buildings and Commonage</v>
      </c>
      <c r="B212" s="278"/>
      <c r="C212" s="1044">
        <v>0</v>
      </c>
      <c r="D212" s="1044">
        <v>0</v>
      </c>
      <c r="E212" s="1569">
        <f>SUMIFS('SA36'!I:I,'SA36'!$A:$A,A5A!$A212,'SA36'!$Q:$Q,"S")</f>
        <v>0</v>
      </c>
      <c r="F212" s="1568">
        <f>SUMIFS('SA36'!P:P,'SA36'!$A:$A,A5A!$A212,'SA36'!$Q:$Q,"S")</f>
        <v>0</v>
      </c>
      <c r="G212" s="2642">
        <v>0</v>
      </c>
      <c r="H212" s="2643">
        <v>0</v>
      </c>
      <c r="I212" s="2645">
        <v>0</v>
      </c>
      <c r="J212" s="2644">
        <v>0</v>
      </c>
      <c r="K212" s="2642">
        <v>0</v>
      </c>
      <c r="L212" s="2643">
        <v>0</v>
      </c>
      <c r="M212" s="1520"/>
    </row>
    <row r="213" spans="1:13" s="309" customFormat="1" ht="11.25" customHeight="1">
      <c r="A213" s="1172">
        <f t="shared" si="17"/>
        <v>0</v>
      </c>
      <c r="B213" s="278"/>
      <c r="C213" s="1044"/>
      <c r="D213" s="1044"/>
      <c r="E213" s="1045"/>
      <c r="F213" s="1046"/>
      <c r="G213" s="2629"/>
      <c r="H213" s="2630"/>
      <c r="I213" s="2632"/>
      <c r="J213" s="2631"/>
      <c r="K213" s="2629"/>
      <c r="L213" s="2630"/>
      <c r="M213" s="1520"/>
    </row>
    <row r="214" spans="1:13" ht="11.25" customHeight="1">
      <c r="A214" s="1172">
        <f t="shared" si="17"/>
        <v>0</v>
      </c>
      <c r="B214" s="278"/>
      <c r="C214" s="1044"/>
      <c r="D214" s="1044"/>
      <c r="E214" s="1045"/>
      <c r="F214" s="1046"/>
      <c r="G214" s="2629"/>
      <c r="H214" s="2630"/>
      <c r="I214" s="2632"/>
      <c r="J214" s="2631"/>
      <c r="K214" s="2629"/>
      <c r="L214" s="2630"/>
      <c r="M214" s="1520"/>
    </row>
    <row r="215" spans="1:13" ht="11.25" customHeight="1">
      <c r="A215" s="1172">
        <f t="shared" si="17"/>
        <v>0</v>
      </c>
      <c r="B215" s="278"/>
      <c r="C215" s="1044"/>
      <c r="D215" s="1044"/>
      <c r="E215" s="1045"/>
      <c r="F215" s="1046"/>
      <c r="G215" s="2629"/>
      <c r="H215" s="2630"/>
      <c r="I215" s="2632"/>
      <c r="J215" s="2631"/>
      <c r="K215" s="2629"/>
      <c r="L215" s="2630"/>
      <c r="M215" s="1520"/>
    </row>
    <row r="216" spans="1:13" ht="11.25" customHeight="1">
      <c r="A216" s="1172">
        <f t="shared" si="17"/>
        <v>0</v>
      </c>
      <c r="B216" s="278"/>
      <c r="C216" s="1044"/>
      <c r="D216" s="1044"/>
      <c r="E216" s="1045"/>
      <c r="F216" s="1046"/>
      <c r="G216" s="2629"/>
      <c r="H216" s="2630"/>
      <c r="I216" s="2632"/>
      <c r="J216" s="2631"/>
      <c r="K216" s="2629"/>
      <c r="L216" s="2630"/>
      <c r="M216" s="1520"/>
    </row>
    <row r="217" spans="1:13" ht="11.25" customHeight="1">
      <c r="A217" s="1172">
        <f t="shared" si="17"/>
        <v>0</v>
      </c>
      <c r="B217" s="278"/>
      <c r="C217" s="1044"/>
      <c r="D217" s="1044"/>
      <c r="E217" s="1045"/>
      <c r="F217" s="1046"/>
      <c r="G217" s="2629"/>
      <c r="H217" s="2630"/>
      <c r="I217" s="2632"/>
      <c r="J217" s="2631"/>
      <c r="K217" s="2629"/>
      <c r="L217" s="2630"/>
      <c r="M217" s="1520"/>
    </row>
    <row r="218" spans="1:13" ht="11.25" customHeight="1">
      <c r="A218" s="1172">
        <f t="shared" si="17"/>
        <v>0</v>
      </c>
      <c r="B218" s="278"/>
      <c r="C218" s="1044"/>
      <c r="D218" s="1044"/>
      <c r="E218" s="1045"/>
      <c r="F218" s="1046"/>
      <c r="G218" s="2629"/>
      <c r="H218" s="2630"/>
      <c r="I218" s="2632"/>
      <c r="J218" s="2631"/>
      <c r="K218" s="2629"/>
      <c r="L218" s="2630"/>
      <c r="M218" s="1520"/>
    </row>
    <row r="219" spans="1:13" ht="11.25" customHeight="1">
      <c r="A219" s="1172" t="str">
        <f t="shared" si="17"/>
        <v>Vote5 - Sport and Recreation</v>
      </c>
      <c r="B219" s="976"/>
      <c r="C219" s="973">
        <f t="shared" ref="C219:F219" si="21">SUM(C220:C229)</f>
        <v>0</v>
      </c>
      <c r="D219" s="973">
        <f t="shared" si="21"/>
        <v>0</v>
      </c>
      <c r="E219" s="974">
        <f t="shared" si="21"/>
        <v>0</v>
      </c>
      <c r="F219" s="975">
        <f t="shared" si="21"/>
        <v>0</v>
      </c>
      <c r="G219" s="2624">
        <v>0</v>
      </c>
      <c r="H219" s="2625">
        <v>0</v>
      </c>
      <c r="I219" s="2627">
        <v>0</v>
      </c>
      <c r="J219" s="2626">
        <v>0</v>
      </c>
      <c r="K219" s="2624">
        <v>0</v>
      </c>
      <c r="L219" s="2625">
        <v>0</v>
      </c>
      <c r="M219" s="1520"/>
    </row>
    <row r="220" spans="1:13" ht="11.25" customHeight="1">
      <c r="A220" s="1172" t="str">
        <f t="shared" si="17"/>
        <v>Nature Reserve</v>
      </c>
      <c r="B220" s="278"/>
      <c r="C220" s="1044">
        <v>0</v>
      </c>
      <c r="D220" s="1044">
        <v>0</v>
      </c>
      <c r="E220" s="1569">
        <f>SUMIFS('SA36'!I:I,'SA36'!$A:$A,A5A!$A220,'SA36'!$Q:$Q,"S")</f>
        <v>0</v>
      </c>
      <c r="F220" s="1568">
        <f>SUMIFS('SA36'!P:P,'SA36'!$A:$A,A5A!$A220,'SA36'!$Q:$Q,"S")</f>
        <v>0</v>
      </c>
      <c r="G220" s="2642">
        <v>0</v>
      </c>
      <c r="H220" s="2643">
        <v>0</v>
      </c>
      <c r="I220" s="2645">
        <v>0</v>
      </c>
      <c r="J220" s="2644">
        <v>0</v>
      </c>
      <c r="K220" s="2642">
        <v>0</v>
      </c>
      <c r="L220" s="2643">
        <v>0</v>
      </c>
      <c r="M220" s="1520"/>
    </row>
    <row r="221" spans="1:13" ht="11.25" customHeight="1">
      <c r="A221" s="1172" t="str">
        <f t="shared" si="17"/>
        <v>Parks &amp; Open Spaces</v>
      </c>
      <c r="B221" s="278"/>
      <c r="C221" s="1044">
        <v>0</v>
      </c>
      <c r="D221" s="1044">
        <v>0</v>
      </c>
      <c r="E221" s="1569">
        <f>SUMIFS('SA36'!I:I,'SA36'!$A:$A,A5A!$A221,'SA36'!$Q:$Q,"S")</f>
        <v>0</v>
      </c>
      <c r="F221" s="1568">
        <f>SUMIFS('SA36'!P:P,'SA36'!$A:$A,A5A!$A221,'SA36'!$Q:$Q,"S")</f>
        <v>0</v>
      </c>
      <c r="G221" s="2642">
        <v>0</v>
      </c>
      <c r="H221" s="2643">
        <v>0</v>
      </c>
      <c r="I221" s="2645">
        <v>0</v>
      </c>
      <c r="J221" s="2644">
        <v>0</v>
      </c>
      <c r="K221" s="2642">
        <v>0</v>
      </c>
      <c r="L221" s="2643">
        <v>0</v>
      </c>
      <c r="M221" s="1520"/>
    </row>
    <row r="222" spans="1:13" ht="11.25" customHeight="1">
      <c r="A222" s="1172" t="str">
        <f t="shared" si="17"/>
        <v>Sports Grounds</v>
      </c>
      <c r="B222" s="278"/>
      <c r="C222" s="1044">
        <v>0</v>
      </c>
      <c r="D222" s="1044">
        <v>0</v>
      </c>
      <c r="E222" s="1569">
        <f>SUMIFS('SA36'!I:I,'SA36'!$A:$A,A5A!$A222,'SA36'!$Q:$Q,"S")</f>
        <v>0</v>
      </c>
      <c r="F222" s="1568">
        <f>SUMIFS('SA36'!P:P,'SA36'!$A:$A,A5A!$A222,'SA36'!$Q:$Q,"S")</f>
        <v>0</v>
      </c>
      <c r="G222" s="2642">
        <v>0</v>
      </c>
      <c r="H222" s="2643">
        <v>0</v>
      </c>
      <c r="I222" s="2645">
        <v>0</v>
      </c>
      <c r="J222" s="2644">
        <v>0</v>
      </c>
      <c r="K222" s="2642">
        <v>0</v>
      </c>
      <c r="L222" s="2643">
        <v>0</v>
      </c>
      <c r="M222" s="1520"/>
    </row>
    <row r="223" spans="1:13" ht="11.25" customHeight="1">
      <c r="A223" s="1172" t="str">
        <f t="shared" si="17"/>
        <v>Beaches &amp; Public Amenities</v>
      </c>
      <c r="B223" s="278"/>
      <c r="C223" s="1044">
        <v>0</v>
      </c>
      <c r="D223" s="1044">
        <v>0</v>
      </c>
      <c r="E223" s="1569">
        <f>SUMIFS('SA36'!I:I,'SA36'!$A:$A,A5A!$A223,'SA36'!$Q:$Q,"S")</f>
        <v>0</v>
      </c>
      <c r="F223" s="1568">
        <f>SUMIFS('SA36'!P:P,'SA36'!$A:$A,A5A!$A223,'SA36'!$Q:$Q,"S")</f>
        <v>0</v>
      </c>
      <c r="G223" s="2642">
        <v>0</v>
      </c>
      <c r="H223" s="2643">
        <v>0</v>
      </c>
      <c r="I223" s="2645">
        <v>0</v>
      </c>
      <c r="J223" s="2644">
        <v>0</v>
      </c>
      <c r="K223" s="2642">
        <v>0</v>
      </c>
      <c r="L223" s="2643">
        <v>0</v>
      </c>
      <c r="M223" s="1520"/>
    </row>
    <row r="224" spans="1:13" ht="11.25" customHeight="1">
      <c r="A224" s="1172" t="str">
        <f t="shared" si="17"/>
        <v>Holiday Resorts</v>
      </c>
      <c r="B224" s="278"/>
      <c r="C224" s="1044">
        <v>0</v>
      </c>
      <c r="D224" s="1044">
        <v>0</v>
      </c>
      <c r="E224" s="1569">
        <f>SUMIFS('SA36'!I:I,'SA36'!$A:$A,A5A!$A224,'SA36'!$Q:$Q,"S")</f>
        <v>0</v>
      </c>
      <c r="F224" s="1568">
        <f>SUMIFS('SA36'!P:P,'SA36'!$A:$A,A5A!$A224,'SA36'!$Q:$Q,"S")</f>
        <v>0</v>
      </c>
      <c r="G224" s="2642">
        <v>0</v>
      </c>
      <c r="H224" s="2643">
        <v>0</v>
      </c>
      <c r="I224" s="2645">
        <v>0</v>
      </c>
      <c r="J224" s="2644">
        <v>0</v>
      </c>
      <c r="K224" s="2642">
        <v>0</v>
      </c>
      <c r="L224" s="2643">
        <v>0</v>
      </c>
      <c r="M224" s="1520"/>
    </row>
    <row r="225" spans="1:13" ht="11.25" customHeight="1">
      <c r="A225" s="1172">
        <f t="shared" si="17"/>
        <v>0</v>
      </c>
      <c r="B225" s="278"/>
      <c r="C225" s="1044"/>
      <c r="D225" s="1044"/>
      <c r="E225" s="1045"/>
      <c r="F225" s="1046"/>
      <c r="G225" s="2629"/>
      <c r="H225" s="2630"/>
      <c r="I225" s="2632"/>
      <c r="J225" s="2631"/>
      <c r="K225" s="2629"/>
      <c r="L225" s="2630"/>
      <c r="M225" s="1520"/>
    </row>
    <row r="226" spans="1:13" ht="11.25" customHeight="1">
      <c r="A226" s="1172">
        <f t="shared" si="17"/>
        <v>0</v>
      </c>
      <c r="B226" s="278"/>
      <c r="C226" s="1044"/>
      <c r="D226" s="1044"/>
      <c r="E226" s="1045"/>
      <c r="F226" s="1046"/>
      <c r="G226" s="2629"/>
      <c r="H226" s="2630"/>
      <c r="I226" s="2632"/>
      <c r="J226" s="2631"/>
      <c r="K226" s="2629"/>
      <c r="L226" s="2630"/>
      <c r="M226" s="1520"/>
    </row>
    <row r="227" spans="1:13" ht="11.25" customHeight="1">
      <c r="A227" s="1172">
        <f t="shared" si="17"/>
        <v>0</v>
      </c>
      <c r="B227" s="278"/>
      <c r="C227" s="1044"/>
      <c r="D227" s="1044"/>
      <c r="E227" s="1045"/>
      <c r="F227" s="1046"/>
      <c r="G227" s="2629"/>
      <c r="H227" s="2630"/>
      <c r="I227" s="2632"/>
      <c r="J227" s="2631"/>
      <c r="K227" s="2629"/>
      <c r="L227" s="2630"/>
      <c r="M227" s="1520"/>
    </row>
    <row r="228" spans="1:13" ht="11.25" customHeight="1">
      <c r="A228" s="1172">
        <f t="shared" si="17"/>
        <v>0</v>
      </c>
      <c r="B228" s="278"/>
      <c r="C228" s="1044"/>
      <c r="D228" s="1044"/>
      <c r="E228" s="1045"/>
      <c r="F228" s="1046"/>
      <c r="G228" s="2629"/>
      <c r="H228" s="2630"/>
      <c r="I228" s="2632"/>
      <c r="J228" s="2631"/>
      <c r="K228" s="2629"/>
      <c r="L228" s="2630"/>
      <c r="M228" s="1520"/>
    </row>
    <row r="229" spans="1:13" ht="11.25" customHeight="1">
      <c r="A229" s="1172">
        <f t="shared" si="17"/>
        <v>0</v>
      </c>
      <c r="B229" s="278"/>
      <c r="C229" s="1044"/>
      <c r="D229" s="1044"/>
      <c r="E229" s="1045"/>
      <c r="F229" s="1046"/>
      <c r="G229" s="2629"/>
      <c r="H229" s="2630"/>
      <c r="I229" s="2632"/>
      <c r="J229" s="2631"/>
      <c r="K229" s="2629"/>
      <c r="L229" s="2630"/>
      <c r="M229" s="1520"/>
    </row>
    <row r="230" spans="1:13" ht="11.25" customHeight="1">
      <c r="A230" s="1172" t="str">
        <f t="shared" si="17"/>
        <v>Vote6 - Public Safety</v>
      </c>
      <c r="B230" s="976"/>
      <c r="C230" s="973">
        <f t="shared" ref="C230:F230" si="22">SUM(C231:C240)</f>
        <v>0</v>
      </c>
      <c r="D230" s="973">
        <f t="shared" si="22"/>
        <v>0</v>
      </c>
      <c r="E230" s="974">
        <f t="shared" si="22"/>
        <v>0</v>
      </c>
      <c r="F230" s="975">
        <f t="shared" si="22"/>
        <v>0</v>
      </c>
      <c r="G230" s="2624">
        <v>0</v>
      </c>
      <c r="H230" s="2625">
        <v>0</v>
      </c>
      <c r="I230" s="2627">
        <v>0</v>
      </c>
      <c r="J230" s="2626">
        <v>0</v>
      </c>
      <c r="K230" s="2624">
        <v>0</v>
      </c>
      <c r="L230" s="2625">
        <v>0</v>
      </c>
      <c r="M230" s="345"/>
    </row>
    <row r="231" spans="1:13" ht="11.25" customHeight="1">
      <c r="A231" s="1172" t="str">
        <f t="shared" si="17"/>
        <v xml:space="preserve">Traffic </v>
      </c>
      <c r="B231" s="278"/>
      <c r="C231" s="1044">
        <v>0</v>
      </c>
      <c r="D231" s="1044">
        <v>0</v>
      </c>
      <c r="E231" s="1569">
        <f>SUMIFS('SA36'!I:I,'SA36'!$A:$A,A5A!$A231,'SA36'!$Q:$Q,"S")</f>
        <v>0</v>
      </c>
      <c r="F231" s="1568">
        <f>SUMIFS('SA36'!P:P,'SA36'!$A:$A,A5A!$A231,'SA36'!$Q:$Q,"S")</f>
        <v>0</v>
      </c>
      <c r="G231" s="2642">
        <v>0</v>
      </c>
      <c r="H231" s="2643">
        <v>0</v>
      </c>
      <c r="I231" s="2645">
        <v>0</v>
      </c>
      <c r="J231" s="2644">
        <v>0</v>
      </c>
      <c r="K231" s="2642">
        <v>0</v>
      </c>
      <c r="L231" s="2643">
        <v>0</v>
      </c>
      <c r="M231" s="345"/>
    </row>
    <row r="232" spans="1:13" ht="11.25" customHeight="1">
      <c r="A232" s="1172" t="str">
        <f t="shared" si="17"/>
        <v>Vehicle Testing Station</v>
      </c>
      <c r="B232" s="278"/>
      <c r="C232" s="1044">
        <v>0</v>
      </c>
      <c r="D232" s="1044">
        <v>0</v>
      </c>
      <c r="E232" s="1569">
        <f>SUMIFS('SA36'!I:I,'SA36'!$A:$A,A5A!$A232,'SA36'!$Q:$Q,"S")</f>
        <v>0</v>
      </c>
      <c r="F232" s="1568">
        <f>SUMIFS('SA36'!P:P,'SA36'!$A:$A,A5A!$A232,'SA36'!$Q:$Q,"S")</f>
        <v>0</v>
      </c>
      <c r="G232" s="2642">
        <v>0</v>
      </c>
      <c r="H232" s="2643">
        <v>0</v>
      </c>
      <c r="I232" s="2645">
        <v>0</v>
      </c>
      <c r="J232" s="2644">
        <v>0</v>
      </c>
      <c r="K232" s="2642">
        <v>0</v>
      </c>
      <c r="L232" s="2643">
        <v>0</v>
      </c>
      <c r="M232" s="345"/>
    </row>
    <row r="233" spans="1:13" ht="11.25" customHeight="1">
      <c r="A233" s="1172">
        <f t="shared" si="17"/>
        <v>0</v>
      </c>
      <c r="B233" s="278"/>
      <c r="C233" s="1044"/>
      <c r="D233" s="1044"/>
      <c r="E233" s="1045"/>
      <c r="F233" s="1046"/>
      <c r="G233" s="2629"/>
      <c r="H233" s="2630"/>
      <c r="I233" s="2632"/>
      <c r="J233" s="2631"/>
      <c r="K233" s="2629"/>
      <c r="L233" s="2630"/>
      <c r="M233" s="345"/>
    </row>
    <row r="234" spans="1:13" ht="11.25" customHeight="1">
      <c r="A234" s="1172">
        <f t="shared" si="17"/>
        <v>0</v>
      </c>
      <c r="B234" s="278"/>
      <c r="C234" s="1044"/>
      <c r="D234" s="1044"/>
      <c r="E234" s="1045"/>
      <c r="F234" s="1046"/>
      <c r="G234" s="2629"/>
      <c r="H234" s="2630"/>
      <c r="I234" s="2632"/>
      <c r="J234" s="2631"/>
      <c r="K234" s="2629"/>
      <c r="L234" s="2630"/>
      <c r="M234" s="345"/>
    </row>
    <row r="235" spans="1:13" ht="11.25" customHeight="1">
      <c r="A235" s="1172">
        <f t="shared" si="17"/>
        <v>0</v>
      </c>
      <c r="B235" s="278"/>
      <c r="C235" s="1044"/>
      <c r="D235" s="1044"/>
      <c r="E235" s="1045"/>
      <c r="F235" s="1046"/>
      <c r="G235" s="2629"/>
      <c r="H235" s="2630"/>
      <c r="I235" s="2632"/>
      <c r="J235" s="2631"/>
      <c r="K235" s="2629"/>
      <c r="L235" s="2630"/>
      <c r="M235" s="345"/>
    </row>
    <row r="236" spans="1:13" ht="11.25" customHeight="1">
      <c r="A236" s="1172">
        <f t="shared" si="17"/>
        <v>0</v>
      </c>
      <c r="B236" s="278"/>
      <c r="C236" s="1044"/>
      <c r="D236" s="1044"/>
      <c r="E236" s="1045"/>
      <c r="F236" s="1046"/>
      <c r="G236" s="2629"/>
      <c r="H236" s="2630"/>
      <c r="I236" s="2632"/>
      <c r="J236" s="2631"/>
      <c r="K236" s="2629"/>
      <c r="L236" s="2630"/>
      <c r="M236" s="345"/>
    </row>
    <row r="237" spans="1:13" ht="11.25" customHeight="1">
      <c r="A237" s="1172">
        <f t="shared" si="17"/>
        <v>0</v>
      </c>
      <c r="B237" s="278"/>
      <c r="C237" s="1044"/>
      <c r="D237" s="1044"/>
      <c r="E237" s="1045"/>
      <c r="F237" s="1046"/>
      <c r="G237" s="2629"/>
      <c r="H237" s="2630"/>
      <c r="I237" s="2632"/>
      <c r="J237" s="2631"/>
      <c r="K237" s="2629"/>
      <c r="L237" s="2630"/>
      <c r="M237" s="345"/>
    </row>
    <row r="238" spans="1:13" ht="11.25" customHeight="1">
      <c r="A238" s="1172">
        <f t="shared" si="17"/>
        <v>0</v>
      </c>
      <c r="B238" s="278"/>
      <c r="C238" s="1044"/>
      <c r="D238" s="1044"/>
      <c r="E238" s="1045"/>
      <c r="F238" s="1046"/>
      <c r="G238" s="2629"/>
      <c r="H238" s="2630"/>
      <c r="I238" s="2632"/>
      <c r="J238" s="2631"/>
      <c r="K238" s="2629"/>
      <c r="L238" s="2630"/>
      <c r="M238" s="345"/>
    </row>
    <row r="239" spans="1:13" ht="11.25" customHeight="1">
      <c r="A239" s="1172">
        <f t="shared" si="17"/>
        <v>0</v>
      </c>
      <c r="B239" s="278"/>
      <c r="C239" s="1044"/>
      <c r="D239" s="1044"/>
      <c r="E239" s="1045"/>
      <c r="F239" s="1046"/>
      <c r="G239" s="2629"/>
      <c r="H239" s="2630"/>
      <c r="I239" s="2632"/>
      <c r="J239" s="2631"/>
      <c r="K239" s="2629"/>
      <c r="L239" s="2630"/>
      <c r="M239" s="345"/>
    </row>
    <row r="240" spans="1:13" ht="11.25" customHeight="1">
      <c r="A240" s="1172">
        <f t="shared" ref="A240:A303" si="23">A71</f>
        <v>0</v>
      </c>
      <c r="B240" s="278"/>
      <c r="C240" s="1044"/>
      <c r="D240" s="1044"/>
      <c r="E240" s="1045"/>
      <c r="F240" s="1046"/>
      <c r="G240" s="2629"/>
      <c r="H240" s="2630"/>
      <c r="I240" s="2632"/>
      <c r="J240" s="2631"/>
      <c r="K240" s="2629"/>
      <c r="L240" s="2630"/>
      <c r="M240" s="345"/>
    </row>
    <row r="241" spans="1:13" ht="11.25" customHeight="1">
      <c r="A241" s="1172" t="str">
        <f t="shared" si="23"/>
        <v>Vote7 - Road Transport</v>
      </c>
      <c r="B241" s="976"/>
      <c r="C241" s="973">
        <f t="shared" ref="C241:F241" si="24">SUM(C242:C251)</f>
        <v>0</v>
      </c>
      <c r="D241" s="973">
        <f t="shared" si="24"/>
        <v>0</v>
      </c>
      <c r="E241" s="974">
        <f t="shared" si="24"/>
        <v>0</v>
      </c>
      <c r="F241" s="975">
        <f t="shared" si="24"/>
        <v>0</v>
      </c>
      <c r="G241" s="2624">
        <v>0</v>
      </c>
      <c r="H241" s="2625">
        <v>0</v>
      </c>
      <c r="I241" s="2627">
        <v>0</v>
      </c>
      <c r="J241" s="2626">
        <v>5150000</v>
      </c>
      <c r="K241" s="2624">
        <v>0</v>
      </c>
      <c r="L241" s="2625">
        <v>0</v>
      </c>
      <c r="M241" s="345"/>
    </row>
    <row r="242" spans="1:13" ht="11.25" customHeight="1">
      <c r="A242" s="1172" t="str">
        <f t="shared" si="23"/>
        <v>Proclaimed Roads</v>
      </c>
      <c r="B242" s="278"/>
      <c r="C242" s="1044">
        <v>0</v>
      </c>
      <c r="D242" s="1044">
        <v>0</v>
      </c>
      <c r="E242" s="1569">
        <f>SUMIFS('SA36'!I:I,'SA36'!$A:$A,A5A!$A242,'SA36'!$Q:$Q,"S")</f>
        <v>0</v>
      </c>
      <c r="F242" s="1568">
        <f>SUMIFS('SA36'!P:P,'SA36'!$A:$A,A5A!$A242,'SA36'!$Q:$Q,"S")</f>
        <v>0</v>
      </c>
      <c r="G242" s="2642">
        <v>0</v>
      </c>
      <c r="H242" s="2643">
        <v>0</v>
      </c>
      <c r="I242" s="2645">
        <v>0</v>
      </c>
      <c r="J242" s="2644">
        <v>2250000</v>
      </c>
      <c r="K242" s="2642">
        <v>0</v>
      </c>
      <c r="L242" s="2643">
        <v>0</v>
      </c>
      <c r="M242" s="345"/>
    </row>
    <row r="243" spans="1:13" ht="11.25" customHeight="1">
      <c r="A243" s="1172" t="str">
        <f t="shared" si="23"/>
        <v>Streets &amp; Stormwater</v>
      </c>
      <c r="B243" s="278"/>
      <c r="C243" s="1044">
        <v>0</v>
      </c>
      <c r="D243" s="1044">
        <v>0</v>
      </c>
      <c r="E243" s="1569">
        <f>SUMIFS('SA36'!I:I,'SA36'!$A:$A,A5A!$A243,'SA36'!$Q:$Q,"S")</f>
        <v>0</v>
      </c>
      <c r="F243" s="1568">
        <f>SUMIFS('SA36'!P:P,'SA36'!$A:$A,A5A!$A243,'SA36'!$Q:$Q,"S")</f>
        <v>0</v>
      </c>
      <c r="G243" s="2642">
        <v>0</v>
      </c>
      <c r="H243" s="2643">
        <v>0</v>
      </c>
      <c r="I243" s="2645">
        <v>0</v>
      </c>
      <c r="J243" s="2644">
        <v>2900000</v>
      </c>
      <c r="K243" s="2642">
        <v>0</v>
      </c>
      <c r="L243" s="2643">
        <v>0</v>
      </c>
      <c r="M243" s="345"/>
    </row>
    <row r="244" spans="1:13" ht="11.25" customHeight="1">
      <c r="A244" s="1172">
        <f t="shared" si="23"/>
        <v>0</v>
      </c>
      <c r="B244" s="278"/>
      <c r="C244" s="1044"/>
      <c r="D244" s="1044"/>
      <c r="E244" s="1045"/>
      <c r="F244" s="1046"/>
      <c r="G244" s="2629"/>
      <c r="H244" s="2630"/>
      <c r="I244" s="2632"/>
      <c r="J244" s="2631"/>
      <c r="K244" s="2629"/>
      <c r="L244" s="2630"/>
      <c r="M244" s="345"/>
    </row>
    <row r="245" spans="1:13" ht="11.25" customHeight="1">
      <c r="A245" s="1172">
        <f t="shared" si="23"/>
        <v>0</v>
      </c>
      <c r="B245" s="278"/>
      <c r="C245" s="1044"/>
      <c r="D245" s="1044"/>
      <c r="E245" s="1045"/>
      <c r="F245" s="1046"/>
      <c r="G245" s="2629"/>
      <c r="H245" s="2630"/>
      <c r="I245" s="2632"/>
      <c r="J245" s="2631"/>
      <c r="K245" s="2629"/>
      <c r="L245" s="2630"/>
      <c r="M245" s="345"/>
    </row>
    <row r="246" spans="1:13" ht="11.25" customHeight="1">
      <c r="A246" s="1172">
        <f t="shared" si="23"/>
        <v>0</v>
      </c>
      <c r="B246" s="278"/>
      <c r="C246" s="1044"/>
      <c r="D246" s="1044"/>
      <c r="E246" s="1045"/>
      <c r="F246" s="1046"/>
      <c r="G246" s="2629"/>
      <c r="H246" s="2630"/>
      <c r="I246" s="2632"/>
      <c r="J246" s="2631"/>
      <c r="K246" s="2629"/>
      <c r="L246" s="2630"/>
      <c r="M246" s="345"/>
    </row>
    <row r="247" spans="1:13" ht="11.25" customHeight="1">
      <c r="A247" s="1172">
        <f t="shared" si="23"/>
        <v>0</v>
      </c>
      <c r="B247" s="278"/>
      <c r="C247" s="1044"/>
      <c r="D247" s="1044"/>
      <c r="E247" s="1045"/>
      <c r="F247" s="1046"/>
      <c r="G247" s="2629"/>
      <c r="H247" s="2630"/>
      <c r="I247" s="2632"/>
      <c r="J247" s="2631"/>
      <c r="K247" s="2629"/>
      <c r="L247" s="2630"/>
      <c r="M247" s="345"/>
    </row>
    <row r="248" spans="1:13" ht="11.25" customHeight="1">
      <c r="A248" s="1172">
        <f t="shared" si="23"/>
        <v>0</v>
      </c>
      <c r="B248" s="278"/>
      <c r="C248" s="1044"/>
      <c r="D248" s="1044"/>
      <c r="E248" s="1045"/>
      <c r="F248" s="1046"/>
      <c r="G248" s="2629"/>
      <c r="H248" s="2630"/>
      <c r="I248" s="2632"/>
      <c r="J248" s="2631"/>
      <c r="K248" s="2629"/>
      <c r="L248" s="2630"/>
      <c r="M248" s="345"/>
    </row>
    <row r="249" spans="1:13" ht="11.25" customHeight="1">
      <c r="A249" s="1172">
        <f t="shared" si="23"/>
        <v>0</v>
      </c>
      <c r="B249" s="278"/>
      <c r="C249" s="1044"/>
      <c r="D249" s="1044"/>
      <c r="E249" s="1045"/>
      <c r="F249" s="1046"/>
      <c r="G249" s="2629"/>
      <c r="H249" s="2630"/>
      <c r="I249" s="2632"/>
      <c r="J249" s="2631"/>
      <c r="K249" s="2629"/>
      <c r="L249" s="2630"/>
      <c r="M249" s="345"/>
    </row>
    <row r="250" spans="1:13" ht="11.25" customHeight="1">
      <c r="A250" s="1172">
        <f t="shared" si="23"/>
        <v>0</v>
      </c>
      <c r="B250" s="278"/>
      <c r="C250" s="1044"/>
      <c r="D250" s="1044"/>
      <c r="E250" s="1045"/>
      <c r="F250" s="1046"/>
      <c r="G250" s="2629"/>
      <c r="H250" s="2630"/>
      <c r="I250" s="2632"/>
      <c r="J250" s="2631"/>
      <c r="K250" s="2629"/>
      <c r="L250" s="2630"/>
      <c r="M250" s="345"/>
    </row>
    <row r="251" spans="1:13" ht="11.25" customHeight="1">
      <c r="A251" s="1172">
        <f t="shared" si="23"/>
        <v>0</v>
      </c>
      <c r="B251" s="278"/>
      <c r="C251" s="1044"/>
      <c r="D251" s="1044"/>
      <c r="E251" s="1045"/>
      <c r="F251" s="1046"/>
      <c r="G251" s="2629"/>
      <c r="H251" s="2630"/>
      <c r="I251" s="2632"/>
      <c r="J251" s="2631"/>
      <c r="K251" s="2629"/>
      <c r="L251" s="2630"/>
      <c r="M251" s="345"/>
    </row>
    <row r="252" spans="1:13">
      <c r="A252" s="1172" t="str">
        <f t="shared" si="23"/>
        <v>Vote8 - Electricity</v>
      </c>
      <c r="B252" s="278"/>
      <c r="C252" s="973">
        <f t="shared" ref="C252:F252" si="25">SUM(C253:C262)</f>
        <v>0</v>
      </c>
      <c r="D252" s="973">
        <f t="shared" si="25"/>
        <v>0</v>
      </c>
      <c r="E252" s="974">
        <f t="shared" si="25"/>
        <v>0</v>
      </c>
      <c r="F252" s="975">
        <f t="shared" si="25"/>
        <v>0</v>
      </c>
      <c r="G252" s="2624">
        <v>0</v>
      </c>
      <c r="H252" s="2625">
        <v>0</v>
      </c>
      <c r="I252" s="2627">
        <v>0</v>
      </c>
      <c r="J252" s="2626">
        <v>0</v>
      </c>
      <c r="K252" s="2624">
        <v>0</v>
      </c>
      <c r="L252" s="2625">
        <v>0</v>
      </c>
      <c r="M252" s="345"/>
    </row>
    <row r="253" spans="1:13">
      <c r="A253" s="1172" t="str">
        <f t="shared" si="23"/>
        <v>Electricity</v>
      </c>
      <c r="B253" s="278"/>
      <c r="C253" s="1044">
        <v>0</v>
      </c>
      <c r="D253" s="1044">
        <v>0</v>
      </c>
      <c r="E253" s="1569">
        <f>SUMIFS('SA36'!I:I,'SA36'!$A:$A,A5A!$A253,'SA36'!$Q:$Q,"S")</f>
        <v>0</v>
      </c>
      <c r="F253" s="1568">
        <f>SUMIFS('SA36'!P:P,'SA36'!$A:$A,A5A!$A253,'SA36'!$Q:$Q,"S")</f>
        <v>0</v>
      </c>
      <c r="G253" s="2642">
        <v>0</v>
      </c>
      <c r="H253" s="2643">
        <v>0</v>
      </c>
      <c r="I253" s="2645">
        <v>0</v>
      </c>
      <c r="J253" s="2644">
        <v>0</v>
      </c>
      <c r="K253" s="2642">
        <v>0</v>
      </c>
      <c r="L253" s="2643">
        <v>0</v>
      </c>
      <c r="M253" s="345"/>
    </row>
    <row r="254" spans="1:13">
      <c r="A254" s="1172">
        <f t="shared" si="23"/>
        <v>0</v>
      </c>
      <c r="B254" s="278"/>
      <c r="C254" s="1044"/>
      <c r="D254" s="1044"/>
      <c r="E254" s="1047"/>
      <c r="F254" s="1046"/>
      <c r="G254" s="2629"/>
      <c r="H254" s="2630"/>
      <c r="I254" s="2632"/>
      <c r="J254" s="2631"/>
      <c r="K254" s="2629"/>
      <c r="L254" s="2630"/>
      <c r="M254" s="345"/>
    </row>
    <row r="255" spans="1:13">
      <c r="A255" s="1172">
        <f t="shared" si="23"/>
        <v>0</v>
      </c>
      <c r="B255" s="278"/>
      <c r="C255" s="1044"/>
      <c r="D255" s="1044"/>
      <c r="E255" s="1047"/>
      <c r="F255" s="1046"/>
      <c r="G255" s="2629"/>
      <c r="H255" s="2630"/>
      <c r="I255" s="2632"/>
      <c r="J255" s="2631"/>
      <c r="K255" s="2629"/>
      <c r="L255" s="2630"/>
      <c r="M255" s="345"/>
    </row>
    <row r="256" spans="1:13">
      <c r="A256" s="1172">
        <f t="shared" si="23"/>
        <v>0</v>
      </c>
      <c r="B256" s="278"/>
      <c r="C256" s="1044"/>
      <c r="D256" s="1044"/>
      <c r="E256" s="1047"/>
      <c r="F256" s="1046"/>
      <c r="G256" s="2629"/>
      <c r="H256" s="2630"/>
      <c r="I256" s="2632"/>
      <c r="J256" s="2631"/>
      <c r="K256" s="2629"/>
      <c r="L256" s="2630"/>
      <c r="M256" s="345"/>
    </row>
    <row r="257" spans="1:13">
      <c r="A257" s="1172">
        <f t="shared" si="23"/>
        <v>0</v>
      </c>
      <c r="B257" s="278"/>
      <c r="C257" s="1044"/>
      <c r="D257" s="1044"/>
      <c r="E257" s="1047"/>
      <c r="F257" s="1046"/>
      <c r="G257" s="2629"/>
      <c r="H257" s="2630"/>
      <c r="I257" s="2632"/>
      <c r="J257" s="2631"/>
      <c r="K257" s="2629"/>
      <c r="L257" s="2630"/>
      <c r="M257" s="345"/>
    </row>
    <row r="258" spans="1:13">
      <c r="A258" s="1172">
        <f t="shared" si="23"/>
        <v>0</v>
      </c>
      <c r="B258" s="278"/>
      <c r="C258" s="1044"/>
      <c r="D258" s="1044"/>
      <c r="E258" s="1047"/>
      <c r="F258" s="1046"/>
      <c r="G258" s="2629"/>
      <c r="H258" s="2630"/>
      <c r="I258" s="2632"/>
      <c r="J258" s="2631"/>
      <c r="K258" s="2629"/>
      <c r="L258" s="2630"/>
      <c r="M258" s="345"/>
    </row>
    <row r="259" spans="1:13">
      <c r="A259" s="1172">
        <f t="shared" si="23"/>
        <v>0</v>
      </c>
      <c r="B259" s="278"/>
      <c r="C259" s="1044"/>
      <c r="D259" s="1044"/>
      <c r="E259" s="1047"/>
      <c r="F259" s="1046"/>
      <c r="G259" s="2629"/>
      <c r="H259" s="2630"/>
      <c r="I259" s="2632"/>
      <c r="J259" s="2631"/>
      <c r="K259" s="2629"/>
      <c r="L259" s="2630"/>
      <c r="M259" s="345"/>
    </row>
    <row r="260" spans="1:13">
      <c r="A260" s="1172">
        <f t="shared" si="23"/>
        <v>0</v>
      </c>
      <c r="B260" s="278"/>
      <c r="C260" s="1044"/>
      <c r="D260" s="1044"/>
      <c r="E260" s="1047"/>
      <c r="F260" s="1046"/>
      <c r="G260" s="2629"/>
      <c r="H260" s="2630"/>
      <c r="I260" s="2632"/>
      <c r="J260" s="2631"/>
      <c r="K260" s="2629"/>
      <c r="L260" s="2630"/>
      <c r="M260" s="345"/>
    </row>
    <row r="261" spans="1:13">
      <c r="A261" s="1172">
        <f t="shared" si="23"/>
        <v>0</v>
      </c>
      <c r="B261" s="278"/>
      <c r="C261" s="1044"/>
      <c r="D261" s="1044"/>
      <c r="E261" s="1047"/>
      <c r="F261" s="1046"/>
      <c r="G261" s="2629"/>
      <c r="H261" s="2630"/>
      <c r="I261" s="2632"/>
      <c r="J261" s="2631"/>
      <c r="K261" s="2629"/>
      <c r="L261" s="2630"/>
      <c r="M261" s="345"/>
    </row>
    <row r="262" spans="1:13">
      <c r="A262" s="1172">
        <f t="shared" si="23"/>
        <v>0</v>
      </c>
      <c r="B262" s="278"/>
      <c r="C262" s="1044"/>
      <c r="D262" s="1044"/>
      <c r="E262" s="1047"/>
      <c r="F262" s="1046"/>
      <c r="G262" s="2629"/>
      <c r="H262" s="2630"/>
      <c r="I262" s="2632"/>
      <c r="J262" s="2631"/>
      <c r="K262" s="2629"/>
      <c r="L262" s="2630"/>
      <c r="M262" s="345"/>
    </row>
    <row r="263" spans="1:13">
      <c r="A263" s="1172" t="str">
        <f t="shared" si="23"/>
        <v>Vote9 - Water</v>
      </c>
      <c r="B263" s="278"/>
      <c r="C263" s="973">
        <f t="shared" ref="C263:F263" si="26">SUM(C264:C273)</f>
        <v>0</v>
      </c>
      <c r="D263" s="973">
        <f t="shared" si="26"/>
        <v>0</v>
      </c>
      <c r="E263" s="974">
        <f t="shared" si="26"/>
        <v>0</v>
      </c>
      <c r="F263" s="975">
        <f t="shared" si="26"/>
        <v>0</v>
      </c>
      <c r="G263" s="2624">
        <v>0</v>
      </c>
      <c r="H263" s="2625">
        <v>0</v>
      </c>
      <c r="I263" s="2627">
        <v>0</v>
      </c>
      <c r="J263" s="2626">
        <v>200000</v>
      </c>
      <c r="K263" s="2624">
        <v>0</v>
      </c>
      <c r="L263" s="2625">
        <v>0</v>
      </c>
      <c r="M263" s="345"/>
    </row>
    <row r="264" spans="1:13">
      <c r="A264" s="1172" t="str">
        <f t="shared" si="23"/>
        <v>Water</v>
      </c>
      <c r="B264" s="278"/>
      <c r="C264" s="1044">
        <v>0</v>
      </c>
      <c r="D264" s="1044">
        <v>0</v>
      </c>
      <c r="E264" s="1569">
        <f>SUMIFS('SA36'!I:I,'SA36'!$A:$A,A5A!$A264,'SA36'!$Q:$Q,"S")</f>
        <v>0</v>
      </c>
      <c r="F264" s="1568">
        <f>SUMIFS('SA36'!P:P,'SA36'!$A:$A,A5A!$A264,'SA36'!$Q:$Q,"S")</f>
        <v>0</v>
      </c>
      <c r="G264" s="2642">
        <v>0</v>
      </c>
      <c r="H264" s="2643">
        <v>0</v>
      </c>
      <c r="I264" s="2645">
        <v>0</v>
      </c>
      <c r="J264" s="2644">
        <v>200000</v>
      </c>
      <c r="K264" s="2642">
        <v>0</v>
      </c>
      <c r="L264" s="2643">
        <v>0</v>
      </c>
      <c r="M264" s="345"/>
    </row>
    <row r="265" spans="1:13">
      <c r="A265" s="1172">
        <f t="shared" si="23"/>
        <v>0</v>
      </c>
      <c r="B265" s="278"/>
      <c r="C265" s="1044"/>
      <c r="D265" s="1044"/>
      <c r="E265" s="1047"/>
      <c r="F265" s="1046"/>
      <c r="G265" s="2629"/>
      <c r="H265" s="2630"/>
      <c r="I265" s="2632"/>
      <c r="J265" s="2631"/>
      <c r="K265" s="2629"/>
      <c r="L265" s="2630"/>
      <c r="M265" s="345"/>
    </row>
    <row r="266" spans="1:13">
      <c r="A266" s="1172">
        <f t="shared" si="23"/>
        <v>0</v>
      </c>
      <c r="B266" s="278"/>
      <c r="C266" s="1044"/>
      <c r="D266" s="1044"/>
      <c r="E266" s="1047"/>
      <c r="F266" s="1046"/>
      <c r="G266" s="2629"/>
      <c r="H266" s="2630"/>
      <c r="I266" s="2632"/>
      <c r="J266" s="2631"/>
      <c r="K266" s="2629"/>
      <c r="L266" s="2630"/>
      <c r="M266" s="345"/>
    </row>
    <row r="267" spans="1:13">
      <c r="A267" s="1172">
        <f t="shared" si="23"/>
        <v>0</v>
      </c>
      <c r="B267" s="278"/>
      <c r="C267" s="1044"/>
      <c r="D267" s="1044"/>
      <c r="E267" s="1047"/>
      <c r="F267" s="1046"/>
      <c r="G267" s="2629"/>
      <c r="H267" s="2630"/>
      <c r="I267" s="2632"/>
      <c r="J267" s="2631"/>
      <c r="K267" s="2629"/>
      <c r="L267" s="2630"/>
      <c r="M267" s="345"/>
    </row>
    <row r="268" spans="1:13">
      <c r="A268" s="1172">
        <f t="shared" si="23"/>
        <v>0</v>
      </c>
      <c r="B268" s="278"/>
      <c r="C268" s="1044"/>
      <c r="D268" s="1044"/>
      <c r="E268" s="1047"/>
      <c r="F268" s="1046"/>
      <c r="G268" s="2629"/>
      <c r="H268" s="2630"/>
      <c r="I268" s="2632"/>
      <c r="J268" s="2631"/>
      <c r="K268" s="2629"/>
      <c r="L268" s="2630"/>
      <c r="M268" s="345"/>
    </row>
    <row r="269" spans="1:13">
      <c r="A269" s="1172">
        <f t="shared" si="23"/>
        <v>0</v>
      </c>
      <c r="B269" s="278"/>
      <c r="C269" s="1044"/>
      <c r="D269" s="1044"/>
      <c r="E269" s="1047"/>
      <c r="F269" s="1046"/>
      <c r="G269" s="2629"/>
      <c r="H269" s="2630"/>
      <c r="I269" s="2632"/>
      <c r="J269" s="2631"/>
      <c r="K269" s="2629"/>
      <c r="L269" s="2630"/>
      <c r="M269" s="345"/>
    </row>
    <row r="270" spans="1:13">
      <c r="A270" s="1172">
        <f t="shared" si="23"/>
        <v>0</v>
      </c>
      <c r="B270" s="278"/>
      <c r="C270" s="1044"/>
      <c r="D270" s="1044"/>
      <c r="E270" s="1047"/>
      <c r="F270" s="1046"/>
      <c r="G270" s="2629"/>
      <c r="H270" s="2630"/>
      <c r="I270" s="2632"/>
      <c r="J270" s="2631"/>
      <c r="K270" s="2629"/>
      <c r="L270" s="2630"/>
      <c r="M270" s="345"/>
    </row>
    <row r="271" spans="1:13">
      <c r="A271" s="1172">
        <f t="shared" si="23"/>
        <v>0</v>
      </c>
      <c r="B271" s="278"/>
      <c r="C271" s="1044"/>
      <c r="D271" s="1044"/>
      <c r="E271" s="1047"/>
      <c r="F271" s="1046"/>
      <c r="G271" s="2629"/>
      <c r="H271" s="2630"/>
      <c r="I271" s="2632"/>
      <c r="J271" s="2631"/>
      <c r="K271" s="2629"/>
      <c r="L271" s="2630"/>
      <c r="M271" s="345"/>
    </row>
    <row r="272" spans="1:13">
      <c r="A272" s="1172">
        <f t="shared" si="23"/>
        <v>0</v>
      </c>
      <c r="B272" s="278"/>
      <c r="C272" s="1044"/>
      <c r="D272" s="1044"/>
      <c r="E272" s="1047"/>
      <c r="F272" s="1046"/>
      <c r="G272" s="2629"/>
      <c r="H272" s="2630"/>
      <c r="I272" s="2632"/>
      <c r="J272" s="2631"/>
      <c r="K272" s="2629"/>
      <c r="L272" s="2630"/>
      <c r="M272" s="345"/>
    </row>
    <row r="273" spans="1:13">
      <c r="A273" s="1172">
        <f t="shared" si="23"/>
        <v>0</v>
      </c>
      <c r="B273" s="278"/>
      <c r="C273" s="1044"/>
      <c r="D273" s="1044"/>
      <c r="E273" s="1047"/>
      <c r="F273" s="1046"/>
      <c r="G273" s="2629"/>
      <c r="H273" s="2630"/>
      <c r="I273" s="2632"/>
      <c r="J273" s="2631"/>
      <c r="K273" s="2629"/>
      <c r="L273" s="2630"/>
      <c r="M273" s="345"/>
    </row>
    <row r="274" spans="1:13">
      <c r="A274" s="1172" t="str">
        <f t="shared" si="23"/>
        <v>Vote10 - Waste Water Management</v>
      </c>
      <c r="B274" s="278"/>
      <c r="C274" s="973">
        <f t="shared" ref="C274:F274" si="27">SUM(C275:C284)</f>
        <v>0</v>
      </c>
      <c r="D274" s="973">
        <f t="shared" si="27"/>
        <v>0</v>
      </c>
      <c r="E274" s="974">
        <f t="shared" si="27"/>
        <v>0</v>
      </c>
      <c r="F274" s="975">
        <f t="shared" si="27"/>
        <v>0</v>
      </c>
      <c r="G274" s="2624">
        <v>0</v>
      </c>
      <c r="H274" s="2625">
        <v>0</v>
      </c>
      <c r="I274" s="2627">
        <v>0</v>
      </c>
      <c r="J274" s="2626">
        <v>2950000</v>
      </c>
      <c r="K274" s="2624">
        <v>0</v>
      </c>
      <c r="L274" s="2625">
        <v>0</v>
      </c>
      <c r="M274" s="345"/>
    </row>
    <row r="275" spans="1:13">
      <c r="A275" s="1172" t="str">
        <f t="shared" si="23"/>
        <v>Sewerage &amp; Sanitation</v>
      </c>
      <c r="B275" s="278"/>
      <c r="C275" s="1044">
        <v>0</v>
      </c>
      <c r="D275" s="1044">
        <v>0</v>
      </c>
      <c r="E275" s="1569">
        <f>SUMIFS('SA36'!I:I,'SA36'!$A:$A,A5A!$A275,'SA36'!$Q:$Q,"S")</f>
        <v>0</v>
      </c>
      <c r="F275" s="1568">
        <f>SUMIFS('SA36'!P:P,'SA36'!$A:$A,A5A!$A275,'SA36'!$Q:$Q,"S")</f>
        <v>0</v>
      </c>
      <c r="G275" s="2642">
        <v>0</v>
      </c>
      <c r="H275" s="2643">
        <v>0</v>
      </c>
      <c r="I275" s="2645">
        <v>0</v>
      </c>
      <c r="J275" s="2644">
        <v>2950000</v>
      </c>
      <c r="K275" s="2642">
        <v>0</v>
      </c>
      <c r="L275" s="2643">
        <v>0</v>
      </c>
      <c r="M275" s="345"/>
    </row>
    <row r="276" spans="1:13">
      <c r="A276" s="1172">
        <f t="shared" si="23"/>
        <v>0</v>
      </c>
      <c r="B276" s="278"/>
      <c r="C276" s="1044"/>
      <c r="D276" s="1044"/>
      <c r="E276" s="1047"/>
      <c r="F276" s="1046"/>
      <c r="G276" s="2629"/>
      <c r="H276" s="2630"/>
      <c r="I276" s="2632"/>
      <c r="J276" s="2631"/>
      <c r="K276" s="2629"/>
      <c r="L276" s="2630"/>
      <c r="M276" s="345"/>
    </row>
    <row r="277" spans="1:13">
      <c r="A277" s="1172">
        <f t="shared" si="23"/>
        <v>0</v>
      </c>
      <c r="B277" s="278"/>
      <c r="C277" s="1044"/>
      <c r="D277" s="1044"/>
      <c r="E277" s="1047"/>
      <c r="F277" s="1046"/>
      <c r="G277" s="2629"/>
      <c r="H277" s="2630"/>
      <c r="I277" s="2632"/>
      <c r="J277" s="2631"/>
      <c r="K277" s="2629"/>
      <c r="L277" s="2630"/>
      <c r="M277" s="345"/>
    </row>
    <row r="278" spans="1:13">
      <c r="A278" s="1172">
        <f t="shared" si="23"/>
        <v>0</v>
      </c>
      <c r="B278" s="278"/>
      <c r="C278" s="1044"/>
      <c r="D278" s="1044"/>
      <c r="E278" s="1047"/>
      <c r="F278" s="1046"/>
      <c r="G278" s="2629"/>
      <c r="H278" s="2630"/>
      <c r="I278" s="2632"/>
      <c r="J278" s="2631"/>
      <c r="K278" s="2629"/>
      <c r="L278" s="2630"/>
      <c r="M278" s="345"/>
    </row>
    <row r="279" spans="1:13">
      <c r="A279" s="1172">
        <f t="shared" si="23"/>
        <v>0</v>
      </c>
      <c r="B279" s="278"/>
      <c r="C279" s="1044"/>
      <c r="D279" s="1044"/>
      <c r="E279" s="1047"/>
      <c r="F279" s="1046"/>
      <c r="G279" s="2629"/>
      <c r="H279" s="2630"/>
      <c r="I279" s="2632"/>
      <c r="J279" s="2631"/>
      <c r="K279" s="2629"/>
      <c r="L279" s="2630"/>
      <c r="M279" s="345"/>
    </row>
    <row r="280" spans="1:13">
      <c r="A280" s="1172">
        <f t="shared" si="23"/>
        <v>0</v>
      </c>
      <c r="B280" s="278"/>
      <c r="C280" s="1044"/>
      <c r="D280" s="1044"/>
      <c r="E280" s="1047"/>
      <c r="F280" s="1046"/>
      <c r="G280" s="2629"/>
      <c r="H280" s="2630"/>
      <c r="I280" s="2632"/>
      <c r="J280" s="2631"/>
      <c r="K280" s="2629"/>
      <c r="L280" s="2630"/>
      <c r="M280" s="345"/>
    </row>
    <row r="281" spans="1:13">
      <c r="A281" s="1172">
        <f t="shared" si="23"/>
        <v>0</v>
      </c>
      <c r="B281" s="278"/>
      <c r="C281" s="1044"/>
      <c r="D281" s="1044"/>
      <c r="E281" s="1047"/>
      <c r="F281" s="1046"/>
      <c r="G281" s="2629"/>
      <c r="H281" s="2630"/>
      <c r="I281" s="2632"/>
      <c r="J281" s="2631"/>
      <c r="K281" s="2629"/>
      <c r="L281" s="2630"/>
      <c r="M281" s="345"/>
    </row>
    <row r="282" spans="1:13">
      <c r="A282" s="1172">
        <f t="shared" si="23"/>
        <v>0</v>
      </c>
      <c r="B282" s="278"/>
      <c r="C282" s="1044"/>
      <c r="D282" s="1044"/>
      <c r="E282" s="1047"/>
      <c r="F282" s="1046"/>
      <c r="G282" s="2629"/>
      <c r="H282" s="2630"/>
      <c r="I282" s="2632"/>
      <c r="J282" s="2631"/>
      <c r="K282" s="2629"/>
      <c r="L282" s="2630"/>
      <c r="M282" s="345"/>
    </row>
    <row r="283" spans="1:13">
      <c r="A283" s="1172">
        <f t="shared" si="23"/>
        <v>0</v>
      </c>
      <c r="B283" s="278"/>
      <c r="C283" s="1044"/>
      <c r="D283" s="1044"/>
      <c r="E283" s="1047"/>
      <c r="F283" s="1046"/>
      <c r="G283" s="2629"/>
      <c r="H283" s="2630"/>
      <c r="I283" s="2632"/>
      <c r="J283" s="2631"/>
      <c r="K283" s="2629"/>
      <c r="L283" s="2630"/>
      <c r="M283" s="345"/>
    </row>
    <row r="284" spans="1:13">
      <c r="A284" s="1172">
        <f t="shared" si="23"/>
        <v>0</v>
      </c>
      <c r="B284" s="278"/>
      <c r="C284" s="1044"/>
      <c r="D284" s="1044"/>
      <c r="E284" s="1047"/>
      <c r="F284" s="1046"/>
      <c r="G284" s="2629"/>
      <c r="H284" s="2630"/>
      <c r="I284" s="2632"/>
      <c r="J284" s="2631"/>
      <c r="K284" s="2629"/>
      <c r="L284" s="2630"/>
      <c r="M284" s="345"/>
    </row>
    <row r="285" spans="1:13">
      <c r="A285" s="1172" t="str">
        <f t="shared" si="23"/>
        <v>Vote11 - Waste Management</v>
      </c>
      <c r="B285" s="278"/>
      <c r="C285" s="973">
        <f t="shared" ref="C285:F285" si="28">SUM(C286:C295)</f>
        <v>0</v>
      </c>
      <c r="D285" s="973">
        <f t="shared" si="28"/>
        <v>0</v>
      </c>
      <c r="E285" s="974">
        <f t="shared" si="28"/>
        <v>0</v>
      </c>
      <c r="F285" s="975">
        <f t="shared" si="28"/>
        <v>0</v>
      </c>
      <c r="G285" s="2624">
        <v>0</v>
      </c>
      <c r="H285" s="2625">
        <v>0</v>
      </c>
      <c r="I285" s="2627">
        <v>0</v>
      </c>
      <c r="J285" s="2626">
        <v>0</v>
      </c>
      <c r="K285" s="2624">
        <v>0</v>
      </c>
      <c r="L285" s="2625">
        <v>0</v>
      </c>
      <c r="M285" s="345"/>
    </row>
    <row r="286" spans="1:13">
      <c r="A286" s="1172" t="str">
        <f t="shared" si="23"/>
        <v>Solid Waste</v>
      </c>
      <c r="B286" s="278"/>
      <c r="C286" s="1044">
        <v>0</v>
      </c>
      <c r="D286" s="1044">
        <v>0</v>
      </c>
      <c r="E286" s="1569">
        <f>SUMIFS('SA36'!I:I,'SA36'!$A:$A,A5A!$A286,'SA36'!$Q:$Q,"S")</f>
        <v>0</v>
      </c>
      <c r="F286" s="1568">
        <f>SUMIFS('SA36'!P:P,'SA36'!$A:$A,A5A!$A286,'SA36'!$Q:$Q,"S")</f>
        <v>0</v>
      </c>
      <c r="G286" s="2642">
        <v>0</v>
      </c>
      <c r="H286" s="2643">
        <v>0</v>
      </c>
      <c r="I286" s="2645">
        <v>0</v>
      </c>
      <c r="J286" s="2644">
        <v>0</v>
      </c>
      <c r="K286" s="2642">
        <v>0</v>
      </c>
      <c r="L286" s="2643">
        <v>0</v>
      </c>
      <c r="M286" s="345"/>
    </row>
    <row r="287" spans="1:13">
      <c r="A287" s="1172">
        <f t="shared" si="23"/>
        <v>0</v>
      </c>
      <c r="B287" s="278"/>
      <c r="C287" s="1044"/>
      <c r="D287" s="1044"/>
      <c r="E287" s="1047"/>
      <c r="F287" s="1046"/>
      <c r="G287" s="2629"/>
      <c r="H287" s="2630"/>
      <c r="I287" s="2632"/>
      <c r="J287" s="2631"/>
      <c r="K287" s="2629"/>
      <c r="L287" s="2630"/>
      <c r="M287" s="345"/>
    </row>
    <row r="288" spans="1:13">
      <c r="A288" s="1172">
        <f t="shared" si="23"/>
        <v>0</v>
      </c>
      <c r="B288" s="278"/>
      <c r="C288" s="1044"/>
      <c r="D288" s="1044"/>
      <c r="E288" s="1047"/>
      <c r="F288" s="1046"/>
      <c r="G288" s="2629"/>
      <c r="H288" s="2630"/>
      <c r="I288" s="2632"/>
      <c r="J288" s="2631"/>
      <c r="K288" s="2629"/>
      <c r="L288" s="2630"/>
      <c r="M288" s="345"/>
    </row>
    <row r="289" spans="1:13">
      <c r="A289" s="1172">
        <f t="shared" si="23"/>
        <v>0</v>
      </c>
      <c r="B289" s="278"/>
      <c r="C289" s="1044"/>
      <c r="D289" s="1044"/>
      <c r="E289" s="1047"/>
      <c r="F289" s="1046"/>
      <c r="G289" s="2629"/>
      <c r="H289" s="2630"/>
      <c r="I289" s="2632"/>
      <c r="J289" s="2631"/>
      <c r="K289" s="2629"/>
      <c r="L289" s="2630"/>
      <c r="M289" s="345"/>
    </row>
    <row r="290" spans="1:13">
      <c r="A290" s="1172">
        <f t="shared" si="23"/>
        <v>0</v>
      </c>
      <c r="B290" s="278"/>
      <c r="C290" s="1044"/>
      <c r="D290" s="1044"/>
      <c r="E290" s="1047"/>
      <c r="F290" s="1046"/>
      <c r="G290" s="2629"/>
      <c r="H290" s="2630"/>
      <c r="I290" s="2632"/>
      <c r="J290" s="2631"/>
      <c r="K290" s="2629"/>
      <c r="L290" s="2630"/>
      <c r="M290" s="345"/>
    </row>
    <row r="291" spans="1:13">
      <c r="A291" s="1172">
        <f t="shared" si="23"/>
        <v>0</v>
      </c>
      <c r="B291" s="278"/>
      <c r="C291" s="1044"/>
      <c r="D291" s="1044"/>
      <c r="E291" s="1047"/>
      <c r="F291" s="1046"/>
      <c r="G291" s="2629"/>
      <c r="H291" s="2630"/>
      <c r="I291" s="2632"/>
      <c r="J291" s="2631"/>
      <c r="K291" s="2629"/>
      <c r="L291" s="2630"/>
      <c r="M291" s="345"/>
    </row>
    <row r="292" spans="1:13">
      <c r="A292" s="1172">
        <f t="shared" si="23"/>
        <v>0</v>
      </c>
      <c r="B292" s="278"/>
      <c r="C292" s="1044"/>
      <c r="D292" s="1044"/>
      <c r="E292" s="1047"/>
      <c r="F292" s="1046"/>
      <c r="G292" s="2629"/>
      <c r="H292" s="2630"/>
      <c r="I292" s="2632"/>
      <c r="J292" s="2631"/>
      <c r="K292" s="2629"/>
      <c r="L292" s="2630"/>
      <c r="M292" s="345"/>
    </row>
    <row r="293" spans="1:13">
      <c r="A293" s="1172">
        <f t="shared" si="23"/>
        <v>0</v>
      </c>
      <c r="B293" s="278"/>
      <c r="C293" s="1044"/>
      <c r="D293" s="1044"/>
      <c r="E293" s="1047"/>
      <c r="F293" s="1046"/>
      <c r="G293" s="2629"/>
      <c r="H293" s="2630"/>
      <c r="I293" s="2632"/>
      <c r="J293" s="2631"/>
      <c r="K293" s="2629"/>
      <c r="L293" s="2630"/>
      <c r="M293" s="345"/>
    </row>
    <row r="294" spans="1:13">
      <c r="A294" s="1172">
        <f t="shared" si="23"/>
        <v>0</v>
      </c>
      <c r="B294" s="278"/>
      <c r="C294" s="1044"/>
      <c r="D294" s="1044"/>
      <c r="E294" s="1047"/>
      <c r="F294" s="1046"/>
      <c r="G294" s="2629"/>
      <c r="H294" s="2630"/>
      <c r="I294" s="2632"/>
      <c r="J294" s="2631"/>
      <c r="K294" s="2629"/>
      <c r="L294" s="2630"/>
      <c r="M294" s="345"/>
    </row>
    <row r="295" spans="1:13">
      <c r="A295" s="1172">
        <f t="shared" si="23"/>
        <v>0</v>
      </c>
      <c r="B295" s="278"/>
      <c r="C295" s="1044"/>
      <c r="D295" s="1044"/>
      <c r="E295" s="1047"/>
      <c r="F295" s="1046"/>
      <c r="G295" s="2629"/>
      <c r="H295" s="2630"/>
      <c r="I295" s="2632"/>
      <c r="J295" s="2631"/>
      <c r="K295" s="2629"/>
      <c r="L295" s="2630"/>
      <c r="M295" s="345"/>
    </row>
    <row r="296" spans="1:13">
      <c r="A296" s="1172" t="str">
        <f t="shared" si="23"/>
        <v>Vote12 - Environmental Protection</v>
      </c>
      <c r="B296" s="278"/>
      <c r="C296" s="973">
        <f t="shared" ref="C296:F296" si="29">SUM(C297:C306)</f>
        <v>0</v>
      </c>
      <c r="D296" s="973">
        <f t="shared" si="29"/>
        <v>0</v>
      </c>
      <c r="E296" s="974">
        <f t="shared" si="29"/>
        <v>0</v>
      </c>
      <c r="F296" s="975">
        <f t="shared" si="29"/>
        <v>0</v>
      </c>
      <c r="G296" s="2624">
        <v>0</v>
      </c>
      <c r="H296" s="2625">
        <v>0</v>
      </c>
      <c r="I296" s="2627">
        <v>0</v>
      </c>
      <c r="J296" s="2626">
        <v>0</v>
      </c>
      <c r="K296" s="2624">
        <v>0</v>
      </c>
      <c r="L296" s="2625">
        <v>0</v>
      </c>
      <c r="M296" s="345"/>
    </row>
    <row r="297" spans="1:13">
      <c r="A297" s="1172" t="str">
        <f t="shared" si="23"/>
        <v>Environmental Services</v>
      </c>
      <c r="B297" s="278"/>
      <c r="C297" s="1044">
        <v>0</v>
      </c>
      <c r="D297" s="1044">
        <v>0</v>
      </c>
      <c r="E297" s="1569">
        <f>SUMIFS('SA36'!I:I,'SA36'!$A:$A,A5A!$A297,'SA36'!$Q:$Q,"S")</f>
        <v>0</v>
      </c>
      <c r="F297" s="1568">
        <f>SUMIFS('SA36'!P:P,'SA36'!$A:$A,A5A!$A297,'SA36'!$Q:$Q,"S")</f>
        <v>0</v>
      </c>
      <c r="G297" s="2642">
        <v>0</v>
      </c>
      <c r="H297" s="2643">
        <v>0</v>
      </c>
      <c r="I297" s="2645">
        <v>0</v>
      </c>
      <c r="J297" s="2644">
        <v>0</v>
      </c>
      <c r="K297" s="2642">
        <v>0</v>
      </c>
      <c r="L297" s="2643">
        <v>0</v>
      </c>
      <c r="M297" s="345"/>
    </row>
    <row r="298" spans="1:13">
      <c r="A298" s="1172">
        <f t="shared" si="23"/>
        <v>0</v>
      </c>
      <c r="B298" s="278"/>
      <c r="C298" s="1044"/>
      <c r="D298" s="1044"/>
      <c r="E298" s="1047"/>
      <c r="F298" s="1046"/>
      <c r="G298" s="2629"/>
      <c r="H298" s="2630"/>
      <c r="I298" s="2632"/>
      <c r="J298" s="2631"/>
      <c r="K298" s="2629"/>
      <c r="L298" s="2630"/>
      <c r="M298" s="345"/>
    </row>
    <row r="299" spans="1:13">
      <c r="A299" s="1172">
        <f t="shared" si="23"/>
        <v>0</v>
      </c>
      <c r="B299" s="278"/>
      <c r="C299" s="1044"/>
      <c r="D299" s="1044"/>
      <c r="E299" s="1047"/>
      <c r="F299" s="1046"/>
      <c r="G299" s="2629"/>
      <c r="H299" s="2630"/>
      <c r="I299" s="2632"/>
      <c r="J299" s="2631"/>
      <c r="K299" s="2629"/>
      <c r="L299" s="2630"/>
      <c r="M299" s="345"/>
    </row>
    <row r="300" spans="1:13">
      <c r="A300" s="1172">
        <f t="shared" si="23"/>
        <v>0</v>
      </c>
      <c r="B300" s="278"/>
      <c r="C300" s="1044"/>
      <c r="D300" s="1044"/>
      <c r="E300" s="1047"/>
      <c r="F300" s="1046"/>
      <c r="G300" s="2629"/>
      <c r="H300" s="2630"/>
      <c r="I300" s="2632"/>
      <c r="J300" s="2631"/>
      <c r="K300" s="2629"/>
      <c r="L300" s="2630"/>
      <c r="M300" s="345"/>
    </row>
    <row r="301" spans="1:13">
      <c r="A301" s="1172">
        <f t="shared" si="23"/>
        <v>0</v>
      </c>
      <c r="B301" s="278"/>
      <c r="C301" s="1044"/>
      <c r="D301" s="1044"/>
      <c r="E301" s="1047"/>
      <c r="F301" s="1046"/>
      <c r="G301" s="2629"/>
      <c r="H301" s="2630"/>
      <c r="I301" s="2632"/>
      <c r="J301" s="2631"/>
      <c r="K301" s="2629"/>
      <c r="L301" s="2630"/>
      <c r="M301" s="345"/>
    </row>
    <row r="302" spans="1:13">
      <c r="A302" s="1172">
        <f t="shared" si="23"/>
        <v>0</v>
      </c>
      <c r="B302" s="278"/>
      <c r="C302" s="1044"/>
      <c r="D302" s="1044"/>
      <c r="E302" s="1047"/>
      <c r="F302" s="1046"/>
      <c r="G302" s="2629"/>
      <c r="H302" s="2630"/>
      <c r="I302" s="2632"/>
      <c r="J302" s="2631"/>
      <c r="K302" s="2629"/>
      <c r="L302" s="2630"/>
      <c r="M302" s="345"/>
    </row>
    <row r="303" spans="1:13">
      <c r="A303" s="1172">
        <f t="shared" si="23"/>
        <v>0</v>
      </c>
      <c r="B303" s="278"/>
      <c r="C303" s="1044"/>
      <c r="D303" s="1044"/>
      <c r="E303" s="1047"/>
      <c r="F303" s="1046"/>
      <c r="G303" s="2629"/>
      <c r="H303" s="2630"/>
      <c r="I303" s="2632"/>
      <c r="J303" s="2631"/>
      <c r="K303" s="2629"/>
      <c r="L303" s="2630"/>
      <c r="M303" s="345"/>
    </row>
    <row r="304" spans="1:13">
      <c r="A304" s="1172">
        <f t="shared" ref="A304:A339" si="30">A135</f>
        <v>0</v>
      </c>
      <c r="B304" s="278"/>
      <c r="C304" s="1044"/>
      <c r="D304" s="1044"/>
      <c r="E304" s="1047"/>
      <c r="F304" s="1046"/>
      <c r="G304" s="2629"/>
      <c r="H304" s="2630"/>
      <c r="I304" s="2632"/>
      <c r="J304" s="2631"/>
      <c r="K304" s="2629"/>
      <c r="L304" s="2630"/>
      <c r="M304" s="345"/>
    </row>
    <row r="305" spans="1:13">
      <c r="A305" s="1172">
        <f t="shared" si="30"/>
        <v>0</v>
      </c>
      <c r="B305" s="278"/>
      <c r="C305" s="1044"/>
      <c r="D305" s="1044"/>
      <c r="E305" s="1047"/>
      <c r="F305" s="1046"/>
      <c r="G305" s="2629"/>
      <c r="H305" s="2630"/>
      <c r="I305" s="2632"/>
      <c r="J305" s="2631"/>
      <c r="K305" s="2629"/>
      <c r="L305" s="2630"/>
      <c r="M305" s="345"/>
    </row>
    <row r="306" spans="1:13">
      <c r="A306" s="1172">
        <f t="shared" si="30"/>
        <v>0</v>
      </c>
      <c r="B306" s="278"/>
      <c r="C306" s="1044"/>
      <c r="D306" s="1044"/>
      <c r="E306" s="1047"/>
      <c r="F306" s="1046"/>
      <c r="G306" s="2629"/>
      <c r="H306" s="2630"/>
      <c r="I306" s="2632"/>
      <c r="J306" s="2631"/>
      <c r="K306" s="2629"/>
      <c r="L306" s="2630"/>
      <c r="M306" s="345"/>
    </row>
    <row r="307" spans="1:13">
      <c r="A307" s="1172" t="str">
        <f t="shared" si="30"/>
        <v>Vote13 - Other</v>
      </c>
      <c r="B307" s="278"/>
      <c r="C307" s="973">
        <f t="shared" ref="C307:F307" si="31">SUM(C308:C317)</f>
        <v>0</v>
      </c>
      <c r="D307" s="973">
        <f t="shared" si="31"/>
        <v>0</v>
      </c>
      <c r="E307" s="974">
        <f t="shared" si="31"/>
        <v>0</v>
      </c>
      <c r="F307" s="975">
        <f t="shared" si="31"/>
        <v>0</v>
      </c>
      <c r="G307" s="2624">
        <v>0</v>
      </c>
      <c r="H307" s="2625">
        <v>0</v>
      </c>
      <c r="I307" s="2627">
        <v>0</v>
      </c>
      <c r="J307" s="2626">
        <v>0</v>
      </c>
      <c r="K307" s="2624">
        <v>0</v>
      </c>
      <c r="L307" s="2625">
        <v>0</v>
      </c>
      <c r="M307" s="345"/>
    </row>
    <row r="308" spans="1:13">
      <c r="A308" s="1172" t="str">
        <f t="shared" si="30"/>
        <v>Workshop</v>
      </c>
      <c r="B308" s="278"/>
      <c r="C308" s="1044">
        <v>0</v>
      </c>
      <c r="D308" s="1044">
        <v>0</v>
      </c>
      <c r="E308" s="1569">
        <f>SUMIFS('SA36'!I:I,'SA36'!$A:$A,A5A!$A308,'SA36'!$Q:$Q,"S")</f>
        <v>0</v>
      </c>
      <c r="F308" s="1568">
        <f>SUMIFS('SA36'!P:P,'SA36'!$A:$A,A5A!$A308,'SA36'!$Q:$Q,"S")</f>
        <v>0</v>
      </c>
      <c r="G308" s="2642">
        <v>0</v>
      </c>
      <c r="H308" s="2643">
        <v>0</v>
      </c>
      <c r="I308" s="2645">
        <v>0</v>
      </c>
      <c r="J308" s="2644">
        <v>0</v>
      </c>
      <c r="K308" s="2642">
        <v>0</v>
      </c>
      <c r="L308" s="2643">
        <v>0</v>
      </c>
      <c r="M308" s="345"/>
    </row>
    <row r="309" spans="1:13">
      <c r="A309" s="1172" t="str">
        <f t="shared" si="30"/>
        <v>Engineering Services</v>
      </c>
      <c r="B309" s="278"/>
      <c r="C309" s="1044">
        <v>0</v>
      </c>
      <c r="D309" s="1044">
        <v>0</v>
      </c>
      <c r="E309" s="1569">
        <f>SUMIFS('SA36'!I:I,'SA36'!$A:$A,A5A!$A309,'SA36'!$Q:$Q,"S")</f>
        <v>0</v>
      </c>
      <c r="F309" s="1568">
        <f>SUMIFS('SA36'!P:P,'SA36'!$A:$A,A5A!$A309,'SA36'!$Q:$Q,"S")</f>
        <v>0</v>
      </c>
      <c r="G309" s="2642">
        <v>0</v>
      </c>
      <c r="H309" s="2643">
        <v>0</v>
      </c>
      <c r="I309" s="2645">
        <v>0</v>
      </c>
      <c r="J309" s="2644">
        <v>0</v>
      </c>
      <c r="K309" s="2642">
        <v>0</v>
      </c>
      <c r="L309" s="2643">
        <v>0</v>
      </c>
      <c r="M309" s="345"/>
    </row>
    <row r="310" spans="1:13">
      <c r="A310" s="1172">
        <f t="shared" si="30"/>
        <v>0</v>
      </c>
      <c r="B310" s="278"/>
      <c r="C310" s="1044"/>
      <c r="D310" s="1044"/>
      <c r="E310" s="1047"/>
      <c r="F310" s="1046"/>
      <c r="G310" s="2629"/>
      <c r="H310" s="2630"/>
      <c r="I310" s="2632"/>
      <c r="J310" s="2631"/>
      <c r="K310" s="2629"/>
      <c r="L310" s="2630"/>
      <c r="M310" s="345"/>
    </row>
    <row r="311" spans="1:13">
      <c r="A311" s="1172">
        <f t="shared" si="30"/>
        <v>0</v>
      </c>
      <c r="B311" s="278"/>
      <c r="C311" s="1044"/>
      <c r="D311" s="1044"/>
      <c r="E311" s="1047"/>
      <c r="F311" s="1046"/>
      <c r="G311" s="2629"/>
      <c r="H311" s="2630"/>
      <c r="I311" s="2632"/>
      <c r="J311" s="2631"/>
      <c r="K311" s="2629"/>
      <c r="L311" s="2630"/>
      <c r="M311" s="345"/>
    </row>
    <row r="312" spans="1:13">
      <c r="A312" s="1172">
        <f t="shared" si="30"/>
        <v>0</v>
      </c>
      <c r="B312" s="278"/>
      <c r="C312" s="1044"/>
      <c r="D312" s="1044"/>
      <c r="E312" s="1047"/>
      <c r="F312" s="1046"/>
      <c r="G312" s="2629"/>
      <c r="H312" s="2630"/>
      <c r="I312" s="2632"/>
      <c r="J312" s="2631"/>
      <c r="K312" s="2629"/>
      <c r="L312" s="2630"/>
      <c r="M312" s="345"/>
    </row>
    <row r="313" spans="1:13">
      <c r="A313" s="1172">
        <f t="shared" si="30"/>
        <v>0</v>
      </c>
      <c r="B313" s="278"/>
      <c r="C313" s="1044"/>
      <c r="D313" s="1044"/>
      <c r="E313" s="1047"/>
      <c r="F313" s="1046"/>
      <c r="G313" s="2629"/>
      <c r="H313" s="2630"/>
      <c r="I313" s="2632"/>
      <c r="J313" s="2631"/>
      <c r="K313" s="2629"/>
      <c r="L313" s="2630"/>
      <c r="M313" s="345"/>
    </row>
    <row r="314" spans="1:13">
      <c r="A314" s="1172">
        <f t="shared" si="30"/>
        <v>0</v>
      </c>
      <c r="B314" s="278"/>
      <c r="C314" s="1044"/>
      <c r="D314" s="1044"/>
      <c r="E314" s="1047"/>
      <c r="F314" s="1046"/>
      <c r="G314" s="2629"/>
      <c r="H314" s="2630"/>
      <c r="I314" s="2632"/>
      <c r="J314" s="2631"/>
      <c r="K314" s="2629"/>
      <c r="L314" s="2630"/>
      <c r="M314" s="345"/>
    </row>
    <row r="315" spans="1:13">
      <c r="A315" s="1172">
        <f t="shared" si="30"/>
        <v>0</v>
      </c>
      <c r="B315" s="278"/>
      <c r="C315" s="1044"/>
      <c r="D315" s="1044"/>
      <c r="E315" s="1047"/>
      <c r="F315" s="1046"/>
      <c r="G315" s="2629"/>
      <c r="H315" s="2630"/>
      <c r="I315" s="2632"/>
      <c r="J315" s="2631"/>
      <c r="K315" s="2629"/>
      <c r="L315" s="2630"/>
      <c r="M315" s="345"/>
    </row>
    <row r="316" spans="1:13">
      <c r="A316" s="1172">
        <f t="shared" si="30"/>
        <v>0</v>
      </c>
      <c r="B316" s="278"/>
      <c r="C316" s="1044"/>
      <c r="D316" s="1044"/>
      <c r="E316" s="1047"/>
      <c r="F316" s="1046"/>
      <c r="G316" s="2629"/>
      <c r="H316" s="2630"/>
      <c r="I316" s="2632"/>
      <c r="J316" s="2631"/>
      <c r="K316" s="2629"/>
      <c r="L316" s="2630"/>
      <c r="M316" s="345"/>
    </row>
    <row r="317" spans="1:13">
      <c r="A317" s="1172">
        <f t="shared" si="30"/>
        <v>0</v>
      </c>
      <c r="B317" s="278"/>
      <c r="C317" s="1044"/>
      <c r="D317" s="1044"/>
      <c r="E317" s="1047"/>
      <c r="F317" s="1046"/>
      <c r="G317" s="2629"/>
      <c r="H317" s="2630"/>
      <c r="I317" s="2632"/>
      <c r="J317" s="2631"/>
      <c r="K317" s="2629"/>
      <c r="L317" s="2630"/>
      <c r="M317" s="345"/>
    </row>
    <row r="318" spans="1:13">
      <c r="A318" s="1172" t="str">
        <f t="shared" si="30"/>
        <v>Vote14 - Example 14</v>
      </c>
      <c r="B318" s="278"/>
      <c r="C318" s="973">
        <f t="shared" ref="C318:F318" si="32">SUM(C319:C328)</f>
        <v>0</v>
      </c>
      <c r="D318" s="973">
        <f t="shared" si="32"/>
        <v>0</v>
      </c>
      <c r="E318" s="974">
        <f t="shared" si="32"/>
        <v>0</v>
      </c>
      <c r="F318" s="975">
        <f t="shared" si="32"/>
        <v>0</v>
      </c>
      <c r="G318" s="2624">
        <v>0</v>
      </c>
      <c r="H318" s="2625">
        <v>0</v>
      </c>
      <c r="I318" s="2627">
        <v>0</v>
      </c>
      <c r="J318" s="2626">
        <v>0</v>
      </c>
      <c r="K318" s="2624">
        <v>0</v>
      </c>
      <c r="L318" s="2625">
        <v>0</v>
      </c>
      <c r="M318" s="345"/>
    </row>
    <row r="319" spans="1:13">
      <c r="A319" s="1172" t="str">
        <f t="shared" si="30"/>
        <v>Subvote example 1</v>
      </c>
      <c r="B319" s="278"/>
      <c r="C319" s="1044"/>
      <c r="D319" s="1044"/>
      <c r="E319" s="1047"/>
      <c r="F319" s="1046"/>
      <c r="G319" s="2629"/>
      <c r="H319" s="2630"/>
      <c r="I319" s="2632"/>
      <c r="J319" s="2631"/>
      <c r="K319" s="2629"/>
      <c r="L319" s="2630"/>
      <c r="M319" s="345"/>
    </row>
    <row r="320" spans="1:13">
      <c r="A320" s="1172">
        <f t="shared" si="30"/>
        <v>0</v>
      </c>
      <c r="B320" s="278"/>
      <c r="C320" s="1044"/>
      <c r="D320" s="1044"/>
      <c r="E320" s="1047"/>
      <c r="F320" s="1046"/>
      <c r="G320" s="2629"/>
      <c r="H320" s="2630"/>
      <c r="I320" s="2632"/>
      <c r="J320" s="2631"/>
      <c r="K320" s="2629"/>
      <c r="L320" s="2630"/>
      <c r="M320" s="345"/>
    </row>
    <row r="321" spans="1:13">
      <c r="A321" s="1172">
        <f t="shared" si="30"/>
        <v>0</v>
      </c>
      <c r="B321" s="278"/>
      <c r="C321" s="1044"/>
      <c r="D321" s="1044"/>
      <c r="E321" s="1047"/>
      <c r="F321" s="1046"/>
      <c r="G321" s="2629"/>
      <c r="H321" s="2630"/>
      <c r="I321" s="2632"/>
      <c r="J321" s="2631"/>
      <c r="K321" s="2629"/>
      <c r="L321" s="2630"/>
      <c r="M321" s="345"/>
    </row>
    <row r="322" spans="1:13">
      <c r="A322" s="1172">
        <f t="shared" si="30"/>
        <v>0</v>
      </c>
      <c r="B322" s="278"/>
      <c r="C322" s="1044"/>
      <c r="D322" s="1044"/>
      <c r="E322" s="1047"/>
      <c r="F322" s="1046"/>
      <c r="G322" s="2629"/>
      <c r="H322" s="2630"/>
      <c r="I322" s="2632"/>
      <c r="J322" s="2631"/>
      <c r="K322" s="2629"/>
      <c r="L322" s="2630"/>
      <c r="M322" s="345"/>
    </row>
    <row r="323" spans="1:13">
      <c r="A323" s="1172">
        <f t="shared" si="30"/>
        <v>0</v>
      </c>
      <c r="B323" s="278"/>
      <c r="C323" s="1044"/>
      <c r="D323" s="1044"/>
      <c r="E323" s="1047"/>
      <c r="F323" s="1046"/>
      <c r="G323" s="2629"/>
      <c r="H323" s="2630"/>
      <c r="I323" s="2632"/>
      <c r="J323" s="2631"/>
      <c r="K323" s="2629"/>
      <c r="L323" s="2630"/>
      <c r="M323" s="345"/>
    </row>
    <row r="324" spans="1:13">
      <c r="A324" s="1172">
        <f t="shared" si="30"/>
        <v>0</v>
      </c>
      <c r="B324" s="278"/>
      <c r="C324" s="1044"/>
      <c r="D324" s="1044"/>
      <c r="E324" s="1047"/>
      <c r="F324" s="1046"/>
      <c r="G324" s="2629"/>
      <c r="H324" s="2630"/>
      <c r="I324" s="2632"/>
      <c r="J324" s="2631"/>
      <c r="K324" s="2629"/>
      <c r="L324" s="2630"/>
      <c r="M324" s="345"/>
    </row>
    <row r="325" spans="1:13">
      <c r="A325" s="1172">
        <f t="shared" si="30"/>
        <v>0</v>
      </c>
      <c r="B325" s="278"/>
      <c r="C325" s="1044"/>
      <c r="D325" s="1044"/>
      <c r="E325" s="1047"/>
      <c r="F325" s="1046"/>
      <c r="G325" s="2629"/>
      <c r="H325" s="2630"/>
      <c r="I325" s="2632"/>
      <c r="J325" s="2631"/>
      <c r="K325" s="2629"/>
      <c r="L325" s="2630"/>
      <c r="M325" s="345"/>
    </row>
    <row r="326" spans="1:13">
      <c r="A326" s="1172">
        <f t="shared" si="30"/>
        <v>0</v>
      </c>
      <c r="B326" s="278"/>
      <c r="C326" s="1044"/>
      <c r="D326" s="1044"/>
      <c r="E326" s="1047"/>
      <c r="F326" s="1046"/>
      <c r="G326" s="2629"/>
      <c r="H326" s="2630"/>
      <c r="I326" s="2632"/>
      <c r="J326" s="2631"/>
      <c r="K326" s="2629"/>
      <c r="L326" s="2630"/>
      <c r="M326" s="345"/>
    </row>
    <row r="327" spans="1:13">
      <c r="A327" s="1172">
        <f t="shared" si="30"/>
        <v>0</v>
      </c>
      <c r="B327" s="278"/>
      <c r="C327" s="1044"/>
      <c r="D327" s="1044"/>
      <c r="E327" s="1047"/>
      <c r="F327" s="1046"/>
      <c r="G327" s="2629"/>
      <c r="H327" s="2630"/>
      <c r="I327" s="2632"/>
      <c r="J327" s="2631"/>
      <c r="K327" s="2629"/>
      <c r="L327" s="2630"/>
      <c r="M327" s="345"/>
    </row>
    <row r="328" spans="1:13">
      <c r="A328" s="1172">
        <f t="shared" si="30"/>
        <v>0</v>
      </c>
      <c r="B328" s="278"/>
      <c r="C328" s="1044"/>
      <c r="D328" s="1044"/>
      <c r="E328" s="1047"/>
      <c r="F328" s="1046"/>
      <c r="G328" s="2629"/>
      <c r="H328" s="2630"/>
      <c r="I328" s="2632"/>
      <c r="J328" s="2631"/>
      <c r="K328" s="2629"/>
      <c r="L328" s="2630"/>
      <c r="M328" s="345"/>
    </row>
    <row r="329" spans="1:13">
      <c r="A329" s="1172" t="str">
        <f t="shared" si="30"/>
        <v>Vote15 - Example 15</v>
      </c>
      <c r="B329" s="278"/>
      <c r="C329" s="973">
        <f t="shared" ref="C329:F329" si="33">SUM(C330:C339)</f>
        <v>0</v>
      </c>
      <c r="D329" s="973">
        <f t="shared" si="33"/>
        <v>0</v>
      </c>
      <c r="E329" s="974">
        <f t="shared" si="33"/>
        <v>0</v>
      </c>
      <c r="F329" s="975">
        <f t="shared" si="33"/>
        <v>0</v>
      </c>
      <c r="G329" s="2624">
        <v>0</v>
      </c>
      <c r="H329" s="2625">
        <v>0</v>
      </c>
      <c r="I329" s="2627">
        <v>0</v>
      </c>
      <c r="J329" s="2626">
        <v>0</v>
      </c>
      <c r="K329" s="2624">
        <v>0</v>
      </c>
      <c r="L329" s="2625">
        <v>0</v>
      </c>
      <c r="M329" s="345"/>
    </row>
    <row r="330" spans="1:13">
      <c r="A330" s="1172" t="str">
        <f t="shared" si="30"/>
        <v>Subvote example 1</v>
      </c>
      <c r="B330" s="278"/>
      <c r="C330" s="1044"/>
      <c r="D330" s="1044"/>
      <c r="E330" s="1047"/>
      <c r="F330" s="1046"/>
      <c r="G330" s="2629"/>
      <c r="H330" s="2630"/>
      <c r="I330" s="2632"/>
      <c r="J330" s="2631"/>
      <c r="K330" s="2629"/>
      <c r="L330" s="2630"/>
      <c r="M330" s="345"/>
    </row>
    <row r="331" spans="1:13">
      <c r="A331" s="1172">
        <f t="shared" si="30"/>
        <v>0</v>
      </c>
      <c r="B331" s="278"/>
      <c r="C331" s="1044"/>
      <c r="D331" s="1044"/>
      <c r="E331" s="1047"/>
      <c r="F331" s="1046"/>
      <c r="G331" s="2629"/>
      <c r="H331" s="2630"/>
      <c r="I331" s="2632"/>
      <c r="J331" s="2631"/>
      <c r="K331" s="2629"/>
      <c r="L331" s="2630"/>
      <c r="M331" s="345"/>
    </row>
    <row r="332" spans="1:13">
      <c r="A332" s="1172">
        <f t="shared" si="30"/>
        <v>0</v>
      </c>
      <c r="B332" s="278"/>
      <c r="C332" s="1044"/>
      <c r="D332" s="1044"/>
      <c r="E332" s="1047"/>
      <c r="F332" s="1046"/>
      <c r="G332" s="2629"/>
      <c r="H332" s="2630"/>
      <c r="I332" s="2632"/>
      <c r="J332" s="2631"/>
      <c r="K332" s="2629"/>
      <c r="L332" s="2630"/>
      <c r="M332" s="345"/>
    </row>
    <row r="333" spans="1:13">
      <c r="A333" s="1172">
        <f t="shared" si="30"/>
        <v>0</v>
      </c>
      <c r="B333" s="278"/>
      <c r="C333" s="1044"/>
      <c r="D333" s="1044"/>
      <c r="E333" s="1047"/>
      <c r="F333" s="1046"/>
      <c r="G333" s="2629"/>
      <c r="H333" s="2630"/>
      <c r="I333" s="2632"/>
      <c r="J333" s="2631"/>
      <c r="K333" s="2629"/>
      <c r="L333" s="2630"/>
      <c r="M333" s="345"/>
    </row>
    <row r="334" spans="1:13">
      <c r="A334" s="1172">
        <f t="shared" si="30"/>
        <v>0</v>
      </c>
      <c r="B334" s="278"/>
      <c r="C334" s="1044"/>
      <c r="D334" s="1044"/>
      <c r="E334" s="1047"/>
      <c r="F334" s="1046"/>
      <c r="G334" s="2629"/>
      <c r="H334" s="2630"/>
      <c r="I334" s="2632"/>
      <c r="J334" s="2631"/>
      <c r="K334" s="2629"/>
      <c r="L334" s="2630"/>
      <c r="M334" s="345"/>
    </row>
    <row r="335" spans="1:13">
      <c r="A335" s="1172">
        <f t="shared" si="30"/>
        <v>0</v>
      </c>
      <c r="B335" s="278"/>
      <c r="C335" s="1044"/>
      <c r="D335" s="1044"/>
      <c r="E335" s="1047"/>
      <c r="F335" s="1046"/>
      <c r="G335" s="2629"/>
      <c r="H335" s="2630"/>
      <c r="I335" s="2632"/>
      <c r="J335" s="2631"/>
      <c r="K335" s="2629"/>
      <c r="L335" s="2630"/>
      <c r="M335" s="345"/>
    </row>
    <row r="336" spans="1:13">
      <c r="A336" s="1172">
        <f t="shared" si="30"/>
        <v>0</v>
      </c>
      <c r="B336" s="278"/>
      <c r="C336" s="1044"/>
      <c r="D336" s="1044"/>
      <c r="E336" s="1047"/>
      <c r="F336" s="1046"/>
      <c r="G336" s="2629"/>
      <c r="H336" s="2630"/>
      <c r="I336" s="2632"/>
      <c r="J336" s="2631"/>
      <c r="K336" s="2629"/>
      <c r="L336" s="2630"/>
      <c r="M336" s="345"/>
    </row>
    <row r="337" spans="1:13">
      <c r="A337" s="1172">
        <f t="shared" si="30"/>
        <v>0</v>
      </c>
      <c r="B337" s="278"/>
      <c r="C337" s="1044"/>
      <c r="D337" s="1044"/>
      <c r="E337" s="1047"/>
      <c r="F337" s="1046"/>
      <c r="G337" s="2629"/>
      <c r="H337" s="2630"/>
      <c r="I337" s="2632"/>
      <c r="J337" s="2631"/>
      <c r="K337" s="2629"/>
      <c r="L337" s="2630"/>
      <c r="M337" s="345"/>
    </row>
    <row r="338" spans="1:13">
      <c r="A338" s="1172">
        <f t="shared" si="30"/>
        <v>0</v>
      </c>
      <c r="B338" s="278"/>
      <c r="C338" s="1044"/>
      <c r="D338" s="1044"/>
      <c r="E338" s="1047"/>
      <c r="F338" s="1046"/>
      <c r="G338" s="2629"/>
      <c r="H338" s="2630"/>
      <c r="I338" s="2632"/>
      <c r="J338" s="2631"/>
      <c r="K338" s="2629"/>
      <c r="L338" s="2630"/>
      <c r="M338" s="345"/>
    </row>
    <row r="339" spans="1:13">
      <c r="A339" s="1172">
        <f t="shared" si="30"/>
        <v>0</v>
      </c>
      <c r="B339" s="278"/>
      <c r="C339" s="1044"/>
      <c r="D339" s="1044"/>
      <c r="E339" s="1047"/>
      <c r="F339" s="1046"/>
      <c r="G339" s="2629"/>
      <c r="H339" s="2630"/>
      <c r="I339" s="2632"/>
      <c r="J339" s="2631"/>
      <c r="K339" s="2629"/>
      <c r="L339" s="2630"/>
      <c r="M339" s="345"/>
    </row>
    <row r="340" spans="1:13">
      <c r="A340" s="305" t="s">
        <v>1428</v>
      </c>
      <c r="B340" s="278"/>
      <c r="C340" s="184">
        <f>C175+C186+C197+C208+C219+C230+C241+C252+C263+C274+C285+C296+C307+C318+C329</f>
        <v>0</v>
      </c>
      <c r="D340" s="184">
        <f t="shared" ref="D340:F340" si="34">D175+D186+D197+D208+D219+D230+D241+D252+D263+D274+D285+D296+D307+D318+D329</f>
        <v>0</v>
      </c>
      <c r="E340" s="1533">
        <f t="shared" si="34"/>
        <v>0</v>
      </c>
      <c r="F340" s="1531">
        <f t="shared" si="34"/>
        <v>0</v>
      </c>
      <c r="G340" s="2610">
        <v>0</v>
      </c>
      <c r="H340" s="2640">
        <v>0</v>
      </c>
      <c r="I340" s="2641">
        <v>0</v>
      </c>
      <c r="J340" s="2637">
        <v>9488000</v>
      </c>
      <c r="K340" s="2610">
        <v>0</v>
      </c>
      <c r="L340" s="2610">
        <v>0</v>
      </c>
      <c r="M340" s="345"/>
    </row>
    <row r="341" spans="1:13">
      <c r="A341" s="1512" t="s">
        <v>628</v>
      </c>
      <c r="B341" s="1247"/>
      <c r="C341" s="1248">
        <f>C171+C340</f>
        <v>0</v>
      </c>
      <c r="D341" s="1248">
        <f t="shared" ref="D341:F341" si="35">D171+D340</f>
        <v>0</v>
      </c>
      <c r="E341" s="1249">
        <f t="shared" si="35"/>
        <v>0</v>
      </c>
      <c r="F341" s="1250">
        <f t="shared" si="35"/>
        <v>0</v>
      </c>
      <c r="G341" s="2635">
        <v>0</v>
      </c>
      <c r="H341" s="2636">
        <v>0</v>
      </c>
      <c r="I341" s="2633">
        <v>0</v>
      </c>
      <c r="J341" s="2634">
        <v>9488000</v>
      </c>
      <c r="K341" s="2635">
        <v>0</v>
      </c>
      <c r="L341" s="2636">
        <v>0</v>
      </c>
      <c r="M341" s="345"/>
    </row>
    <row r="342" spans="1:13">
      <c r="M342" s="345"/>
    </row>
  </sheetData>
  <dataConsolidate/>
  <mergeCells count="2">
    <mergeCell ref="F2:I2"/>
    <mergeCell ref="J2:L2"/>
  </mergeCells>
  <phoneticPr fontId="3" type="noConversion"/>
  <dataValidations xWindow="132" yWindow="623" count="17">
    <dataValidation type="list" allowBlank="1" showInputMessage="1" showErrorMessage="1" promptTitle="Select Sub-vote" prompt="Select sub-vote from list_x000a_" sqref="A7:A16">
      <formula1>Vote1</formula1>
    </dataValidation>
    <dataValidation type="list" allowBlank="1" showInputMessage="1" showErrorMessage="1" promptTitle="Select Vote" prompt="Select vote from list" sqref="A6 A17 A28 A50 A61 A72 A83 A94 A105 A116 A127 A138 A149 A160">
      <formula1>Vote</formula1>
    </dataValidation>
    <dataValidation type="list" allowBlank="1" showInputMessage="1" showErrorMessage="1" promptTitle="Select Vote" prompt="Select vote from list" sqref="A39">
      <formula1>Vote</formula1>
    </dataValidation>
    <dataValidation type="list" allowBlank="1" showInputMessage="1" showErrorMessage="1" promptTitle="Select Sub-Vote" prompt="Select sub-vote from list" sqref="A18:A27">
      <formula1>Vote2</formula1>
    </dataValidation>
    <dataValidation type="list" allowBlank="1" showInputMessage="1" showErrorMessage="1" promptTitle="Select Sub-Vote" prompt="Select sub-vote from list" sqref="A29:A38">
      <formula1>Vote3</formula1>
    </dataValidation>
    <dataValidation type="list" allowBlank="1" showInputMessage="1" showErrorMessage="1" promptTitle="Select Sub-Vote" prompt="Select sub-vote from list" sqref="A40:A49">
      <formula1>Vote4</formula1>
    </dataValidation>
    <dataValidation type="list" allowBlank="1" showInputMessage="1" showErrorMessage="1" promptTitle="Select Sub-Vote" prompt="Select sub-vote from list" sqref="A51:A60">
      <formula1>Vote5</formula1>
    </dataValidation>
    <dataValidation type="list" allowBlank="1" showInputMessage="1" showErrorMessage="1" promptTitle="Select Sub-Vote" prompt="Select sub-vote from list" sqref="A62:A71">
      <formula1>Vote6</formula1>
    </dataValidation>
    <dataValidation type="list" allowBlank="1" showInputMessage="1" showErrorMessage="1" promptTitle="Select Sub-Vote" prompt="Select sub-vote from list" sqref="A73:A82">
      <formula1>Vote7</formula1>
    </dataValidation>
    <dataValidation type="list" allowBlank="1" showInputMessage="1" showErrorMessage="1" promptTitle="Select Sub-Vote" prompt="Select sub-vote from list" sqref="A84:A93">
      <formula1>Vote8</formula1>
    </dataValidation>
    <dataValidation type="list" allowBlank="1" showInputMessage="1" showErrorMessage="1" promptTitle="Select Sub-Vote" prompt="Select sub-vote from list" sqref="A95:A104">
      <formula1>Vote9</formula1>
    </dataValidation>
    <dataValidation type="list" allowBlank="1" showInputMessage="1" showErrorMessage="1" promptTitle="Select Sub-Vote" prompt="Select sub-vote from list" sqref="A106:A115">
      <formula1>Vote10</formula1>
    </dataValidation>
    <dataValidation type="list" allowBlank="1" showInputMessage="1" showErrorMessage="1" promptTitle="Select Sub-Vote" prompt="Select sub-vote from list" sqref="A117:A126">
      <formula1>Vote11</formula1>
    </dataValidation>
    <dataValidation type="list" allowBlank="1" showInputMessage="1" showErrorMessage="1" promptTitle="Select Sub-Vote" prompt="Select sub-vote from list" sqref="A128:A137">
      <formula1>Vote12</formula1>
    </dataValidation>
    <dataValidation type="list" allowBlank="1" showInputMessage="1" showErrorMessage="1" promptTitle="Select Sub-Vote" prompt="Select sub-vote from list" sqref="A139:A148">
      <formula1>Vote13</formula1>
    </dataValidation>
    <dataValidation type="list" allowBlank="1" showInputMessage="1" showErrorMessage="1" promptTitle="Select Sub-Vote" prompt="Select sub-vote from list" sqref="A150:A159">
      <formula1>Vote14</formula1>
    </dataValidation>
    <dataValidation type="list" allowBlank="1" showInputMessage="1" showErrorMessage="1" promptTitle="Select Sub-Vote" prompt="Select sub-vote from list" sqref="A161:A170">
      <formula1>Vote15</formula1>
    </dataValidation>
  </dataValidations>
  <pageMargins left="0.36" right="0.14000000000000001" top="0.78" bottom="0.59" header="0.5" footer="0.41"/>
  <pageSetup paperSize="9" scale="3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indexed="44"/>
    <pageSetUpPr fitToPage="1"/>
  </sheetPr>
  <dimension ref="A1:O90"/>
  <sheetViews>
    <sheetView showGridLines="0" workbookViewId="0">
      <pane xSplit="2" ySplit="3" topLeftCell="C4" activePane="bottomRight" state="frozen"/>
      <selection activeCell="O37" sqref="A1:IV65536"/>
      <selection pane="topRight" activeCell="O37" sqref="A1:IV65536"/>
      <selection pane="bottomLeft" activeCell="O37" sqref="A1:IV65536"/>
      <selection pane="bottomRight" activeCell="J24" sqref="J24"/>
    </sheetView>
  </sheetViews>
  <sheetFormatPr defaultRowHeight="12.75"/>
  <cols>
    <col min="1" max="1" width="30.7109375" style="150" customWidth="1"/>
    <col min="2" max="2" width="3" style="233" hidden="1" customWidth="1"/>
    <col min="3" max="8" width="9.28515625" style="150" customWidth="1"/>
    <col min="9" max="9" width="9.140625" style="150" hidden="1" customWidth="1"/>
    <col min="10" max="12" width="9.28515625" style="150" customWidth="1"/>
    <col min="13" max="13" width="9.85546875" style="150" customWidth="1"/>
    <col min="14" max="14" width="9.5703125" style="150" customWidth="1"/>
    <col min="15" max="15" width="9.85546875" style="150" customWidth="1"/>
    <col min="16" max="18" width="9.5703125" style="150" customWidth="1"/>
    <col min="19" max="19" width="9.85546875" style="150" customWidth="1"/>
    <col min="20" max="22" width="9.5703125" style="150" customWidth="1"/>
    <col min="23" max="24" width="9.85546875" style="150" customWidth="1"/>
    <col min="25" max="16384" width="9.140625" style="150"/>
  </cols>
  <sheetData>
    <row r="1" spans="1:12" s="168" customFormat="1">
      <c r="A1" s="148" t="str">
        <f>muni&amp;" - "&amp;Approve6</f>
        <v>NC071 Ubuntu - Table A6 Budgeted Financial Position</v>
      </c>
      <c r="B1" s="148"/>
      <c r="C1" s="148"/>
      <c r="D1" s="148"/>
      <c r="E1" s="148"/>
      <c r="F1" s="148"/>
      <c r="G1" s="148"/>
      <c r="H1" s="148"/>
      <c r="I1" s="148"/>
      <c r="J1" s="148"/>
      <c r="K1" s="148"/>
      <c r="L1" s="148"/>
    </row>
    <row r="2" spans="1:12" ht="28.5" customHeight="1">
      <c r="A2" s="972" t="str">
        <f>desc</f>
        <v>Description</v>
      </c>
      <c r="B2" s="394" t="str">
        <f>head27</f>
        <v>Ref</v>
      </c>
      <c r="C2" s="151" t="str">
        <f>head1b</f>
        <v>2007/8</v>
      </c>
      <c r="D2" s="151" t="str">
        <f>head1A</f>
        <v>2008/9</v>
      </c>
      <c r="E2" s="147" t="str">
        <f>Head1</f>
        <v>2009/10</v>
      </c>
      <c r="F2" s="2772" t="str">
        <f>Head2</f>
        <v>Current Year 2010/11</v>
      </c>
      <c r="G2" s="2773"/>
      <c r="H2" s="2773"/>
      <c r="I2" s="2773"/>
      <c r="J2" s="2769" t="str">
        <f>Head3</f>
        <v>2011/12 Medium Term Revenue &amp; Expenditure Framework</v>
      </c>
      <c r="K2" s="2770"/>
      <c r="L2" s="2771"/>
    </row>
    <row r="3" spans="1:12" ht="25.5">
      <c r="A3" s="169" t="s">
        <v>697</v>
      </c>
      <c r="B3" s="984"/>
      <c r="C3" s="365" t="str">
        <f>Head5</f>
        <v>Audited Outcome</v>
      </c>
      <c r="D3" s="365" t="str">
        <f>Head5</f>
        <v>Audited Outcome</v>
      </c>
      <c r="E3" s="366" t="str">
        <f>Head5</f>
        <v>Audited Outcome</v>
      </c>
      <c r="F3" s="283" t="str">
        <f>Head6</f>
        <v>Original Budget</v>
      </c>
      <c r="G3" s="365" t="str">
        <f>Head7</f>
        <v>Adjusted Budget</v>
      </c>
      <c r="H3" s="366" t="str">
        <f>Head8</f>
        <v>Full Year Forecast</v>
      </c>
      <c r="I3" s="364" t="str">
        <f>Head5b</f>
        <v>Pre-audit outcome</v>
      </c>
      <c r="J3" s="283" t="str">
        <f>Head9</f>
        <v>Budget Year 2011/12</v>
      </c>
      <c r="K3" s="365" t="str">
        <f>Head10</f>
        <v>Budget Year +1 2012/13</v>
      </c>
      <c r="L3" s="366" t="str">
        <f>Head11</f>
        <v>Budget Year +2 2013/14</v>
      </c>
    </row>
    <row r="4" spans="1:12" ht="11.25" customHeight="1">
      <c r="A4" s="305" t="s">
        <v>1085</v>
      </c>
      <c r="B4" s="276"/>
      <c r="C4" s="292"/>
      <c r="D4" s="292"/>
      <c r="E4" s="295"/>
      <c r="F4" s="294"/>
      <c r="G4" s="292"/>
      <c r="H4" s="295"/>
      <c r="I4" s="293"/>
      <c r="J4" s="315"/>
      <c r="K4" s="292"/>
      <c r="L4" s="295"/>
    </row>
    <row r="5" spans="1:12" ht="11.25" customHeight="1">
      <c r="A5" s="305" t="s">
        <v>1086</v>
      </c>
      <c r="B5" s="278"/>
      <c r="C5" s="189"/>
      <c r="D5" s="189"/>
      <c r="E5" s="190"/>
      <c r="F5" s="191"/>
      <c r="G5" s="189"/>
      <c r="H5" s="190"/>
      <c r="I5" s="188"/>
      <c r="J5" s="192"/>
      <c r="K5" s="189"/>
      <c r="L5" s="190"/>
    </row>
    <row r="6" spans="1:12" ht="11.25" customHeight="1">
      <c r="A6" s="179" t="s">
        <v>733</v>
      </c>
      <c r="B6" s="278"/>
      <c r="C6" s="2682">
        <v>0</v>
      </c>
      <c r="D6" s="2682">
        <v>213444</v>
      </c>
      <c r="E6" s="2684">
        <v>675934</v>
      </c>
      <c r="F6" s="2685">
        <v>410400</v>
      </c>
      <c r="G6" s="2682">
        <v>829000</v>
      </c>
      <c r="H6" s="2684">
        <v>0</v>
      </c>
      <c r="I6" s="2686">
        <v>0</v>
      </c>
      <c r="J6" s="2683">
        <v>629000</v>
      </c>
      <c r="K6" s="2682">
        <v>732000</v>
      </c>
      <c r="L6" s="2684">
        <v>8360000</v>
      </c>
    </row>
    <row r="7" spans="1:12" ht="11.25" customHeight="1">
      <c r="A7" s="179" t="s">
        <v>1623</v>
      </c>
      <c r="B7" s="278">
        <v>1</v>
      </c>
      <c r="C7" s="2651">
        <v>0</v>
      </c>
      <c r="D7" s="2651">
        <v>2535980</v>
      </c>
      <c r="E7" s="2669">
        <v>5620170</v>
      </c>
      <c r="F7" s="2653">
        <v>2120000</v>
      </c>
      <c r="G7" s="2651">
        <v>10416599.363000005</v>
      </c>
      <c r="H7" s="2669">
        <v>10416599.363000005</v>
      </c>
      <c r="I7" s="2656">
        <v>0</v>
      </c>
      <c r="J7" s="2657">
        <v>9166599.3630000055</v>
      </c>
      <c r="K7" s="2655">
        <v>9527000</v>
      </c>
      <c r="L7" s="2669">
        <v>10026000</v>
      </c>
    </row>
    <row r="8" spans="1:12" ht="11.25" customHeight="1">
      <c r="A8" s="179" t="s">
        <v>1621</v>
      </c>
      <c r="B8" s="278">
        <v>1</v>
      </c>
      <c r="C8" s="2651">
        <v>0</v>
      </c>
      <c r="D8" s="2651">
        <v>5620735</v>
      </c>
      <c r="E8" s="2669">
        <v>4275529</v>
      </c>
      <c r="F8" s="2653">
        <v>14500000</v>
      </c>
      <c r="G8" s="2651">
        <v>9215239</v>
      </c>
      <c r="H8" s="2669">
        <v>9215239</v>
      </c>
      <c r="I8" s="2656">
        <v>0</v>
      </c>
      <c r="J8" s="2657">
        <v>9709753.3399999999</v>
      </c>
      <c r="K8" s="2655">
        <v>9929338.5404000003</v>
      </c>
      <c r="L8" s="2669">
        <v>8970063.4396819975</v>
      </c>
    </row>
    <row r="9" spans="1:12" ht="11.25" customHeight="1">
      <c r="A9" s="179" t="s">
        <v>1622</v>
      </c>
      <c r="B9" s="278"/>
      <c r="C9" s="2682">
        <v>0</v>
      </c>
      <c r="D9" s="2682">
        <v>4612530</v>
      </c>
      <c r="E9" s="2684">
        <v>3812342</v>
      </c>
      <c r="F9" s="2685">
        <v>4041082.52</v>
      </c>
      <c r="G9" s="2682">
        <v>0</v>
      </c>
      <c r="H9" s="2684">
        <v>0</v>
      </c>
      <c r="I9" s="2686">
        <v>0</v>
      </c>
      <c r="J9" s="2683">
        <v>4041082.52</v>
      </c>
      <c r="K9" s="2682">
        <v>0</v>
      </c>
      <c r="L9" s="2684">
        <v>0</v>
      </c>
    </row>
    <row r="10" spans="1:12" ht="11.25" customHeight="1">
      <c r="A10" s="179" t="s">
        <v>734</v>
      </c>
      <c r="B10" s="278"/>
      <c r="C10" s="2682">
        <v>0</v>
      </c>
      <c r="D10" s="2682">
        <v>0</v>
      </c>
      <c r="E10" s="2684">
        <v>0</v>
      </c>
      <c r="F10" s="2689">
        <v>0</v>
      </c>
      <c r="G10" s="2687">
        <v>0</v>
      </c>
      <c r="H10" s="2688">
        <v>0</v>
      </c>
      <c r="I10" s="2686">
        <v>0</v>
      </c>
      <c r="J10" s="2690">
        <v>0</v>
      </c>
      <c r="K10" s="2687">
        <v>0</v>
      </c>
      <c r="L10" s="2688">
        <v>0</v>
      </c>
    </row>
    <row r="11" spans="1:12" ht="11.25" customHeight="1">
      <c r="A11" s="179" t="s">
        <v>1620</v>
      </c>
      <c r="B11" s="278">
        <v>2</v>
      </c>
      <c r="C11" s="2682">
        <v>0</v>
      </c>
      <c r="D11" s="2682">
        <v>343701</v>
      </c>
      <c r="E11" s="2684">
        <v>288194</v>
      </c>
      <c r="F11" s="2685">
        <v>176000</v>
      </c>
      <c r="G11" s="2682">
        <v>0</v>
      </c>
      <c r="H11" s="2684">
        <v>0</v>
      </c>
      <c r="I11" s="2686">
        <v>0</v>
      </c>
      <c r="J11" s="2683">
        <v>112000</v>
      </c>
      <c r="K11" s="2682">
        <v>0</v>
      </c>
      <c r="L11" s="2684">
        <v>0</v>
      </c>
    </row>
    <row r="12" spans="1:12" ht="11.25" customHeight="1">
      <c r="A12" s="316" t="s">
        <v>602</v>
      </c>
      <c r="B12" s="317"/>
      <c r="C12" s="2671">
        <v>0</v>
      </c>
      <c r="D12" s="2671">
        <v>13326390</v>
      </c>
      <c r="E12" s="2672">
        <v>14672169</v>
      </c>
      <c r="F12" s="2673">
        <v>21247482.52</v>
      </c>
      <c r="G12" s="2671">
        <v>20460838.363000005</v>
      </c>
      <c r="H12" s="2672">
        <v>19631838.363000005</v>
      </c>
      <c r="I12" s="2680">
        <v>0</v>
      </c>
      <c r="J12" s="2674">
        <v>23658435.223000005</v>
      </c>
      <c r="K12" s="2671">
        <v>20188338.540399998</v>
      </c>
      <c r="L12" s="2672">
        <v>27356063.439681999</v>
      </c>
    </row>
    <row r="13" spans="1:12" ht="5.0999999999999996" customHeight="1">
      <c r="A13" s="187"/>
      <c r="B13" s="278"/>
      <c r="C13" s="2651"/>
      <c r="D13" s="2651"/>
      <c r="E13" s="2652"/>
      <c r="F13" s="2653"/>
      <c r="G13" s="2651"/>
      <c r="H13" s="2652"/>
      <c r="I13" s="2656"/>
      <c r="J13" s="2654"/>
      <c r="K13" s="2651"/>
      <c r="L13" s="2652"/>
    </row>
    <row r="14" spans="1:12" ht="11.25" customHeight="1">
      <c r="A14" s="305" t="s">
        <v>596</v>
      </c>
      <c r="B14" s="278"/>
      <c r="C14" s="2651"/>
      <c r="D14" s="2651"/>
      <c r="E14" s="2652"/>
      <c r="F14" s="2653"/>
      <c r="G14" s="2651"/>
      <c r="H14" s="2652"/>
      <c r="I14" s="2656"/>
      <c r="J14" s="2654"/>
      <c r="K14" s="2651"/>
      <c r="L14" s="2652"/>
    </row>
    <row r="15" spans="1:12" ht="11.25" customHeight="1">
      <c r="A15" s="179" t="s">
        <v>1619</v>
      </c>
      <c r="B15" s="278"/>
      <c r="C15" s="2682">
        <v>0</v>
      </c>
      <c r="D15" s="2682">
        <v>68209</v>
      </c>
      <c r="E15" s="2684">
        <v>245416</v>
      </c>
      <c r="F15" s="2685">
        <v>0</v>
      </c>
      <c r="G15" s="2682">
        <v>0</v>
      </c>
      <c r="H15" s="2684">
        <v>0</v>
      </c>
      <c r="I15" s="2686">
        <v>0</v>
      </c>
      <c r="J15" s="2683">
        <v>260140.96000000002</v>
      </c>
      <c r="K15" s="2682">
        <v>0</v>
      </c>
      <c r="L15" s="2684">
        <v>0</v>
      </c>
    </row>
    <row r="16" spans="1:12" ht="11.25" customHeight="1">
      <c r="A16" s="179" t="s">
        <v>1087</v>
      </c>
      <c r="B16" s="278"/>
      <c r="C16" s="2682">
        <v>0</v>
      </c>
      <c r="D16" s="2682">
        <v>1968253</v>
      </c>
      <c r="E16" s="2684">
        <v>1400772</v>
      </c>
      <c r="F16" s="2689">
        <v>0</v>
      </c>
      <c r="G16" s="2687">
        <v>0</v>
      </c>
      <c r="H16" s="2688">
        <v>0</v>
      </c>
      <c r="I16" s="2686">
        <v>0</v>
      </c>
      <c r="J16" s="2690">
        <v>1400772</v>
      </c>
      <c r="K16" s="2687">
        <v>1484818.32</v>
      </c>
      <c r="L16" s="2688">
        <v>1573907.4192000001</v>
      </c>
    </row>
    <row r="17" spans="1:13" ht="11.25" customHeight="1">
      <c r="A17" s="179" t="s">
        <v>1618</v>
      </c>
      <c r="B17" s="278"/>
      <c r="C17" s="2682">
        <v>0</v>
      </c>
      <c r="D17" s="2682">
        <v>19984100</v>
      </c>
      <c r="E17" s="2684">
        <v>19984100</v>
      </c>
      <c r="F17" s="2685">
        <v>0</v>
      </c>
      <c r="G17" s="2682">
        <v>0</v>
      </c>
      <c r="H17" s="2688">
        <v>0</v>
      </c>
      <c r="I17" s="2686">
        <v>0</v>
      </c>
      <c r="J17" s="2683">
        <v>19984100</v>
      </c>
      <c r="K17" s="2682">
        <v>0</v>
      </c>
      <c r="L17" s="2684">
        <v>0</v>
      </c>
    </row>
    <row r="18" spans="1:13" ht="11.25" customHeight="1">
      <c r="A18" s="179" t="s">
        <v>835</v>
      </c>
      <c r="B18" s="278"/>
      <c r="C18" s="2682">
        <v>0</v>
      </c>
      <c r="D18" s="2682"/>
      <c r="E18" s="2684"/>
      <c r="F18" s="2685">
        <v>0</v>
      </c>
      <c r="G18" s="2682">
        <v>0</v>
      </c>
      <c r="H18" s="2688">
        <v>0</v>
      </c>
      <c r="I18" s="2686">
        <v>0</v>
      </c>
      <c r="J18" s="2683">
        <v>0</v>
      </c>
      <c r="K18" s="2682">
        <v>0</v>
      </c>
      <c r="L18" s="2684">
        <v>0</v>
      </c>
    </row>
    <row r="19" spans="1:13" ht="11.25" customHeight="1">
      <c r="A19" s="179" t="s">
        <v>1617</v>
      </c>
      <c r="B19" s="278">
        <v>3</v>
      </c>
      <c r="C19" s="2651">
        <v>0</v>
      </c>
      <c r="D19" s="2651">
        <v>109342087</v>
      </c>
      <c r="E19" s="2669">
        <v>95337532</v>
      </c>
      <c r="F19" s="2653">
        <v>120659000</v>
      </c>
      <c r="G19" s="2651">
        <v>0</v>
      </c>
      <c r="H19" s="2652">
        <v>0</v>
      </c>
      <c r="I19" s="2650">
        <v>0</v>
      </c>
      <c r="J19" s="2654">
        <v>113803200.72684209</v>
      </c>
      <c r="K19" s="2651">
        <v>120631392.77045263</v>
      </c>
      <c r="L19" s="2652">
        <v>128876424.7191516</v>
      </c>
    </row>
    <row r="20" spans="1:13" ht="11.25" customHeight="1">
      <c r="A20" s="179" t="s">
        <v>1007</v>
      </c>
      <c r="B20" s="278"/>
      <c r="C20" s="2682">
        <v>0</v>
      </c>
      <c r="D20" s="2682">
        <v>0</v>
      </c>
      <c r="E20" s="2684">
        <v>0</v>
      </c>
      <c r="F20" s="2685">
        <v>0</v>
      </c>
      <c r="G20" s="2682">
        <v>0</v>
      </c>
      <c r="H20" s="2688">
        <v>0</v>
      </c>
      <c r="I20" s="2686">
        <v>0</v>
      </c>
      <c r="J20" s="2683">
        <v>0</v>
      </c>
      <c r="K20" s="2682">
        <v>0</v>
      </c>
      <c r="L20" s="2684">
        <v>0</v>
      </c>
    </row>
    <row r="21" spans="1:13" ht="11.25" customHeight="1">
      <c r="A21" s="179" t="s">
        <v>1008</v>
      </c>
      <c r="B21" s="278"/>
      <c r="C21" s="2682">
        <v>0</v>
      </c>
      <c r="D21" s="2682">
        <v>0</v>
      </c>
      <c r="E21" s="2684">
        <v>0</v>
      </c>
      <c r="F21" s="2685">
        <v>0</v>
      </c>
      <c r="G21" s="2682">
        <v>0</v>
      </c>
      <c r="H21" s="2688">
        <v>0</v>
      </c>
      <c r="I21" s="2686">
        <v>0</v>
      </c>
      <c r="J21" s="2683">
        <v>0</v>
      </c>
      <c r="K21" s="2682">
        <v>0</v>
      </c>
      <c r="L21" s="2684">
        <v>0</v>
      </c>
    </row>
    <row r="22" spans="1:13" ht="11.25" customHeight="1">
      <c r="A22" s="179" t="s">
        <v>1009</v>
      </c>
      <c r="B22" s="278"/>
      <c r="C22" s="2682">
        <v>0</v>
      </c>
      <c r="D22" s="2682">
        <v>0</v>
      </c>
      <c r="E22" s="2684">
        <v>0</v>
      </c>
      <c r="F22" s="2685">
        <v>0</v>
      </c>
      <c r="G22" s="2682">
        <v>0</v>
      </c>
      <c r="H22" s="2688">
        <v>0</v>
      </c>
      <c r="I22" s="2686">
        <v>0</v>
      </c>
      <c r="J22" s="2683">
        <v>0</v>
      </c>
      <c r="K22" s="2682">
        <v>0</v>
      </c>
      <c r="L22" s="2684">
        <v>0</v>
      </c>
    </row>
    <row r="23" spans="1:13" ht="11.25" customHeight="1">
      <c r="A23" s="179" t="s">
        <v>1809</v>
      </c>
      <c r="B23" s="278"/>
      <c r="C23" s="2682">
        <v>0</v>
      </c>
      <c r="D23" s="2682">
        <v>0</v>
      </c>
      <c r="E23" s="2684">
        <v>0</v>
      </c>
      <c r="F23" s="2689">
        <v>0</v>
      </c>
      <c r="G23" s="2687">
        <v>0</v>
      </c>
      <c r="H23" s="2688">
        <v>0</v>
      </c>
      <c r="I23" s="2686">
        <v>0</v>
      </c>
      <c r="J23" s="2690">
        <v>0</v>
      </c>
      <c r="K23" s="2687">
        <v>0</v>
      </c>
      <c r="L23" s="2688">
        <v>0</v>
      </c>
    </row>
    <row r="24" spans="1:13" ht="11.25" customHeight="1">
      <c r="A24" s="316" t="s">
        <v>601</v>
      </c>
      <c r="B24" s="1317"/>
      <c r="C24" s="2681">
        <v>0</v>
      </c>
      <c r="D24" s="2659">
        <v>131362649</v>
      </c>
      <c r="E24" s="2660">
        <v>116967820</v>
      </c>
      <c r="F24" s="2661">
        <v>120659000</v>
      </c>
      <c r="G24" s="2659">
        <v>0</v>
      </c>
      <c r="H24" s="2660">
        <v>0</v>
      </c>
      <c r="I24" s="2658">
        <v>0</v>
      </c>
      <c r="J24" s="2662">
        <v>135448213.68684208</v>
      </c>
      <c r="K24" s="2659">
        <v>122116211.09045263</v>
      </c>
      <c r="L24" s="2660">
        <v>130450332.1383516</v>
      </c>
    </row>
    <row r="25" spans="1:13" ht="11.25" customHeight="1">
      <c r="A25" s="316" t="s">
        <v>605</v>
      </c>
      <c r="B25" s="317"/>
      <c r="C25" s="2671">
        <v>0</v>
      </c>
      <c r="D25" s="2671">
        <v>144689039</v>
      </c>
      <c r="E25" s="2672">
        <v>131639989</v>
      </c>
      <c r="F25" s="2673">
        <v>141906482.52000001</v>
      </c>
      <c r="G25" s="2671">
        <v>20460838.363000005</v>
      </c>
      <c r="H25" s="2672">
        <v>19631838.363000005</v>
      </c>
      <c r="I25" s="2670">
        <v>0</v>
      </c>
      <c r="J25" s="2674">
        <v>159106648.90984207</v>
      </c>
      <c r="K25" s="2671">
        <v>142304549.63085264</v>
      </c>
      <c r="L25" s="2672">
        <v>157806395.5780336</v>
      </c>
    </row>
    <row r="26" spans="1:13" ht="5.0999999999999996" customHeight="1">
      <c r="A26" s="187"/>
      <c r="B26" s="278"/>
      <c r="C26" s="2651"/>
      <c r="D26" s="2651"/>
      <c r="E26" s="2652"/>
      <c r="F26" s="2653"/>
      <c r="G26" s="2651"/>
      <c r="H26" s="2652"/>
      <c r="I26" s="2650"/>
      <c r="J26" s="2654"/>
      <c r="K26" s="2651"/>
      <c r="L26" s="2652"/>
    </row>
    <row r="27" spans="1:13" ht="11.25" customHeight="1">
      <c r="A27" s="305" t="s">
        <v>597</v>
      </c>
      <c r="B27" s="278"/>
      <c r="C27" s="2651"/>
      <c r="D27" s="2651"/>
      <c r="E27" s="2652"/>
      <c r="F27" s="2653"/>
      <c r="G27" s="2651"/>
      <c r="H27" s="2652"/>
      <c r="I27" s="2650"/>
      <c r="J27" s="2654"/>
      <c r="K27" s="2651"/>
      <c r="L27" s="2652"/>
    </row>
    <row r="28" spans="1:13" ht="11.25" customHeight="1">
      <c r="A28" s="305" t="s">
        <v>1088</v>
      </c>
      <c r="B28" s="280"/>
      <c r="C28" s="2651"/>
      <c r="D28" s="2651"/>
      <c r="E28" s="2652"/>
      <c r="F28" s="2653"/>
      <c r="G28" s="2651"/>
      <c r="H28" s="2652"/>
      <c r="I28" s="2650"/>
      <c r="J28" s="2654"/>
      <c r="K28" s="2651"/>
      <c r="L28" s="2652"/>
    </row>
    <row r="29" spans="1:13" ht="11.25" customHeight="1">
      <c r="A29" s="179" t="s">
        <v>1394</v>
      </c>
      <c r="B29" s="278">
        <v>1</v>
      </c>
      <c r="C29" s="2682">
        <v>0</v>
      </c>
      <c r="D29" s="2682">
        <v>1784586</v>
      </c>
      <c r="E29" s="2684">
        <v>28629</v>
      </c>
      <c r="F29" s="2685">
        <v>0</v>
      </c>
      <c r="G29" s="2682">
        <v>0</v>
      </c>
      <c r="H29" s="2684">
        <v>0</v>
      </c>
      <c r="I29" s="2686">
        <v>0</v>
      </c>
      <c r="J29" s="2683">
        <v>829000</v>
      </c>
      <c r="K29" s="2682">
        <v>0</v>
      </c>
      <c r="L29" s="2684">
        <v>0</v>
      </c>
    </row>
    <row r="30" spans="1:13" ht="11.25" customHeight="1">
      <c r="A30" s="179" t="s">
        <v>1374</v>
      </c>
      <c r="B30" s="278">
        <v>4</v>
      </c>
      <c r="C30" s="2651">
        <v>0</v>
      </c>
      <c r="D30" s="2651">
        <v>99382</v>
      </c>
      <c r="E30" s="2669">
        <v>197567</v>
      </c>
      <c r="F30" s="2653">
        <v>99382</v>
      </c>
      <c r="G30" s="2651">
        <v>324000</v>
      </c>
      <c r="H30" s="2652">
        <v>0</v>
      </c>
      <c r="I30" s="2650">
        <v>0</v>
      </c>
      <c r="J30" s="2654">
        <v>453000</v>
      </c>
      <c r="K30" s="2651">
        <v>481647.72</v>
      </c>
      <c r="L30" s="2652">
        <v>510546.58319999999</v>
      </c>
    </row>
    <row r="31" spans="1:13" ht="11.25" customHeight="1">
      <c r="A31" s="179" t="s">
        <v>1614</v>
      </c>
      <c r="B31" s="278"/>
      <c r="C31" s="2682">
        <v>0</v>
      </c>
      <c r="D31" s="2682">
        <v>121117</v>
      </c>
      <c r="E31" s="2684">
        <v>150851</v>
      </c>
      <c r="F31" s="2685">
        <v>0</v>
      </c>
      <c r="G31" s="2682">
        <v>0</v>
      </c>
      <c r="H31" s="2684">
        <v>0</v>
      </c>
      <c r="I31" s="2686">
        <v>0</v>
      </c>
      <c r="J31" s="2683">
        <v>173000</v>
      </c>
      <c r="K31" s="2682">
        <v>0</v>
      </c>
      <c r="L31" s="2684">
        <v>0</v>
      </c>
      <c r="M31" s="345"/>
    </row>
    <row r="32" spans="1:13" ht="11.25" customHeight="1">
      <c r="A32" s="179" t="s">
        <v>735</v>
      </c>
      <c r="B32" s="278">
        <v>4</v>
      </c>
      <c r="C32" s="2651">
        <v>0</v>
      </c>
      <c r="D32" s="2651">
        <v>2691370</v>
      </c>
      <c r="E32" s="2669">
        <v>11397369</v>
      </c>
      <c r="F32" s="2668">
        <v>1305000</v>
      </c>
      <c r="G32" s="2651">
        <v>3978847.3500000006</v>
      </c>
      <c r="H32" s="2652">
        <v>0</v>
      </c>
      <c r="I32" s="2650">
        <v>0</v>
      </c>
      <c r="J32" s="2654">
        <v>7390969.7800000003</v>
      </c>
      <c r="K32" s="2651">
        <v>6231000</v>
      </c>
      <c r="L32" s="2652">
        <v>4311000</v>
      </c>
      <c r="M32" s="345"/>
    </row>
    <row r="33" spans="1:15" ht="11.25" customHeight="1">
      <c r="A33" s="179" t="s">
        <v>1089</v>
      </c>
      <c r="B33" s="278"/>
      <c r="C33" s="2682">
        <v>0</v>
      </c>
      <c r="D33" s="2682">
        <v>0</v>
      </c>
      <c r="E33" s="2684">
        <v>0</v>
      </c>
      <c r="F33" s="2685">
        <v>0</v>
      </c>
      <c r="G33" s="2682">
        <v>0</v>
      </c>
      <c r="H33" s="2684">
        <v>0</v>
      </c>
      <c r="I33" s="2686">
        <v>0</v>
      </c>
      <c r="J33" s="2683">
        <v>0</v>
      </c>
      <c r="K33" s="2682">
        <v>0</v>
      </c>
      <c r="L33" s="2684">
        <v>0</v>
      </c>
      <c r="M33" s="345"/>
    </row>
    <row r="34" spans="1:15" ht="11.25" customHeight="1">
      <c r="A34" s="316" t="s">
        <v>600</v>
      </c>
      <c r="B34" s="317"/>
      <c r="C34" s="2671">
        <v>0</v>
      </c>
      <c r="D34" s="2671">
        <v>4696455</v>
      </c>
      <c r="E34" s="2672">
        <v>11774416</v>
      </c>
      <c r="F34" s="2673">
        <v>1404382</v>
      </c>
      <c r="G34" s="2671">
        <v>4302847.3500000006</v>
      </c>
      <c r="H34" s="2672">
        <v>0</v>
      </c>
      <c r="I34" s="2670">
        <v>0</v>
      </c>
      <c r="J34" s="2674">
        <v>8845969.7800000012</v>
      </c>
      <c r="K34" s="2671">
        <v>6712647.7199999997</v>
      </c>
      <c r="L34" s="2672">
        <v>4821546.5832000002</v>
      </c>
      <c r="M34" s="345"/>
    </row>
    <row r="35" spans="1:15" ht="5.0999999999999996" customHeight="1">
      <c r="A35" s="187"/>
      <c r="B35" s="278"/>
      <c r="C35" s="2651"/>
      <c r="D35" s="2651"/>
      <c r="E35" s="2652"/>
      <c r="F35" s="2653"/>
      <c r="G35" s="2651"/>
      <c r="H35" s="2652"/>
      <c r="I35" s="2650"/>
      <c r="J35" s="2654"/>
      <c r="K35" s="2651"/>
      <c r="L35" s="2652"/>
      <c r="M35" s="345"/>
    </row>
    <row r="36" spans="1:15" ht="11.25" customHeight="1">
      <c r="A36" s="305" t="s">
        <v>598</v>
      </c>
      <c r="B36" s="278"/>
      <c r="C36" s="2651"/>
      <c r="D36" s="2651"/>
      <c r="E36" s="2652"/>
      <c r="F36" s="2653"/>
      <c r="G36" s="2651"/>
      <c r="H36" s="2652"/>
      <c r="I36" s="2650"/>
      <c r="J36" s="2654"/>
      <c r="K36" s="2651"/>
      <c r="L36" s="2652"/>
      <c r="M36" s="345"/>
    </row>
    <row r="37" spans="1:15" ht="11.25" customHeight="1">
      <c r="A37" s="179" t="s">
        <v>1374</v>
      </c>
      <c r="B37" s="278"/>
      <c r="C37" s="2651">
        <v>0</v>
      </c>
      <c r="D37" s="2651">
        <v>1436000</v>
      </c>
      <c r="E37" s="2669">
        <v>1436000</v>
      </c>
      <c r="F37" s="2653">
        <v>1436000</v>
      </c>
      <c r="G37" s="2651">
        <v>1436000</v>
      </c>
      <c r="H37" s="2652">
        <v>0</v>
      </c>
      <c r="I37" s="2650">
        <v>0</v>
      </c>
      <c r="J37" s="2654">
        <v>1436000</v>
      </c>
      <c r="K37" s="2651">
        <v>1436000</v>
      </c>
      <c r="L37" s="2652">
        <v>1436000</v>
      </c>
      <c r="M37" s="345"/>
    </row>
    <row r="38" spans="1:15" ht="11.25" customHeight="1">
      <c r="A38" s="179" t="s">
        <v>1089</v>
      </c>
      <c r="B38" s="278"/>
      <c r="C38" s="2651">
        <v>0</v>
      </c>
      <c r="D38" s="2651">
        <v>0</v>
      </c>
      <c r="E38" s="2669">
        <v>0</v>
      </c>
      <c r="F38" s="2653">
        <v>0</v>
      </c>
      <c r="G38" s="2651">
        <v>0</v>
      </c>
      <c r="H38" s="2652">
        <v>0</v>
      </c>
      <c r="I38" s="2650">
        <v>0</v>
      </c>
      <c r="J38" s="2654">
        <v>0</v>
      </c>
      <c r="K38" s="2651">
        <v>0</v>
      </c>
      <c r="L38" s="2652">
        <v>0</v>
      </c>
      <c r="M38" s="345"/>
    </row>
    <row r="39" spans="1:15" ht="11.25" customHeight="1">
      <c r="A39" s="316" t="s">
        <v>599</v>
      </c>
      <c r="B39" s="1317"/>
      <c r="C39" s="2681">
        <v>0</v>
      </c>
      <c r="D39" s="2659">
        <v>1436000</v>
      </c>
      <c r="E39" s="2660">
        <v>1436000</v>
      </c>
      <c r="F39" s="2661">
        <v>1436000</v>
      </c>
      <c r="G39" s="2659">
        <v>1436000</v>
      </c>
      <c r="H39" s="2660">
        <v>0</v>
      </c>
      <c r="I39" s="2661">
        <v>0</v>
      </c>
      <c r="J39" s="2662">
        <v>1436000</v>
      </c>
      <c r="K39" s="2659">
        <v>1436000</v>
      </c>
      <c r="L39" s="2660">
        <v>1436000</v>
      </c>
    </row>
    <row r="40" spans="1:15" ht="11.25" customHeight="1">
      <c r="A40" s="316" t="s">
        <v>1147</v>
      </c>
      <c r="B40" s="317"/>
      <c r="C40" s="2671">
        <v>0</v>
      </c>
      <c r="D40" s="2671">
        <v>6132455</v>
      </c>
      <c r="E40" s="2672">
        <v>13210416</v>
      </c>
      <c r="F40" s="2673">
        <v>2840382</v>
      </c>
      <c r="G40" s="2671">
        <v>5738847.3500000006</v>
      </c>
      <c r="H40" s="2672">
        <v>0</v>
      </c>
      <c r="I40" s="2670">
        <v>0</v>
      </c>
      <c r="J40" s="2674">
        <v>10281969.780000001</v>
      </c>
      <c r="K40" s="2671">
        <v>8148647.7199999997</v>
      </c>
      <c r="L40" s="2672">
        <v>6257546.5832000002</v>
      </c>
    </row>
    <row r="41" spans="1:15" s="232" customFormat="1" ht="4.5" customHeight="1">
      <c r="A41" s="187"/>
      <c r="B41" s="278"/>
      <c r="C41" s="2651"/>
      <c r="D41" s="2651"/>
      <c r="E41" s="2652"/>
      <c r="F41" s="2653"/>
      <c r="G41" s="2651"/>
      <c r="H41" s="2652"/>
      <c r="I41" s="2650"/>
      <c r="J41" s="2654"/>
      <c r="K41" s="2651"/>
      <c r="L41" s="2652"/>
      <c r="O41" s="150"/>
    </row>
    <row r="42" spans="1:15" ht="11.25" customHeight="1">
      <c r="A42" s="320" t="s">
        <v>604</v>
      </c>
      <c r="B42" s="321">
        <v>5</v>
      </c>
      <c r="C42" s="2676">
        <v>0</v>
      </c>
      <c r="D42" s="2676">
        <v>138556584</v>
      </c>
      <c r="E42" s="2677">
        <v>118429573</v>
      </c>
      <c r="F42" s="2678">
        <v>139066100.52000001</v>
      </c>
      <c r="G42" s="2676">
        <v>14721991.013000004</v>
      </c>
      <c r="H42" s="2677">
        <v>19631838.363000005</v>
      </c>
      <c r="I42" s="2675">
        <v>0</v>
      </c>
      <c r="J42" s="2679">
        <v>148824679.12984207</v>
      </c>
      <c r="K42" s="2676">
        <v>134155901.91085264</v>
      </c>
      <c r="L42" s="2677">
        <v>151548848.99483359</v>
      </c>
    </row>
    <row r="43" spans="1:15" ht="5.0999999999999996" customHeight="1">
      <c r="A43" s="187"/>
      <c r="B43" s="278"/>
      <c r="C43" s="2651"/>
      <c r="D43" s="2651"/>
      <c r="E43" s="2652"/>
      <c r="F43" s="2653"/>
      <c r="G43" s="2651"/>
      <c r="H43" s="2652"/>
      <c r="I43" s="2650"/>
      <c r="J43" s="2654"/>
      <c r="K43" s="2651"/>
      <c r="L43" s="2652"/>
    </row>
    <row r="44" spans="1:15" ht="11.25" customHeight="1">
      <c r="A44" s="307" t="s">
        <v>603</v>
      </c>
      <c r="B44" s="278"/>
      <c r="C44" s="2651"/>
      <c r="D44" s="2651"/>
      <c r="E44" s="2652"/>
      <c r="F44" s="2653"/>
      <c r="G44" s="2651"/>
      <c r="H44" s="2652"/>
      <c r="I44" s="2650"/>
      <c r="J44" s="2654"/>
      <c r="K44" s="2651"/>
      <c r="L44" s="2652"/>
    </row>
    <row r="45" spans="1:15" ht="11.25" customHeight="1">
      <c r="A45" s="179" t="s">
        <v>442</v>
      </c>
      <c r="B45" s="278"/>
      <c r="C45" s="2682">
        <v>0</v>
      </c>
      <c r="D45" s="2682">
        <v>108892392</v>
      </c>
      <c r="E45" s="2684">
        <v>120010994</v>
      </c>
      <c r="F45" s="2685">
        <v>4999940</v>
      </c>
      <c r="G45" s="2682">
        <v>0</v>
      </c>
      <c r="H45" s="2684">
        <v>0</v>
      </c>
      <c r="I45" s="2686">
        <v>0</v>
      </c>
      <c r="J45" s="2683">
        <v>0</v>
      </c>
      <c r="K45" s="2682">
        <v>0</v>
      </c>
      <c r="L45" s="2684">
        <v>0</v>
      </c>
    </row>
    <row r="46" spans="1:15" ht="11.25" customHeight="1">
      <c r="A46" s="179" t="s">
        <v>788</v>
      </c>
      <c r="B46" s="278">
        <v>4</v>
      </c>
      <c r="C46" s="2651">
        <v>0</v>
      </c>
      <c r="D46" s="2651">
        <v>110513100</v>
      </c>
      <c r="E46" s="2669">
        <v>1059287</v>
      </c>
      <c r="F46" s="2668">
        <v>100339000</v>
      </c>
      <c r="G46" s="2651">
        <v>1344218.8130000001</v>
      </c>
      <c r="H46" s="2652">
        <v>1344218.8130000001</v>
      </c>
      <c r="I46" s="2650">
        <v>1344218.8130000001</v>
      </c>
      <c r="J46" s="2654">
        <v>1424871.9417800002</v>
      </c>
      <c r="K46" s="2651">
        <v>1510364.2582868002</v>
      </c>
      <c r="L46" s="2652">
        <v>1600986.1137840084</v>
      </c>
    </row>
    <row r="47" spans="1:15" ht="11.25" customHeight="1">
      <c r="A47" s="179" t="s">
        <v>155</v>
      </c>
      <c r="B47" s="278"/>
      <c r="C47" s="2682">
        <v>0</v>
      </c>
      <c r="D47" s="2682">
        <v>0</v>
      </c>
      <c r="E47" s="2684">
        <v>0</v>
      </c>
      <c r="F47" s="2685">
        <v>0</v>
      </c>
      <c r="G47" s="2682">
        <v>0</v>
      </c>
      <c r="H47" s="2684">
        <v>0</v>
      </c>
      <c r="I47" s="2686">
        <v>0</v>
      </c>
      <c r="J47" s="2683">
        <v>0</v>
      </c>
      <c r="K47" s="2682">
        <v>0</v>
      </c>
      <c r="L47" s="2684">
        <v>0</v>
      </c>
    </row>
    <row r="48" spans="1:15">
      <c r="A48" s="210" t="s">
        <v>1148</v>
      </c>
      <c r="B48" s="287">
        <v>5</v>
      </c>
      <c r="C48" s="2665">
        <v>0</v>
      </c>
      <c r="D48" s="2665">
        <v>219405492</v>
      </c>
      <c r="E48" s="2663">
        <v>121070281</v>
      </c>
      <c r="F48" s="2664">
        <v>105338940</v>
      </c>
      <c r="G48" s="2665">
        <v>1344218.8130000001</v>
      </c>
      <c r="H48" s="2663">
        <v>1344218.8130000001</v>
      </c>
      <c r="I48" s="2666">
        <v>1344218.8130000001</v>
      </c>
      <c r="J48" s="2667">
        <v>1424871.9417800002</v>
      </c>
      <c r="K48" s="2665">
        <v>1510364.2582868002</v>
      </c>
      <c r="L48" s="2663">
        <v>1600986.1137840084</v>
      </c>
    </row>
    <row r="49" spans="1:14" s="693" customFormat="1" hidden="1">
      <c r="A49" s="1220" t="str">
        <f>head27a</f>
        <v>References</v>
      </c>
      <c r="B49" s="1200"/>
      <c r="C49" s="1203"/>
      <c r="D49" s="1203"/>
      <c r="E49" s="1203"/>
      <c r="F49" s="1203"/>
      <c r="G49" s="1203"/>
      <c r="H49" s="1203"/>
      <c r="I49" s="1203"/>
      <c r="J49" s="1203"/>
      <c r="K49" s="1203"/>
      <c r="L49" s="1203"/>
    </row>
    <row r="50" spans="1:14" s="693" customFormat="1" hidden="1">
      <c r="A50" s="2790" t="s">
        <v>1549</v>
      </c>
      <c r="B50" s="2790"/>
      <c r="C50" s="2790"/>
      <c r="D50" s="2790"/>
      <c r="E50" s="2790"/>
      <c r="F50" s="2790"/>
      <c r="G50" s="2790"/>
      <c r="H50" s="2790"/>
      <c r="I50" s="2790"/>
      <c r="J50" s="2790"/>
      <c r="K50" s="2790"/>
      <c r="L50" s="2790"/>
    </row>
    <row r="51" spans="1:14" s="693" customFormat="1" ht="12.75" hidden="1" customHeight="1">
      <c r="A51" s="1201" t="s">
        <v>1123</v>
      </c>
      <c r="B51" s="1201"/>
      <c r="C51" s="1201"/>
      <c r="D51" s="1201"/>
      <c r="E51" s="1201"/>
      <c r="F51" s="1201"/>
      <c r="G51" s="1201"/>
      <c r="H51" s="1201"/>
      <c r="I51" s="1201"/>
      <c r="J51" s="1201"/>
      <c r="K51" s="1201"/>
      <c r="L51" s="1201"/>
    </row>
    <row r="52" spans="1:14" s="693" customFormat="1" ht="12.75" hidden="1" customHeight="1">
      <c r="A52" s="1201" t="s">
        <v>1943</v>
      </c>
      <c r="B52" s="1201"/>
      <c r="C52" s="1201"/>
      <c r="D52" s="1201"/>
      <c r="E52" s="1201"/>
      <c r="F52" s="1201"/>
      <c r="G52" s="1201"/>
      <c r="H52" s="1201"/>
      <c r="I52" s="1201"/>
      <c r="J52" s="1201"/>
      <c r="K52" s="1201"/>
      <c r="L52" s="1201"/>
    </row>
    <row r="53" spans="1:14" s="693" customFormat="1" ht="12.75" hidden="1" customHeight="1">
      <c r="A53" s="1201" t="s">
        <v>470</v>
      </c>
      <c r="B53" s="1201"/>
      <c r="C53" s="1201"/>
      <c r="D53" s="1201"/>
      <c r="E53" s="1162"/>
      <c r="F53" s="1162"/>
      <c r="G53" s="1201"/>
      <c r="H53" s="1201"/>
      <c r="I53" s="1201"/>
      <c r="J53" s="1201"/>
      <c r="K53" s="1201"/>
      <c r="L53" s="1201"/>
    </row>
    <row r="54" spans="1:14" s="693" customFormat="1" ht="11.25" hidden="1" customHeight="1">
      <c r="A54" s="1201" t="s">
        <v>134</v>
      </c>
      <c r="B54" s="1200"/>
      <c r="C54" s="1202"/>
      <c r="D54" s="1202"/>
      <c r="E54" s="1203"/>
      <c r="F54" s="1203"/>
      <c r="G54" s="1203"/>
      <c r="H54" s="1203"/>
      <c r="I54" s="1203"/>
      <c r="J54" s="1203"/>
      <c r="K54" s="1203"/>
      <c r="L54" s="1203"/>
    </row>
    <row r="55" spans="1:14" ht="11.25" hidden="1" customHeight="1">
      <c r="A55" s="1236" t="s">
        <v>300</v>
      </c>
      <c r="B55" s="1200"/>
      <c r="C55" s="1240">
        <f t="shared" ref="C55:L55" si="0">C42-C48</f>
        <v>0</v>
      </c>
      <c r="D55" s="1240">
        <f t="shared" si="0"/>
        <v>-80848908</v>
      </c>
      <c r="E55" s="1240">
        <f t="shared" si="0"/>
        <v>-2640708</v>
      </c>
      <c r="F55" s="1240">
        <f t="shared" si="0"/>
        <v>33727160.520000011</v>
      </c>
      <c r="G55" s="1240">
        <f t="shared" si="0"/>
        <v>13377772.200000003</v>
      </c>
      <c r="H55" s="1240">
        <f t="shared" si="0"/>
        <v>18287619.550000004</v>
      </c>
      <c r="I55" s="1240">
        <f t="shared" si="0"/>
        <v>-1344218.8130000001</v>
      </c>
      <c r="J55" s="1240">
        <f t="shared" si="0"/>
        <v>147399807.18806207</v>
      </c>
      <c r="K55" s="1240">
        <f t="shared" si="0"/>
        <v>132645537.65256584</v>
      </c>
      <c r="L55" s="1240">
        <f t="shared" si="0"/>
        <v>149947862.88104957</v>
      </c>
      <c r="M55" s="232"/>
      <c r="N55" s="232"/>
    </row>
    <row r="56" spans="1:14" ht="11.25" hidden="1" customHeight="1"/>
    <row r="57" spans="1:14" ht="11.25" hidden="1" customHeight="1">
      <c r="B57" s="150"/>
    </row>
    <row r="58" spans="1:14" ht="11.25" hidden="1" customHeight="1">
      <c r="B58" s="150"/>
    </row>
    <row r="59" spans="1:14" ht="11.25" hidden="1" customHeight="1">
      <c r="B59" s="150"/>
    </row>
    <row r="60" spans="1:14" ht="11.25" hidden="1" customHeight="1">
      <c r="B60" s="150"/>
    </row>
    <row r="61" spans="1:14" ht="11.25" hidden="1" customHeight="1"/>
    <row r="62" spans="1:14" ht="11.25" hidden="1" customHeight="1"/>
    <row r="63" spans="1:14" ht="11.25" hidden="1" customHeight="1"/>
    <row r="64" spans="1:14" ht="11.25" hidden="1" customHeight="1"/>
    <row r="65" ht="11.25" hidden="1" customHeight="1"/>
    <row r="66" ht="11.25" hidden="1" customHeight="1"/>
    <row r="67" ht="11.25" hidden="1" customHeight="1"/>
    <row r="68" ht="11.25" hidden="1" customHeight="1"/>
    <row r="69" ht="11.25" hidden="1"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sheetData>
  <mergeCells count="3">
    <mergeCell ref="A50:L50"/>
    <mergeCell ref="J2:L2"/>
    <mergeCell ref="F2:I2"/>
  </mergeCells>
  <phoneticPr fontId="3" type="noConversion"/>
  <printOptions horizontalCentered="1"/>
  <pageMargins left="0" right="0" top="0.78740157480314965" bottom="0.59055118110236227" header="0.51181102362204722" footer="0.39370078740157483"/>
  <pageSetup paperSize="9" scale="8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indexed="44"/>
    <pageSetUpPr fitToPage="1"/>
  </sheetPr>
  <dimension ref="A1:P77"/>
  <sheetViews>
    <sheetView showGridLines="0" workbookViewId="0">
      <pane xSplit="2" ySplit="3" topLeftCell="C4" activePane="bottomRight" state="frozen"/>
      <selection activeCell="O37" sqref="A1:IV65536"/>
      <selection pane="topRight" activeCell="O37" sqref="A1:IV65536"/>
      <selection pane="bottomLeft" activeCell="O37" sqref="A1:IV65536"/>
      <selection pane="bottomRight" activeCell="E14" sqref="E14"/>
    </sheetView>
  </sheetViews>
  <sheetFormatPr defaultRowHeight="12.75"/>
  <cols>
    <col min="1" max="1" width="30.7109375" style="150" customWidth="1"/>
    <col min="2" max="2" width="3" style="233" hidden="1" customWidth="1"/>
    <col min="3" max="8" width="9.28515625" style="150" customWidth="1"/>
    <col min="9" max="9" width="9.140625" style="150" hidden="1" customWidth="1"/>
    <col min="10" max="12" width="9.28515625" style="150" customWidth="1"/>
    <col min="13" max="13" width="9.85546875" style="150" customWidth="1"/>
    <col min="14" max="14" width="9.5703125" style="150" customWidth="1"/>
    <col min="15" max="15" width="9.85546875" style="150" customWidth="1"/>
    <col min="16" max="18" width="9.5703125" style="150" customWidth="1"/>
    <col min="19" max="19" width="9.85546875" style="150" customWidth="1"/>
    <col min="20" max="22" width="9.5703125" style="150" customWidth="1"/>
    <col min="23" max="24" width="9.85546875" style="150" customWidth="1"/>
    <col min="25" max="16384" width="9.140625" style="150"/>
  </cols>
  <sheetData>
    <row r="1" spans="1:12" s="168" customFormat="1">
      <c r="A1" s="148" t="str">
        <f>muni&amp;" - "&amp;Approve7</f>
        <v>NC071 Ubuntu - Table A7 Budgeted Cash Flows</v>
      </c>
      <c r="B1" s="148"/>
      <c r="C1" s="148"/>
      <c r="D1" s="148"/>
      <c r="E1" s="148"/>
      <c r="F1" s="148"/>
      <c r="G1" s="148"/>
      <c r="H1" s="148"/>
      <c r="I1" s="148"/>
      <c r="J1" s="148"/>
      <c r="K1" s="148"/>
      <c r="L1" s="148"/>
    </row>
    <row r="2" spans="1:12" ht="28.5" customHeight="1">
      <c r="A2" s="972" t="str">
        <f>desc</f>
        <v>Description</v>
      </c>
      <c r="B2" s="394" t="str">
        <f>head27</f>
        <v>Ref</v>
      </c>
      <c r="C2" s="151" t="str">
        <f>head1b</f>
        <v>2007/8</v>
      </c>
      <c r="D2" s="151" t="str">
        <f>head1A</f>
        <v>2008/9</v>
      </c>
      <c r="E2" s="147" t="str">
        <f>Head1</f>
        <v>2009/10</v>
      </c>
      <c r="F2" s="2772" t="str">
        <f>Head2</f>
        <v>Current Year 2010/11</v>
      </c>
      <c r="G2" s="2773"/>
      <c r="H2" s="2773"/>
      <c r="I2" s="2773"/>
      <c r="J2" s="2769" t="str">
        <f>Head3</f>
        <v>2011/12 Medium Term Revenue &amp; Expenditure Framework</v>
      </c>
      <c r="K2" s="2770"/>
      <c r="L2" s="2771"/>
    </row>
    <row r="3" spans="1:12" ht="25.5">
      <c r="A3" s="169" t="s">
        <v>697</v>
      </c>
      <c r="B3" s="984"/>
      <c r="C3" s="365" t="str">
        <f>Head5</f>
        <v>Audited Outcome</v>
      </c>
      <c r="D3" s="365" t="str">
        <f>Head5</f>
        <v>Audited Outcome</v>
      </c>
      <c r="E3" s="366" t="str">
        <f>Head5</f>
        <v>Audited Outcome</v>
      </c>
      <c r="F3" s="283" t="str">
        <f>Head6</f>
        <v>Original Budget</v>
      </c>
      <c r="G3" s="365" t="str">
        <f>Head7</f>
        <v>Adjusted Budget</v>
      </c>
      <c r="H3" s="366" t="str">
        <f>Head8</f>
        <v>Full Year Forecast</v>
      </c>
      <c r="I3" s="364" t="str">
        <f>Head5b</f>
        <v>Pre-audit outcome</v>
      </c>
      <c r="J3" s="283" t="str">
        <f>Head9</f>
        <v>Budget Year 2011/12</v>
      </c>
      <c r="K3" s="365" t="str">
        <f>Head10</f>
        <v>Budget Year +1 2012/13</v>
      </c>
      <c r="L3" s="366" t="str">
        <f>Head11</f>
        <v>Budget Year +2 2013/14</v>
      </c>
    </row>
    <row r="4" spans="1:12" ht="11.25" customHeight="1">
      <c r="A4" s="305" t="s">
        <v>998</v>
      </c>
      <c r="B4" s="276"/>
      <c r="C4" s="292"/>
      <c r="D4" s="292"/>
      <c r="E4" s="295"/>
      <c r="F4" s="294"/>
      <c r="G4" s="292"/>
      <c r="H4" s="295"/>
      <c r="I4" s="293"/>
      <c r="J4" s="315"/>
      <c r="K4" s="292"/>
      <c r="L4" s="295"/>
    </row>
    <row r="5" spans="1:12" ht="11.25" customHeight="1">
      <c r="A5" s="307" t="s">
        <v>882</v>
      </c>
      <c r="B5" s="278"/>
      <c r="C5" s="189"/>
      <c r="D5" s="189"/>
      <c r="E5" s="190"/>
      <c r="F5" s="191"/>
      <c r="G5" s="189"/>
      <c r="H5" s="190"/>
      <c r="I5" s="188"/>
      <c r="J5" s="192"/>
      <c r="K5" s="189"/>
      <c r="L5" s="190"/>
    </row>
    <row r="6" spans="1:12" ht="11.25" customHeight="1">
      <c r="A6" s="304" t="s">
        <v>1578</v>
      </c>
      <c r="B6" s="278"/>
      <c r="C6" s="2719">
        <v>19207369</v>
      </c>
      <c r="D6" s="2719">
        <v>34998000</v>
      </c>
      <c r="E6" s="2721">
        <v>46869145</v>
      </c>
      <c r="F6" s="2722">
        <v>50548372.8825</v>
      </c>
      <c r="G6" s="2719">
        <v>32234090</v>
      </c>
      <c r="H6" s="2721">
        <v>0</v>
      </c>
      <c r="I6" s="2723">
        <v>0</v>
      </c>
      <c r="J6" s="2720">
        <v>20324780.706879999</v>
      </c>
      <c r="K6" s="2720">
        <v>22267829.742457729</v>
      </c>
      <c r="L6" s="2721">
        <v>24323150.42768658</v>
      </c>
    </row>
    <row r="7" spans="1:12" ht="11.25" customHeight="1">
      <c r="A7" s="304" t="s">
        <v>1579</v>
      </c>
      <c r="B7" s="278">
        <v>1</v>
      </c>
      <c r="C7" s="2719">
        <v>7437817</v>
      </c>
      <c r="D7" s="2719">
        <v>9466128</v>
      </c>
      <c r="E7" s="2721">
        <v>0</v>
      </c>
      <c r="F7" s="2722">
        <v>16605000</v>
      </c>
      <c r="G7" s="2719">
        <v>16605000</v>
      </c>
      <c r="H7" s="2721">
        <v>0</v>
      </c>
      <c r="I7" s="2723">
        <v>0</v>
      </c>
      <c r="J7" s="2722">
        <v>18061000</v>
      </c>
      <c r="K7" s="2722">
        <v>19804000</v>
      </c>
      <c r="L7" s="2722">
        <v>21904000</v>
      </c>
    </row>
    <row r="8" spans="1:12" ht="11.25" customHeight="1">
      <c r="A8" s="304" t="s">
        <v>1580</v>
      </c>
      <c r="B8" s="278">
        <v>1</v>
      </c>
      <c r="C8" s="2719">
        <v>0</v>
      </c>
      <c r="D8" s="2719">
        <v>0</v>
      </c>
      <c r="E8" s="2721">
        <v>0</v>
      </c>
      <c r="F8" s="2722">
        <v>10922955</v>
      </c>
      <c r="G8" s="2719">
        <v>10922955</v>
      </c>
      <c r="H8" s="2721">
        <v>0</v>
      </c>
      <c r="I8" s="2723">
        <v>0</v>
      </c>
      <c r="J8" s="2722">
        <v>9488000</v>
      </c>
      <c r="K8" s="2722">
        <v>11537000</v>
      </c>
      <c r="L8" s="2722">
        <v>12171000</v>
      </c>
    </row>
    <row r="9" spans="1:12" ht="11.25" customHeight="1">
      <c r="A9" s="304" t="s">
        <v>358</v>
      </c>
      <c r="B9" s="278"/>
      <c r="C9" s="2719">
        <v>-8380</v>
      </c>
      <c r="D9" s="2719">
        <v>1520977</v>
      </c>
      <c r="E9" s="2721">
        <v>2154637</v>
      </c>
      <c r="F9" s="2722">
        <v>290000</v>
      </c>
      <c r="G9" s="2719">
        <v>290000</v>
      </c>
      <c r="H9" s="2721">
        <v>0</v>
      </c>
      <c r="I9" s="2723">
        <v>0</v>
      </c>
      <c r="J9" s="2722">
        <v>250000</v>
      </c>
      <c r="K9" s="2722">
        <v>0</v>
      </c>
      <c r="L9" s="2722">
        <v>0</v>
      </c>
    </row>
    <row r="10" spans="1:12" ht="11.25" customHeight="1">
      <c r="A10" s="304" t="s">
        <v>633</v>
      </c>
      <c r="B10" s="278"/>
      <c r="C10" s="2719">
        <v>0</v>
      </c>
      <c r="D10" s="2719">
        <v>0</v>
      </c>
      <c r="E10" s="2721">
        <v>0</v>
      </c>
      <c r="F10" s="2722">
        <v>0</v>
      </c>
      <c r="G10" s="2719">
        <v>0</v>
      </c>
      <c r="H10" s="2721">
        <v>0</v>
      </c>
      <c r="I10" s="2723">
        <v>0</v>
      </c>
      <c r="J10" s="2720">
        <v>0</v>
      </c>
      <c r="K10" s="2719">
        <v>0</v>
      </c>
      <c r="L10" s="2721">
        <v>0</v>
      </c>
    </row>
    <row r="11" spans="1:12" ht="11.25" customHeight="1">
      <c r="A11" s="307" t="s">
        <v>883</v>
      </c>
      <c r="B11" s="278"/>
      <c r="C11" s="2696"/>
      <c r="D11" s="2692"/>
      <c r="E11" s="2693"/>
      <c r="F11" s="2694"/>
      <c r="G11" s="2692"/>
      <c r="H11" s="2693"/>
      <c r="I11" s="2691"/>
      <c r="J11" s="2695"/>
      <c r="K11" s="2692"/>
      <c r="L11" s="2693"/>
    </row>
    <row r="12" spans="1:12" ht="11.25" customHeight="1">
      <c r="A12" s="304" t="s">
        <v>1581</v>
      </c>
      <c r="B12" s="278"/>
      <c r="C12" s="2719">
        <v>-28236787</v>
      </c>
      <c r="D12" s="2719">
        <v>-35880259</v>
      </c>
      <c r="E12" s="2721">
        <v>-27912182</v>
      </c>
      <c r="F12" s="2722">
        <v>0</v>
      </c>
      <c r="G12" s="2719">
        <v>-44280055</v>
      </c>
      <c r="H12" s="2721">
        <v>0</v>
      </c>
      <c r="I12" s="2723">
        <v>0</v>
      </c>
      <c r="J12" s="2720">
        <v>-30240057.978800002</v>
      </c>
      <c r="K12" s="2720">
        <v>-55257674.658568718</v>
      </c>
      <c r="L12" s="2721">
        <v>-58694702.022331692</v>
      </c>
    </row>
    <row r="13" spans="1:12" ht="11.25" customHeight="1">
      <c r="A13" s="304" t="s">
        <v>1665</v>
      </c>
      <c r="B13" s="278"/>
      <c r="C13" s="2719">
        <v>-224773</v>
      </c>
      <c r="D13" s="2719">
        <v>-491959</v>
      </c>
      <c r="E13" s="2721">
        <v>-565751</v>
      </c>
      <c r="F13" s="2722">
        <v>8783000</v>
      </c>
      <c r="G13" s="2719">
        <v>-324000</v>
      </c>
      <c r="H13" s="2721">
        <v>0</v>
      </c>
      <c r="I13" s="2723">
        <v>0</v>
      </c>
      <c r="J13" s="2720">
        <v>-453000</v>
      </c>
      <c r="K13" s="2720">
        <v>-610000</v>
      </c>
      <c r="L13" s="2720">
        <v>-620000</v>
      </c>
    </row>
    <row r="14" spans="1:12" ht="11.25" customHeight="1">
      <c r="A14" s="304" t="s">
        <v>1372</v>
      </c>
      <c r="B14" s="278">
        <v>1</v>
      </c>
      <c r="C14" s="2719">
        <v>0</v>
      </c>
      <c r="D14" s="2719">
        <v>0</v>
      </c>
      <c r="E14" s="2721">
        <v>9</v>
      </c>
      <c r="F14" s="2722">
        <v>3858650</v>
      </c>
      <c r="G14" s="2719">
        <v>-3767700</v>
      </c>
      <c r="H14" s="2721">
        <v>0</v>
      </c>
      <c r="I14" s="2723">
        <v>0</v>
      </c>
      <c r="J14" s="2720">
        <v>-3483078.63</v>
      </c>
      <c r="K14" s="2720">
        <v>-3695670.26248</v>
      </c>
      <c r="L14" s="2720">
        <v>-3908692.1782288002</v>
      </c>
    </row>
    <row r="15" spans="1:12" ht="11.25" customHeight="1">
      <c r="A15" s="316" t="s">
        <v>730</v>
      </c>
      <c r="B15" s="317"/>
      <c r="C15" s="2708">
        <v>-1824754</v>
      </c>
      <c r="D15" s="2708">
        <v>9612887</v>
      </c>
      <c r="E15" s="2709">
        <v>20545849</v>
      </c>
      <c r="F15" s="2710">
        <v>91007977.882499993</v>
      </c>
      <c r="G15" s="2708">
        <v>11680290</v>
      </c>
      <c r="H15" s="2711">
        <v>0</v>
      </c>
      <c r="I15" s="2710">
        <v>0</v>
      </c>
      <c r="J15" s="2713">
        <v>13947644.098080002</v>
      </c>
      <c r="K15" s="2708">
        <v>-5954515.1785909832</v>
      </c>
      <c r="L15" s="2709">
        <v>-4825243.7728739157</v>
      </c>
    </row>
    <row r="16" spans="1:12" ht="5.0999999999999996" customHeight="1">
      <c r="A16" s="187"/>
      <c r="B16" s="278"/>
      <c r="C16" s="2692"/>
      <c r="D16" s="2692"/>
      <c r="E16" s="2693"/>
      <c r="F16" s="2694"/>
      <c r="G16" s="2692"/>
      <c r="H16" s="2693"/>
      <c r="I16" s="2691"/>
      <c r="J16" s="2695"/>
      <c r="K16" s="2692"/>
      <c r="L16" s="2693"/>
    </row>
    <row r="17" spans="1:12" ht="11.25" customHeight="1">
      <c r="A17" s="305" t="s">
        <v>301</v>
      </c>
      <c r="B17" s="278"/>
      <c r="C17" s="2692"/>
      <c r="D17" s="2692"/>
      <c r="E17" s="2693"/>
      <c r="F17" s="2694"/>
      <c r="G17" s="2692"/>
      <c r="H17" s="2693"/>
      <c r="I17" s="2691"/>
      <c r="J17" s="2695"/>
      <c r="K17" s="2692"/>
      <c r="L17" s="2693"/>
    </row>
    <row r="18" spans="1:12" ht="11.25" customHeight="1">
      <c r="A18" s="305" t="s">
        <v>882</v>
      </c>
      <c r="B18" s="278"/>
      <c r="C18" s="2698"/>
      <c r="D18" s="2698"/>
      <c r="E18" s="2699"/>
      <c r="F18" s="2700"/>
      <c r="G18" s="2698"/>
      <c r="H18" s="2699"/>
      <c r="I18" s="2697"/>
      <c r="J18" s="2701"/>
      <c r="K18" s="2698"/>
      <c r="L18" s="2699"/>
    </row>
    <row r="19" spans="1:12" ht="11.25" customHeight="1">
      <c r="A19" s="304" t="s">
        <v>1635</v>
      </c>
      <c r="B19" s="278"/>
      <c r="C19" s="2719">
        <v>0</v>
      </c>
      <c r="D19" s="2719">
        <v>0</v>
      </c>
      <c r="E19" s="2721">
        <v>2559</v>
      </c>
      <c r="F19" s="2726">
        <v>0</v>
      </c>
      <c r="G19" s="2724">
        <v>0</v>
      </c>
      <c r="H19" s="2725">
        <v>0</v>
      </c>
      <c r="I19" s="2723">
        <v>0</v>
      </c>
      <c r="J19" s="2727">
        <v>0</v>
      </c>
      <c r="K19" s="2724">
        <v>0</v>
      </c>
      <c r="L19" s="2725">
        <v>0</v>
      </c>
    </row>
    <row r="20" spans="1:12" ht="11.25" customHeight="1">
      <c r="A20" s="304" t="s">
        <v>1329</v>
      </c>
      <c r="B20" s="278"/>
      <c r="C20" s="2719">
        <v>266909</v>
      </c>
      <c r="D20" s="2724">
        <v>335165</v>
      </c>
      <c r="E20" s="2725">
        <v>0</v>
      </c>
      <c r="F20" s="2722">
        <v>0</v>
      </c>
      <c r="G20" s="2719">
        <v>0</v>
      </c>
      <c r="H20" s="2725">
        <v>0</v>
      </c>
      <c r="I20" s="2723">
        <v>0</v>
      </c>
      <c r="J20" s="2720">
        <v>0</v>
      </c>
      <c r="K20" s="2719">
        <v>0</v>
      </c>
      <c r="L20" s="2721">
        <v>0</v>
      </c>
    </row>
    <row r="21" spans="1:12" ht="11.25" customHeight="1">
      <c r="A21" s="304" t="s">
        <v>728</v>
      </c>
      <c r="B21" s="278"/>
      <c r="C21" s="2724">
        <v>-63007</v>
      </c>
      <c r="D21" s="2719">
        <v>-13227</v>
      </c>
      <c r="E21" s="2721">
        <v>-23948</v>
      </c>
      <c r="F21" s="2726">
        <v>0</v>
      </c>
      <c r="G21" s="2724">
        <v>0</v>
      </c>
      <c r="H21" s="2725">
        <v>0</v>
      </c>
      <c r="I21" s="2723">
        <v>0</v>
      </c>
      <c r="J21" s="2727">
        <v>-260140.96000000002</v>
      </c>
      <c r="K21" s="2727">
        <v>-260140.96000000002</v>
      </c>
      <c r="L21" s="2727">
        <v>-275749.41760000004</v>
      </c>
    </row>
    <row r="22" spans="1:12" ht="11.25" customHeight="1">
      <c r="A22" s="304" t="s">
        <v>729</v>
      </c>
      <c r="B22" s="278"/>
      <c r="C22" s="2719">
        <v>0</v>
      </c>
      <c r="D22" s="2719">
        <v>0</v>
      </c>
      <c r="E22" s="2721">
        <v>567481</v>
      </c>
      <c r="F22" s="2722">
        <v>0</v>
      </c>
      <c r="G22" s="2719">
        <v>0</v>
      </c>
      <c r="H22" s="2725">
        <v>0</v>
      </c>
      <c r="I22" s="2723">
        <v>0</v>
      </c>
      <c r="J22" s="2720">
        <v>0</v>
      </c>
      <c r="K22" s="2719">
        <v>0</v>
      </c>
      <c r="L22" s="2721">
        <v>0</v>
      </c>
    </row>
    <row r="23" spans="1:12" ht="11.25" customHeight="1">
      <c r="A23" s="305" t="s">
        <v>883</v>
      </c>
      <c r="B23" s="278"/>
      <c r="C23" s="2714"/>
      <c r="D23" s="2714"/>
      <c r="E23" s="2716"/>
      <c r="F23" s="2717"/>
      <c r="G23" s="2714"/>
      <c r="H23" s="2716"/>
      <c r="I23" s="2718"/>
      <c r="J23" s="2715"/>
      <c r="K23" s="2714"/>
      <c r="L23" s="2716"/>
    </row>
    <row r="24" spans="1:12" ht="11.25" customHeight="1">
      <c r="A24" s="179" t="s">
        <v>1582</v>
      </c>
      <c r="B24" s="278"/>
      <c r="C24" s="2719">
        <v>-5366646</v>
      </c>
      <c r="D24" s="2719">
        <v>-16634242</v>
      </c>
      <c r="E24" s="2721">
        <v>0</v>
      </c>
      <c r="F24" s="2722">
        <v>-10922955</v>
      </c>
      <c r="G24" s="2719">
        <v>-10922955</v>
      </c>
      <c r="H24" s="2721">
        <v>0</v>
      </c>
      <c r="I24" s="2723">
        <v>0</v>
      </c>
      <c r="J24" s="2720">
        <v>-9488000</v>
      </c>
      <c r="K24" s="2720">
        <v>-11537000</v>
      </c>
      <c r="L24" s="2720">
        <v>-12171000</v>
      </c>
    </row>
    <row r="25" spans="1:12" ht="11.25" customHeight="1">
      <c r="A25" s="316" t="s">
        <v>731</v>
      </c>
      <c r="B25" s="317"/>
      <c r="C25" s="2708">
        <v>-5162744</v>
      </c>
      <c r="D25" s="2708">
        <v>-16312304</v>
      </c>
      <c r="E25" s="2709">
        <v>546092</v>
      </c>
      <c r="F25" s="2710">
        <v>-10922955</v>
      </c>
      <c r="G25" s="2708">
        <v>-10922955</v>
      </c>
      <c r="H25" s="2709">
        <v>0</v>
      </c>
      <c r="I25" s="2711">
        <v>0</v>
      </c>
      <c r="J25" s="2713">
        <v>-9748140.9600000009</v>
      </c>
      <c r="K25" s="2708">
        <v>-11797140.960000001</v>
      </c>
      <c r="L25" s="2709">
        <v>-12446749.4176</v>
      </c>
    </row>
    <row r="26" spans="1:12" ht="5.0999999999999996" customHeight="1">
      <c r="A26" s="187"/>
      <c r="B26" s="278"/>
      <c r="C26" s="2692"/>
      <c r="D26" s="2692"/>
      <c r="E26" s="2693"/>
      <c r="F26" s="2694"/>
      <c r="G26" s="2692"/>
      <c r="H26" s="2693"/>
      <c r="I26" s="2691"/>
      <c r="J26" s="2695"/>
      <c r="K26" s="2692"/>
      <c r="L26" s="2693"/>
    </row>
    <row r="27" spans="1:12" ht="11.25" customHeight="1">
      <c r="A27" s="305" t="s">
        <v>1393</v>
      </c>
      <c r="B27" s="278"/>
      <c r="C27" s="2692"/>
      <c r="D27" s="2692"/>
      <c r="E27" s="2693"/>
      <c r="F27" s="2694"/>
      <c r="G27" s="2692"/>
      <c r="H27" s="2693"/>
      <c r="I27" s="2691"/>
      <c r="J27" s="2695"/>
      <c r="K27" s="2692"/>
      <c r="L27" s="2693"/>
    </row>
    <row r="28" spans="1:12" ht="11.25" customHeight="1">
      <c r="A28" s="305" t="s">
        <v>882</v>
      </c>
      <c r="B28" s="278"/>
      <c r="C28" s="2692"/>
      <c r="D28" s="2692"/>
      <c r="E28" s="2693"/>
      <c r="F28" s="2694"/>
      <c r="G28" s="2692"/>
      <c r="H28" s="2693"/>
      <c r="I28" s="2691"/>
      <c r="J28" s="2695"/>
      <c r="K28" s="2692"/>
      <c r="L28" s="2693"/>
    </row>
    <row r="29" spans="1:12" ht="11.25" customHeight="1">
      <c r="A29" s="179" t="s">
        <v>885</v>
      </c>
      <c r="B29" s="278"/>
      <c r="C29" s="2719">
        <v>0</v>
      </c>
      <c r="D29" s="2719">
        <v>0</v>
      </c>
      <c r="E29" s="2721">
        <v>0</v>
      </c>
      <c r="F29" s="2722">
        <v>0</v>
      </c>
      <c r="G29" s="2719">
        <v>0</v>
      </c>
      <c r="H29" s="2721">
        <v>0</v>
      </c>
      <c r="I29" s="2723">
        <v>0</v>
      </c>
      <c r="J29" s="2720">
        <v>0</v>
      </c>
      <c r="K29" s="2719">
        <v>0</v>
      </c>
      <c r="L29" s="2721">
        <v>0</v>
      </c>
    </row>
    <row r="30" spans="1:12" ht="11.25" customHeight="1">
      <c r="A30" s="304" t="s">
        <v>849</v>
      </c>
      <c r="B30" s="278"/>
      <c r="C30" s="2719">
        <v>0</v>
      </c>
      <c r="D30" s="2719">
        <v>0</v>
      </c>
      <c r="E30" s="2721">
        <v>177073</v>
      </c>
      <c r="F30" s="2722">
        <v>0</v>
      </c>
      <c r="G30" s="2719">
        <v>0</v>
      </c>
      <c r="H30" s="2721">
        <v>0</v>
      </c>
      <c r="I30" s="2723">
        <v>0</v>
      </c>
      <c r="J30" s="2720">
        <v>0</v>
      </c>
      <c r="K30" s="2719">
        <v>0</v>
      </c>
      <c r="L30" s="2721">
        <v>0</v>
      </c>
    </row>
    <row r="31" spans="1:12" ht="11.25" customHeight="1">
      <c r="A31" s="304" t="s">
        <v>401</v>
      </c>
      <c r="B31" s="278"/>
      <c r="C31" s="2719">
        <v>0</v>
      </c>
      <c r="D31" s="2719">
        <v>0</v>
      </c>
      <c r="E31" s="2721">
        <v>29734</v>
      </c>
      <c r="F31" s="2722">
        <v>0</v>
      </c>
      <c r="G31" s="2724">
        <v>0</v>
      </c>
      <c r="H31" s="2721">
        <v>0</v>
      </c>
      <c r="I31" s="2723">
        <v>0</v>
      </c>
      <c r="J31" s="2720">
        <v>173000</v>
      </c>
      <c r="K31" s="2720">
        <v>183380</v>
      </c>
      <c r="L31" s="2721">
        <v>173000</v>
      </c>
    </row>
    <row r="32" spans="1:12" ht="11.25" customHeight="1">
      <c r="A32" s="307" t="s">
        <v>883</v>
      </c>
      <c r="B32" s="278"/>
      <c r="C32" s="2714"/>
      <c r="D32" s="2714"/>
      <c r="E32" s="2716"/>
      <c r="F32" s="2717"/>
      <c r="G32" s="2714"/>
      <c r="H32" s="2716"/>
      <c r="I32" s="2718"/>
      <c r="J32" s="2715"/>
      <c r="K32" s="2714"/>
      <c r="L32" s="2716"/>
    </row>
    <row r="33" spans="1:16" ht="11.25" customHeight="1">
      <c r="A33" s="304" t="s">
        <v>884</v>
      </c>
      <c r="B33" s="278"/>
      <c r="C33" s="2719">
        <v>-224773</v>
      </c>
      <c r="D33" s="2719">
        <v>-51157</v>
      </c>
      <c r="E33" s="2721">
        <v>-169023</v>
      </c>
      <c r="F33" s="2722">
        <v>-324000</v>
      </c>
      <c r="G33" s="2719">
        <v>0</v>
      </c>
      <c r="H33" s="2721">
        <v>0</v>
      </c>
      <c r="I33" s="2723">
        <v>0</v>
      </c>
      <c r="J33" s="2720">
        <v>-1889000</v>
      </c>
      <c r="K33" s="2719">
        <v>-1889000</v>
      </c>
      <c r="L33" s="2719">
        <v>-1889000</v>
      </c>
    </row>
    <row r="34" spans="1:16" ht="11.25" customHeight="1">
      <c r="A34" s="316" t="s">
        <v>881</v>
      </c>
      <c r="B34" s="317"/>
      <c r="C34" s="2708">
        <v>-224773</v>
      </c>
      <c r="D34" s="2708">
        <v>-51157</v>
      </c>
      <c r="E34" s="2709">
        <v>37784</v>
      </c>
      <c r="F34" s="2710">
        <v>-324000</v>
      </c>
      <c r="G34" s="2708">
        <v>0</v>
      </c>
      <c r="H34" s="2709">
        <v>0</v>
      </c>
      <c r="I34" s="2711">
        <v>0</v>
      </c>
      <c r="J34" s="2713">
        <v>-1716000</v>
      </c>
      <c r="K34" s="2708">
        <v>-1705620</v>
      </c>
      <c r="L34" s="2709">
        <v>-1716000</v>
      </c>
    </row>
    <row r="35" spans="1:16" ht="5.0999999999999996" customHeight="1">
      <c r="A35" s="187"/>
      <c r="B35" s="278"/>
      <c r="C35" s="2692"/>
      <c r="D35" s="2692"/>
      <c r="E35" s="2693"/>
      <c r="F35" s="2694"/>
      <c r="G35" s="2692"/>
      <c r="H35" s="2693"/>
      <c r="I35" s="2691"/>
      <c r="J35" s="2695"/>
      <c r="K35" s="2692"/>
      <c r="L35" s="2693"/>
    </row>
    <row r="36" spans="1:16" ht="11.25" customHeight="1">
      <c r="A36" s="305" t="s">
        <v>1675</v>
      </c>
      <c r="B36" s="278"/>
      <c r="C36" s="2698">
        <v>-7212271</v>
      </c>
      <c r="D36" s="2698">
        <v>-6750574</v>
      </c>
      <c r="E36" s="2699">
        <v>21129725</v>
      </c>
      <c r="F36" s="2700">
        <v>79761022.882499993</v>
      </c>
      <c r="G36" s="2698">
        <v>757335</v>
      </c>
      <c r="H36" s="2699">
        <v>0</v>
      </c>
      <c r="I36" s="2697">
        <v>0</v>
      </c>
      <c r="J36" s="2701">
        <v>2483503.1380800009</v>
      </c>
      <c r="K36" s="2698">
        <v>-19457276.138590984</v>
      </c>
      <c r="L36" s="2699">
        <v>-18987993.190473914</v>
      </c>
    </row>
    <row r="37" spans="1:16" ht="11.25" customHeight="1">
      <c r="A37" s="179" t="s">
        <v>999</v>
      </c>
      <c r="B37" s="278">
        <v>2</v>
      </c>
      <c r="C37" s="2728">
        <v>6739201</v>
      </c>
      <c r="D37" s="2698">
        <v>-473070</v>
      </c>
      <c r="E37" s="2705">
        <v>-7223644</v>
      </c>
      <c r="F37" s="2730">
        <v>13906081</v>
      </c>
      <c r="G37" s="2728">
        <v>13906081</v>
      </c>
      <c r="H37" s="2729">
        <v>14663416</v>
      </c>
      <c r="I37" s="2697">
        <v>13906081</v>
      </c>
      <c r="J37" s="2731">
        <v>13906081</v>
      </c>
      <c r="K37" s="2698">
        <v>16389584.138080001</v>
      </c>
      <c r="L37" s="2699">
        <v>-3067692.0005109832</v>
      </c>
    </row>
    <row r="38" spans="1:16" ht="11.25" customHeight="1">
      <c r="A38" s="1285" t="s">
        <v>1373</v>
      </c>
      <c r="B38" s="321">
        <v>2</v>
      </c>
      <c r="C38" s="2702">
        <v>-473070</v>
      </c>
      <c r="D38" s="2706">
        <v>-7223644</v>
      </c>
      <c r="E38" s="2703">
        <v>13906081</v>
      </c>
      <c r="F38" s="2704">
        <v>93667103.882499993</v>
      </c>
      <c r="G38" s="2702">
        <v>14663416</v>
      </c>
      <c r="H38" s="2703">
        <v>14663416</v>
      </c>
      <c r="I38" s="2712">
        <v>13906081</v>
      </c>
      <c r="J38" s="2707">
        <v>16389584.138080001</v>
      </c>
      <c r="K38" s="2702">
        <v>-3067692.0005109832</v>
      </c>
      <c r="L38" s="2703">
        <v>-22055685.190984897</v>
      </c>
    </row>
    <row r="39" spans="1:16" s="693" customFormat="1" ht="11.25" hidden="1" customHeight="1">
      <c r="A39" s="1220" t="str">
        <f>head27a</f>
        <v>References</v>
      </c>
      <c r="B39" s="1221"/>
      <c r="C39" s="1225"/>
      <c r="D39" s="1223"/>
      <c r="E39" s="1225"/>
      <c r="F39" s="1225"/>
      <c r="G39" s="1225"/>
      <c r="H39" s="1225"/>
      <c r="I39" s="1225"/>
      <c r="J39" s="1225"/>
      <c r="K39" s="1225"/>
      <c r="L39" s="1225"/>
      <c r="M39" s="150"/>
      <c r="N39" s="150"/>
      <c r="O39" s="150"/>
      <c r="P39" s="150"/>
    </row>
    <row r="40" spans="1:16" s="693" customFormat="1" ht="11.25" hidden="1" customHeight="1">
      <c r="A40" s="1201" t="s">
        <v>1199</v>
      </c>
      <c r="B40" s="1221"/>
      <c r="C40" s="1225"/>
      <c r="D40" s="1223"/>
      <c r="E40" s="1225"/>
      <c r="F40" s="1225"/>
      <c r="G40" s="1225"/>
      <c r="H40" s="1225"/>
      <c r="I40" s="1225"/>
      <c r="J40" s="1225"/>
      <c r="K40" s="1225"/>
      <c r="L40" s="1225"/>
      <c r="M40" s="150"/>
      <c r="N40" s="150"/>
      <c r="O40" s="150"/>
      <c r="P40" s="150"/>
    </row>
    <row r="41" spans="1:16" s="693" customFormat="1" ht="11.25" hidden="1" customHeight="1">
      <c r="A41" s="1201" t="s">
        <v>1000</v>
      </c>
      <c r="B41" s="1221"/>
      <c r="C41" s="1224"/>
      <c r="D41" s="1224"/>
      <c r="E41" s="1225"/>
      <c r="F41" s="1225"/>
      <c r="G41" s="1225"/>
      <c r="H41" s="1225"/>
      <c r="I41" s="1225"/>
      <c r="J41" s="1225"/>
      <c r="K41" s="1225"/>
      <c r="L41" s="1225"/>
      <c r="N41" s="150"/>
      <c r="O41" s="150"/>
      <c r="P41" s="150"/>
    </row>
    <row r="42" spans="1:16" ht="11.25" hidden="1" customHeight="1">
      <c r="A42" s="1236"/>
      <c r="B42" s="1200"/>
      <c r="C42" s="1227"/>
      <c r="D42" s="1227"/>
      <c r="E42" s="1238"/>
      <c r="F42" s="1228"/>
      <c r="G42" s="1228"/>
      <c r="H42" s="1228"/>
      <c r="I42" s="1228"/>
      <c r="J42" s="1228"/>
      <c r="K42" s="1228"/>
      <c r="L42" s="1228"/>
    </row>
    <row r="43" spans="1:16" ht="11.25" hidden="1" customHeight="1">
      <c r="A43" s="1237" t="s">
        <v>647</v>
      </c>
      <c r="B43" s="1221"/>
      <c r="C43" s="1218">
        <f>SUM(C6:C10)+SUM(C19:C21)</f>
        <v>26840708</v>
      </c>
      <c r="D43" s="1218">
        <f t="shared" ref="D43:L43" si="0">SUM(D6:D10)+SUM(D19:D21)</f>
        <v>46307043</v>
      </c>
      <c r="E43" s="1218">
        <f t="shared" si="0"/>
        <v>49002393</v>
      </c>
      <c r="F43" s="1218">
        <f t="shared" si="0"/>
        <v>78366327.882499993</v>
      </c>
      <c r="G43" s="1218">
        <f t="shared" si="0"/>
        <v>60052045</v>
      </c>
      <c r="H43" s="1218">
        <f t="shared" si="0"/>
        <v>0</v>
      </c>
      <c r="I43" s="1218">
        <f t="shared" si="0"/>
        <v>0</v>
      </c>
      <c r="J43" s="1218">
        <f t="shared" si="0"/>
        <v>47863639.746880002</v>
      </c>
      <c r="K43" s="1218">
        <f t="shared" si="0"/>
        <v>53348688.782457732</v>
      </c>
      <c r="L43" s="1218">
        <f t="shared" si="0"/>
        <v>58122401.010086581</v>
      </c>
    </row>
    <row r="44" spans="1:16" ht="11.25" hidden="1" customHeight="1">
      <c r="A44" s="1237" t="s">
        <v>270</v>
      </c>
      <c r="B44" s="1221"/>
      <c r="C44" s="1218">
        <f>SUM(C12:C14)+C24</f>
        <v>-33828206</v>
      </c>
      <c r="D44" s="1218">
        <f t="shared" ref="D44:L44" si="1">SUM(D12:D14)+D24</f>
        <v>-53006460</v>
      </c>
      <c r="E44" s="1218">
        <f t="shared" si="1"/>
        <v>-28477924</v>
      </c>
      <c r="F44" s="1218">
        <f t="shared" si="1"/>
        <v>1718695</v>
      </c>
      <c r="G44" s="1218">
        <f t="shared" si="1"/>
        <v>-59294710</v>
      </c>
      <c r="H44" s="1218">
        <f t="shared" si="1"/>
        <v>0</v>
      </c>
      <c r="I44" s="1218">
        <f t="shared" si="1"/>
        <v>0</v>
      </c>
      <c r="J44" s="1218">
        <f t="shared" si="1"/>
        <v>-43664136.608800001</v>
      </c>
      <c r="K44" s="1218">
        <f t="shared" si="1"/>
        <v>-71100344.921048716</v>
      </c>
      <c r="L44" s="1218">
        <f t="shared" si="1"/>
        <v>-75394394.200560495</v>
      </c>
    </row>
    <row r="45" spans="1:16" ht="11.25" hidden="1" customHeight="1">
      <c r="A45" s="1237"/>
      <c r="B45" s="1221"/>
      <c r="C45" s="1218">
        <f>C43+C44</f>
        <v>-6987498</v>
      </c>
      <c r="D45" s="1218">
        <f t="shared" ref="D45:L45" si="2">D43+D44</f>
        <v>-6699417</v>
      </c>
      <c r="E45" s="1218">
        <f t="shared" si="2"/>
        <v>20524469</v>
      </c>
      <c r="F45" s="1218">
        <f t="shared" si="2"/>
        <v>80085022.882499993</v>
      </c>
      <c r="G45" s="1218">
        <f t="shared" si="2"/>
        <v>757335</v>
      </c>
      <c r="H45" s="1218">
        <f t="shared" si="2"/>
        <v>0</v>
      </c>
      <c r="I45" s="1218">
        <f t="shared" si="2"/>
        <v>0</v>
      </c>
      <c r="J45" s="1218">
        <f t="shared" si="2"/>
        <v>4199503.1380800009</v>
      </c>
      <c r="K45" s="1218">
        <f t="shared" si="2"/>
        <v>-17751656.138590984</v>
      </c>
      <c r="L45" s="1218">
        <f t="shared" si="2"/>
        <v>-17271993.190473914</v>
      </c>
    </row>
    <row r="46" spans="1:16" ht="11.25" hidden="1" customHeight="1">
      <c r="A46" s="1237" t="s">
        <v>357</v>
      </c>
      <c r="B46" s="688"/>
      <c r="C46" s="1218">
        <f>C22+C30+C31</f>
        <v>0</v>
      </c>
      <c r="D46" s="1218">
        <f t="shared" ref="D46:L46" si="3">D22+D30+D31</f>
        <v>0</v>
      </c>
      <c r="E46" s="1218">
        <f t="shared" si="3"/>
        <v>774288</v>
      </c>
      <c r="F46" s="1218">
        <f t="shared" si="3"/>
        <v>0</v>
      </c>
      <c r="G46" s="1218">
        <f t="shared" si="3"/>
        <v>0</v>
      </c>
      <c r="H46" s="1218">
        <f t="shared" si="3"/>
        <v>0</v>
      </c>
      <c r="I46" s="1218">
        <f t="shared" si="3"/>
        <v>0</v>
      </c>
      <c r="J46" s="1218">
        <f t="shared" si="3"/>
        <v>173000</v>
      </c>
      <c r="K46" s="1218">
        <f t="shared" si="3"/>
        <v>183380</v>
      </c>
      <c r="L46" s="1218">
        <f t="shared" si="3"/>
        <v>173000</v>
      </c>
    </row>
    <row r="47" spans="1:16" ht="11.25" hidden="1" customHeight="1">
      <c r="A47" s="1237" t="str">
        <f>A33</f>
        <v>Repayment of borrowing</v>
      </c>
      <c r="B47" s="688"/>
      <c r="C47" s="1218">
        <f>C33</f>
        <v>-224773</v>
      </c>
      <c r="D47" s="1218">
        <f t="shared" ref="D47:L47" si="4">D33</f>
        <v>-51157</v>
      </c>
      <c r="E47" s="1218">
        <f t="shared" si="4"/>
        <v>-169023</v>
      </c>
      <c r="F47" s="1218">
        <f t="shared" si="4"/>
        <v>-324000</v>
      </c>
      <c r="G47" s="1218">
        <f t="shared" si="4"/>
        <v>0</v>
      </c>
      <c r="H47" s="1218">
        <f t="shared" si="4"/>
        <v>0</v>
      </c>
      <c r="I47" s="1218">
        <f>I33</f>
        <v>0</v>
      </c>
      <c r="J47" s="1218">
        <f t="shared" si="4"/>
        <v>-1889000</v>
      </c>
      <c r="K47" s="1218">
        <f t="shared" si="4"/>
        <v>-1889000</v>
      </c>
      <c r="L47" s="1218">
        <f t="shared" si="4"/>
        <v>-1889000</v>
      </c>
    </row>
    <row r="48" spans="1:16" ht="11.25" hidden="1" customHeight="1">
      <c r="A48" s="691"/>
      <c r="B48" s="688"/>
      <c r="C48" s="1218">
        <f>C45+C46+C47</f>
        <v>-7212271</v>
      </c>
      <c r="D48" s="1218">
        <f t="shared" ref="D48:L48" si="5">D45+D46+D47</f>
        <v>-6750574</v>
      </c>
      <c r="E48" s="1218">
        <f t="shared" si="5"/>
        <v>21129734</v>
      </c>
      <c r="F48" s="1218">
        <f t="shared" si="5"/>
        <v>79761022.882499993</v>
      </c>
      <c r="G48" s="1218">
        <f t="shared" si="5"/>
        <v>757335</v>
      </c>
      <c r="H48" s="1218">
        <f t="shared" si="5"/>
        <v>0</v>
      </c>
      <c r="I48" s="1218">
        <f t="shared" si="5"/>
        <v>0</v>
      </c>
      <c r="J48" s="1218">
        <f t="shared" si="5"/>
        <v>2483503.1380800009</v>
      </c>
      <c r="K48" s="1218">
        <f t="shared" si="5"/>
        <v>-19457276.138590984</v>
      </c>
      <c r="L48" s="1218">
        <f t="shared" si="5"/>
        <v>-18987993.190473914</v>
      </c>
    </row>
    <row r="49" spans="1:12" ht="11.25" hidden="1" customHeight="1">
      <c r="A49" s="691"/>
      <c r="B49" s="688"/>
      <c r="C49" s="1241">
        <f t="shared" ref="C49:L49" si="6">C36-C48</f>
        <v>0</v>
      </c>
      <c r="D49" s="1241">
        <f t="shared" si="6"/>
        <v>0</v>
      </c>
      <c r="E49" s="1241">
        <f t="shared" si="6"/>
        <v>-9</v>
      </c>
      <c r="F49" s="1241">
        <f t="shared" si="6"/>
        <v>0</v>
      </c>
      <c r="G49" s="1241">
        <f t="shared" si="6"/>
        <v>0</v>
      </c>
      <c r="H49" s="1241">
        <f t="shared" si="6"/>
        <v>0</v>
      </c>
      <c r="I49" s="1241">
        <f t="shared" si="6"/>
        <v>0</v>
      </c>
      <c r="J49" s="1241">
        <f t="shared" si="6"/>
        <v>0</v>
      </c>
      <c r="K49" s="1241">
        <f t="shared" si="6"/>
        <v>0</v>
      </c>
      <c r="L49" s="1241">
        <f t="shared" si="6"/>
        <v>0</v>
      </c>
    </row>
    <row r="50" spans="1:12" ht="11.25" hidden="1" customHeight="1"/>
    <row r="51" spans="1:12" ht="11.25" hidden="1" customHeight="1"/>
    <row r="52" spans="1:12" ht="11.25" hidden="1" customHeight="1"/>
    <row r="53" spans="1:12" ht="11.25" hidden="1" customHeight="1"/>
    <row r="54" spans="1:12" ht="11.25" hidden="1" customHeight="1"/>
    <row r="55" spans="1:12" ht="11.25" hidden="1" customHeight="1"/>
    <row r="56" spans="1:12" ht="11.25" hidden="1" customHeight="1"/>
    <row r="57" spans="1:12" ht="11.25" hidden="1" customHeight="1"/>
    <row r="58" spans="1:12" ht="11.25" hidden="1" customHeight="1"/>
    <row r="59" spans="1:12" ht="11.25" hidden="1" customHeight="1"/>
    <row r="60" spans="1:12" ht="11.25" customHeight="1"/>
    <row r="61" spans="1:12" ht="11.25" customHeight="1"/>
    <row r="62" spans="1:12" ht="11.25" customHeight="1"/>
    <row r="63" spans="1:12" ht="11.25" customHeight="1"/>
    <row r="64" spans="1:12"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sheetData>
  <mergeCells count="2">
    <mergeCell ref="J2:L2"/>
    <mergeCell ref="F2:I2"/>
  </mergeCells>
  <phoneticPr fontId="3" type="noConversion"/>
  <printOptions horizontalCentered="1"/>
  <pageMargins left="0" right="0" top="0.78740157480314965" bottom="0.59055118110236227" header="0.51181102362204722" footer="0.39370078740157483"/>
  <pageSetup paperSize="9" scale="8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theme="3"/>
    <pageSetUpPr fitToPage="1"/>
  </sheetPr>
  <dimension ref="A1:N98"/>
  <sheetViews>
    <sheetView showGridLines="0" workbookViewId="0">
      <pane xSplit="2" ySplit="3" topLeftCell="C4" activePane="bottomRight" state="frozen"/>
      <selection pane="topRight" activeCell="C1" sqref="C1"/>
      <selection pane="bottomLeft" activeCell="A4" sqref="A4"/>
      <selection pane="bottomRight" activeCell="J19" sqref="J19"/>
    </sheetView>
  </sheetViews>
  <sheetFormatPr defaultRowHeight="12.75"/>
  <cols>
    <col min="1" max="1" width="30.7109375" style="150" customWidth="1"/>
    <col min="2" max="2" width="3" style="233" hidden="1" customWidth="1"/>
    <col min="3" max="8" width="9.28515625" style="150" customWidth="1"/>
    <col min="9" max="9" width="9.140625" style="150" hidden="1" customWidth="1"/>
    <col min="10" max="12" width="9.28515625" style="150" customWidth="1"/>
    <col min="13" max="13" width="9.85546875" style="150" customWidth="1"/>
    <col min="14" max="14" width="9.5703125" style="150" customWidth="1"/>
    <col min="15" max="15" width="9.85546875" style="150" customWidth="1"/>
    <col min="16" max="18" width="9.5703125" style="150" customWidth="1"/>
    <col min="19" max="19" width="9.85546875" style="150" customWidth="1"/>
    <col min="20" max="22" width="9.5703125" style="150" customWidth="1"/>
    <col min="23" max="24" width="9.85546875" style="150" customWidth="1"/>
    <col min="25" max="16384" width="9.140625" style="150"/>
  </cols>
  <sheetData>
    <row r="1" spans="1:12" s="168" customFormat="1">
      <c r="A1" s="148" t="str">
        <f>muni&amp;" - "&amp;Approve8</f>
        <v>NC071 Ubuntu - Table A8 Cash backed reserves/accumulated surplus reconciliation</v>
      </c>
      <c r="B1" s="148"/>
      <c r="C1" s="148"/>
      <c r="D1" s="148"/>
      <c r="E1" s="148"/>
      <c r="F1" s="148"/>
      <c r="G1" s="148"/>
      <c r="H1" s="148"/>
      <c r="I1" s="148"/>
      <c r="J1" s="148"/>
      <c r="K1" s="148"/>
      <c r="L1" s="148"/>
    </row>
    <row r="2" spans="1:12" ht="28.5" customHeight="1">
      <c r="A2" s="972" t="str">
        <f>desc</f>
        <v>Description</v>
      </c>
      <c r="B2" s="394" t="str">
        <f>head27</f>
        <v>Ref</v>
      </c>
      <c r="C2" s="151" t="str">
        <f>head1b</f>
        <v>2007/8</v>
      </c>
      <c r="D2" s="151" t="str">
        <f>head1A</f>
        <v>2008/9</v>
      </c>
      <c r="E2" s="147" t="str">
        <f>Head1</f>
        <v>2009/10</v>
      </c>
      <c r="F2" s="2772" t="str">
        <f>Head2</f>
        <v>Current Year 2010/11</v>
      </c>
      <c r="G2" s="2773"/>
      <c r="H2" s="2773"/>
      <c r="I2" s="2773"/>
      <c r="J2" s="2769" t="str">
        <f>Head3</f>
        <v>2011/12 Medium Term Revenue &amp; Expenditure Framework</v>
      </c>
      <c r="K2" s="2770"/>
      <c r="L2" s="2771"/>
    </row>
    <row r="3" spans="1:12" ht="25.5">
      <c r="A3" s="169" t="s">
        <v>697</v>
      </c>
      <c r="B3" s="984"/>
      <c r="C3" s="365" t="str">
        <f>Head5</f>
        <v>Audited Outcome</v>
      </c>
      <c r="D3" s="365" t="str">
        <f>Head5</f>
        <v>Audited Outcome</v>
      </c>
      <c r="E3" s="366" t="str">
        <f>Head5</f>
        <v>Audited Outcome</v>
      </c>
      <c r="F3" s="283" t="str">
        <f>Head6</f>
        <v>Original Budget</v>
      </c>
      <c r="G3" s="365" t="str">
        <f>Head7</f>
        <v>Adjusted Budget</v>
      </c>
      <c r="H3" s="366" t="str">
        <f>Head8</f>
        <v>Full Year Forecast</v>
      </c>
      <c r="I3" s="364" t="str">
        <f>Head5b</f>
        <v>Pre-audit outcome</v>
      </c>
      <c r="J3" s="283" t="str">
        <f>Head9</f>
        <v>Budget Year 2011/12</v>
      </c>
      <c r="K3" s="365" t="str">
        <f>Head10</f>
        <v>Budget Year +1 2012/13</v>
      </c>
      <c r="L3" s="366" t="str">
        <f>Head11</f>
        <v>Budget Year +2 2013/14</v>
      </c>
    </row>
    <row r="4" spans="1:12">
      <c r="A4" s="235" t="s">
        <v>1286</v>
      </c>
      <c r="B4" s="324"/>
      <c r="C4" s="193"/>
      <c r="D4" s="193"/>
      <c r="E4" s="250"/>
      <c r="F4" s="237"/>
      <c r="G4" s="193"/>
      <c r="H4" s="250"/>
      <c r="I4" s="196"/>
      <c r="J4" s="325"/>
      <c r="K4" s="193"/>
      <c r="L4" s="250"/>
    </row>
    <row r="5" spans="1:12" ht="11.25" customHeight="1">
      <c r="A5" s="236" t="str">
        <f>LEFT('A7-CFlow'!A38,37)</f>
        <v>Cash/cash equivalents at the year end</v>
      </c>
      <c r="B5" s="324">
        <v>1</v>
      </c>
      <c r="C5" s="193">
        <f>'A7-CFlow'!C38</f>
        <v>-473070</v>
      </c>
      <c r="D5" s="193">
        <f>'A7-CFlow'!D38</f>
        <v>-7223644</v>
      </c>
      <c r="E5" s="250">
        <f>'A7-CFlow'!E38</f>
        <v>13906081</v>
      </c>
      <c r="F5" s="237">
        <f>'A7-CFlow'!F38</f>
        <v>93667103.882499993</v>
      </c>
      <c r="G5" s="193">
        <f>'A7-CFlow'!G38</f>
        <v>14663416</v>
      </c>
      <c r="H5" s="250">
        <f>'A7-CFlow'!H38</f>
        <v>14663416</v>
      </c>
      <c r="I5" s="196">
        <f>'A7-CFlow'!I38</f>
        <v>13906081</v>
      </c>
      <c r="J5" s="197">
        <f>'A7-CFlow'!J38</f>
        <v>16389584.138080001</v>
      </c>
      <c r="K5" s="193">
        <f>'A7-CFlow'!K38</f>
        <v>-3067692.0005109832</v>
      </c>
      <c r="L5" s="250">
        <f>'A7-CFlow'!L38</f>
        <v>-22055685.190984897</v>
      </c>
    </row>
    <row r="6" spans="1:12" ht="11.25" customHeight="1">
      <c r="A6" s="179" t="s">
        <v>1671</v>
      </c>
      <c r="B6" s="324"/>
      <c r="C6" s="193">
        <f>'A6-FinPos'!C6+'A6-FinPos'!C7-'A6-FinPos'!C29-'A8-ResRecon'!C5</f>
        <v>473070</v>
      </c>
      <c r="D6" s="193">
        <f>'A6-FinPos'!D6+'A6-FinPos'!D7-'A6-FinPos'!D29-'A8-ResRecon'!D5</f>
        <v>8188482</v>
      </c>
      <c r="E6" s="250">
        <f>'A6-FinPos'!E6+'A6-FinPos'!E7-'A6-FinPos'!E29-'A8-ResRecon'!E5</f>
        <v>-7638606</v>
      </c>
      <c r="F6" s="237">
        <f>'A6-FinPos'!F6+'A6-FinPos'!F7-'A6-FinPos'!F29-'A8-ResRecon'!F5</f>
        <v>-91136703.882499993</v>
      </c>
      <c r="G6" s="193">
        <f>'A6-FinPos'!G6+'A6-FinPos'!G7-'A6-FinPos'!G29-'A8-ResRecon'!G5</f>
        <v>-3417816.6369999945</v>
      </c>
      <c r="H6" s="250">
        <f>'A6-FinPos'!H6+'A6-FinPos'!H7-'A6-FinPos'!H29-'A8-ResRecon'!H5</f>
        <v>-4246816.6369999945</v>
      </c>
      <c r="I6" s="196">
        <f>'A6-FinPos'!I6+'A6-FinPos'!I7-'A6-FinPos'!I29-'A8-ResRecon'!I5</f>
        <v>-13906081</v>
      </c>
      <c r="J6" s="197">
        <f>'A6-FinPos'!J6+'A6-FinPos'!J7-'A6-FinPos'!J29-'A8-ResRecon'!J5</f>
        <v>-7422984.7750799954</v>
      </c>
      <c r="K6" s="193">
        <f>'A6-FinPos'!K6+'A6-FinPos'!K7-'A6-FinPos'!K29-'A8-ResRecon'!K5</f>
        <v>13326692.000510983</v>
      </c>
      <c r="L6" s="250">
        <f>'A6-FinPos'!L6+'A6-FinPos'!L7-'A6-FinPos'!L29-'A8-ResRecon'!L5</f>
        <v>40441685.190984897</v>
      </c>
    </row>
    <row r="7" spans="1:12" ht="11.25" customHeight="1">
      <c r="A7" s="236" t="str">
        <f>'A6-FinPos'!A14&amp;" - "&amp;'A6-FinPos'!A16</f>
        <v>Non current assets - Investments</v>
      </c>
      <c r="B7" s="324">
        <v>1</v>
      </c>
      <c r="C7" s="193">
        <f>'A6-FinPos'!C16</f>
        <v>0</v>
      </c>
      <c r="D7" s="193">
        <f>'A6-FinPos'!D16</f>
        <v>1968253</v>
      </c>
      <c r="E7" s="250">
        <f>'A6-FinPos'!E16</f>
        <v>1400772</v>
      </c>
      <c r="F7" s="244">
        <f>'A6-FinPos'!F16</f>
        <v>0</v>
      </c>
      <c r="G7" s="242">
        <f>'A6-FinPos'!G16</f>
        <v>0</v>
      </c>
      <c r="H7" s="248">
        <f>'A6-FinPos'!H16</f>
        <v>0</v>
      </c>
      <c r="I7" s="196">
        <f>'A6-FinPos'!I16</f>
        <v>0</v>
      </c>
      <c r="J7" s="249">
        <f>'A6-FinPos'!J16</f>
        <v>1400772</v>
      </c>
      <c r="K7" s="242">
        <f>'A6-FinPos'!K16</f>
        <v>1484818.32</v>
      </c>
      <c r="L7" s="248">
        <f>'A6-FinPos'!L16</f>
        <v>1573907.4192000001</v>
      </c>
    </row>
    <row r="8" spans="1:12" ht="11.25" customHeight="1">
      <c r="A8" s="781" t="s">
        <v>1287</v>
      </c>
      <c r="B8" s="796"/>
      <c r="C8" s="797">
        <f>SUM(C5:C7)</f>
        <v>0</v>
      </c>
      <c r="D8" s="797">
        <f t="shared" ref="D8:L8" si="0">SUM(D5:D7)</f>
        <v>2933091</v>
      </c>
      <c r="E8" s="798">
        <f t="shared" si="0"/>
        <v>7668247</v>
      </c>
      <c r="F8" s="799">
        <f t="shared" si="0"/>
        <v>2530400</v>
      </c>
      <c r="G8" s="797">
        <f t="shared" si="0"/>
        <v>11245599.363000005</v>
      </c>
      <c r="H8" s="798">
        <f t="shared" si="0"/>
        <v>10416599.363000005</v>
      </c>
      <c r="I8" s="801">
        <f t="shared" si="0"/>
        <v>0</v>
      </c>
      <c r="J8" s="1099">
        <f t="shared" si="0"/>
        <v>10367371.363000005</v>
      </c>
      <c r="K8" s="797">
        <f t="shared" si="0"/>
        <v>11743818.32</v>
      </c>
      <c r="L8" s="798">
        <f t="shared" si="0"/>
        <v>19959907.419199999</v>
      </c>
    </row>
    <row r="9" spans="1:12" ht="5.0999999999999996" customHeight="1">
      <c r="A9" s="259"/>
      <c r="B9" s="324"/>
      <c r="C9" s="193"/>
      <c r="D9" s="193"/>
      <c r="E9" s="250"/>
      <c r="F9" s="237"/>
      <c r="G9" s="193"/>
      <c r="H9" s="250"/>
      <c r="I9" s="196"/>
      <c r="J9" s="197"/>
      <c r="K9" s="193"/>
      <c r="L9" s="250"/>
    </row>
    <row r="10" spans="1:12" ht="11.25" customHeight="1">
      <c r="A10" s="235" t="s">
        <v>1200</v>
      </c>
      <c r="B10" s="324"/>
      <c r="C10" s="193"/>
      <c r="D10" s="193"/>
      <c r="E10" s="250"/>
      <c r="F10" s="237"/>
      <c r="G10" s="193"/>
      <c r="H10" s="250"/>
      <c r="I10" s="196"/>
      <c r="J10" s="197"/>
      <c r="K10" s="193"/>
      <c r="L10" s="250"/>
    </row>
    <row r="11" spans="1:12" ht="11.25" customHeight="1">
      <c r="A11" s="236" t="str">
        <f>'SA3'!A36</f>
        <v>Unspent conditional transfers</v>
      </c>
      <c r="B11" s="324"/>
      <c r="C11" s="242">
        <f>'SA3'!C36</f>
        <v>0</v>
      </c>
      <c r="D11" s="193">
        <f>'SA3'!D36</f>
        <v>1390173</v>
      </c>
      <c r="E11" s="250">
        <f>'SA3'!E36</f>
        <v>4424756</v>
      </c>
      <c r="F11" s="237">
        <f>'SA3'!F36</f>
        <v>0</v>
      </c>
      <c r="G11" s="193">
        <f>'SA3'!G36</f>
        <v>1883094.3500000003</v>
      </c>
      <c r="H11" s="250">
        <f>'SA3'!H36</f>
        <v>0</v>
      </c>
      <c r="I11" s="196">
        <f>'SA3'!I36</f>
        <v>0</v>
      </c>
      <c r="J11" s="197">
        <f>'SA3'!J36</f>
        <v>0</v>
      </c>
      <c r="K11" s="193">
        <f>'SA3'!K36</f>
        <v>0</v>
      </c>
      <c r="L11" s="250">
        <f>'SA3'!L36</f>
        <v>0</v>
      </c>
    </row>
    <row r="12" spans="1:12" ht="11.25" customHeight="1">
      <c r="A12" s="236" t="s">
        <v>156</v>
      </c>
      <c r="B12" s="324"/>
      <c r="C12" s="1823">
        <v>0</v>
      </c>
      <c r="D12" s="1823">
        <v>0</v>
      </c>
      <c r="E12" s="1824">
        <v>0</v>
      </c>
      <c r="F12" s="1825">
        <v>0</v>
      </c>
      <c r="G12" s="1823">
        <v>0</v>
      </c>
      <c r="H12" s="1824">
        <v>0</v>
      </c>
      <c r="I12" s="1826">
        <v>0</v>
      </c>
      <c r="J12" s="1827">
        <v>0</v>
      </c>
      <c r="K12" s="1823">
        <v>0</v>
      </c>
      <c r="L12" s="1824">
        <v>0</v>
      </c>
    </row>
    <row r="13" spans="1:12" ht="11.25" customHeight="1">
      <c r="A13" s="236" t="s">
        <v>1201</v>
      </c>
      <c r="B13" s="324">
        <v>2</v>
      </c>
      <c r="C13" s="1823">
        <v>0</v>
      </c>
      <c r="D13" s="1823">
        <v>0</v>
      </c>
      <c r="E13" s="1824">
        <v>0</v>
      </c>
      <c r="F13" s="1825">
        <v>0</v>
      </c>
      <c r="G13" s="1823">
        <v>0</v>
      </c>
      <c r="H13" s="1824">
        <v>0</v>
      </c>
      <c r="I13" s="1826">
        <v>0</v>
      </c>
      <c r="J13" s="1827">
        <v>0</v>
      </c>
      <c r="K13" s="1823">
        <v>0</v>
      </c>
      <c r="L13" s="1824">
        <v>0</v>
      </c>
    </row>
    <row r="14" spans="1:12" ht="11.25" customHeight="1">
      <c r="A14" s="236" t="s">
        <v>411</v>
      </c>
      <c r="B14" s="324">
        <v>3</v>
      </c>
      <c r="C14" s="193">
        <f>-C32</f>
        <v>0</v>
      </c>
      <c r="D14" s="193">
        <f t="shared" ref="D14:L14" si="1">-D32</f>
        <v>-6628630</v>
      </c>
      <c r="E14" s="250">
        <f t="shared" si="1"/>
        <v>-335631</v>
      </c>
      <c r="F14" s="237">
        <f t="shared" si="1"/>
        <v>0</v>
      </c>
      <c r="G14" s="193">
        <f t="shared" si="1"/>
        <v>0</v>
      </c>
      <c r="H14" s="250">
        <f t="shared" si="1"/>
        <v>0</v>
      </c>
      <c r="I14" s="196">
        <f>-I32</f>
        <v>0</v>
      </c>
      <c r="J14" s="197">
        <f t="shared" si="1"/>
        <v>-1569861.25</v>
      </c>
      <c r="K14" s="193">
        <f t="shared" si="1"/>
        <v>-1695647.4359500001</v>
      </c>
      <c r="L14" s="250">
        <f t="shared" si="1"/>
        <v>-1772549.5861685898</v>
      </c>
    </row>
    <row r="15" spans="1:12" ht="11.25" customHeight="1">
      <c r="A15" s="236" t="s">
        <v>611</v>
      </c>
      <c r="B15" s="324"/>
      <c r="C15" s="1823">
        <v>0</v>
      </c>
      <c r="D15" s="1823">
        <v>0</v>
      </c>
      <c r="E15" s="1824">
        <v>0</v>
      </c>
      <c r="F15" s="1825">
        <v>0</v>
      </c>
      <c r="G15" s="1823">
        <v>0</v>
      </c>
      <c r="H15" s="1824">
        <v>0</v>
      </c>
      <c r="I15" s="1826">
        <v>0</v>
      </c>
      <c r="J15" s="1827">
        <v>0</v>
      </c>
      <c r="K15" s="1823">
        <v>0</v>
      </c>
      <c r="L15" s="1824">
        <v>0</v>
      </c>
    </row>
    <row r="16" spans="1:12" ht="11.25" customHeight="1">
      <c r="A16" s="236" t="s">
        <v>412</v>
      </c>
      <c r="B16" s="324">
        <v>4</v>
      </c>
      <c r="C16" s="193">
        <f>C52</f>
        <v>0</v>
      </c>
      <c r="D16" s="193">
        <f t="shared" ref="D16:L16" si="2">D52</f>
        <v>0</v>
      </c>
      <c r="E16" s="250">
        <f t="shared" si="2"/>
        <v>0</v>
      </c>
      <c r="F16" s="244">
        <f t="shared" si="2"/>
        <v>0</v>
      </c>
      <c r="G16" s="242">
        <f t="shared" si="2"/>
        <v>0</v>
      </c>
      <c r="H16" s="248">
        <f t="shared" si="2"/>
        <v>0</v>
      </c>
      <c r="I16" s="247">
        <f t="shared" si="2"/>
        <v>0</v>
      </c>
      <c r="J16" s="249">
        <f t="shared" si="2"/>
        <v>0</v>
      </c>
      <c r="K16" s="242">
        <f t="shared" si="2"/>
        <v>0</v>
      </c>
      <c r="L16" s="248">
        <f t="shared" si="2"/>
        <v>0</v>
      </c>
    </row>
    <row r="17" spans="1:14" ht="11.25" customHeight="1">
      <c r="A17" s="236" t="s">
        <v>1288</v>
      </c>
      <c r="B17" s="324">
        <v>5</v>
      </c>
      <c r="C17" s="1805">
        <f>C67</f>
        <v>0</v>
      </c>
      <c r="D17" s="1805">
        <f>D67</f>
        <v>1170094</v>
      </c>
      <c r="E17" s="1805">
        <f>E67</f>
        <v>1059287</v>
      </c>
      <c r="F17" s="1821">
        <f t="shared" ref="F17:L17" si="3">F67</f>
        <v>1170000</v>
      </c>
      <c r="G17" s="1805">
        <f t="shared" si="3"/>
        <v>1344218.8130000001</v>
      </c>
      <c r="H17" s="1820">
        <f t="shared" si="3"/>
        <v>1344218.8130000001</v>
      </c>
      <c r="I17" s="1822">
        <f t="shared" si="3"/>
        <v>1344218.8130000001</v>
      </c>
      <c r="J17" s="1807">
        <f t="shared" si="3"/>
        <v>1424871.9417800002</v>
      </c>
      <c r="K17" s="1805">
        <f t="shared" si="3"/>
        <v>1510364.2582868002</v>
      </c>
      <c r="L17" s="1820">
        <f t="shared" si="3"/>
        <v>1600986.1137840084</v>
      </c>
    </row>
    <row r="18" spans="1:14" ht="11.25" customHeight="1">
      <c r="A18" s="781" t="str">
        <f>"Total "&amp;A10&amp;":"</f>
        <v>Total Application of cash and investments:</v>
      </c>
      <c r="B18" s="796"/>
      <c r="C18" s="797">
        <f>SUM(C11:C17)</f>
        <v>0</v>
      </c>
      <c r="D18" s="797">
        <f t="shared" ref="D18:L18" si="4">SUM(D11:D17)</f>
        <v>-4068363</v>
      </c>
      <c r="E18" s="798">
        <f t="shared" si="4"/>
        <v>5148412</v>
      </c>
      <c r="F18" s="799">
        <f t="shared" si="4"/>
        <v>1170000</v>
      </c>
      <c r="G18" s="797">
        <f t="shared" si="4"/>
        <v>3227313.1630000006</v>
      </c>
      <c r="H18" s="798">
        <f t="shared" si="4"/>
        <v>1344218.8130000001</v>
      </c>
      <c r="I18" s="801">
        <f t="shared" si="4"/>
        <v>1344218.8130000001</v>
      </c>
      <c r="J18" s="1099">
        <f t="shared" si="4"/>
        <v>-144989.30821999977</v>
      </c>
      <c r="K18" s="797">
        <f t="shared" si="4"/>
        <v>-185283.17766319984</v>
      </c>
      <c r="L18" s="798">
        <f t="shared" si="4"/>
        <v>-171563.47238458134</v>
      </c>
      <c r="N18" s="329"/>
    </row>
    <row r="19" spans="1:14" ht="11.25" customHeight="1">
      <c r="A19" s="372" t="s">
        <v>296</v>
      </c>
      <c r="B19" s="373"/>
      <c r="C19" s="322">
        <f>C8-C18</f>
        <v>0</v>
      </c>
      <c r="D19" s="322">
        <f t="shared" ref="D19:L19" si="5">D8-D18</f>
        <v>7001454</v>
      </c>
      <c r="E19" s="1100">
        <f t="shared" si="5"/>
        <v>2519835</v>
      </c>
      <c r="F19" s="1101">
        <f t="shared" si="5"/>
        <v>1360400</v>
      </c>
      <c r="G19" s="322">
        <f t="shared" si="5"/>
        <v>8018286.2000000048</v>
      </c>
      <c r="H19" s="1100">
        <f t="shared" si="5"/>
        <v>9072380.5500000045</v>
      </c>
      <c r="I19" s="1019">
        <f t="shared" si="5"/>
        <v>-1344218.8130000001</v>
      </c>
      <c r="J19" s="323">
        <f t="shared" si="5"/>
        <v>10512360.671220005</v>
      </c>
      <c r="K19" s="322">
        <f t="shared" si="5"/>
        <v>11929101.4976632</v>
      </c>
      <c r="L19" s="1100">
        <f t="shared" si="5"/>
        <v>20131470.891584583</v>
      </c>
      <c r="N19" s="329"/>
    </row>
    <row r="20" spans="1:14" ht="11.25" hidden="1" customHeight="1">
      <c r="A20" s="330" t="str">
        <f>head27a</f>
        <v>References</v>
      </c>
      <c r="B20" s="150"/>
      <c r="C20" s="291"/>
      <c r="D20" s="291"/>
      <c r="E20" s="291"/>
      <c r="F20" s="291"/>
      <c r="G20" s="291"/>
      <c r="H20" s="291"/>
      <c r="I20" s="291"/>
      <c r="J20" s="291"/>
      <c r="K20" s="291"/>
      <c r="L20" s="291"/>
    </row>
    <row r="21" spans="1:14" ht="11.25" hidden="1" customHeight="1">
      <c r="A21" s="331" t="s">
        <v>1583</v>
      </c>
      <c r="B21" s="150"/>
    </row>
    <row r="22" spans="1:14" ht="11.25" hidden="1" customHeight="1">
      <c r="A22" s="331" t="s">
        <v>1202</v>
      </c>
      <c r="B22" s="150"/>
    </row>
    <row r="23" spans="1:14" ht="11.25" hidden="1" customHeight="1">
      <c r="A23" s="331" t="s">
        <v>302</v>
      </c>
      <c r="B23" s="150"/>
    </row>
    <row r="24" spans="1:14" ht="11.25" hidden="1" customHeight="1">
      <c r="A24" s="331" t="s">
        <v>306</v>
      </c>
      <c r="B24" s="150"/>
    </row>
    <row r="25" spans="1:14" ht="11.25" hidden="1" customHeight="1">
      <c r="A25" s="331" t="s">
        <v>305</v>
      </c>
      <c r="B25" s="150"/>
    </row>
    <row r="26" spans="1:14" ht="6" hidden="1" customHeight="1">
      <c r="B26" s="150"/>
    </row>
    <row r="27" spans="1:14" ht="11.25" hidden="1" customHeight="1">
      <c r="A27" s="332" t="s">
        <v>303</v>
      </c>
      <c r="B27" s="150"/>
    </row>
    <row r="28" spans="1:14" ht="11.25" hidden="1" customHeight="1">
      <c r="A28" s="333" t="s">
        <v>666</v>
      </c>
      <c r="B28" s="150"/>
    </row>
    <row r="29" spans="1:14" ht="11.25" hidden="1" customHeight="1">
      <c r="A29" s="334" t="s">
        <v>1014</v>
      </c>
      <c r="B29" s="150"/>
      <c r="C29" s="1822">
        <f>IF(ISERROR(ROUND(C35*C36,-3)),0,(ROUND(C35*C36,-3)))</f>
        <v>0</v>
      </c>
      <c r="D29" s="1822">
        <f>IF(ISERROR(ROUND(D35*D36,-3)),0,(ROUND(D35*D36,-3)))</f>
        <v>4707000</v>
      </c>
      <c r="E29" s="1822">
        <f>IF(ISERROR(ROUND(E35*E36,-3)),0,(ROUND(E35*E36,-3)))</f>
        <v>7921000</v>
      </c>
      <c r="F29" s="1822">
        <v>0</v>
      </c>
      <c r="G29" s="1822">
        <v>0</v>
      </c>
      <c r="H29" s="1822">
        <f t="shared" ref="H29:I31" si="6">G29</f>
        <v>0</v>
      </c>
      <c r="I29" s="1822">
        <f t="shared" si="6"/>
        <v>0</v>
      </c>
      <c r="J29" s="1822">
        <f>-(1107255+876129+767047+725226+720006+544595+2074686+1286670)/8</f>
        <v>-1012701.75</v>
      </c>
      <c r="K29" s="1822">
        <f>J29*107.7%</f>
        <v>-1090679.7847499999</v>
      </c>
      <c r="L29" s="1822">
        <f>K29*106.54%</f>
        <v>-1162010.2426726499</v>
      </c>
    </row>
    <row r="30" spans="1:14" ht="11.25" hidden="1" customHeight="1">
      <c r="A30" s="334" t="s">
        <v>1015</v>
      </c>
      <c r="B30" s="150"/>
      <c r="C30" s="1822">
        <f>ROUND(C37*(1-C38),-3)</f>
        <v>0</v>
      </c>
      <c r="D30" s="1822">
        <f t="shared" ref="D30:L30" si="7">ROUND(D37*(1-D38),-3)</f>
        <v>4613000</v>
      </c>
      <c r="E30" s="1822">
        <f t="shared" si="7"/>
        <v>3812000</v>
      </c>
      <c r="F30" s="1822">
        <v>0</v>
      </c>
      <c r="G30" s="1822">
        <v>0</v>
      </c>
      <c r="H30" s="1822">
        <v>0</v>
      </c>
      <c r="I30" s="1822">
        <f t="shared" si="6"/>
        <v>0</v>
      </c>
      <c r="J30" s="1822">
        <f>TB!U565</f>
        <v>0</v>
      </c>
      <c r="K30" s="1822">
        <f t="shared" si="7"/>
        <v>0</v>
      </c>
      <c r="L30" s="1822">
        <f t="shared" si="7"/>
        <v>0</v>
      </c>
    </row>
    <row r="31" spans="1:14" ht="11.25" hidden="1" customHeight="1">
      <c r="A31" s="334" t="s">
        <v>1334</v>
      </c>
      <c r="B31" s="150"/>
      <c r="C31" s="1822">
        <f>-'A6-FinPos'!C32</f>
        <v>0</v>
      </c>
      <c r="D31" s="1822">
        <f>-'A6-FinPos'!D32</f>
        <v>-2691370</v>
      </c>
      <c r="E31" s="1822">
        <f>-'A6-FinPos'!E32</f>
        <v>-11397369</v>
      </c>
      <c r="F31" s="1822">
        <v>0</v>
      </c>
      <c r="G31" s="1822">
        <v>0</v>
      </c>
      <c r="H31" s="1822">
        <f t="shared" si="6"/>
        <v>0</v>
      </c>
      <c r="I31" s="1822">
        <f t="shared" si="6"/>
        <v>0</v>
      </c>
      <c r="J31" s="1822">
        <v>2582563</v>
      </c>
      <c r="K31" s="1822">
        <f>J31*107.89%</f>
        <v>2786327.2206999999</v>
      </c>
      <c r="L31" s="1822">
        <f>K31*105.32%</f>
        <v>2934559.8288412397</v>
      </c>
    </row>
    <row r="32" spans="1:14" ht="11.25" hidden="1" customHeight="1" thickBot="1">
      <c r="A32" s="334" t="s">
        <v>815</v>
      </c>
      <c r="B32" s="150"/>
      <c r="C32" s="335">
        <f>IF(ISERROR(SUM(C29:C31)),0,(SUM(C29:C31)))</f>
        <v>0</v>
      </c>
      <c r="D32" s="335">
        <f t="shared" ref="D32:L32" si="8">SUM(D29:D31)</f>
        <v>6628630</v>
      </c>
      <c r="E32" s="335">
        <f t="shared" si="8"/>
        <v>335631</v>
      </c>
      <c r="F32" s="335">
        <f t="shared" si="8"/>
        <v>0</v>
      </c>
      <c r="G32" s="335">
        <f t="shared" si="8"/>
        <v>0</v>
      </c>
      <c r="H32" s="335">
        <f t="shared" si="8"/>
        <v>0</v>
      </c>
      <c r="I32" s="335">
        <f t="shared" si="8"/>
        <v>0</v>
      </c>
      <c r="J32" s="335">
        <f t="shared" si="8"/>
        <v>1569861.25</v>
      </c>
      <c r="K32" s="335">
        <f t="shared" si="8"/>
        <v>1695647.4359500001</v>
      </c>
      <c r="L32" s="335">
        <f t="shared" si="8"/>
        <v>1772549.5861685898</v>
      </c>
    </row>
    <row r="33" spans="1:12" ht="6" hidden="1" customHeight="1" thickTop="1">
      <c r="B33" s="150"/>
      <c r="C33" s="336"/>
      <c r="D33" s="336"/>
      <c r="E33" s="336"/>
      <c r="F33" s="336"/>
      <c r="G33" s="336"/>
      <c r="H33" s="336"/>
      <c r="I33" s="336"/>
      <c r="J33" s="336"/>
      <c r="K33" s="336"/>
      <c r="L33" s="336"/>
    </row>
    <row r="34" spans="1:12" ht="11.25" hidden="1" customHeight="1">
      <c r="A34" s="333" t="s">
        <v>307</v>
      </c>
      <c r="B34" s="150"/>
      <c r="C34" s="336"/>
      <c r="D34" s="336"/>
      <c r="E34" s="336"/>
      <c r="F34" s="336"/>
      <c r="G34" s="336"/>
      <c r="H34" s="336"/>
      <c r="I34" s="336"/>
      <c r="J34" s="336"/>
      <c r="K34" s="336"/>
      <c r="L34" s="336"/>
    </row>
    <row r="35" spans="1:12" ht="11.25" hidden="1" customHeight="1">
      <c r="A35" s="334" t="s">
        <v>1335</v>
      </c>
      <c r="B35" s="150"/>
      <c r="C35" s="196">
        <f>'A6-FinPos'!C8</f>
        <v>0</v>
      </c>
      <c r="D35" s="196">
        <f>'A6-FinPos'!D8</f>
        <v>5620735</v>
      </c>
      <c r="E35" s="196">
        <f>'A6-FinPos'!E8</f>
        <v>4275529</v>
      </c>
      <c r="F35" s="196">
        <f>'A6-FinPos'!F8</f>
        <v>14500000</v>
      </c>
      <c r="G35" s="196">
        <f>'A6-FinPos'!G8</f>
        <v>9215239</v>
      </c>
      <c r="H35" s="196">
        <f>'A6-FinPos'!H8</f>
        <v>9215239</v>
      </c>
      <c r="I35" s="196">
        <f>'A6-FinPos'!I8</f>
        <v>0</v>
      </c>
      <c r="J35" s="196">
        <f>'A6-FinPos'!J8</f>
        <v>9709753.3399999999</v>
      </c>
      <c r="K35" s="196">
        <f>'A6-FinPos'!K8</f>
        <v>9929338.5404000003</v>
      </c>
      <c r="L35" s="196">
        <f>'A6-FinPos'!L8</f>
        <v>8970063.4396819975</v>
      </c>
    </row>
    <row r="36" spans="1:12" ht="11.25" hidden="1" customHeight="1">
      <c r="A36" s="334" t="s">
        <v>1347</v>
      </c>
      <c r="B36" s="150"/>
      <c r="C36" s="337">
        <f>IF(ISERROR('SA10'!D10),0,('SA10'!D10))</f>
        <v>0.70877035645598174</v>
      </c>
      <c r="D36" s="337">
        <f>IF(ISERROR('SA10'!E10),0,('SA10'!E10))</f>
        <v>0.83738208022036575</v>
      </c>
      <c r="E36" s="337">
        <f>IF(ISERROR('SA10'!F10),0,('SA10'!F10))</f>
        <v>1.8527046747342819</v>
      </c>
      <c r="F36" s="337">
        <f>IF(ISERROR('SA10'!G10),0,('SA10'!G10))</f>
        <v>1.2084409570708912</v>
      </c>
      <c r="G36" s="337">
        <f>IF(ISERROR('SA10'!H10),0,('SA10'!H10))</f>
        <v>0.97336783181999831</v>
      </c>
      <c r="H36" s="337">
        <f>IF(ISERROR('SA10'!I10),0,('SA10'!I10))</f>
        <v>0</v>
      </c>
      <c r="I36" s="337">
        <f>IF(ISERROR('SA10'!J10),0,('SA10'!J10))</f>
        <v>-0.38022605172821689</v>
      </c>
      <c r="J36" s="337">
        <f>IF(ISERROR('SA10'!K10),0,('SA10'!K10))</f>
        <v>0.47807779962998398</v>
      </c>
      <c r="K36" s="337">
        <f>IF(ISERROR('SA10'!L10),0,('SA10'!L10))</f>
        <v>0.47413830616522923</v>
      </c>
      <c r="L36" s="337">
        <f>IF(ISERROR('SA10'!M10),0,('SA10'!M10))</f>
        <v>0.57705661138631958</v>
      </c>
    </row>
    <row r="37" spans="1:12" ht="11.25" hidden="1" customHeight="1">
      <c r="A37" s="334" t="s">
        <v>1944</v>
      </c>
      <c r="B37" s="150"/>
      <c r="C37" s="196">
        <f>'A6-FinPos'!C9</f>
        <v>0</v>
      </c>
      <c r="D37" s="196">
        <f>'A6-FinPos'!D9</f>
        <v>4612530</v>
      </c>
      <c r="E37" s="196">
        <f>'A6-FinPos'!E9</f>
        <v>3812342</v>
      </c>
      <c r="F37" s="196">
        <f>'A6-FinPos'!F9</f>
        <v>4041082.52</v>
      </c>
      <c r="G37" s="196">
        <f>'A6-FinPos'!G9</f>
        <v>0</v>
      </c>
      <c r="H37" s="196">
        <f>'A6-FinPos'!H9</f>
        <v>0</v>
      </c>
      <c r="I37" s="196">
        <f>'A6-FinPos'!I9</f>
        <v>0</v>
      </c>
      <c r="J37" s="196">
        <f>'A6-FinPos'!J9</f>
        <v>4041082.52</v>
      </c>
      <c r="K37" s="196">
        <f>'A6-FinPos'!K9</f>
        <v>0</v>
      </c>
      <c r="L37" s="196">
        <f>'A6-FinPos'!L9</f>
        <v>0</v>
      </c>
    </row>
    <row r="38" spans="1:12" ht="11.25" hidden="1" customHeight="1">
      <c r="A38" s="334" t="s">
        <v>1013</v>
      </c>
      <c r="B38" s="150"/>
      <c r="C38" s="1835">
        <v>0</v>
      </c>
      <c r="D38" s="337">
        <f>$C$38</f>
        <v>0</v>
      </c>
      <c r="E38" s="337">
        <f t="shared" ref="E38:L38" si="9">$C$38</f>
        <v>0</v>
      </c>
      <c r="F38" s="337">
        <f t="shared" si="9"/>
        <v>0</v>
      </c>
      <c r="G38" s="337">
        <f t="shared" si="9"/>
        <v>0</v>
      </c>
      <c r="H38" s="337">
        <f t="shared" si="9"/>
        <v>0</v>
      </c>
      <c r="I38" s="337">
        <f t="shared" si="9"/>
        <v>0</v>
      </c>
      <c r="J38" s="337">
        <f t="shared" si="9"/>
        <v>0</v>
      </c>
      <c r="K38" s="337">
        <f t="shared" si="9"/>
        <v>0</v>
      </c>
      <c r="L38" s="337">
        <f t="shared" si="9"/>
        <v>0</v>
      </c>
    </row>
    <row r="39" spans="1:12" ht="11.25" hidden="1" customHeight="1">
      <c r="B39" s="150"/>
    </row>
    <row r="40" spans="1:12" ht="11.25" hidden="1" customHeight="1">
      <c r="A40" s="439" t="str">
        <f>A16</f>
        <v>Long term investments committed</v>
      </c>
      <c r="B40" s="150"/>
      <c r="I40" s="338"/>
    </row>
    <row r="41" spans="1:12" ht="11.25" customHeight="1">
      <c r="A41" s="1836" t="s">
        <v>1012</v>
      </c>
      <c r="B41" s="150"/>
      <c r="C41" s="1822"/>
      <c r="D41" s="1822"/>
      <c r="E41" s="1822"/>
      <c r="F41" s="1822"/>
      <c r="G41" s="1822"/>
      <c r="H41" s="1822"/>
      <c r="I41" s="1822"/>
      <c r="J41" s="1822"/>
      <c r="K41" s="1822"/>
      <c r="L41" s="1822"/>
    </row>
    <row r="42" spans="1:12" ht="11.25" customHeight="1">
      <c r="A42" s="1837"/>
      <c r="B42" s="150"/>
      <c r="C42" s="1822"/>
      <c r="D42" s="1822"/>
      <c r="E42" s="1822"/>
      <c r="F42" s="1822"/>
      <c r="G42" s="1822"/>
      <c r="H42" s="1822"/>
      <c r="I42" s="1822"/>
      <c r="J42" s="1822"/>
      <c r="K42" s="1822"/>
      <c r="L42" s="1822"/>
    </row>
    <row r="43" spans="1:12" ht="11.25" customHeight="1">
      <c r="A43" s="1837"/>
      <c r="B43" s="150"/>
      <c r="C43" s="1822"/>
      <c r="D43" s="1822"/>
      <c r="E43" s="1822"/>
      <c r="F43" s="1822"/>
      <c r="G43" s="1822"/>
      <c r="H43" s="1822"/>
      <c r="I43" s="1822"/>
      <c r="J43" s="1822"/>
      <c r="K43" s="1822"/>
      <c r="L43" s="1822"/>
    </row>
    <row r="44" spans="1:12" ht="11.25" customHeight="1">
      <c r="A44" s="1837"/>
      <c r="B44" s="150"/>
      <c r="C44" s="1822"/>
      <c r="D44" s="1822"/>
      <c r="E44" s="1822"/>
      <c r="F44" s="1822"/>
      <c r="G44" s="1822"/>
      <c r="H44" s="1822"/>
      <c r="I44" s="1822"/>
      <c r="J44" s="1822"/>
      <c r="K44" s="1822"/>
      <c r="L44" s="1822"/>
    </row>
    <row r="45" spans="1:12" ht="11.25" customHeight="1">
      <c r="A45" s="1837"/>
      <c r="B45" s="150"/>
      <c r="C45" s="1822"/>
      <c r="D45" s="1822"/>
      <c r="E45" s="1822"/>
      <c r="F45" s="1822"/>
      <c r="G45" s="1822"/>
      <c r="H45" s="1822"/>
      <c r="I45" s="1822"/>
      <c r="J45" s="1822"/>
      <c r="K45" s="1822"/>
      <c r="L45" s="1822"/>
    </row>
    <row r="46" spans="1:12" ht="11.25" customHeight="1">
      <c r="A46" s="1837"/>
      <c r="B46" s="150"/>
      <c r="C46" s="1822"/>
      <c r="D46" s="1822"/>
      <c r="E46" s="1822"/>
      <c r="F46" s="1822"/>
      <c r="G46" s="1822"/>
      <c r="H46" s="1822"/>
      <c r="I46" s="1822"/>
      <c r="J46" s="1822"/>
      <c r="K46" s="1822"/>
      <c r="L46" s="1822"/>
    </row>
    <row r="47" spans="1:12" ht="11.25" customHeight="1">
      <c r="A47" s="1837"/>
      <c r="B47" s="150"/>
      <c r="C47" s="1822"/>
      <c r="D47" s="1822"/>
      <c r="E47" s="1822"/>
      <c r="F47" s="1822"/>
      <c r="G47" s="1822"/>
      <c r="H47" s="1822"/>
      <c r="I47" s="1822"/>
      <c r="J47" s="1822"/>
      <c r="K47" s="1822"/>
      <c r="L47" s="1822"/>
    </row>
    <row r="48" spans="1:12" ht="11.25" customHeight="1">
      <c r="A48" s="1837"/>
      <c r="B48" s="150"/>
      <c r="C48" s="1822"/>
      <c r="D48" s="1822"/>
      <c r="E48" s="1822"/>
      <c r="F48" s="1822"/>
      <c r="G48" s="1822"/>
      <c r="H48" s="1822"/>
      <c r="I48" s="1822"/>
      <c r="J48" s="1822"/>
      <c r="K48" s="1822"/>
      <c r="L48" s="1822"/>
    </row>
    <row r="49" spans="1:12" ht="11.25" customHeight="1">
      <c r="A49" s="1837"/>
      <c r="B49" s="150"/>
      <c r="C49" s="1822"/>
      <c r="D49" s="1822"/>
      <c r="E49" s="1822"/>
      <c r="F49" s="1822"/>
      <c r="G49" s="1822"/>
      <c r="H49" s="1822"/>
      <c r="I49" s="1822"/>
      <c r="J49" s="1822"/>
      <c r="K49" s="1822"/>
      <c r="L49" s="1822"/>
    </row>
    <row r="50" spans="1:12" ht="11.25" customHeight="1">
      <c r="A50" s="1837"/>
      <c r="B50" s="150"/>
      <c r="C50" s="1822"/>
      <c r="D50" s="1822"/>
      <c r="E50" s="1822"/>
      <c r="F50" s="1822"/>
      <c r="G50" s="1822"/>
      <c r="H50" s="1822"/>
      <c r="I50" s="1822"/>
      <c r="J50" s="1822"/>
      <c r="K50" s="1822"/>
      <c r="L50" s="1822"/>
    </row>
    <row r="51" spans="1:12" ht="11.25" customHeight="1">
      <c r="A51" s="1837"/>
      <c r="B51" s="150"/>
      <c r="C51" s="1822"/>
      <c r="D51" s="1822"/>
      <c r="E51" s="1822"/>
      <c r="F51" s="1822"/>
      <c r="G51" s="1822"/>
      <c r="H51" s="1822"/>
      <c r="I51" s="1822"/>
      <c r="J51" s="1822"/>
      <c r="K51" s="1822"/>
      <c r="L51" s="1822"/>
    </row>
    <row r="52" spans="1:12" ht="11.25" customHeight="1" thickBot="1">
      <c r="A52" s="439"/>
      <c r="B52" s="150"/>
      <c r="C52" s="335">
        <f>SUM(C41:C51)</f>
        <v>0</v>
      </c>
      <c r="D52" s="335">
        <f t="shared" ref="D52:L52" si="10">SUM(D41:D51)</f>
        <v>0</v>
      </c>
      <c r="E52" s="335">
        <f t="shared" si="10"/>
        <v>0</v>
      </c>
      <c r="F52" s="335">
        <f t="shared" si="10"/>
        <v>0</v>
      </c>
      <c r="G52" s="335">
        <f t="shared" si="10"/>
        <v>0</v>
      </c>
      <c r="H52" s="335">
        <f t="shared" si="10"/>
        <v>0</v>
      </c>
      <c r="I52" s="335">
        <f t="shared" si="10"/>
        <v>0</v>
      </c>
      <c r="J52" s="335">
        <f t="shared" si="10"/>
        <v>0</v>
      </c>
      <c r="K52" s="335">
        <f t="shared" si="10"/>
        <v>0</v>
      </c>
      <c r="L52" s="335">
        <f t="shared" si="10"/>
        <v>0</v>
      </c>
    </row>
    <row r="53" spans="1:12" ht="11.25" customHeight="1" thickTop="1">
      <c r="A53" s="439" t="str">
        <f>A17</f>
        <v>Reserves to be backed by cash/investments</v>
      </c>
      <c r="B53" s="150"/>
      <c r="I53" s="338"/>
    </row>
    <row r="54" spans="1:12" ht="11.25" customHeight="1">
      <c r="A54" s="150" t="str">
        <f>'SA3'!A64</f>
        <v>Housing Development Fund</v>
      </c>
      <c r="B54" s="150"/>
      <c r="C54" s="196">
        <f>'SA3'!C64</f>
        <v>0</v>
      </c>
      <c r="D54" s="196">
        <f>'SA3'!D64</f>
        <v>0</v>
      </c>
      <c r="E54" s="196">
        <f>'SA3'!E64</f>
        <v>0</v>
      </c>
      <c r="F54" s="196">
        <f>'SA3'!F64</f>
        <v>0</v>
      </c>
      <c r="G54" s="196">
        <f>'SA3'!G64</f>
        <v>0</v>
      </c>
      <c r="H54" s="196">
        <f>'SA3'!H64</f>
        <v>0</v>
      </c>
      <c r="I54" s="196">
        <f>'SA3'!I64</f>
        <v>0</v>
      </c>
      <c r="J54" s="196">
        <f>'SA3'!J64</f>
        <v>0</v>
      </c>
      <c r="K54" s="196">
        <f>'SA3'!K64</f>
        <v>0</v>
      </c>
      <c r="L54" s="196">
        <f>'SA3'!L64</f>
        <v>0</v>
      </c>
    </row>
    <row r="55" spans="1:12" ht="11.25" customHeight="1">
      <c r="A55" s="150" t="str">
        <f>'SA3'!A65</f>
        <v>Capital replacement</v>
      </c>
      <c r="B55" s="150"/>
      <c r="C55" s="1822">
        <f>'SA3'!C65</f>
        <v>0</v>
      </c>
      <c r="D55" s="1822">
        <f>'SA3'!D65</f>
        <v>1170094</v>
      </c>
      <c r="E55" s="1822">
        <f>'SA3'!E65</f>
        <v>1059287</v>
      </c>
      <c r="F55" s="1822">
        <f>'SA3'!F65</f>
        <v>1170000</v>
      </c>
      <c r="G55" s="1822">
        <f>'SA3'!G65</f>
        <v>1344218.8130000001</v>
      </c>
      <c r="H55" s="1822">
        <f>'SA3'!H65</f>
        <v>1344218.8130000001</v>
      </c>
      <c r="I55" s="1822">
        <f>'SA3'!I65</f>
        <v>1344218.8130000001</v>
      </c>
      <c r="J55" s="1822">
        <f>'SA3'!J65</f>
        <v>1424871.9417800002</v>
      </c>
      <c r="K55" s="1822">
        <f>'SA3'!K65</f>
        <v>1510364.2582868002</v>
      </c>
      <c r="L55" s="1822">
        <f>'SA3'!L65</f>
        <v>1600986.1137840084</v>
      </c>
    </row>
    <row r="56" spans="1:12" ht="11.25" customHeight="1">
      <c r="A56" s="150" t="str">
        <f>'SA3'!A69</f>
        <v>Self-insurance</v>
      </c>
      <c r="B56" s="150"/>
      <c r="C56" s="1822">
        <v>0</v>
      </c>
      <c r="D56" s="1822">
        <v>0</v>
      </c>
      <c r="E56" s="1822">
        <v>0</v>
      </c>
      <c r="F56" s="1822">
        <v>0</v>
      </c>
      <c r="G56" s="1822">
        <v>0</v>
      </c>
      <c r="H56" s="1822">
        <v>0</v>
      </c>
      <c r="I56" s="1822">
        <v>0</v>
      </c>
      <c r="J56" s="1822">
        <v>0</v>
      </c>
      <c r="K56" s="1822">
        <v>0</v>
      </c>
      <c r="L56" s="1822">
        <v>0</v>
      </c>
    </row>
    <row r="57" spans="1:12" ht="11.25" customHeight="1">
      <c r="A57" s="1836" t="s">
        <v>2190</v>
      </c>
      <c r="B57" s="1836"/>
      <c r="C57" s="1822">
        <f>'SA3'!C70</f>
        <v>0</v>
      </c>
      <c r="D57" s="1822">
        <f>'SA3'!D70</f>
        <v>0</v>
      </c>
      <c r="E57" s="1822">
        <f>'SA3'!E70</f>
        <v>0</v>
      </c>
      <c r="F57" s="1822">
        <f>'SA3'!F70</f>
        <v>0</v>
      </c>
      <c r="G57" s="1822">
        <f>'SA3'!G70</f>
        <v>0</v>
      </c>
      <c r="H57" s="1822">
        <f>'SA3'!H70</f>
        <v>0</v>
      </c>
      <c r="I57" s="1822">
        <f>'SA3'!I70</f>
        <v>0</v>
      </c>
      <c r="J57" s="1822">
        <f>'SA3'!J70</f>
        <v>0</v>
      </c>
      <c r="K57" s="1822">
        <f>'SA3'!K70</f>
        <v>0</v>
      </c>
      <c r="L57" s="1822">
        <f>'SA3'!L70</f>
        <v>0</v>
      </c>
    </row>
    <row r="58" spans="1:12" ht="11.25" customHeight="1">
      <c r="A58" s="1838"/>
      <c r="B58" s="1838"/>
      <c r="C58" s="1822"/>
      <c r="D58" s="1822"/>
      <c r="E58" s="1822"/>
      <c r="F58" s="1822"/>
      <c r="G58" s="1822"/>
      <c r="H58" s="1822"/>
      <c r="I58" s="1822"/>
      <c r="J58" s="1822"/>
      <c r="K58" s="1822"/>
      <c r="L58" s="1822"/>
    </row>
    <row r="59" spans="1:12" ht="11.25" customHeight="1">
      <c r="A59" s="1838"/>
      <c r="B59" s="1838"/>
      <c r="C59" s="1822"/>
      <c r="D59" s="1822"/>
      <c r="E59" s="1822"/>
      <c r="F59" s="1822"/>
      <c r="G59" s="1822"/>
      <c r="H59" s="1822"/>
      <c r="I59" s="1822"/>
      <c r="J59" s="1822"/>
      <c r="K59" s="1822"/>
      <c r="L59" s="1822"/>
    </row>
    <row r="60" spans="1:12" ht="11.25" customHeight="1">
      <c r="A60" s="1838"/>
      <c r="B60" s="1838"/>
      <c r="C60" s="1822"/>
      <c r="D60" s="1822"/>
      <c r="E60" s="1822"/>
      <c r="F60" s="1822"/>
      <c r="G60" s="1822"/>
      <c r="H60" s="1822"/>
      <c r="I60" s="1822"/>
      <c r="J60" s="1822"/>
      <c r="K60" s="1822"/>
      <c r="L60" s="1822"/>
    </row>
    <row r="61" spans="1:12" ht="11.25" customHeight="1">
      <c r="A61" s="1838"/>
      <c r="B61" s="1838"/>
      <c r="C61" s="1822"/>
      <c r="D61" s="1822"/>
      <c r="E61" s="1822"/>
      <c r="F61" s="1822"/>
      <c r="G61" s="1822"/>
      <c r="H61" s="1822"/>
      <c r="I61" s="1822"/>
      <c r="J61" s="1822"/>
      <c r="K61" s="1822"/>
      <c r="L61" s="1822"/>
    </row>
    <row r="62" spans="1:12" ht="11.25" customHeight="1">
      <c r="A62" s="1838"/>
      <c r="B62" s="1838"/>
      <c r="C62" s="1822"/>
      <c r="D62" s="1822"/>
      <c r="E62" s="1822"/>
      <c r="F62" s="1822"/>
      <c r="G62" s="1822"/>
      <c r="H62" s="1822"/>
      <c r="I62" s="1822"/>
      <c r="J62" s="1822"/>
      <c r="K62" s="1822"/>
      <c r="L62" s="1822"/>
    </row>
    <row r="63" spans="1:12" ht="11.25" customHeight="1">
      <c r="A63" s="1838"/>
      <c r="B63" s="1838"/>
      <c r="C63" s="1822"/>
      <c r="D63" s="1822"/>
      <c r="E63" s="1822"/>
      <c r="F63" s="1822"/>
      <c r="G63" s="1822"/>
      <c r="H63" s="1822"/>
      <c r="I63" s="1822"/>
      <c r="J63" s="1822"/>
      <c r="K63" s="1822"/>
      <c r="L63" s="1822"/>
    </row>
    <row r="64" spans="1:12" ht="11.25" customHeight="1">
      <c r="A64" s="1838"/>
      <c r="B64" s="1838"/>
      <c r="C64" s="1822"/>
      <c r="D64" s="1822"/>
      <c r="E64" s="1822"/>
      <c r="F64" s="1822"/>
      <c r="G64" s="1822"/>
      <c r="H64" s="1822"/>
      <c r="I64" s="1822"/>
      <c r="J64" s="1822"/>
      <c r="K64" s="1822"/>
      <c r="L64" s="1822"/>
    </row>
    <row r="65" spans="1:12" ht="11.25" customHeight="1">
      <c r="A65" s="1838"/>
      <c r="B65" s="1838"/>
      <c r="C65" s="1822"/>
      <c r="D65" s="1822"/>
      <c r="E65" s="1822"/>
      <c r="F65" s="1822"/>
      <c r="G65" s="1822"/>
      <c r="H65" s="1822"/>
      <c r="I65" s="1822"/>
      <c r="J65" s="1822"/>
      <c r="K65" s="1822"/>
      <c r="L65" s="1822"/>
    </row>
    <row r="67" spans="1:12" ht="11.25" customHeight="1" thickBot="1">
      <c r="B67" s="150"/>
      <c r="C67" s="335">
        <f t="shared" ref="C67:L67" si="11">SUM(C54:C65)</f>
        <v>0</v>
      </c>
      <c r="D67" s="335">
        <f t="shared" si="11"/>
        <v>1170094</v>
      </c>
      <c r="E67" s="335">
        <f t="shared" si="11"/>
        <v>1059287</v>
      </c>
      <c r="F67" s="335">
        <f t="shared" si="11"/>
        <v>1170000</v>
      </c>
      <c r="G67" s="335">
        <f t="shared" si="11"/>
        <v>1344218.8130000001</v>
      </c>
      <c r="H67" s="335">
        <f t="shared" si="11"/>
        <v>1344218.8130000001</v>
      </c>
      <c r="I67" s="335">
        <f t="shared" si="11"/>
        <v>1344218.8130000001</v>
      </c>
      <c r="J67" s="335">
        <f t="shared" si="11"/>
        <v>1424871.9417800002</v>
      </c>
      <c r="K67" s="335">
        <f t="shared" si="11"/>
        <v>1510364.2582868002</v>
      </c>
      <c r="L67" s="335">
        <f t="shared" si="11"/>
        <v>1600986.1137840084</v>
      </c>
    </row>
    <row r="68" spans="1:12" ht="11.25" customHeight="1" thickTop="1">
      <c r="B68" s="150"/>
    </row>
    <row r="69" spans="1:12" ht="11.25" customHeight="1">
      <c r="B69" s="150"/>
    </row>
    <row r="70" spans="1:12" ht="11.25" customHeight="1">
      <c r="B70" s="150"/>
    </row>
    <row r="71" spans="1:12" ht="11.25" customHeight="1">
      <c r="B71" s="150"/>
    </row>
    <row r="72" spans="1:12" ht="11.25" customHeight="1">
      <c r="B72" s="150"/>
    </row>
    <row r="73" spans="1:12" ht="11.25" customHeight="1">
      <c r="B73" s="150"/>
    </row>
    <row r="74" spans="1:12" ht="11.25" customHeight="1">
      <c r="B74" s="150"/>
    </row>
    <row r="75" spans="1:12" ht="11.25" customHeight="1">
      <c r="B75" s="150"/>
    </row>
    <row r="76" spans="1:12" ht="11.25" customHeight="1">
      <c r="B76" s="150"/>
    </row>
    <row r="77" spans="1:12" ht="11.25" customHeight="1"/>
    <row r="78" spans="1:12" ht="11.25" customHeight="1"/>
    <row r="79" spans="1:12" ht="11.25" customHeight="1"/>
    <row r="80" spans="1:12"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sheetData>
  <mergeCells count="2">
    <mergeCell ref="J2:L2"/>
    <mergeCell ref="F2:I2"/>
  </mergeCells>
  <phoneticPr fontId="3" type="noConversion"/>
  <dataValidations count="1">
    <dataValidation type="decimal" allowBlank="1" showInputMessage="1" showErrorMessage="1" sqref="C12:L13 C15:L15 C17:L17 C29:L31 C38 C41:L51 C55:L65">
      <formula1>-99999999999999900000</formula1>
      <formula2>99999999999999900000</formula2>
    </dataValidation>
  </dataValidations>
  <printOptions horizontalCentered="1"/>
  <pageMargins left="0" right="0" top="0.78740157480314965" bottom="0.59055118110236227" header="0.51181102362204722" footer="0.39370078740157483"/>
  <pageSetup paperSize="9" scale="8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theme="3"/>
    <pageSetUpPr fitToPage="1"/>
  </sheetPr>
  <dimension ref="A1:K128"/>
  <sheetViews>
    <sheetView showGridLines="0" workbookViewId="0">
      <pane xSplit="2" ySplit="3" topLeftCell="D65" activePane="bottomRight" state="frozen"/>
      <selection activeCell="O37" sqref="A1:IV65536"/>
      <selection pane="topRight" activeCell="O37" sqref="A1:IV65536"/>
      <selection pane="bottomLeft" activeCell="O37" sqref="A1:IV65536"/>
      <selection pane="bottomRight" activeCell="I60" sqref="I60"/>
    </sheetView>
  </sheetViews>
  <sheetFormatPr defaultRowHeight="12.75"/>
  <cols>
    <col min="1" max="1" width="31.42578125" style="150" customWidth="1"/>
    <col min="2" max="2" width="3" style="233" hidden="1" customWidth="1"/>
    <col min="3" max="11" width="9.28515625" style="150" customWidth="1"/>
    <col min="12" max="12" width="9.85546875" style="150" customWidth="1"/>
    <col min="13" max="13" width="9.5703125" style="150" customWidth="1"/>
    <col min="14" max="14" width="9.85546875" style="150" customWidth="1"/>
    <col min="15" max="17" width="9.5703125" style="150" customWidth="1"/>
    <col min="18" max="18" width="9.85546875" style="150" customWidth="1"/>
    <col min="19" max="21" width="9.5703125" style="150" customWidth="1"/>
    <col min="22" max="23" width="9.85546875" style="150" customWidth="1"/>
    <col min="24" max="16384" width="9.140625" style="150"/>
  </cols>
  <sheetData>
    <row r="1" spans="1:11" s="168" customFormat="1">
      <c r="A1" s="148" t="str">
        <f>muni&amp;" - "&amp;Approve9</f>
        <v>NC071 Ubuntu - Table A9 Asset Management</v>
      </c>
      <c r="B1" s="148"/>
      <c r="C1" s="148"/>
      <c r="D1" s="148"/>
      <c r="E1" s="148"/>
      <c r="F1" s="148"/>
      <c r="G1" s="148"/>
      <c r="H1" s="148"/>
      <c r="I1" s="148"/>
      <c r="J1" s="148"/>
      <c r="K1" s="148"/>
    </row>
    <row r="2" spans="1:11" ht="28.5" customHeight="1">
      <c r="A2" s="972" t="str">
        <f>desc</f>
        <v>Description</v>
      </c>
      <c r="B2" s="394" t="str">
        <f>head27</f>
        <v>Ref</v>
      </c>
      <c r="C2" s="151" t="str">
        <f>head1b</f>
        <v>2007/8</v>
      </c>
      <c r="D2" s="151" t="str">
        <f>head1A</f>
        <v>2008/9</v>
      </c>
      <c r="E2" s="147" t="str">
        <f>Head1</f>
        <v>2009/10</v>
      </c>
      <c r="F2" s="2772" t="str">
        <f>Head2</f>
        <v>Current Year 2010/11</v>
      </c>
      <c r="G2" s="2773"/>
      <c r="H2" s="2777"/>
      <c r="I2" s="2769" t="str">
        <f>Head3</f>
        <v>2011/12 Medium Term Revenue &amp; Expenditure Framework</v>
      </c>
      <c r="J2" s="2770"/>
      <c r="K2" s="2771"/>
    </row>
    <row r="3" spans="1:11" ht="25.5">
      <c r="A3" s="1359" t="s">
        <v>697</v>
      </c>
      <c r="B3" s="984"/>
      <c r="C3" s="365" t="str">
        <f>Head5</f>
        <v>Audited Outcome</v>
      </c>
      <c r="D3" s="365" t="str">
        <f>Head5</f>
        <v>Audited Outcome</v>
      </c>
      <c r="E3" s="366" t="str">
        <f>Head5</f>
        <v>Audited Outcome</v>
      </c>
      <c r="F3" s="283" t="str">
        <f>Head6</f>
        <v>Original Budget</v>
      </c>
      <c r="G3" s="365" t="str">
        <f>Head7</f>
        <v>Adjusted Budget</v>
      </c>
      <c r="H3" s="366" t="str">
        <f>Head8</f>
        <v>Full Year Forecast</v>
      </c>
      <c r="I3" s="283" t="str">
        <f>Head9</f>
        <v>Budget Year 2011/12</v>
      </c>
      <c r="J3" s="365" t="str">
        <f>Head10</f>
        <v>Budget Year +1 2012/13</v>
      </c>
      <c r="K3" s="366" t="str">
        <f>Head11</f>
        <v>Budget Year +2 2013/14</v>
      </c>
    </row>
    <row r="4" spans="1:11" ht="11.25" customHeight="1">
      <c r="A4" s="1506" t="s">
        <v>1524</v>
      </c>
      <c r="B4" s="171"/>
      <c r="C4" s="204"/>
      <c r="D4" s="204"/>
      <c r="E4" s="205"/>
      <c r="F4" s="206"/>
      <c r="G4" s="204"/>
      <c r="H4" s="203"/>
      <c r="I4" s="207"/>
      <c r="J4" s="204"/>
      <c r="K4" s="205"/>
    </row>
    <row r="5" spans="1:11" ht="11.25" customHeight="1">
      <c r="A5" s="1507" t="s">
        <v>1137</v>
      </c>
      <c r="B5" s="171">
        <v>1</v>
      </c>
      <c r="C5" s="204">
        <f>SUM(C11:C18)</f>
        <v>0</v>
      </c>
      <c r="D5" s="204">
        <f>SUM(D11:D18)</f>
        <v>0</v>
      </c>
      <c r="E5" s="205">
        <f t="shared" ref="E5:K5" si="0">SUM(E11:E18)</f>
        <v>0</v>
      </c>
      <c r="F5" s="206">
        <f t="shared" si="0"/>
        <v>0</v>
      </c>
      <c r="G5" s="204">
        <f t="shared" si="0"/>
        <v>0</v>
      </c>
      <c r="H5" s="203">
        <f t="shared" si="0"/>
        <v>0</v>
      </c>
      <c r="I5" s="207">
        <f t="shared" si="0"/>
        <v>0</v>
      </c>
      <c r="J5" s="204">
        <f t="shared" si="0"/>
        <v>0</v>
      </c>
      <c r="K5" s="205">
        <f t="shared" si="0"/>
        <v>0</v>
      </c>
    </row>
    <row r="6" spans="1:11" ht="11.25" customHeight="1">
      <c r="A6" s="1508" t="s">
        <v>404</v>
      </c>
      <c r="B6" s="324"/>
      <c r="C6" s="1054">
        <f>SA34a!C7</f>
        <v>0</v>
      </c>
      <c r="D6" s="1054">
        <f>SA34a!D7</f>
        <v>0</v>
      </c>
      <c r="E6" s="1055">
        <f>SA34a!E7</f>
        <v>0</v>
      </c>
      <c r="F6" s="1056">
        <f>SA34a!F7</f>
        <v>0</v>
      </c>
      <c r="G6" s="1054">
        <f>SA34a!G7</f>
        <v>0</v>
      </c>
      <c r="H6" s="1057">
        <f>SA34a!H7</f>
        <v>0</v>
      </c>
      <c r="I6" s="1058">
        <f>SA34a!I7</f>
        <v>0</v>
      </c>
      <c r="J6" s="1054">
        <f>SA34a!J7</f>
        <v>0</v>
      </c>
      <c r="K6" s="1055">
        <f>SA34a!K7</f>
        <v>0</v>
      </c>
    </row>
    <row r="7" spans="1:11" ht="11.25" customHeight="1">
      <c r="A7" s="1508" t="s">
        <v>787</v>
      </c>
      <c r="B7" s="324"/>
      <c r="C7" s="1054">
        <f>SA34a!C10</f>
        <v>0</v>
      </c>
      <c r="D7" s="1054">
        <f>SA34a!D10</f>
        <v>0</v>
      </c>
      <c r="E7" s="1055">
        <f>SA34a!E10</f>
        <v>0</v>
      </c>
      <c r="F7" s="1056">
        <f>SA34a!F10</f>
        <v>0</v>
      </c>
      <c r="G7" s="1054">
        <f>SA34a!G10</f>
        <v>0</v>
      </c>
      <c r="H7" s="1057">
        <f>SA34a!H10</f>
        <v>0</v>
      </c>
      <c r="I7" s="1058">
        <f>SA34a!I10</f>
        <v>0</v>
      </c>
      <c r="J7" s="1054">
        <f>SA34a!J10</f>
        <v>0</v>
      </c>
      <c r="K7" s="1055">
        <f>SA34a!K10</f>
        <v>0</v>
      </c>
    </row>
    <row r="8" spans="1:11" ht="11.25" customHeight="1">
      <c r="A8" s="1508" t="s">
        <v>405</v>
      </c>
      <c r="B8" s="324"/>
      <c r="C8" s="1054">
        <f>SA34a!C14</f>
        <v>0</v>
      </c>
      <c r="D8" s="1054">
        <f>SA34a!D14</f>
        <v>0</v>
      </c>
      <c r="E8" s="1055">
        <f>SA34a!E14</f>
        <v>0</v>
      </c>
      <c r="F8" s="1056">
        <f>SA34a!F14</f>
        <v>0</v>
      </c>
      <c r="G8" s="1054">
        <f>SA34a!G14</f>
        <v>0</v>
      </c>
      <c r="H8" s="1057">
        <f>SA34a!H14</f>
        <v>0</v>
      </c>
      <c r="I8" s="1058">
        <f>SA34a!I14</f>
        <v>0</v>
      </c>
      <c r="J8" s="1054">
        <f>SA34a!J14</f>
        <v>0</v>
      </c>
      <c r="K8" s="1055">
        <f>SA34a!K14</f>
        <v>0</v>
      </c>
    </row>
    <row r="9" spans="1:11" ht="11.25" customHeight="1">
      <c r="A9" s="1508" t="s">
        <v>406</v>
      </c>
      <c r="B9" s="324"/>
      <c r="C9" s="1054">
        <f>SA34a!C18</f>
        <v>0</v>
      </c>
      <c r="D9" s="1054">
        <f>SA34a!D18</f>
        <v>0</v>
      </c>
      <c r="E9" s="1055">
        <f>SA34a!E18</f>
        <v>0</v>
      </c>
      <c r="F9" s="1056">
        <f>SA34a!F18</f>
        <v>0</v>
      </c>
      <c r="G9" s="1054">
        <f>SA34a!G18</f>
        <v>0</v>
      </c>
      <c r="H9" s="1057">
        <f>SA34a!H18</f>
        <v>0</v>
      </c>
      <c r="I9" s="1058">
        <f>SA34a!I18</f>
        <v>0</v>
      </c>
      <c r="J9" s="1054">
        <f>SA34a!J18</f>
        <v>0</v>
      </c>
      <c r="K9" s="1055">
        <f>SA34a!K18</f>
        <v>0</v>
      </c>
    </row>
    <row r="10" spans="1:11" ht="11.25" customHeight="1">
      <c r="A10" s="1508" t="s">
        <v>723</v>
      </c>
      <c r="B10" s="324"/>
      <c r="C10" s="1054">
        <f>SA34a!C21</f>
        <v>0</v>
      </c>
      <c r="D10" s="1054">
        <f>SA34a!D21</f>
        <v>0</v>
      </c>
      <c r="E10" s="1055">
        <f>SA34a!E21</f>
        <v>0</v>
      </c>
      <c r="F10" s="1056">
        <f>SA34a!F21</f>
        <v>0</v>
      </c>
      <c r="G10" s="1054">
        <f>SA34a!G21</f>
        <v>0</v>
      </c>
      <c r="H10" s="1057">
        <f>SA34a!H21</f>
        <v>0</v>
      </c>
      <c r="I10" s="1058">
        <f>SA34a!I21</f>
        <v>0</v>
      </c>
      <c r="J10" s="1054">
        <f>SA34a!J21</f>
        <v>0</v>
      </c>
      <c r="K10" s="1055">
        <f>SA34a!K21</f>
        <v>0</v>
      </c>
    </row>
    <row r="11" spans="1:11" ht="11.25" customHeight="1">
      <c r="A11" s="1360" t="s">
        <v>1040</v>
      </c>
      <c r="B11" s="324"/>
      <c r="C11" s="1020">
        <f>SUM(C6:C10)</f>
        <v>0</v>
      </c>
      <c r="D11" s="1020">
        <f>SUM(D6:D10)</f>
        <v>0</v>
      </c>
      <c r="E11" s="1021">
        <f t="shared" ref="E11:K11" si="1">SUM(E6:E10)</f>
        <v>0</v>
      </c>
      <c r="F11" s="1022">
        <f t="shared" si="1"/>
        <v>0</v>
      </c>
      <c r="G11" s="1020">
        <f t="shared" si="1"/>
        <v>0</v>
      </c>
      <c r="H11" s="1023">
        <f t="shared" si="1"/>
        <v>0</v>
      </c>
      <c r="I11" s="1024">
        <f t="shared" si="1"/>
        <v>0</v>
      </c>
      <c r="J11" s="1020">
        <f t="shared" si="1"/>
        <v>0</v>
      </c>
      <c r="K11" s="1021">
        <f t="shared" si="1"/>
        <v>0</v>
      </c>
    </row>
    <row r="12" spans="1:11" ht="11.25" customHeight="1">
      <c r="A12" s="1361" t="str">
        <f>$A$42</f>
        <v>Community</v>
      </c>
      <c r="B12" s="171"/>
      <c r="C12" s="1054">
        <f>SA34a!C27</f>
        <v>0</v>
      </c>
      <c r="D12" s="1054">
        <f>SA34a!D27</f>
        <v>0</v>
      </c>
      <c r="E12" s="1055">
        <f>SA34a!E27</f>
        <v>0</v>
      </c>
      <c r="F12" s="1056">
        <f>SA34a!F27</f>
        <v>0</v>
      </c>
      <c r="G12" s="1054">
        <f>SA34a!G27</f>
        <v>0</v>
      </c>
      <c r="H12" s="1057">
        <f>SA34a!H27</f>
        <v>0</v>
      </c>
      <c r="I12" s="1058">
        <f>SA34a!I27</f>
        <v>0</v>
      </c>
      <c r="J12" s="1054">
        <f>SA34a!J27</f>
        <v>0</v>
      </c>
      <c r="K12" s="1055">
        <f>SA34a!K27</f>
        <v>0</v>
      </c>
    </row>
    <row r="13" spans="1:11" ht="11.25" customHeight="1">
      <c r="A13" s="1361" t="str">
        <f>$A$43</f>
        <v>Heritage assets</v>
      </c>
      <c r="B13" s="171"/>
      <c r="C13" s="1433">
        <f>SA34a!C43</f>
        <v>0</v>
      </c>
      <c r="D13" s="1433">
        <f>SA34a!D43</f>
        <v>0</v>
      </c>
      <c r="E13" s="1434">
        <f>SA34a!E43</f>
        <v>0</v>
      </c>
      <c r="F13" s="1435">
        <f>SA34a!F43</f>
        <v>0</v>
      </c>
      <c r="G13" s="1433">
        <f>SA34a!G43</f>
        <v>0</v>
      </c>
      <c r="H13" s="1436">
        <f>SA34a!H43</f>
        <v>0</v>
      </c>
      <c r="I13" s="1437">
        <f>SA34a!I43</f>
        <v>0</v>
      </c>
      <c r="J13" s="1433">
        <f>SA34a!J43</f>
        <v>0</v>
      </c>
      <c r="K13" s="1434">
        <f>SA34a!K43</f>
        <v>0</v>
      </c>
    </row>
    <row r="14" spans="1:11" ht="11.25" customHeight="1">
      <c r="A14" s="1361" t="str">
        <f>$A$44</f>
        <v>Investment properties</v>
      </c>
      <c r="B14" s="171"/>
      <c r="C14" s="1054">
        <f>SA34a!C47</f>
        <v>0</v>
      </c>
      <c r="D14" s="1054">
        <f>SA34a!D47</f>
        <v>0</v>
      </c>
      <c r="E14" s="1055">
        <f>SA34a!E47</f>
        <v>0</v>
      </c>
      <c r="F14" s="1056">
        <f>SA34a!F47</f>
        <v>0</v>
      </c>
      <c r="G14" s="1054">
        <f>SA34a!G47</f>
        <v>0</v>
      </c>
      <c r="H14" s="1057">
        <f>SA34a!H47</f>
        <v>0</v>
      </c>
      <c r="I14" s="1058">
        <f>SA34a!I47</f>
        <v>0</v>
      </c>
      <c r="J14" s="1054">
        <f>SA34a!J47</f>
        <v>0</v>
      </c>
      <c r="K14" s="1055">
        <f>SA34a!K47</f>
        <v>0</v>
      </c>
    </row>
    <row r="15" spans="1:11" ht="11.25" customHeight="1">
      <c r="A15" s="1361" t="str">
        <f>$A$45</f>
        <v>Other assets</v>
      </c>
      <c r="B15" s="171">
        <v>6</v>
      </c>
      <c r="C15" s="1054">
        <f>SA34a!C51</f>
        <v>0</v>
      </c>
      <c r="D15" s="1054">
        <f>SA34a!D51</f>
        <v>0</v>
      </c>
      <c r="E15" s="1055">
        <f>SA34a!E51</f>
        <v>0</v>
      </c>
      <c r="F15" s="1056">
        <f>SA34a!F51</f>
        <v>0</v>
      </c>
      <c r="G15" s="1054">
        <f>SA34a!G51</f>
        <v>0</v>
      </c>
      <c r="H15" s="1057">
        <f>SA34a!H51</f>
        <v>0</v>
      </c>
      <c r="I15" s="1058">
        <f>SA34a!I51</f>
        <v>0</v>
      </c>
      <c r="J15" s="1054">
        <f>SA34a!J51</f>
        <v>0</v>
      </c>
      <c r="K15" s="1055">
        <f>SA34a!K51</f>
        <v>0</v>
      </c>
    </row>
    <row r="16" spans="1:11">
      <c r="A16" s="1509" t="s">
        <v>1645</v>
      </c>
      <c r="B16" s="541"/>
      <c r="C16" s="1054">
        <f>SA34a!C65</f>
        <v>0</v>
      </c>
      <c r="D16" s="1054">
        <f>SA34a!D65</f>
        <v>0</v>
      </c>
      <c r="E16" s="1055">
        <f>SA34a!E65</f>
        <v>0</v>
      </c>
      <c r="F16" s="1056">
        <f>SA34a!F65</f>
        <v>0</v>
      </c>
      <c r="G16" s="1054">
        <f>SA34a!G65</f>
        <v>0</v>
      </c>
      <c r="H16" s="1057">
        <f>SA34a!H65</f>
        <v>0</v>
      </c>
      <c r="I16" s="1058">
        <f>SA34a!I65</f>
        <v>0</v>
      </c>
      <c r="J16" s="1054">
        <f>SA34a!J65</f>
        <v>0</v>
      </c>
      <c r="K16" s="1055">
        <f>SA34a!K65</f>
        <v>0</v>
      </c>
    </row>
    <row r="17" spans="1:11" ht="11.25" customHeight="1">
      <c r="A17" s="1361" t="str">
        <f>SA34a!A69</f>
        <v>Biological assets</v>
      </c>
      <c r="B17" s="171"/>
      <c r="C17" s="1054">
        <f>SA34a!C69</f>
        <v>0</v>
      </c>
      <c r="D17" s="1054">
        <f>SA34a!D69</f>
        <v>0</v>
      </c>
      <c r="E17" s="1055">
        <f>SA34a!E69</f>
        <v>0</v>
      </c>
      <c r="F17" s="1056">
        <f>SA34a!F69</f>
        <v>0</v>
      </c>
      <c r="G17" s="1054">
        <f>SA34a!G69</f>
        <v>0</v>
      </c>
      <c r="H17" s="1057">
        <f>SA34a!H69</f>
        <v>0</v>
      </c>
      <c r="I17" s="1058">
        <f>SA34a!I69</f>
        <v>0</v>
      </c>
      <c r="J17" s="1054">
        <f>SA34a!J69</f>
        <v>0</v>
      </c>
      <c r="K17" s="1055">
        <f>SA34a!K69</f>
        <v>0</v>
      </c>
    </row>
    <row r="18" spans="1:11" ht="11.25" customHeight="1">
      <c r="A18" s="1361" t="str">
        <f>SA34a!A73</f>
        <v>Intangibles</v>
      </c>
      <c r="B18" s="171"/>
      <c r="C18" s="1146">
        <f>SA34a!C73</f>
        <v>0</v>
      </c>
      <c r="D18" s="1146">
        <f>SA34a!D73</f>
        <v>0</v>
      </c>
      <c r="E18" s="1147">
        <f>SA34a!E73</f>
        <v>0</v>
      </c>
      <c r="F18" s="1148">
        <f>SA34a!F73</f>
        <v>0</v>
      </c>
      <c r="G18" s="1146">
        <f>SA34a!G73</f>
        <v>0</v>
      </c>
      <c r="H18" s="1149">
        <f>SA34a!H73</f>
        <v>0</v>
      </c>
      <c r="I18" s="1150">
        <f>SA34a!I73</f>
        <v>0</v>
      </c>
      <c r="J18" s="1146">
        <f>SA34a!J73</f>
        <v>0</v>
      </c>
      <c r="K18" s="1147">
        <f>SA34a!K73</f>
        <v>0</v>
      </c>
    </row>
    <row r="19" spans="1:11" ht="5.0999999999999996" customHeight="1">
      <c r="A19" s="1362"/>
      <c r="B19" s="171"/>
      <c r="C19" s="193"/>
      <c r="D19" s="193"/>
      <c r="E19" s="250"/>
      <c r="F19" s="237"/>
      <c r="G19" s="193"/>
      <c r="H19" s="196"/>
      <c r="I19" s="197"/>
      <c r="J19" s="193"/>
      <c r="K19" s="250"/>
    </row>
    <row r="20" spans="1:11" ht="11.25" customHeight="1">
      <c r="A20" s="1507" t="s">
        <v>458</v>
      </c>
      <c r="B20" s="171">
        <v>2</v>
      </c>
      <c r="C20" s="369">
        <f>SUM(C26:C33)</f>
        <v>0</v>
      </c>
      <c r="D20" s="369">
        <f>SUM(D26:D33)</f>
        <v>0</v>
      </c>
      <c r="E20" s="319">
        <f t="shared" ref="E20:K20" si="2">SUM(E26:E33)</f>
        <v>0</v>
      </c>
      <c r="F20" s="370">
        <f t="shared" si="2"/>
        <v>0</v>
      </c>
      <c r="G20" s="369">
        <f t="shared" si="2"/>
        <v>0</v>
      </c>
      <c r="H20" s="371">
        <f t="shared" si="2"/>
        <v>0</v>
      </c>
      <c r="I20" s="1438">
        <f t="shared" si="2"/>
        <v>0</v>
      </c>
      <c r="J20" s="369">
        <f t="shared" si="2"/>
        <v>0</v>
      </c>
      <c r="K20" s="319">
        <f t="shared" si="2"/>
        <v>0</v>
      </c>
    </row>
    <row r="21" spans="1:11" ht="11.25" customHeight="1">
      <c r="A21" s="1508" t="s">
        <v>404</v>
      </c>
      <c r="B21" s="324"/>
      <c r="C21" s="1054">
        <f>SA34b!C7</f>
        <v>0</v>
      </c>
      <c r="D21" s="1054">
        <f>SA34b!D7</f>
        <v>0</v>
      </c>
      <c r="E21" s="1055">
        <f>SA34b!E7</f>
        <v>0</v>
      </c>
      <c r="F21" s="1056">
        <f>SA34b!F7</f>
        <v>0</v>
      </c>
      <c r="G21" s="1054">
        <f>SA34b!G7</f>
        <v>0</v>
      </c>
      <c r="H21" s="1057">
        <f>SA34b!H7</f>
        <v>0</v>
      </c>
      <c r="I21" s="1058">
        <f>SA34b!I7</f>
        <v>0</v>
      </c>
      <c r="J21" s="1054">
        <f>SA34b!J7</f>
        <v>0</v>
      </c>
      <c r="K21" s="1055">
        <f>SA34b!K7</f>
        <v>0</v>
      </c>
    </row>
    <row r="22" spans="1:11" ht="11.25" customHeight="1">
      <c r="A22" s="1508" t="s">
        <v>787</v>
      </c>
      <c r="B22" s="324"/>
      <c r="C22" s="1054">
        <f>SA34b!C10</f>
        <v>0</v>
      </c>
      <c r="D22" s="1054">
        <f>SA34b!D10</f>
        <v>0</v>
      </c>
      <c r="E22" s="1055">
        <f>SA34b!E10</f>
        <v>0</v>
      </c>
      <c r="F22" s="1056">
        <f>SA34b!F10</f>
        <v>0</v>
      </c>
      <c r="G22" s="1054">
        <f>SA34b!G10</f>
        <v>0</v>
      </c>
      <c r="H22" s="1057">
        <f>SA34b!H10</f>
        <v>0</v>
      </c>
      <c r="I22" s="1058">
        <f>SA34b!I10</f>
        <v>0</v>
      </c>
      <c r="J22" s="1054">
        <f>SA34b!J10</f>
        <v>0</v>
      </c>
      <c r="K22" s="1055">
        <f>SA34b!K10</f>
        <v>0</v>
      </c>
    </row>
    <row r="23" spans="1:11" ht="11.25" customHeight="1">
      <c r="A23" s="1508" t="s">
        <v>405</v>
      </c>
      <c r="B23" s="324"/>
      <c r="C23" s="1054">
        <f>SA34b!C14</f>
        <v>0</v>
      </c>
      <c r="D23" s="1054">
        <f>SA34b!D14</f>
        <v>0</v>
      </c>
      <c r="E23" s="1055">
        <f>SA34b!E14</f>
        <v>0</v>
      </c>
      <c r="F23" s="1056">
        <f>SA34b!F14</f>
        <v>0</v>
      </c>
      <c r="G23" s="1054">
        <f>SA34b!G14</f>
        <v>0</v>
      </c>
      <c r="H23" s="1057">
        <f>SA34b!H14</f>
        <v>0</v>
      </c>
      <c r="I23" s="1058">
        <f>SA34b!I14</f>
        <v>0</v>
      </c>
      <c r="J23" s="1054">
        <f>SA34b!J14</f>
        <v>0</v>
      </c>
      <c r="K23" s="1055">
        <f>SA34b!K14</f>
        <v>0</v>
      </c>
    </row>
    <row r="24" spans="1:11" ht="11.25" customHeight="1">
      <c r="A24" s="1508" t="s">
        <v>406</v>
      </c>
      <c r="B24" s="324"/>
      <c r="C24" s="1054">
        <f>SA34b!C18</f>
        <v>0</v>
      </c>
      <c r="D24" s="1054">
        <f>SA34b!D18</f>
        <v>0</v>
      </c>
      <c r="E24" s="1055">
        <f>SA34b!E18</f>
        <v>0</v>
      </c>
      <c r="F24" s="1056">
        <f>SA34b!F18</f>
        <v>0</v>
      </c>
      <c r="G24" s="1054">
        <f>SA34b!G18</f>
        <v>0</v>
      </c>
      <c r="H24" s="1057">
        <f>SA34b!H18</f>
        <v>0</v>
      </c>
      <c r="I24" s="1058">
        <f>SA34b!I18</f>
        <v>0</v>
      </c>
      <c r="J24" s="1054">
        <f>SA34b!J18</f>
        <v>0</v>
      </c>
      <c r="K24" s="1055">
        <f>SA34b!K18</f>
        <v>0</v>
      </c>
    </row>
    <row r="25" spans="1:11" ht="11.25" customHeight="1">
      <c r="A25" s="1508" t="s">
        <v>723</v>
      </c>
      <c r="B25" s="324"/>
      <c r="C25" s="1054">
        <f>SA34b!C21</f>
        <v>0</v>
      </c>
      <c r="D25" s="1054">
        <f>SA34b!D21</f>
        <v>0</v>
      </c>
      <c r="E25" s="1055">
        <f>SA34b!E21</f>
        <v>0</v>
      </c>
      <c r="F25" s="1056">
        <f>SA34b!F21</f>
        <v>0</v>
      </c>
      <c r="G25" s="1054">
        <f>SA34b!G21</f>
        <v>0</v>
      </c>
      <c r="H25" s="1057">
        <f>SA34b!H21</f>
        <v>0</v>
      </c>
      <c r="I25" s="1058">
        <f>SA34b!I21</f>
        <v>0</v>
      </c>
      <c r="J25" s="1054">
        <f>SA34b!J21</f>
        <v>0</v>
      </c>
      <c r="K25" s="1055">
        <f>SA34b!K21</f>
        <v>0</v>
      </c>
    </row>
    <row r="26" spans="1:11" ht="11.25" customHeight="1">
      <c r="A26" s="1360" t="str">
        <f>$A$11</f>
        <v>Infrastructure</v>
      </c>
      <c r="B26" s="344"/>
      <c r="C26" s="1020">
        <f>SUM(C21:C25)</f>
        <v>0</v>
      </c>
      <c r="D26" s="1020">
        <f>SUM(D21:D25)</f>
        <v>0</v>
      </c>
      <c r="E26" s="1021">
        <f t="shared" ref="E26:K26" si="3">SUM(E21:E25)</f>
        <v>0</v>
      </c>
      <c r="F26" s="1022">
        <f t="shared" si="3"/>
        <v>0</v>
      </c>
      <c r="G26" s="1020">
        <f t="shared" si="3"/>
        <v>0</v>
      </c>
      <c r="H26" s="1023">
        <f t="shared" si="3"/>
        <v>0</v>
      </c>
      <c r="I26" s="1024">
        <f t="shared" si="3"/>
        <v>0</v>
      </c>
      <c r="J26" s="1020">
        <f t="shared" si="3"/>
        <v>0</v>
      </c>
      <c r="K26" s="1021">
        <f t="shared" si="3"/>
        <v>0</v>
      </c>
    </row>
    <row r="27" spans="1:11" ht="11.25" customHeight="1">
      <c r="A27" s="1361" t="str">
        <f>A12</f>
        <v>Community</v>
      </c>
      <c r="B27" s="260"/>
      <c r="C27" s="1054">
        <f>SA34b!C27</f>
        <v>0</v>
      </c>
      <c r="D27" s="1054">
        <f>SA34b!D27</f>
        <v>0</v>
      </c>
      <c r="E27" s="1055">
        <f>SA34b!E27</f>
        <v>0</v>
      </c>
      <c r="F27" s="1056">
        <f>SA34b!F27</f>
        <v>0</v>
      </c>
      <c r="G27" s="1054">
        <f>SA34b!G27</f>
        <v>0</v>
      </c>
      <c r="H27" s="1057">
        <f>SA34b!H27</f>
        <v>0</v>
      </c>
      <c r="I27" s="1058">
        <f>SA34b!I27</f>
        <v>0</v>
      </c>
      <c r="J27" s="1054">
        <f>SA34b!J27</f>
        <v>0</v>
      </c>
      <c r="K27" s="1055">
        <f>SA34b!K27</f>
        <v>0</v>
      </c>
    </row>
    <row r="28" spans="1:11" ht="11.25" customHeight="1">
      <c r="A28" s="1361" t="str">
        <f>A13</f>
        <v>Heritage assets</v>
      </c>
      <c r="B28" s="260"/>
      <c r="C28" s="1433">
        <f>SA34b!C43</f>
        <v>0</v>
      </c>
      <c r="D28" s="1433">
        <f>SA34b!D43</f>
        <v>0</v>
      </c>
      <c r="E28" s="1434">
        <f>SA34b!E43</f>
        <v>0</v>
      </c>
      <c r="F28" s="1435">
        <f>SA34b!F43</f>
        <v>0</v>
      </c>
      <c r="G28" s="1433">
        <f>SA34b!G43</f>
        <v>0</v>
      </c>
      <c r="H28" s="1436">
        <f>SA34b!H43</f>
        <v>0</v>
      </c>
      <c r="I28" s="1437">
        <f>SA34b!I43</f>
        <v>0</v>
      </c>
      <c r="J28" s="1433">
        <f>SA34b!J43</f>
        <v>0</v>
      </c>
      <c r="K28" s="1434">
        <f>SA34b!K43</f>
        <v>0</v>
      </c>
    </row>
    <row r="29" spans="1:11" ht="11.25" customHeight="1">
      <c r="A29" s="1361" t="str">
        <f>A14</f>
        <v>Investment properties</v>
      </c>
      <c r="B29" s="260"/>
      <c r="C29" s="1054">
        <f>SA34b!C47</f>
        <v>0</v>
      </c>
      <c r="D29" s="1054">
        <f>SA34b!D47</f>
        <v>0</v>
      </c>
      <c r="E29" s="1055">
        <f>SA34b!E47</f>
        <v>0</v>
      </c>
      <c r="F29" s="1056">
        <f>SA34b!F47</f>
        <v>0</v>
      </c>
      <c r="G29" s="1054">
        <f>SA34b!G47</f>
        <v>0</v>
      </c>
      <c r="H29" s="1057">
        <f>SA34b!H47</f>
        <v>0</v>
      </c>
      <c r="I29" s="1058">
        <f>SA34b!I47</f>
        <v>0</v>
      </c>
      <c r="J29" s="1054">
        <f>SA34b!J47</f>
        <v>0</v>
      </c>
      <c r="K29" s="1055">
        <f>SA34b!K47</f>
        <v>0</v>
      </c>
    </row>
    <row r="30" spans="1:11" ht="11.25" customHeight="1">
      <c r="A30" s="1361" t="str">
        <f>A15</f>
        <v>Other assets</v>
      </c>
      <c r="B30" s="171">
        <v>6</v>
      </c>
      <c r="C30" s="1054">
        <f>SA34b!C51</f>
        <v>0</v>
      </c>
      <c r="D30" s="1054">
        <f>SA34b!D51</f>
        <v>0</v>
      </c>
      <c r="E30" s="1055">
        <f>SA34b!E51</f>
        <v>0</v>
      </c>
      <c r="F30" s="1056">
        <f>SA34b!F51</f>
        <v>0</v>
      </c>
      <c r="G30" s="1054">
        <f>SA34b!G51</f>
        <v>0</v>
      </c>
      <c r="H30" s="1057">
        <f>SA34b!H51</f>
        <v>0</v>
      </c>
      <c r="I30" s="1058">
        <f>SA34b!I51</f>
        <v>0</v>
      </c>
      <c r="J30" s="1054">
        <f>SA34b!J51</f>
        <v>0</v>
      </c>
      <c r="K30" s="1055">
        <f>SA34b!K51</f>
        <v>0</v>
      </c>
    </row>
    <row r="31" spans="1:11">
      <c r="A31" s="1509" t="s">
        <v>1645</v>
      </c>
      <c r="B31" s="541"/>
      <c r="C31" s="1054">
        <f>SA34b!C65</f>
        <v>0</v>
      </c>
      <c r="D31" s="1054">
        <f>SA34b!D65</f>
        <v>0</v>
      </c>
      <c r="E31" s="1055">
        <f>SA34b!E65</f>
        <v>0</v>
      </c>
      <c r="F31" s="1056">
        <f>SA34b!F65</f>
        <v>0</v>
      </c>
      <c r="G31" s="1054">
        <f>SA34b!G65</f>
        <v>0</v>
      </c>
      <c r="H31" s="1057">
        <f>SA34b!H65</f>
        <v>0</v>
      </c>
      <c r="I31" s="1058">
        <f>SA34b!I65</f>
        <v>0</v>
      </c>
      <c r="J31" s="1054">
        <f>SA34b!J65</f>
        <v>0</v>
      </c>
      <c r="K31" s="1055">
        <f>SA34b!K65</f>
        <v>0</v>
      </c>
    </row>
    <row r="32" spans="1:11" ht="11.25" customHeight="1">
      <c r="A32" s="1361" t="str">
        <f>A17</f>
        <v>Biological assets</v>
      </c>
      <c r="B32" s="171"/>
      <c r="C32" s="1054">
        <f>SA34b!C69</f>
        <v>0</v>
      </c>
      <c r="D32" s="1054">
        <f>SA34b!D69</f>
        <v>0</v>
      </c>
      <c r="E32" s="1055">
        <f>SA34b!E69</f>
        <v>0</v>
      </c>
      <c r="F32" s="1056">
        <f>SA34b!F69</f>
        <v>0</v>
      </c>
      <c r="G32" s="1054">
        <f>SA34b!G69</f>
        <v>0</v>
      </c>
      <c r="H32" s="1057">
        <f>SA34b!H69</f>
        <v>0</v>
      </c>
      <c r="I32" s="1058">
        <f>SA34b!I69</f>
        <v>0</v>
      </c>
      <c r="J32" s="1054">
        <f>SA34b!J69</f>
        <v>0</v>
      </c>
      <c r="K32" s="1055">
        <f>SA34b!K69</f>
        <v>0</v>
      </c>
    </row>
    <row r="33" spans="1:11" ht="11.25" customHeight="1">
      <c r="A33" s="1361" t="str">
        <f>A18</f>
        <v>Intangibles</v>
      </c>
      <c r="B33" s="171"/>
      <c r="C33" s="1146">
        <f>SA34b!C73</f>
        <v>0</v>
      </c>
      <c r="D33" s="1146">
        <f>SA34b!D73</f>
        <v>0</v>
      </c>
      <c r="E33" s="1147">
        <f>SA34b!E73</f>
        <v>0</v>
      </c>
      <c r="F33" s="1148">
        <f>SA34b!F73</f>
        <v>0</v>
      </c>
      <c r="G33" s="1146">
        <f>SA34b!G73</f>
        <v>0</v>
      </c>
      <c r="H33" s="1149">
        <f>SA34b!H73</f>
        <v>0</v>
      </c>
      <c r="I33" s="1150">
        <f>SA34b!I73</f>
        <v>0</v>
      </c>
      <c r="J33" s="1146">
        <f>SA34b!J73</f>
        <v>0</v>
      </c>
      <c r="K33" s="1147">
        <f>SA34b!K73</f>
        <v>0</v>
      </c>
    </row>
    <row r="34" spans="1:11" ht="5.0999999999999996" customHeight="1">
      <c r="A34" s="1362"/>
      <c r="B34" s="171"/>
      <c r="C34" s="193"/>
      <c r="D34" s="193"/>
      <c r="E34" s="250"/>
      <c r="F34" s="237"/>
      <c r="G34" s="193"/>
      <c r="H34" s="196"/>
      <c r="I34" s="197"/>
      <c r="J34" s="193"/>
      <c r="K34" s="250"/>
    </row>
    <row r="35" spans="1:11" ht="11.25" customHeight="1">
      <c r="A35" s="1507" t="s">
        <v>628</v>
      </c>
      <c r="B35" s="171">
        <v>4</v>
      </c>
      <c r="C35" s="189"/>
      <c r="D35" s="189"/>
      <c r="E35" s="190"/>
      <c r="F35" s="191"/>
      <c r="G35" s="189"/>
      <c r="H35" s="188"/>
      <c r="I35" s="192"/>
      <c r="J35" s="189"/>
      <c r="K35" s="190"/>
    </row>
    <row r="36" spans="1:11" ht="11.25" customHeight="1">
      <c r="A36" s="1508" t="s">
        <v>404</v>
      </c>
      <c r="B36" s="324"/>
      <c r="C36" s="193">
        <f>C6+C21</f>
        <v>0</v>
      </c>
      <c r="D36" s="193">
        <f t="shared" ref="D36:K36" si="4">D6+D21</f>
        <v>0</v>
      </c>
      <c r="E36" s="250">
        <f t="shared" si="4"/>
        <v>0</v>
      </c>
      <c r="F36" s="237">
        <f t="shared" si="4"/>
        <v>0</v>
      </c>
      <c r="G36" s="193">
        <f t="shared" si="4"/>
        <v>0</v>
      </c>
      <c r="H36" s="196">
        <f t="shared" si="4"/>
        <v>0</v>
      </c>
      <c r="I36" s="197">
        <f t="shared" si="4"/>
        <v>0</v>
      </c>
      <c r="J36" s="193">
        <f t="shared" si="4"/>
        <v>0</v>
      </c>
      <c r="K36" s="250">
        <f t="shared" si="4"/>
        <v>0</v>
      </c>
    </row>
    <row r="37" spans="1:11" ht="11.25" customHeight="1">
      <c r="A37" s="1508" t="s">
        <v>787</v>
      </c>
      <c r="B37" s="324"/>
      <c r="C37" s="193">
        <f>C7+C22</f>
        <v>0</v>
      </c>
      <c r="D37" s="193">
        <f t="shared" ref="D37:K38" si="5">D7+D22</f>
        <v>0</v>
      </c>
      <c r="E37" s="250">
        <f t="shared" si="5"/>
        <v>0</v>
      </c>
      <c r="F37" s="237">
        <f t="shared" si="5"/>
        <v>0</v>
      </c>
      <c r="G37" s="193">
        <f t="shared" si="5"/>
        <v>0</v>
      </c>
      <c r="H37" s="196">
        <f t="shared" si="5"/>
        <v>0</v>
      </c>
      <c r="I37" s="197">
        <f t="shared" si="5"/>
        <v>0</v>
      </c>
      <c r="J37" s="193">
        <f t="shared" si="5"/>
        <v>0</v>
      </c>
      <c r="K37" s="250">
        <f t="shared" si="5"/>
        <v>0</v>
      </c>
    </row>
    <row r="38" spans="1:11" ht="11.25" customHeight="1">
      <c r="A38" s="1508" t="s">
        <v>405</v>
      </c>
      <c r="B38" s="324"/>
      <c r="C38" s="193">
        <f>C8+C23</f>
        <v>0</v>
      </c>
      <c r="D38" s="193">
        <f t="shared" si="5"/>
        <v>0</v>
      </c>
      <c r="E38" s="250">
        <f t="shared" si="5"/>
        <v>0</v>
      </c>
      <c r="F38" s="237">
        <f t="shared" si="5"/>
        <v>0</v>
      </c>
      <c r="G38" s="193">
        <f t="shared" si="5"/>
        <v>0</v>
      </c>
      <c r="H38" s="196">
        <f t="shared" si="5"/>
        <v>0</v>
      </c>
      <c r="I38" s="197">
        <f t="shared" si="5"/>
        <v>0</v>
      </c>
      <c r="J38" s="193">
        <f t="shared" si="5"/>
        <v>0</v>
      </c>
      <c r="K38" s="250">
        <f t="shared" si="5"/>
        <v>0</v>
      </c>
    </row>
    <row r="39" spans="1:11" ht="11.25" customHeight="1">
      <c r="A39" s="1508" t="s">
        <v>406</v>
      </c>
      <c r="B39" s="324"/>
      <c r="C39" s="193">
        <f>C9+C24</f>
        <v>0</v>
      </c>
      <c r="D39" s="193">
        <f t="shared" ref="D39:K39" si="6">D9+D24</f>
        <v>0</v>
      </c>
      <c r="E39" s="250">
        <f>E9+E24</f>
        <v>0</v>
      </c>
      <c r="F39" s="237">
        <f t="shared" si="6"/>
        <v>0</v>
      </c>
      <c r="G39" s="193">
        <f t="shared" si="6"/>
        <v>0</v>
      </c>
      <c r="H39" s="196">
        <f t="shared" si="6"/>
        <v>0</v>
      </c>
      <c r="I39" s="197">
        <f t="shared" si="6"/>
        <v>0</v>
      </c>
      <c r="J39" s="193">
        <f t="shared" si="6"/>
        <v>0</v>
      </c>
      <c r="K39" s="250">
        <f t="shared" si="6"/>
        <v>0</v>
      </c>
    </row>
    <row r="40" spans="1:11" ht="11.25" customHeight="1">
      <c r="A40" s="1508" t="s">
        <v>723</v>
      </c>
      <c r="B40" s="324"/>
      <c r="C40" s="193">
        <f t="shared" ref="C40:K40" si="7">C10+C25</f>
        <v>0</v>
      </c>
      <c r="D40" s="193">
        <f t="shared" si="7"/>
        <v>0</v>
      </c>
      <c r="E40" s="250">
        <f t="shared" si="7"/>
        <v>0</v>
      </c>
      <c r="F40" s="237">
        <f t="shared" si="7"/>
        <v>0</v>
      </c>
      <c r="G40" s="193">
        <f t="shared" si="7"/>
        <v>0</v>
      </c>
      <c r="H40" s="196">
        <f t="shared" si="7"/>
        <v>0</v>
      </c>
      <c r="I40" s="197">
        <f t="shared" si="7"/>
        <v>0</v>
      </c>
      <c r="J40" s="193">
        <f t="shared" si="7"/>
        <v>0</v>
      </c>
      <c r="K40" s="250">
        <f t="shared" si="7"/>
        <v>0</v>
      </c>
    </row>
    <row r="41" spans="1:11" ht="11.25" customHeight="1">
      <c r="A41" s="1360" t="str">
        <f>$A$11</f>
        <v>Infrastructure</v>
      </c>
      <c r="B41" s="324"/>
      <c r="C41" s="1020">
        <f>SUM(C36:C40)</f>
        <v>0</v>
      </c>
      <c r="D41" s="1020">
        <f t="shared" ref="D41:K41" si="8">SUM(D36:D40)</f>
        <v>0</v>
      </c>
      <c r="E41" s="1021">
        <f t="shared" si="8"/>
        <v>0</v>
      </c>
      <c r="F41" s="1022">
        <f t="shared" si="8"/>
        <v>0</v>
      </c>
      <c r="G41" s="1020">
        <f t="shared" si="8"/>
        <v>0</v>
      </c>
      <c r="H41" s="1023">
        <f t="shared" si="8"/>
        <v>0</v>
      </c>
      <c r="I41" s="1024">
        <f t="shared" si="8"/>
        <v>0</v>
      </c>
      <c r="J41" s="1020">
        <f t="shared" si="8"/>
        <v>0</v>
      </c>
      <c r="K41" s="1021">
        <f t="shared" si="8"/>
        <v>0</v>
      </c>
    </row>
    <row r="42" spans="1:11" ht="11.25" customHeight="1">
      <c r="A42" s="1361" t="str">
        <f>SA34a!A27</f>
        <v>Community</v>
      </c>
      <c r="B42" s="171"/>
      <c r="C42" s="193">
        <f t="shared" ref="C42:C48" si="9">C12+C27</f>
        <v>0</v>
      </c>
      <c r="D42" s="193">
        <f t="shared" ref="D42:K42" si="10">D12+D27</f>
        <v>0</v>
      </c>
      <c r="E42" s="190">
        <f t="shared" si="10"/>
        <v>0</v>
      </c>
      <c r="F42" s="191">
        <f t="shared" si="10"/>
        <v>0</v>
      </c>
      <c r="G42" s="189">
        <f t="shared" si="10"/>
        <v>0</v>
      </c>
      <c r="H42" s="188">
        <f t="shared" si="10"/>
        <v>0</v>
      </c>
      <c r="I42" s="192">
        <f t="shared" si="10"/>
        <v>0</v>
      </c>
      <c r="J42" s="189">
        <f t="shared" si="10"/>
        <v>0</v>
      </c>
      <c r="K42" s="190">
        <f t="shared" si="10"/>
        <v>0</v>
      </c>
    </row>
    <row r="43" spans="1:11" ht="11.25" customHeight="1">
      <c r="A43" s="1361" t="str">
        <f>SA34a!A43</f>
        <v>Heritage assets</v>
      </c>
      <c r="B43" s="171"/>
      <c r="C43" s="242">
        <f t="shared" si="9"/>
        <v>0</v>
      </c>
      <c r="D43" s="242">
        <f t="shared" ref="D43:K43" si="11">D13+D28</f>
        <v>0</v>
      </c>
      <c r="E43" s="243">
        <f t="shared" si="11"/>
        <v>0</v>
      </c>
      <c r="F43" s="281">
        <f t="shared" si="11"/>
        <v>0</v>
      </c>
      <c r="G43" s="245">
        <f t="shared" si="11"/>
        <v>0</v>
      </c>
      <c r="H43" s="241">
        <f t="shared" si="11"/>
        <v>0</v>
      </c>
      <c r="I43" s="246">
        <f t="shared" si="11"/>
        <v>0</v>
      </c>
      <c r="J43" s="245">
        <f t="shared" si="11"/>
        <v>0</v>
      </c>
      <c r="K43" s="243">
        <f t="shared" si="11"/>
        <v>0</v>
      </c>
    </row>
    <row r="44" spans="1:11" ht="11.25" customHeight="1">
      <c r="A44" s="1361" t="str">
        <f>SA34a!A47</f>
        <v>Investment properties</v>
      </c>
      <c r="B44" s="171"/>
      <c r="C44" s="193">
        <f t="shared" si="9"/>
        <v>0</v>
      </c>
      <c r="D44" s="193">
        <f t="shared" ref="D44:K44" si="12">D14+D29</f>
        <v>0</v>
      </c>
      <c r="E44" s="190">
        <f t="shared" si="12"/>
        <v>0</v>
      </c>
      <c r="F44" s="191">
        <f t="shared" si="12"/>
        <v>0</v>
      </c>
      <c r="G44" s="189">
        <f t="shared" si="12"/>
        <v>0</v>
      </c>
      <c r="H44" s="188">
        <f t="shared" si="12"/>
        <v>0</v>
      </c>
      <c r="I44" s="192">
        <f t="shared" si="12"/>
        <v>0</v>
      </c>
      <c r="J44" s="189">
        <f t="shared" si="12"/>
        <v>0</v>
      </c>
      <c r="K44" s="190">
        <f t="shared" si="12"/>
        <v>0</v>
      </c>
    </row>
    <row r="45" spans="1:11" ht="11.25" customHeight="1">
      <c r="A45" s="1361" t="str">
        <f>SA34a!A51</f>
        <v>Other assets</v>
      </c>
      <c r="B45" s="171"/>
      <c r="C45" s="193">
        <f t="shared" si="9"/>
        <v>0</v>
      </c>
      <c r="D45" s="193">
        <f t="shared" ref="D45:K45" si="13">D15+D30</f>
        <v>0</v>
      </c>
      <c r="E45" s="190">
        <f t="shared" si="13"/>
        <v>0</v>
      </c>
      <c r="F45" s="191">
        <f t="shared" si="13"/>
        <v>0</v>
      </c>
      <c r="G45" s="189">
        <f t="shared" si="13"/>
        <v>0</v>
      </c>
      <c r="H45" s="188">
        <f t="shared" si="13"/>
        <v>0</v>
      </c>
      <c r="I45" s="192">
        <f t="shared" si="13"/>
        <v>0</v>
      </c>
      <c r="J45" s="189">
        <f t="shared" si="13"/>
        <v>0</v>
      </c>
      <c r="K45" s="190">
        <f t="shared" si="13"/>
        <v>0</v>
      </c>
    </row>
    <row r="46" spans="1:11">
      <c r="A46" s="1509" t="s">
        <v>1645</v>
      </c>
      <c r="B46" s="171"/>
      <c r="C46" s="193">
        <f t="shared" si="9"/>
        <v>0</v>
      </c>
      <c r="D46" s="193">
        <f t="shared" ref="D46:K46" si="14">D16+D31</f>
        <v>0</v>
      </c>
      <c r="E46" s="190">
        <f t="shared" si="14"/>
        <v>0</v>
      </c>
      <c r="F46" s="191">
        <f t="shared" si="14"/>
        <v>0</v>
      </c>
      <c r="G46" s="189">
        <f t="shared" si="14"/>
        <v>0</v>
      </c>
      <c r="H46" s="188">
        <f t="shared" si="14"/>
        <v>0</v>
      </c>
      <c r="I46" s="192">
        <f t="shared" si="14"/>
        <v>0</v>
      </c>
      <c r="J46" s="189">
        <f t="shared" si="14"/>
        <v>0</v>
      </c>
      <c r="K46" s="190">
        <f t="shared" si="14"/>
        <v>0</v>
      </c>
    </row>
    <row r="47" spans="1:11" ht="11.25" customHeight="1">
      <c r="A47" s="1361" t="str">
        <f>A32</f>
        <v>Biological assets</v>
      </c>
      <c r="B47" s="171"/>
      <c r="C47" s="193">
        <f t="shared" si="9"/>
        <v>0</v>
      </c>
      <c r="D47" s="193">
        <f t="shared" ref="D47:K47" si="15">D17+D32</f>
        <v>0</v>
      </c>
      <c r="E47" s="190">
        <f t="shared" si="15"/>
        <v>0</v>
      </c>
      <c r="F47" s="191">
        <f t="shared" si="15"/>
        <v>0</v>
      </c>
      <c r="G47" s="189">
        <f t="shared" si="15"/>
        <v>0</v>
      </c>
      <c r="H47" s="188">
        <f t="shared" si="15"/>
        <v>0</v>
      </c>
      <c r="I47" s="192">
        <f t="shared" si="15"/>
        <v>0</v>
      </c>
      <c r="J47" s="189">
        <f t="shared" si="15"/>
        <v>0</v>
      </c>
      <c r="K47" s="190">
        <f t="shared" si="15"/>
        <v>0</v>
      </c>
    </row>
    <row r="48" spans="1:11" ht="11.25" customHeight="1">
      <c r="A48" s="1361" t="str">
        <f>A33</f>
        <v>Intangibles</v>
      </c>
      <c r="B48" s="171"/>
      <c r="C48" s="193">
        <f t="shared" si="9"/>
        <v>0</v>
      </c>
      <c r="D48" s="193">
        <f t="shared" ref="D48:K48" si="16">D18+D33</f>
        <v>0</v>
      </c>
      <c r="E48" s="190">
        <f t="shared" si="16"/>
        <v>0</v>
      </c>
      <c r="F48" s="191">
        <f t="shared" si="16"/>
        <v>0</v>
      </c>
      <c r="G48" s="189">
        <f t="shared" si="16"/>
        <v>0</v>
      </c>
      <c r="H48" s="188">
        <f t="shared" si="16"/>
        <v>0</v>
      </c>
      <c r="I48" s="192">
        <f t="shared" si="16"/>
        <v>0</v>
      </c>
      <c r="J48" s="189">
        <f t="shared" si="16"/>
        <v>0</v>
      </c>
      <c r="K48" s="190">
        <f t="shared" si="16"/>
        <v>0</v>
      </c>
    </row>
    <row r="49" spans="1:11">
      <c r="A49" s="1510" t="s">
        <v>1525</v>
      </c>
      <c r="B49" s="211">
        <v>2</v>
      </c>
      <c r="C49" s="216">
        <f t="shared" ref="C49:K49" si="17">SUM(C41:C48)</f>
        <v>0</v>
      </c>
      <c r="D49" s="216">
        <f t="shared" si="17"/>
        <v>0</v>
      </c>
      <c r="E49" s="214">
        <f t="shared" si="17"/>
        <v>0</v>
      </c>
      <c r="F49" s="215">
        <f t="shared" si="17"/>
        <v>0</v>
      </c>
      <c r="G49" s="216">
        <f t="shared" si="17"/>
        <v>0</v>
      </c>
      <c r="H49" s="217">
        <f t="shared" si="17"/>
        <v>0</v>
      </c>
      <c r="I49" s="218">
        <f t="shared" si="17"/>
        <v>0</v>
      </c>
      <c r="J49" s="216">
        <f t="shared" si="17"/>
        <v>0</v>
      </c>
      <c r="K49" s="214">
        <f t="shared" si="17"/>
        <v>0</v>
      </c>
    </row>
    <row r="50" spans="1:11" ht="5.0999999999999996" customHeight="1">
      <c r="A50" s="236"/>
      <c r="B50" s="171"/>
      <c r="C50" s="189"/>
      <c r="D50" s="189"/>
      <c r="E50" s="190"/>
      <c r="F50" s="191"/>
      <c r="G50" s="189"/>
      <c r="H50" s="188"/>
      <c r="I50" s="192"/>
      <c r="J50" s="189"/>
      <c r="K50" s="190"/>
    </row>
    <row r="51" spans="1:11" ht="11.25" customHeight="1">
      <c r="A51" s="305" t="s">
        <v>1529</v>
      </c>
      <c r="B51" s="171">
        <v>5</v>
      </c>
      <c r="C51" s="189"/>
      <c r="D51" s="189"/>
      <c r="E51" s="190"/>
      <c r="F51" s="191"/>
      <c r="G51" s="189"/>
      <c r="H51" s="188"/>
      <c r="I51" s="192"/>
      <c r="J51" s="189"/>
      <c r="K51" s="190"/>
    </row>
    <row r="52" spans="1:11" ht="11.25" customHeight="1">
      <c r="A52" s="1439" t="s">
        <v>404</v>
      </c>
      <c r="B52" s="324"/>
      <c r="C52" s="1805"/>
      <c r="D52" s="1805"/>
      <c r="E52" s="1820"/>
      <c r="F52" s="1821"/>
      <c r="G52" s="1805"/>
      <c r="H52" s="1822"/>
      <c r="I52" s="1807"/>
      <c r="J52" s="1805"/>
      <c r="K52" s="1820"/>
    </row>
    <row r="53" spans="1:11" ht="11.25" customHeight="1">
      <c r="A53" s="1439" t="s">
        <v>787</v>
      </c>
      <c r="B53" s="324"/>
      <c r="C53" s="1805"/>
      <c r="D53" s="1805"/>
      <c r="E53" s="1820"/>
      <c r="F53" s="1821"/>
      <c r="G53" s="1805"/>
      <c r="H53" s="1822"/>
      <c r="I53" s="1807"/>
      <c r="J53" s="1805"/>
      <c r="K53" s="1820"/>
    </row>
    <row r="54" spans="1:11" ht="11.25" customHeight="1">
      <c r="A54" s="1439" t="s">
        <v>405</v>
      </c>
      <c r="B54" s="324"/>
      <c r="C54" s="1805"/>
      <c r="D54" s="1805"/>
      <c r="E54" s="1820"/>
      <c r="F54" s="1821"/>
      <c r="G54" s="1805"/>
      <c r="H54" s="1822"/>
      <c r="I54" s="1807"/>
      <c r="J54" s="1805"/>
      <c r="K54" s="1820"/>
    </row>
    <row r="55" spans="1:11" ht="11.25" customHeight="1">
      <c r="A55" s="1439" t="s">
        <v>406</v>
      </c>
      <c r="B55" s="324"/>
      <c r="C55" s="1805"/>
      <c r="D55" s="1805"/>
      <c r="E55" s="1820"/>
      <c r="F55" s="1821"/>
      <c r="G55" s="1805"/>
      <c r="H55" s="1822"/>
      <c r="I55" s="1807"/>
      <c r="J55" s="1805"/>
      <c r="K55" s="1820"/>
    </row>
    <row r="56" spans="1:11" ht="11.25" customHeight="1">
      <c r="A56" s="1439" t="s">
        <v>723</v>
      </c>
      <c r="B56" s="324"/>
      <c r="C56" s="1805"/>
      <c r="D56" s="1805"/>
      <c r="E56" s="1820"/>
      <c r="F56" s="1821"/>
      <c r="G56" s="1805"/>
      <c r="H56" s="1822"/>
      <c r="I56" s="1807"/>
      <c r="J56" s="1805"/>
      <c r="K56" s="1820"/>
    </row>
    <row r="57" spans="1:11" ht="11.25" customHeight="1">
      <c r="A57" s="240" t="str">
        <f>A41</f>
        <v>Infrastructure</v>
      </c>
      <c r="B57" s="324"/>
      <c r="C57" s="1263">
        <f>SUM(C52:C56)</f>
        <v>0</v>
      </c>
      <c r="D57" s="1263">
        <f t="shared" ref="D57:K57" si="18">SUM(D52:D56)</f>
        <v>0</v>
      </c>
      <c r="E57" s="1264">
        <f t="shared" si="18"/>
        <v>0</v>
      </c>
      <c r="F57" s="1265">
        <f t="shared" si="18"/>
        <v>0</v>
      </c>
      <c r="G57" s="1263">
        <f t="shared" si="18"/>
        <v>0</v>
      </c>
      <c r="H57" s="1266">
        <f t="shared" si="18"/>
        <v>0</v>
      </c>
      <c r="I57" s="1267">
        <f t="shared" si="18"/>
        <v>0</v>
      </c>
      <c r="J57" s="1263">
        <f t="shared" si="18"/>
        <v>0</v>
      </c>
      <c r="K57" s="1264">
        <f t="shared" si="18"/>
        <v>0</v>
      </c>
    </row>
    <row r="58" spans="1:11" ht="11.25" customHeight="1">
      <c r="A58" s="236" t="str">
        <f>A12</f>
        <v>Community</v>
      </c>
      <c r="B58" s="171"/>
      <c r="C58" s="1805"/>
      <c r="D58" s="1805"/>
      <c r="E58" s="1820"/>
      <c r="F58" s="1821"/>
      <c r="G58" s="1805"/>
      <c r="H58" s="1822"/>
      <c r="I58" s="1807"/>
      <c r="J58" s="1805"/>
      <c r="K58" s="1820"/>
    </row>
    <row r="59" spans="1:11" ht="11.25" customHeight="1">
      <c r="A59" s="236" t="str">
        <f>A13</f>
        <v>Heritage assets</v>
      </c>
      <c r="B59" s="171"/>
      <c r="C59" s="1823"/>
      <c r="D59" s="1823"/>
      <c r="E59" s="1824"/>
      <c r="F59" s="1825"/>
      <c r="G59" s="1823"/>
      <c r="H59" s="1826"/>
      <c r="I59" s="1827"/>
      <c r="J59" s="1823"/>
      <c r="K59" s="1824"/>
    </row>
    <row r="60" spans="1:11" ht="11.25" customHeight="1">
      <c r="A60" s="236" t="str">
        <f>A14</f>
        <v>Investment properties</v>
      </c>
      <c r="B60" s="171"/>
      <c r="C60" s="1054">
        <f>'A6-FinPos'!C17</f>
        <v>0</v>
      </c>
      <c r="D60" s="1054">
        <f>'A6-FinPos'!D17</f>
        <v>19984100</v>
      </c>
      <c r="E60" s="1055">
        <f>'A6-FinPos'!E17</f>
        <v>19984100</v>
      </c>
      <c r="F60" s="1056">
        <f>'A6-FinPos'!F17</f>
        <v>0</v>
      </c>
      <c r="G60" s="1054">
        <f>'A6-FinPos'!G17</f>
        <v>0</v>
      </c>
      <c r="H60" s="1057">
        <f>'A6-FinPos'!H17</f>
        <v>0</v>
      </c>
      <c r="I60" s="1058">
        <f>'A6-FinPos'!J17</f>
        <v>19984100</v>
      </c>
      <c r="J60" s="1054">
        <f>'A6-FinPos'!K17</f>
        <v>0</v>
      </c>
      <c r="K60" s="1055">
        <f>'A6-FinPos'!L17</f>
        <v>0</v>
      </c>
    </row>
    <row r="61" spans="1:11" ht="11.25" customHeight="1">
      <c r="A61" s="236" t="str">
        <f>A15</f>
        <v>Other assets</v>
      </c>
      <c r="B61" s="171"/>
      <c r="C61" s="1823"/>
      <c r="D61" s="1823"/>
      <c r="E61" s="1820"/>
      <c r="F61" s="1821"/>
      <c r="G61" s="1805"/>
      <c r="H61" s="1822"/>
      <c r="I61" s="1807"/>
      <c r="J61" s="1805"/>
      <c r="K61" s="1820"/>
    </row>
    <row r="62" spans="1:11">
      <c r="A62" s="179" t="s">
        <v>1645</v>
      </c>
      <c r="B62" s="171"/>
      <c r="C62" s="1054">
        <f>'A6-FinPos'!C20</f>
        <v>0</v>
      </c>
      <c r="D62" s="1054">
        <f>'A6-FinPos'!D20</f>
        <v>0</v>
      </c>
      <c r="E62" s="1055">
        <f>'A6-FinPos'!E20</f>
        <v>0</v>
      </c>
      <c r="F62" s="1056">
        <f>'A6-FinPos'!F20</f>
        <v>0</v>
      </c>
      <c r="G62" s="1054">
        <f>'A6-FinPos'!G20</f>
        <v>0</v>
      </c>
      <c r="H62" s="1057">
        <f>'A6-FinPos'!H20</f>
        <v>0</v>
      </c>
      <c r="I62" s="1058">
        <f>'A6-FinPos'!J20</f>
        <v>0</v>
      </c>
      <c r="J62" s="1054">
        <f>'A6-FinPos'!K20</f>
        <v>0</v>
      </c>
      <c r="K62" s="1055">
        <f>'A6-FinPos'!L20</f>
        <v>0</v>
      </c>
    </row>
    <row r="63" spans="1:11" ht="11.25" customHeight="1">
      <c r="A63" s="236" t="str">
        <f>A17</f>
        <v>Biological assets</v>
      </c>
      <c r="B63" s="171"/>
      <c r="C63" s="1054">
        <f>'A6-FinPos'!C21</f>
        <v>0</v>
      </c>
      <c r="D63" s="1054">
        <f>'A6-FinPos'!D21</f>
        <v>0</v>
      </c>
      <c r="E63" s="1055">
        <f>'A6-FinPos'!E21</f>
        <v>0</v>
      </c>
      <c r="F63" s="1056">
        <f>'A6-FinPos'!F21</f>
        <v>0</v>
      </c>
      <c r="G63" s="1054">
        <f>'A6-FinPos'!G21</f>
        <v>0</v>
      </c>
      <c r="H63" s="1057">
        <f>'A6-FinPos'!H21</f>
        <v>0</v>
      </c>
      <c r="I63" s="1058">
        <f>'A6-FinPos'!J21</f>
        <v>0</v>
      </c>
      <c r="J63" s="1054">
        <f>'A6-FinPos'!K21</f>
        <v>0</v>
      </c>
      <c r="K63" s="1055">
        <f>'A6-FinPos'!L21</f>
        <v>0</v>
      </c>
    </row>
    <row r="64" spans="1:11" ht="11.25" customHeight="1">
      <c r="A64" s="236" t="str">
        <f>A18</f>
        <v>Intangibles</v>
      </c>
      <c r="B64" s="171"/>
      <c r="C64" s="1054">
        <f>'A6-FinPos'!C22</f>
        <v>0</v>
      </c>
      <c r="D64" s="1054">
        <f>'A6-FinPos'!D22</f>
        <v>0</v>
      </c>
      <c r="E64" s="1055">
        <f>'A6-FinPos'!E22</f>
        <v>0</v>
      </c>
      <c r="F64" s="1056">
        <f>'A6-FinPos'!F22</f>
        <v>0</v>
      </c>
      <c r="G64" s="1054">
        <f>'A6-FinPos'!G22</f>
        <v>0</v>
      </c>
      <c r="H64" s="1057">
        <f>'A6-FinPos'!H22</f>
        <v>0</v>
      </c>
      <c r="I64" s="1058">
        <f>'A6-FinPos'!J22</f>
        <v>0</v>
      </c>
      <c r="J64" s="1054">
        <f>'A6-FinPos'!K22</f>
        <v>0</v>
      </c>
      <c r="K64" s="1055">
        <f>'A6-FinPos'!L22</f>
        <v>0</v>
      </c>
    </row>
    <row r="65" spans="1:11" ht="11.25" customHeight="1">
      <c r="A65" s="1510" t="s">
        <v>1530</v>
      </c>
      <c r="B65" s="211">
        <v>5</v>
      </c>
      <c r="C65" s="216">
        <f t="shared" ref="C65:K65" si="19">SUM(C57:C64)</f>
        <v>0</v>
      </c>
      <c r="D65" s="216">
        <f t="shared" si="19"/>
        <v>19984100</v>
      </c>
      <c r="E65" s="214">
        <f t="shared" si="19"/>
        <v>19984100</v>
      </c>
      <c r="F65" s="215">
        <f t="shared" si="19"/>
        <v>0</v>
      </c>
      <c r="G65" s="216">
        <f t="shared" si="19"/>
        <v>0</v>
      </c>
      <c r="H65" s="217">
        <f t="shared" si="19"/>
        <v>0</v>
      </c>
      <c r="I65" s="328">
        <f t="shared" si="19"/>
        <v>19984100</v>
      </c>
      <c r="J65" s="216">
        <f t="shared" si="19"/>
        <v>0</v>
      </c>
      <c r="K65" s="214">
        <f t="shared" si="19"/>
        <v>0</v>
      </c>
    </row>
    <row r="66" spans="1:11" ht="5.0999999999999996" customHeight="1">
      <c r="A66" s="236"/>
      <c r="B66" s="171"/>
      <c r="C66" s="189"/>
      <c r="D66" s="189"/>
      <c r="E66" s="190"/>
      <c r="F66" s="191"/>
      <c r="G66" s="189"/>
      <c r="H66" s="188"/>
      <c r="I66" s="192"/>
      <c r="J66" s="189"/>
      <c r="K66" s="190"/>
    </row>
    <row r="67" spans="1:11" ht="11.25" customHeight="1">
      <c r="A67" s="347" t="s">
        <v>1526</v>
      </c>
      <c r="B67" s="171"/>
      <c r="C67" s="204"/>
      <c r="D67" s="204"/>
      <c r="E67" s="205"/>
      <c r="F67" s="206"/>
      <c r="G67" s="204"/>
      <c r="H67" s="203"/>
      <c r="I67" s="207"/>
      <c r="J67" s="204"/>
      <c r="K67" s="205"/>
    </row>
    <row r="68" spans="1:11" ht="11.25" customHeight="1">
      <c r="A68" s="1273" t="str">
        <f>'A4-FinPerf RE'!A28</f>
        <v>Depreciation &amp; asset impairment</v>
      </c>
      <c r="B68" s="171"/>
      <c r="C68" s="189">
        <f>'A4-FinPerf RE'!C28</f>
        <v>0</v>
      </c>
      <c r="D68" s="189">
        <f>'A4-FinPerf RE'!D28</f>
        <v>4025720.9765738035</v>
      </c>
      <c r="E68" s="190">
        <f>'A4-FinPerf RE'!E28</f>
        <v>4524935.8346276861</v>
      </c>
      <c r="F68" s="191">
        <f>'A4-FinPerf RE'!F28</f>
        <v>204800</v>
      </c>
      <c r="G68" s="189">
        <f>'A4-FinPerf RE'!G28</f>
        <v>221400</v>
      </c>
      <c r="H68" s="188">
        <f>'A4-FinPerf RE'!H28</f>
        <v>24798</v>
      </c>
      <c r="I68" s="192">
        <f>'A4-FinPerf RE'!J28</f>
        <v>5357533.0649144258</v>
      </c>
      <c r="J68" s="189">
        <f>'A4-FinPerf RE'!K28</f>
        <v>5802697.0488092918</v>
      </c>
      <c r="K68" s="190">
        <f>'A4-FinPerf RE'!L28</f>
        <v>6140314.8717378499</v>
      </c>
    </row>
    <row r="69" spans="1:11" ht="11.25" customHeight="1">
      <c r="A69" s="1273" t="s">
        <v>407</v>
      </c>
      <c r="B69" s="171">
        <v>3</v>
      </c>
      <c r="C69" s="189">
        <f>SUM(C75:C79)</f>
        <v>0</v>
      </c>
      <c r="D69" s="189">
        <f t="shared" ref="D69:K69" si="20">SUM(D75:D79)</f>
        <v>0</v>
      </c>
      <c r="E69" s="190">
        <f t="shared" si="20"/>
        <v>0</v>
      </c>
      <c r="F69" s="191">
        <f t="shared" si="20"/>
        <v>0</v>
      </c>
      <c r="G69" s="189">
        <f t="shared" si="20"/>
        <v>0</v>
      </c>
      <c r="H69" s="188">
        <f t="shared" si="20"/>
        <v>0</v>
      </c>
      <c r="I69" s="192">
        <f t="shared" si="20"/>
        <v>0</v>
      </c>
      <c r="J69" s="189">
        <f t="shared" si="20"/>
        <v>0</v>
      </c>
      <c r="K69" s="190">
        <f t="shared" si="20"/>
        <v>0</v>
      </c>
    </row>
    <row r="70" spans="1:11" ht="11.25" customHeight="1">
      <c r="A70" s="1439" t="s">
        <v>404</v>
      </c>
      <c r="B70" s="324"/>
      <c r="C70" s="1054">
        <f>SA34c!C7</f>
        <v>0</v>
      </c>
      <c r="D70" s="1054">
        <f>SA34c!D7</f>
        <v>0</v>
      </c>
      <c r="E70" s="1055">
        <f>SA34c!E7</f>
        <v>0</v>
      </c>
      <c r="F70" s="1056">
        <f>SA34c!F7</f>
        <v>0</v>
      </c>
      <c r="G70" s="1054">
        <f>SA34c!G7</f>
        <v>0</v>
      </c>
      <c r="H70" s="1057">
        <f>SA34c!H7</f>
        <v>0</v>
      </c>
      <c r="I70" s="1058">
        <f>SA34c!I7</f>
        <v>0</v>
      </c>
      <c r="J70" s="1054">
        <f>SA34c!J7</f>
        <v>0</v>
      </c>
      <c r="K70" s="1055">
        <f>SA34c!K7</f>
        <v>0</v>
      </c>
    </row>
    <row r="71" spans="1:11" ht="11.25" customHeight="1">
      <c r="A71" s="1439" t="s">
        <v>787</v>
      </c>
      <c r="B71" s="324"/>
      <c r="C71" s="1054">
        <f>SA34c!C10</f>
        <v>0</v>
      </c>
      <c r="D71" s="1054">
        <f>SA34c!D10</f>
        <v>0</v>
      </c>
      <c r="E71" s="1055">
        <f>SA34c!E10</f>
        <v>0</v>
      </c>
      <c r="F71" s="1056">
        <f>SA34c!F10</f>
        <v>0</v>
      </c>
      <c r="G71" s="1054">
        <f>SA34c!G10</f>
        <v>0</v>
      </c>
      <c r="H71" s="1057">
        <f>SA34c!H10</f>
        <v>0</v>
      </c>
      <c r="I71" s="1058">
        <f>SA34c!I10</f>
        <v>0</v>
      </c>
      <c r="J71" s="1054">
        <f>SA34c!J10</f>
        <v>0</v>
      </c>
      <c r="K71" s="1055">
        <f>SA34c!K10</f>
        <v>0</v>
      </c>
    </row>
    <row r="72" spans="1:11" ht="11.25" customHeight="1">
      <c r="A72" s="1439" t="s">
        <v>405</v>
      </c>
      <c r="B72" s="324"/>
      <c r="C72" s="1054">
        <f>SA34c!C14</f>
        <v>0</v>
      </c>
      <c r="D72" s="1054">
        <f>SA34c!D14</f>
        <v>0</v>
      </c>
      <c r="E72" s="1055">
        <f>SA34c!E14</f>
        <v>0</v>
      </c>
      <c r="F72" s="1056">
        <f>SA34c!F14</f>
        <v>0</v>
      </c>
      <c r="G72" s="1054">
        <f>SA34c!G14</f>
        <v>0</v>
      </c>
      <c r="H72" s="1057">
        <f>SA34c!H14</f>
        <v>0</v>
      </c>
      <c r="I72" s="1058">
        <f>SA34c!I14</f>
        <v>0</v>
      </c>
      <c r="J72" s="1054">
        <f>SA34c!J14</f>
        <v>0</v>
      </c>
      <c r="K72" s="1055">
        <f>SA34c!K14</f>
        <v>0</v>
      </c>
    </row>
    <row r="73" spans="1:11" ht="11.25" customHeight="1">
      <c r="A73" s="1439" t="s">
        <v>406</v>
      </c>
      <c r="B73" s="324"/>
      <c r="C73" s="1054">
        <f>SA34c!C18</f>
        <v>0</v>
      </c>
      <c r="D73" s="1054">
        <f>SA34c!D18</f>
        <v>0</v>
      </c>
      <c r="E73" s="1055">
        <f>SA34c!E18</f>
        <v>0</v>
      </c>
      <c r="F73" s="1056">
        <f>SA34c!F18</f>
        <v>0</v>
      </c>
      <c r="G73" s="1054">
        <f>SA34c!G18</f>
        <v>0</v>
      </c>
      <c r="H73" s="1057">
        <f>SA34c!H18</f>
        <v>0</v>
      </c>
      <c r="I73" s="1058">
        <f>SA34c!I18</f>
        <v>0</v>
      </c>
      <c r="J73" s="1054">
        <f>SA34c!J18</f>
        <v>0</v>
      </c>
      <c r="K73" s="1055">
        <f>SA34c!K18</f>
        <v>0</v>
      </c>
    </row>
    <row r="74" spans="1:11" ht="11.25" customHeight="1">
      <c r="A74" s="1439" t="s">
        <v>723</v>
      </c>
      <c r="B74" s="324"/>
      <c r="C74" s="1054">
        <f>SA34c!C21</f>
        <v>0</v>
      </c>
      <c r="D74" s="1054">
        <f>SA34c!D21</f>
        <v>0</v>
      </c>
      <c r="E74" s="1055">
        <f>SA34c!E21</f>
        <v>0</v>
      </c>
      <c r="F74" s="1056">
        <f>SA34c!F21</f>
        <v>0</v>
      </c>
      <c r="G74" s="1054">
        <f>SA34c!G21</f>
        <v>0</v>
      </c>
      <c r="H74" s="1057">
        <f>SA34c!H21</f>
        <v>0</v>
      </c>
      <c r="I74" s="1058">
        <f>SA34c!I21</f>
        <v>0</v>
      </c>
      <c r="J74" s="1054">
        <f>SA34c!J21</f>
        <v>0</v>
      </c>
      <c r="K74" s="1055">
        <f>SA34c!K21</f>
        <v>0</v>
      </c>
    </row>
    <row r="75" spans="1:11" ht="11.25" customHeight="1">
      <c r="A75" s="339" t="str">
        <f>$A$11</f>
        <v>Infrastructure</v>
      </c>
      <c r="B75" s="324"/>
      <c r="C75" s="1020">
        <f>SUM(C70:C74)</f>
        <v>0</v>
      </c>
      <c r="D75" s="1020">
        <f t="shared" ref="D75:K75" si="21">SUM(D70:D74)</f>
        <v>0</v>
      </c>
      <c r="E75" s="1021">
        <f t="shared" si="21"/>
        <v>0</v>
      </c>
      <c r="F75" s="1022">
        <f t="shared" si="21"/>
        <v>0</v>
      </c>
      <c r="G75" s="1020">
        <f t="shared" si="21"/>
        <v>0</v>
      </c>
      <c r="H75" s="1023">
        <f t="shared" si="21"/>
        <v>0</v>
      </c>
      <c r="I75" s="1024">
        <f t="shared" si="21"/>
        <v>0</v>
      </c>
      <c r="J75" s="1020">
        <f t="shared" si="21"/>
        <v>0</v>
      </c>
      <c r="K75" s="1021">
        <f t="shared" si="21"/>
        <v>0</v>
      </c>
    </row>
    <row r="76" spans="1:11" ht="11.25" customHeight="1">
      <c r="A76" s="343" t="str">
        <f>A12</f>
        <v>Community</v>
      </c>
      <c r="B76" s="171"/>
      <c r="C76" s="1054">
        <f>SA34c!C27</f>
        <v>0</v>
      </c>
      <c r="D76" s="1054">
        <f>SA34c!D27</f>
        <v>0</v>
      </c>
      <c r="E76" s="1055">
        <f>SA34c!E27</f>
        <v>0</v>
      </c>
      <c r="F76" s="1056">
        <f>SA34c!F27</f>
        <v>0</v>
      </c>
      <c r="G76" s="1054">
        <f>SA34c!G27</f>
        <v>0</v>
      </c>
      <c r="H76" s="1057">
        <f>SA34c!H27</f>
        <v>0</v>
      </c>
      <c r="I76" s="1058">
        <f>SA34c!I27</f>
        <v>0</v>
      </c>
      <c r="J76" s="1054">
        <f>SA34c!J27</f>
        <v>0</v>
      </c>
      <c r="K76" s="1055">
        <f>SA34c!K27</f>
        <v>0</v>
      </c>
    </row>
    <row r="77" spans="1:11" ht="11.25" customHeight="1">
      <c r="A77" s="343" t="str">
        <f>A13</f>
        <v>Heritage assets</v>
      </c>
      <c r="B77" s="171"/>
      <c r="C77" s="1433">
        <f>SA34c!C43</f>
        <v>0</v>
      </c>
      <c r="D77" s="1433">
        <f>SA34c!D43</f>
        <v>0</v>
      </c>
      <c r="E77" s="1434">
        <f>SA34c!E43</f>
        <v>0</v>
      </c>
      <c r="F77" s="1435">
        <f>SA34c!F43</f>
        <v>0</v>
      </c>
      <c r="G77" s="1433">
        <f>SA34c!G43</f>
        <v>0</v>
      </c>
      <c r="H77" s="1436">
        <f>SA34c!H43</f>
        <v>0</v>
      </c>
      <c r="I77" s="1437">
        <f>SA34c!I43</f>
        <v>0</v>
      </c>
      <c r="J77" s="1433">
        <f>SA34c!J43</f>
        <v>0</v>
      </c>
      <c r="K77" s="1434">
        <f>SA34c!K43</f>
        <v>0</v>
      </c>
    </row>
    <row r="78" spans="1:11" ht="11.25" customHeight="1">
      <c r="A78" s="343" t="str">
        <f>A14</f>
        <v>Investment properties</v>
      </c>
      <c r="B78" s="171"/>
      <c r="C78" s="1054">
        <f>SA34c!C47</f>
        <v>0</v>
      </c>
      <c r="D78" s="1054">
        <f>SA34c!D47</f>
        <v>0</v>
      </c>
      <c r="E78" s="1055">
        <f>SA34c!E47</f>
        <v>0</v>
      </c>
      <c r="F78" s="1056">
        <f>SA34c!F47</f>
        <v>0</v>
      </c>
      <c r="G78" s="1054">
        <f>SA34c!G47</f>
        <v>0</v>
      </c>
      <c r="H78" s="1057">
        <f>SA34c!H47</f>
        <v>0</v>
      </c>
      <c r="I78" s="1058">
        <f>SA34c!I47</f>
        <v>0</v>
      </c>
      <c r="J78" s="1054">
        <f>SA34c!J47</f>
        <v>0</v>
      </c>
      <c r="K78" s="1055">
        <f>SA34c!K47</f>
        <v>0</v>
      </c>
    </row>
    <row r="79" spans="1:11" ht="11.25" customHeight="1">
      <c r="A79" s="343" t="str">
        <f>A15</f>
        <v>Other assets</v>
      </c>
      <c r="B79" s="171" t="s">
        <v>1308</v>
      </c>
      <c r="C79" s="1054">
        <f>SA34c!C51+SA34c!C65+SA34c!C69+SA34c!C73</f>
        <v>0</v>
      </c>
      <c r="D79" s="1054">
        <f>SA34c!D51+SA34c!D65+SA34c!D69+SA34c!D73</f>
        <v>0</v>
      </c>
      <c r="E79" s="1055">
        <f>SA34c!E51+SA34c!E65+SA34c!E69+SA34c!E73</f>
        <v>0</v>
      </c>
      <c r="F79" s="1056">
        <f>SA34c!F51+SA34c!F65+SA34c!F69+SA34c!F73</f>
        <v>0</v>
      </c>
      <c r="G79" s="1054">
        <f>SA34c!G51+SA34c!G65+SA34c!G69+SA34c!G73</f>
        <v>0</v>
      </c>
      <c r="H79" s="1057">
        <f>SA34c!H51+SA34c!H65+SA34c!H69+SA34c!H73</f>
        <v>0</v>
      </c>
      <c r="I79" s="1058">
        <f>SA34c!I51+SA34c!I65+SA34c!I69+SA34c!I73</f>
        <v>0</v>
      </c>
      <c r="J79" s="1054">
        <f>SA34c!J51+SA34c!J65+SA34c!J69+SA34c!J73</f>
        <v>0</v>
      </c>
      <c r="K79" s="1055">
        <f>SA34c!K51+SA34c!K65+SA34c!K69+SA34c!K73</f>
        <v>0</v>
      </c>
    </row>
    <row r="80" spans="1:11" ht="11.25" customHeight="1">
      <c r="A80" s="210" t="s">
        <v>1527</v>
      </c>
      <c r="B80" s="211"/>
      <c r="C80" s="199">
        <f t="shared" ref="C80:K80" si="22">SUM(C68:C69)</f>
        <v>0</v>
      </c>
      <c r="D80" s="199">
        <f t="shared" si="22"/>
        <v>4025720.9765738035</v>
      </c>
      <c r="E80" s="200">
        <f t="shared" si="22"/>
        <v>4524935.8346276861</v>
      </c>
      <c r="F80" s="201">
        <f t="shared" si="22"/>
        <v>204800</v>
      </c>
      <c r="G80" s="199">
        <f t="shared" si="22"/>
        <v>221400</v>
      </c>
      <c r="H80" s="198">
        <f t="shared" si="22"/>
        <v>24798</v>
      </c>
      <c r="I80" s="202">
        <f t="shared" si="22"/>
        <v>5357533.0649144258</v>
      </c>
      <c r="J80" s="199">
        <f t="shared" si="22"/>
        <v>5802697.0488092918</v>
      </c>
      <c r="K80" s="200">
        <f t="shared" si="22"/>
        <v>6140314.8717378499</v>
      </c>
    </row>
    <row r="81" spans="1:11" ht="6.75" customHeight="1">
      <c r="A81" s="1511"/>
      <c r="B81" s="733"/>
      <c r="C81" s="1268"/>
      <c r="D81" s="1268"/>
      <c r="E81" s="1269"/>
      <c r="F81" s="1270"/>
      <c r="G81" s="1268"/>
      <c r="H81" s="1271"/>
      <c r="I81" s="1272"/>
      <c r="J81" s="1268"/>
      <c r="K81" s="1269"/>
    </row>
    <row r="82" spans="1:11" ht="11.25" customHeight="1">
      <c r="A82" s="349" t="s">
        <v>2085</v>
      </c>
      <c r="B82" s="350"/>
      <c r="C82" s="351">
        <f>IF(ISERROR(C20/C49),0,(C20/C49))</f>
        <v>0</v>
      </c>
      <c r="D82" s="351">
        <f t="shared" ref="D82:K82" si="23">IF(ISERROR(D20/D49),0,(D20/D49))</f>
        <v>0</v>
      </c>
      <c r="E82" s="352">
        <f t="shared" si="23"/>
        <v>0</v>
      </c>
      <c r="F82" s="353">
        <f t="shared" si="23"/>
        <v>0</v>
      </c>
      <c r="G82" s="351">
        <f t="shared" si="23"/>
        <v>0</v>
      </c>
      <c r="H82" s="354">
        <f t="shared" si="23"/>
        <v>0</v>
      </c>
      <c r="I82" s="355">
        <f t="shared" si="23"/>
        <v>0</v>
      </c>
      <c r="J82" s="351">
        <f t="shared" si="23"/>
        <v>0</v>
      </c>
      <c r="K82" s="352">
        <f t="shared" si="23"/>
        <v>0</v>
      </c>
    </row>
    <row r="83" spans="1:11" ht="11.25" customHeight="1">
      <c r="A83" s="349" t="s">
        <v>1528</v>
      </c>
      <c r="B83" s="350"/>
      <c r="C83" s="351">
        <f>IF(ISERROR(C20/C68),0,(C20/C68))</f>
        <v>0</v>
      </c>
      <c r="D83" s="351">
        <f t="shared" ref="D83:K83" si="24">IF(ISERROR(D20/D68),0,(D20/D68))</f>
        <v>0</v>
      </c>
      <c r="E83" s="352">
        <f t="shared" si="24"/>
        <v>0</v>
      </c>
      <c r="F83" s="353">
        <f t="shared" si="24"/>
        <v>0</v>
      </c>
      <c r="G83" s="351">
        <f t="shared" si="24"/>
        <v>0</v>
      </c>
      <c r="H83" s="354">
        <f t="shared" si="24"/>
        <v>0</v>
      </c>
      <c r="I83" s="355">
        <f t="shared" si="24"/>
        <v>0</v>
      </c>
      <c r="J83" s="351">
        <f t="shared" si="24"/>
        <v>0</v>
      </c>
      <c r="K83" s="352">
        <f t="shared" si="24"/>
        <v>0</v>
      </c>
    </row>
    <row r="84" spans="1:11" ht="11.25" customHeight="1">
      <c r="A84" s="349" t="s">
        <v>990</v>
      </c>
      <c r="B84" s="350"/>
      <c r="C84" s="351">
        <f>IF(ISERROR(ROUND(C69/'A6-FinPos'!C19,3)),0,(ROUND(C69/'A6-FinPos'!C19,3)))</f>
        <v>0</v>
      </c>
      <c r="D84" s="351">
        <f>IF(ISERROR(ROUND(D69/'A6-FinPos'!D19,3)),0,(ROUND(D69/'A6-FinPos'!D19,3)))</f>
        <v>0</v>
      </c>
      <c r="E84" s="352">
        <f>IF(ISERROR(ROUND(E69/'A6-FinPos'!E19,3)),0,(ROUND(E69/'A6-FinPos'!E19,3)))</f>
        <v>0</v>
      </c>
      <c r="F84" s="353">
        <f>IF(ISERROR(ROUND(F69/'A6-FinPos'!F19,3)),0,(ROUND(F69/'A6-FinPos'!F19,3)))</f>
        <v>0</v>
      </c>
      <c r="G84" s="351">
        <f>IF(ISERROR(ROUND(G69/'A6-FinPos'!G19,3)),0,(ROUND(G69/'A6-FinPos'!G19,3)))</f>
        <v>0</v>
      </c>
      <c r="H84" s="354">
        <f>IF(ISERROR(ROUND(H69/'A6-FinPos'!H19,3)),0,(ROUND(H69/'A6-FinPos'!H19,3)))</f>
        <v>0</v>
      </c>
      <c r="I84" s="355">
        <f>IF(ISERROR(ROUND(I69/'A6-FinPos'!J19,3)),0,(ROUND(I69/'A6-FinPos'!J19,3)))</f>
        <v>0</v>
      </c>
      <c r="J84" s="351">
        <f>IF(ISERROR(ROUND(J69/'A6-FinPos'!K19,3)),0,(ROUND(J69/'A6-FinPos'!K19,3)))</f>
        <v>0</v>
      </c>
      <c r="K84" s="352">
        <f>IF(ISERROR(ROUND(K69/'A6-FinPos'!L19,3)),0,(ROUND(K69/'A6-FinPos'!L19,3)))</f>
        <v>0</v>
      </c>
    </row>
    <row r="85" spans="1:11" ht="11.25" customHeight="1">
      <c r="A85" s="349" t="s">
        <v>563</v>
      </c>
      <c r="B85" s="350"/>
      <c r="C85" s="351">
        <f>IF(ISERROR(ROUND((C20+C69)/C65,2)),0,(ROUND((C20+C69)/C65,2)))</f>
        <v>0</v>
      </c>
      <c r="D85" s="351">
        <f t="shared" ref="D85:K85" si="25">IF(ISERROR(ROUND((D20+D69)/D65,2)),0,(ROUND((D20+D69)/D65,2)))</f>
        <v>0</v>
      </c>
      <c r="E85" s="352">
        <f t="shared" si="25"/>
        <v>0</v>
      </c>
      <c r="F85" s="353">
        <f t="shared" si="25"/>
        <v>0</v>
      </c>
      <c r="G85" s="351">
        <f t="shared" si="25"/>
        <v>0</v>
      </c>
      <c r="H85" s="354">
        <f t="shared" si="25"/>
        <v>0</v>
      </c>
      <c r="I85" s="355">
        <f t="shared" si="25"/>
        <v>0</v>
      </c>
      <c r="J85" s="351">
        <f t="shared" si="25"/>
        <v>0</v>
      </c>
      <c r="K85" s="352">
        <f t="shared" si="25"/>
        <v>0</v>
      </c>
    </row>
    <row r="86" spans="1:11" ht="5.0999999999999996" customHeight="1">
      <c r="A86" s="356"/>
      <c r="B86" s="357"/>
      <c r="C86" s="358"/>
      <c r="D86" s="358"/>
      <c r="E86" s="359"/>
      <c r="F86" s="360"/>
      <c r="G86" s="358"/>
      <c r="H86" s="361"/>
      <c r="I86" s="362"/>
      <c r="J86" s="358"/>
      <c r="K86" s="359"/>
    </row>
    <row r="87" spans="1:11" s="693" customFormat="1" hidden="1">
      <c r="A87" s="1220" t="str">
        <f>head27a</f>
        <v>References</v>
      </c>
      <c r="B87" s="1221"/>
      <c r="C87" s="1225"/>
      <c r="D87" s="1225"/>
      <c r="E87" s="1225"/>
      <c r="F87" s="1225"/>
      <c r="G87" s="1225"/>
      <c r="H87" s="1225"/>
      <c r="I87" s="1225"/>
      <c r="J87" s="1225"/>
      <c r="K87" s="1225"/>
    </row>
    <row r="88" spans="1:11" s="693" customFormat="1" hidden="1">
      <c r="A88" s="1204" t="s">
        <v>471</v>
      </c>
      <c r="B88" s="1221"/>
      <c r="C88" s="1225"/>
      <c r="D88" s="1225"/>
      <c r="E88" s="1225"/>
      <c r="F88" s="1225"/>
      <c r="G88" s="1225"/>
      <c r="H88" s="1225"/>
      <c r="I88" s="1225"/>
      <c r="J88" s="1225"/>
      <c r="K88" s="1225"/>
    </row>
    <row r="89" spans="1:11" s="693" customFormat="1" hidden="1">
      <c r="A89" s="1204" t="s">
        <v>472</v>
      </c>
      <c r="B89" s="1221"/>
      <c r="C89" s="1225"/>
      <c r="D89" s="1225"/>
      <c r="E89" s="1225"/>
      <c r="F89" s="1225"/>
      <c r="G89" s="1225"/>
      <c r="H89" s="1225"/>
      <c r="I89" s="1225"/>
      <c r="J89" s="1225"/>
      <c r="K89" s="1225"/>
    </row>
    <row r="90" spans="1:11" s="693" customFormat="1" hidden="1">
      <c r="A90" s="1204" t="s">
        <v>473</v>
      </c>
      <c r="B90" s="1221"/>
      <c r="C90" s="1225"/>
      <c r="D90" s="1225"/>
      <c r="E90" s="1225"/>
      <c r="F90" s="1225"/>
      <c r="G90" s="1225"/>
      <c r="H90" s="1225"/>
      <c r="I90" s="1225"/>
      <c r="J90" s="1225"/>
      <c r="K90" s="1225"/>
    </row>
    <row r="91" spans="1:11" s="693" customFormat="1" hidden="1">
      <c r="A91" s="1201" t="s">
        <v>474</v>
      </c>
      <c r="B91" s="1221"/>
      <c r="C91" s="1225"/>
      <c r="D91" s="1225"/>
      <c r="E91" s="1225"/>
      <c r="F91" s="1225"/>
      <c r="G91" s="1225"/>
      <c r="H91" s="1225"/>
      <c r="I91" s="1225"/>
      <c r="J91" s="1225"/>
      <c r="K91" s="1225"/>
    </row>
    <row r="92" spans="1:11" s="693" customFormat="1" hidden="1">
      <c r="A92" s="1204" t="s">
        <v>475</v>
      </c>
      <c r="B92" s="1221"/>
      <c r="C92" s="1225"/>
      <c r="D92" s="1225"/>
      <c r="E92" s="1225"/>
      <c r="F92" s="1225"/>
      <c r="G92" s="1225"/>
      <c r="H92" s="1225"/>
      <c r="I92" s="1225"/>
      <c r="J92" s="1225"/>
      <c r="K92" s="1225"/>
    </row>
    <row r="93" spans="1:11" s="693" customFormat="1" hidden="1">
      <c r="A93" s="1201" t="s">
        <v>476</v>
      </c>
      <c r="B93" s="1237"/>
      <c r="C93" s="1237"/>
      <c r="D93" s="1237"/>
      <c r="E93" s="1237"/>
      <c r="F93" s="1237"/>
      <c r="G93" s="1237"/>
      <c r="H93" s="1237"/>
      <c r="I93" s="1237"/>
      <c r="J93" s="1237"/>
      <c r="K93" s="1237"/>
    </row>
    <row r="94" spans="1:11" ht="11.25" hidden="1" customHeight="1">
      <c r="A94" s="1237" t="s">
        <v>523</v>
      </c>
      <c r="B94" s="1221"/>
      <c r="C94" s="1237"/>
      <c r="D94" s="1237"/>
      <c r="E94" s="1237"/>
      <c r="F94" s="1237"/>
      <c r="G94" s="1237"/>
      <c r="H94" s="691"/>
      <c r="I94" s="691"/>
      <c r="J94" s="691"/>
      <c r="K94" s="691"/>
    </row>
    <row r="95" spans="1:11" ht="11.25" hidden="1" customHeight="1">
      <c r="A95" s="1242" t="s">
        <v>324</v>
      </c>
      <c r="B95" s="1237"/>
      <c r="C95" s="1240">
        <f>C65-'A6-FinPos'!C17-'A6-FinPos'!C19-'A6-FinPos'!C21-'A6-FinPos'!C22</f>
        <v>0</v>
      </c>
      <c r="D95" s="1240">
        <f>D65-'A6-FinPos'!D17-'A6-FinPos'!D19-'A6-FinPos'!D21-'A6-FinPos'!D22</f>
        <v>-109342087</v>
      </c>
      <c r="E95" s="1240">
        <f>E65-'A6-FinPos'!E17-'A6-FinPos'!E19-'A6-FinPos'!E21-'A6-FinPos'!E22</f>
        <v>-95337532</v>
      </c>
      <c r="F95" s="1240">
        <f>F65-'A6-FinPos'!F17-'A6-FinPos'!F19-'A6-FinPos'!F21-'A6-FinPos'!F22</f>
        <v>-120659000</v>
      </c>
      <c r="G95" s="1240">
        <f>G65-'A6-FinPos'!G17-'A6-FinPos'!G19-'A6-FinPos'!G21-'A6-FinPos'!G22</f>
        <v>0</v>
      </c>
      <c r="H95" s="1240">
        <f>H65-'A6-FinPos'!H17-'A6-FinPos'!H19-'A6-FinPos'!H21-'A6-FinPos'!H22</f>
        <v>0</v>
      </c>
      <c r="I95" s="1240">
        <f>I65-'A6-FinPos'!J17-'A6-FinPos'!J19-'A6-FinPos'!J21-'A6-FinPos'!J22</f>
        <v>-113803200.72684209</v>
      </c>
      <c r="J95" s="1240">
        <f>J65-'A6-FinPos'!K17-'A6-FinPos'!K19-'A6-FinPos'!K21-'A6-FinPos'!K22</f>
        <v>-120631392.77045263</v>
      </c>
      <c r="K95" s="1240">
        <f>K65-'A6-FinPos'!L17-'A6-FinPos'!L19-'A6-FinPos'!L21-'A6-FinPos'!L22</f>
        <v>-128876424.7191516</v>
      </c>
    </row>
    <row r="96" spans="1:11" ht="11.25" hidden="1" customHeight="1">
      <c r="A96" s="232"/>
      <c r="B96" s="232"/>
      <c r="C96" s="232"/>
      <c r="D96" s="232"/>
      <c r="E96" s="232"/>
      <c r="F96" s="232"/>
      <c r="G96" s="232"/>
    </row>
    <row r="97" spans="1:7" ht="11.25" hidden="1" customHeight="1">
      <c r="A97" s="232"/>
      <c r="B97" s="232"/>
      <c r="C97" s="232"/>
      <c r="D97" s="232"/>
      <c r="E97" s="232"/>
      <c r="F97" s="232"/>
      <c r="G97" s="232"/>
    </row>
    <row r="98" spans="1:7" ht="11.25" hidden="1" customHeight="1">
      <c r="A98" s="232"/>
      <c r="B98" s="232"/>
      <c r="C98" s="232"/>
      <c r="D98" s="232"/>
      <c r="E98" s="232"/>
      <c r="F98" s="232"/>
      <c r="G98" s="232"/>
    </row>
    <row r="99" spans="1:7" ht="11.25" hidden="1" customHeight="1">
      <c r="A99" s="232"/>
      <c r="B99" s="222"/>
      <c r="C99" s="232"/>
      <c r="D99" s="232"/>
      <c r="E99" s="232"/>
      <c r="F99" s="232"/>
      <c r="G99" s="232"/>
    </row>
    <row r="100" spans="1:7" ht="11.25" hidden="1" customHeight="1"/>
    <row r="101" spans="1:7" ht="11.25" hidden="1" customHeight="1"/>
    <row r="102" spans="1:7" ht="11.25" hidden="1" customHeight="1"/>
    <row r="103" spans="1:7" ht="11.25" hidden="1" customHeight="1"/>
    <row r="104" spans="1:7" ht="11.25" hidden="1" customHeight="1"/>
    <row r="105" spans="1:7" ht="11.25" hidden="1" customHeight="1"/>
    <row r="106" spans="1:7" ht="11.25" hidden="1" customHeight="1"/>
    <row r="107" spans="1:7" ht="11.25" hidden="1" customHeight="1"/>
    <row r="108" spans="1:7" ht="11.25" customHeight="1"/>
    <row r="109" spans="1:7" ht="11.25" customHeight="1"/>
    <row r="110" spans="1:7" ht="11.25" customHeight="1"/>
    <row r="111" spans="1:7" ht="11.25" customHeight="1"/>
    <row r="112" spans="1:7"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sheetData>
  <sheetProtection password="A35B" sheet="1" objects="1" scenarios="1"/>
  <dataConsolidate/>
  <mergeCells count="2">
    <mergeCell ref="F2:H2"/>
    <mergeCell ref="I2:K2"/>
  </mergeCells>
  <phoneticPr fontId="3" type="noConversion"/>
  <printOptions horizontalCentered="1"/>
  <pageMargins left="0.37" right="0.2" top="0.6" bottom="0.5" header="0.511811023622047" footer="0.39370078740157499"/>
  <pageSetup paperSize="9" scale="8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theme="3"/>
    <pageSetUpPr fitToPage="1"/>
  </sheetPr>
  <dimension ref="A1:M133"/>
  <sheetViews>
    <sheetView showGridLines="0" workbookViewId="0">
      <pane xSplit="2" ySplit="3" topLeftCell="C4" activePane="bottomRight" state="frozen"/>
      <selection activeCell="O37" sqref="A1:IV65536"/>
      <selection pane="topRight" activeCell="O37" sqref="A1:IV65536"/>
      <selection pane="bottomLeft" activeCell="O37" sqref="A1:IV65536"/>
      <selection pane="bottomRight" activeCell="F45" sqref="F45"/>
    </sheetView>
  </sheetViews>
  <sheetFormatPr defaultRowHeight="12.75"/>
  <cols>
    <col min="1" max="1" width="30.7109375" style="691" customWidth="1"/>
    <col min="2" max="2" width="3" style="688" hidden="1" customWidth="1"/>
    <col min="3" max="11" width="9.28515625" style="691" customWidth="1"/>
    <col min="12" max="12" width="9.85546875" style="691" customWidth="1"/>
    <col min="13" max="13" width="9.5703125" style="691" customWidth="1"/>
    <col min="14" max="14" width="9.85546875" style="691" customWidth="1"/>
    <col min="15" max="17" width="9.5703125" style="691" customWidth="1"/>
    <col min="18" max="18" width="9.85546875" style="691" customWidth="1"/>
    <col min="19" max="21" width="9.5703125" style="691" customWidth="1"/>
    <col min="22" max="23" width="9.85546875" style="691" customWidth="1"/>
    <col min="24" max="16384" width="9.140625" style="691"/>
  </cols>
  <sheetData>
    <row r="1" spans="1:13" s="1123" customFormat="1">
      <c r="A1" s="1122" t="str">
        <f>muni&amp;" - "&amp;Approve10</f>
        <v>NC071 Ubuntu - Table A10 Basic service delivery measurement</v>
      </c>
      <c r="B1" s="1122"/>
      <c r="C1" s="1122"/>
      <c r="D1" s="1122"/>
      <c r="E1" s="1122"/>
      <c r="F1" s="1122"/>
      <c r="G1" s="1122"/>
      <c r="H1" s="1122"/>
      <c r="I1" s="1122"/>
      <c r="J1" s="1122"/>
      <c r="K1" s="1122"/>
    </row>
    <row r="2" spans="1:13" ht="28.5" customHeight="1">
      <c r="A2" s="2792" t="str">
        <f>desc</f>
        <v>Description</v>
      </c>
      <c r="B2" s="2794" t="str">
        <f>head27</f>
        <v>Ref</v>
      </c>
      <c r="C2" s="1124" t="str">
        <f>head1b</f>
        <v>2007/8</v>
      </c>
      <c r="D2" s="1124" t="str">
        <f>head1A</f>
        <v>2008/9</v>
      </c>
      <c r="E2" s="1125" t="str">
        <f>Head1</f>
        <v>2009/10</v>
      </c>
      <c r="F2" s="2778" t="str">
        <f>Head2</f>
        <v>Current Year 2010/11</v>
      </c>
      <c r="G2" s="2779"/>
      <c r="H2" s="2791"/>
      <c r="I2" s="2780" t="str">
        <f>Head3</f>
        <v>2011/12 Medium Term Revenue &amp; Expenditure Framework</v>
      </c>
      <c r="J2" s="2781"/>
      <c r="K2" s="2782"/>
    </row>
    <row r="3" spans="1:13" ht="25.5">
      <c r="A3" s="2793"/>
      <c r="B3" s="2795"/>
      <c r="C3" s="1126" t="str">
        <f>Head5A</f>
        <v>Outcome</v>
      </c>
      <c r="D3" s="1126" t="str">
        <f>Head5A</f>
        <v>Outcome</v>
      </c>
      <c r="E3" s="1127" t="str">
        <f>Head5A</f>
        <v>Outcome</v>
      </c>
      <c r="F3" s="1128" t="str">
        <f>Head6</f>
        <v>Original Budget</v>
      </c>
      <c r="G3" s="1126" t="str">
        <f>Head7</f>
        <v>Adjusted Budget</v>
      </c>
      <c r="H3" s="1127" t="str">
        <f>Head8</f>
        <v>Full Year Forecast</v>
      </c>
      <c r="I3" s="1128" t="str">
        <f>Head9</f>
        <v>Budget Year 2011/12</v>
      </c>
      <c r="J3" s="1126" t="str">
        <f>Head10</f>
        <v>Budget Year +1 2012/13</v>
      </c>
      <c r="K3" s="1127" t="str">
        <f>Head11</f>
        <v>Budget Year +2 2013/14</v>
      </c>
    </row>
    <row r="4" spans="1:13" ht="11.25" customHeight="1">
      <c r="A4" s="1129" t="s">
        <v>203</v>
      </c>
      <c r="B4" s="1130">
        <v>1</v>
      </c>
      <c r="C4" s="1131"/>
      <c r="D4" s="1131"/>
      <c r="E4" s="1132"/>
      <c r="F4" s="1133"/>
      <c r="G4" s="1131"/>
      <c r="H4" s="1134"/>
      <c r="I4" s="1135"/>
      <c r="J4" s="1131"/>
      <c r="K4" s="1132"/>
    </row>
    <row r="5" spans="1:13">
      <c r="A5" s="1136" t="s">
        <v>1982</v>
      </c>
      <c r="B5" s="1130"/>
      <c r="C5" s="1054"/>
      <c r="D5" s="1054"/>
      <c r="E5" s="1055"/>
      <c r="F5" s="1056"/>
      <c r="G5" s="1054"/>
      <c r="H5" s="1057"/>
      <c r="I5" s="1058"/>
      <c r="J5" s="1054"/>
      <c r="K5" s="1055"/>
    </row>
    <row r="6" spans="1:13" ht="11.25" customHeight="1">
      <c r="A6" s="1137" t="s">
        <v>1762</v>
      </c>
      <c r="B6" s="1130"/>
      <c r="C6" s="1805">
        <v>0</v>
      </c>
      <c r="D6" s="1805">
        <f>'[5]A10-SerDel'!$E$6</f>
        <v>123000</v>
      </c>
      <c r="E6" s="1820">
        <f>'[5]A10-SerDel'!$F$6</f>
        <v>123000</v>
      </c>
      <c r="F6" s="1821">
        <f>'[5]A10-SerDel'!$I$6</f>
        <v>146000</v>
      </c>
      <c r="G6" s="1805">
        <f>'[5]A10-SerDel'!$I$6</f>
        <v>146000</v>
      </c>
      <c r="H6" s="1822">
        <f>'[5]A10-SerDel'!$I$6</f>
        <v>146000</v>
      </c>
      <c r="I6" s="1807">
        <v>2117000</v>
      </c>
      <c r="J6" s="1805">
        <v>4141000</v>
      </c>
      <c r="K6" s="1820">
        <v>4388000</v>
      </c>
      <c r="L6" s="1432"/>
      <c r="M6" s="1432"/>
    </row>
    <row r="7" spans="1:13" ht="11.25" customHeight="1">
      <c r="A7" s="1137" t="s">
        <v>1981</v>
      </c>
      <c r="B7" s="1130"/>
      <c r="C7" s="1805">
        <v>0</v>
      </c>
      <c r="D7" s="1805">
        <f>'[5]A10-SerDel'!$E$7</f>
        <v>4513000</v>
      </c>
      <c r="E7" s="1820">
        <f>'[5]A10-SerDel'!$F$7</f>
        <v>4513000</v>
      </c>
      <c r="F7" s="1821">
        <f>'[5]A10-SerDel'!$I$7</f>
        <v>4513000</v>
      </c>
      <c r="G7" s="1805">
        <f>'[5]A10-SerDel'!$I$7</f>
        <v>4513000</v>
      </c>
      <c r="H7" s="1822">
        <f>'[5]A10-SerDel'!$I$7</f>
        <v>4513000</v>
      </c>
      <c r="I7" s="1807">
        <v>0</v>
      </c>
      <c r="J7" s="1805">
        <v>0</v>
      </c>
      <c r="K7" s="1820">
        <v>0</v>
      </c>
      <c r="L7" s="1432"/>
      <c r="M7" s="1432"/>
    </row>
    <row r="8" spans="1:13" ht="11.25" customHeight="1">
      <c r="A8" s="1137" t="s">
        <v>130</v>
      </c>
      <c r="B8" s="1130">
        <v>2</v>
      </c>
      <c r="C8" s="1805">
        <v>0</v>
      </c>
      <c r="D8" s="1805">
        <v>0</v>
      </c>
      <c r="E8" s="1820">
        <v>0</v>
      </c>
      <c r="F8" s="1821">
        <v>0</v>
      </c>
      <c r="G8" s="1805">
        <v>0</v>
      </c>
      <c r="H8" s="1822">
        <v>0</v>
      </c>
      <c r="I8" s="1807">
        <v>220000</v>
      </c>
      <c r="J8" s="1805">
        <v>220000</v>
      </c>
      <c r="K8" s="1820">
        <v>20000</v>
      </c>
      <c r="L8" s="1432"/>
      <c r="M8" s="1432"/>
    </row>
    <row r="9" spans="1:13" ht="11.25" customHeight="1">
      <c r="A9" s="1137" t="s">
        <v>131</v>
      </c>
      <c r="B9" s="1130">
        <v>4</v>
      </c>
      <c r="C9" s="1805">
        <v>0</v>
      </c>
      <c r="D9" s="1805">
        <v>0</v>
      </c>
      <c r="E9" s="1820">
        <v>0</v>
      </c>
      <c r="F9" s="1821">
        <v>0</v>
      </c>
      <c r="G9" s="1805">
        <v>0</v>
      </c>
      <c r="H9" s="1822">
        <v>0</v>
      </c>
      <c r="I9" s="1807">
        <v>0</v>
      </c>
      <c r="J9" s="1805">
        <v>0</v>
      </c>
      <c r="K9" s="1820">
        <v>0</v>
      </c>
      <c r="L9" s="1432"/>
      <c r="M9" s="1432"/>
    </row>
    <row r="10" spans="1:13" ht="11.25" customHeight="1">
      <c r="A10" s="1505" t="s">
        <v>392</v>
      </c>
      <c r="B10" s="1130"/>
      <c r="C10" s="1102">
        <f>SUM(C6:C9)</f>
        <v>0</v>
      </c>
      <c r="D10" s="1102">
        <f t="shared" ref="D10:K10" si="0">SUM(D6:D9)</f>
        <v>4636000</v>
      </c>
      <c r="E10" s="1103">
        <f t="shared" si="0"/>
        <v>4636000</v>
      </c>
      <c r="F10" s="1104">
        <f t="shared" si="0"/>
        <v>4659000</v>
      </c>
      <c r="G10" s="1102">
        <f t="shared" si="0"/>
        <v>4659000</v>
      </c>
      <c r="H10" s="1105">
        <f t="shared" si="0"/>
        <v>4659000</v>
      </c>
      <c r="I10" s="1106">
        <f t="shared" si="0"/>
        <v>2337000</v>
      </c>
      <c r="J10" s="1102">
        <f t="shared" si="0"/>
        <v>4361000</v>
      </c>
      <c r="K10" s="1103">
        <f t="shared" si="0"/>
        <v>4408000</v>
      </c>
      <c r="L10" s="1432"/>
      <c r="M10" s="1432"/>
    </row>
    <row r="11" spans="1:13" ht="11.25" customHeight="1">
      <c r="A11" s="1137" t="s">
        <v>529</v>
      </c>
      <c r="B11" s="1130">
        <v>3</v>
      </c>
      <c r="C11" s="1805">
        <v>0</v>
      </c>
      <c r="D11" s="1805">
        <v>0</v>
      </c>
      <c r="E11" s="1820">
        <v>0</v>
      </c>
      <c r="F11" s="1821">
        <v>0</v>
      </c>
      <c r="G11" s="1805">
        <v>0</v>
      </c>
      <c r="H11" s="1822">
        <v>0</v>
      </c>
      <c r="I11" s="1807">
        <v>0</v>
      </c>
      <c r="J11" s="1805">
        <v>0</v>
      </c>
      <c r="K11" s="1820">
        <v>0</v>
      </c>
      <c r="L11" s="1432"/>
      <c r="M11" s="1432"/>
    </row>
    <row r="12" spans="1:13" ht="11.25" customHeight="1">
      <c r="A12" s="1137" t="s">
        <v>530</v>
      </c>
      <c r="B12" s="1130">
        <f>B9</f>
        <v>4</v>
      </c>
      <c r="C12" s="1805">
        <v>0</v>
      </c>
      <c r="D12" s="1805">
        <v>0</v>
      </c>
      <c r="E12" s="1820">
        <v>0</v>
      </c>
      <c r="F12" s="1821">
        <v>0</v>
      </c>
      <c r="G12" s="1805">
        <v>0</v>
      </c>
      <c r="H12" s="1822">
        <v>0</v>
      </c>
      <c r="I12" s="1807">
        <v>0</v>
      </c>
      <c r="J12" s="1805">
        <v>0</v>
      </c>
      <c r="K12" s="1820">
        <v>0</v>
      </c>
      <c r="L12" s="1432"/>
      <c r="M12" s="1432"/>
    </row>
    <row r="13" spans="1:13" ht="11.25" customHeight="1">
      <c r="A13" s="1137" t="s">
        <v>1037</v>
      </c>
      <c r="B13" s="1130"/>
      <c r="C13" s="1805">
        <v>0</v>
      </c>
      <c r="D13" s="1805">
        <v>0</v>
      </c>
      <c r="E13" s="1820">
        <v>0</v>
      </c>
      <c r="F13" s="1821">
        <v>0</v>
      </c>
      <c r="G13" s="1805">
        <v>0</v>
      </c>
      <c r="H13" s="1822">
        <v>0</v>
      </c>
      <c r="I13" s="1807">
        <v>0</v>
      </c>
      <c r="J13" s="1805">
        <v>0</v>
      </c>
      <c r="K13" s="1820">
        <v>0</v>
      </c>
      <c r="L13" s="1432"/>
      <c r="M13" s="1432"/>
    </row>
    <row r="14" spans="1:13" ht="11.25" customHeight="1">
      <c r="A14" s="1505" t="s">
        <v>1391</v>
      </c>
      <c r="B14" s="1130"/>
      <c r="C14" s="1107">
        <f>SUM(C11:C13)</f>
        <v>0</v>
      </c>
      <c r="D14" s="1107">
        <f t="shared" ref="D14:K14" si="1">SUM(D11:D13)</f>
        <v>0</v>
      </c>
      <c r="E14" s="1108">
        <f t="shared" si="1"/>
        <v>0</v>
      </c>
      <c r="F14" s="1109">
        <f t="shared" si="1"/>
        <v>0</v>
      </c>
      <c r="G14" s="1107">
        <f t="shared" si="1"/>
        <v>0</v>
      </c>
      <c r="H14" s="1110">
        <f t="shared" si="1"/>
        <v>0</v>
      </c>
      <c r="I14" s="1111">
        <f t="shared" si="1"/>
        <v>0</v>
      </c>
      <c r="J14" s="1107">
        <f t="shared" si="1"/>
        <v>0</v>
      </c>
      <c r="K14" s="1108">
        <f t="shared" si="1"/>
        <v>0</v>
      </c>
      <c r="L14" s="1432"/>
      <c r="M14" s="1432"/>
    </row>
    <row r="15" spans="1:13" ht="11.25" customHeight="1">
      <c r="A15" s="1138" t="s">
        <v>1430</v>
      </c>
      <c r="B15" s="1130">
        <v>5</v>
      </c>
      <c r="C15" s="1139">
        <f>C10+C14</f>
        <v>0</v>
      </c>
      <c r="D15" s="1139">
        <f t="shared" ref="D15:K15" si="2">D10+D14</f>
        <v>4636000</v>
      </c>
      <c r="E15" s="1140">
        <f t="shared" si="2"/>
        <v>4636000</v>
      </c>
      <c r="F15" s="1141">
        <f t="shared" si="2"/>
        <v>4659000</v>
      </c>
      <c r="G15" s="1139">
        <f t="shared" si="2"/>
        <v>4659000</v>
      </c>
      <c r="H15" s="1142">
        <f t="shared" si="2"/>
        <v>4659000</v>
      </c>
      <c r="I15" s="1143">
        <f t="shared" si="2"/>
        <v>2337000</v>
      </c>
      <c r="J15" s="1139">
        <f t="shared" si="2"/>
        <v>4361000</v>
      </c>
      <c r="K15" s="1140">
        <f t="shared" si="2"/>
        <v>4408000</v>
      </c>
      <c r="L15" s="1432"/>
      <c r="M15" s="1432"/>
    </row>
    <row r="16" spans="1:13" ht="15.75" customHeight="1">
      <c r="A16" s="1136" t="s">
        <v>1431</v>
      </c>
      <c r="B16" s="1130"/>
      <c r="C16" s="1054"/>
      <c r="D16" s="1054"/>
      <c r="E16" s="1055"/>
      <c r="F16" s="1056"/>
      <c r="G16" s="1054"/>
      <c r="H16" s="1057"/>
      <c r="I16" s="1058"/>
      <c r="J16" s="1054"/>
      <c r="K16" s="1055"/>
      <c r="L16" s="1432"/>
      <c r="M16" s="1432"/>
    </row>
    <row r="17" spans="1:13" ht="11.25" customHeight="1">
      <c r="A17" s="1137" t="s">
        <v>1432</v>
      </c>
      <c r="B17" s="1130"/>
      <c r="C17" s="1805">
        <v>0</v>
      </c>
      <c r="D17" s="1805">
        <f>'[5]A10-SerDel'!$E$17</f>
        <v>3509000</v>
      </c>
      <c r="E17" s="1820">
        <f>'[5]A10-SerDel'!$F$17</f>
        <v>3509000</v>
      </c>
      <c r="F17" s="1821">
        <f>'[5]A10-SerDel'!$F$17</f>
        <v>3509000</v>
      </c>
      <c r="G17" s="1805">
        <f>'[5]A10-SerDel'!$F$17</f>
        <v>3509000</v>
      </c>
      <c r="H17" s="1822">
        <f>'[5]A10-SerDel'!$F$17</f>
        <v>3509000</v>
      </c>
      <c r="I17" s="1807">
        <v>1603000</v>
      </c>
      <c r="J17" s="1805">
        <v>2555000</v>
      </c>
      <c r="K17" s="1820">
        <v>2708000</v>
      </c>
      <c r="L17" s="1432"/>
      <c r="M17" s="1432"/>
    </row>
    <row r="18" spans="1:13" ht="11.25" customHeight="1">
      <c r="A18" s="1137" t="s">
        <v>1433</v>
      </c>
      <c r="B18" s="1130"/>
      <c r="C18" s="1805">
        <v>0</v>
      </c>
      <c r="D18" s="1805">
        <v>0</v>
      </c>
      <c r="E18" s="1820">
        <v>0</v>
      </c>
      <c r="F18" s="1821">
        <v>0</v>
      </c>
      <c r="G18" s="1805">
        <v>0</v>
      </c>
      <c r="H18" s="1822">
        <v>0</v>
      </c>
      <c r="I18" s="1807">
        <v>0</v>
      </c>
      <c r="J18" s="1805">
        <v>0</v>
      </c>
      <c r="K18" s="1820">
        <v>0</v>
      </c>
      <c r="L18" s="1432"/>
      <c r="M18" s="1432"/>
    </row>
    <row r="19" spans="1:13" ht="11.25" customHeight="1">
      <c r="A19" s="1137" t="s">
        <v>1502</v>
      </c>
      <c r="B19" s="1130"/>
      <c r="C19" s="1805">
        <v>0</v>
      </c>
      <c r="D19" s="1805">
        <f>'[5]A10-SerDel'!$E$19</f>
        <v>92000</v>
      </c>
      <c r="E19" s="1820">
        <f>'[5]A10-SerDel'!$F$19</f>
        <v>36000</v>
      </c>
      <c r="F19" s="1821">
        <f>'[5]A10-SerDel'!$F$19</f>
        <v>36000</v>
      </c>
      <c r="G19" s="1805">
        <f>'[5]A10-SerDel'!$F$19</f>
        <v>36000</v>
      </c>
      <c r="H19" s="1822">
        <f>'[5]A10-SerDel'!$F$19</f>
        <v>36000</v>
      </c>
      <c r="I19" s="1807">
        <v>0</v>
      </c>
      <c r="J19" s="1805">
        <v>0</v>
      </c>
      <c r="K19" s="1820">
        <v>0</v>
      </c>
      <c r="L19" s="1432"/>
      <c r="M19" s="1432"/>
    </row>
    <row r="20" spans="1:13" ht="11.25" customHeight="1">
      <c r="A20" s="1137" t="s">
        <v>246</v>
      </c>
      <c r="B20" s="1130"/>
      <c r="C20" s="1805">
        <v>0</v>
      </c>
      <c r="D20" s="1805">
        <v>0</v>
      </c>
      <c r="E20" s="1820">
        <v>0</v>
      </c>
      <c r="F20" s="1821">
        <v>0</v>
      </c>
      <c r="G20" s="1805">
        <v>0</v>
      </c>
      <c r="H20" s="1822">
        <v>0</v>
      </c>
      <c r="I20" s="1807">
        <v>0</v>
      </c>
      <c r="J20" s="1805">
        <v>0</v>
      </c>
      <c r="K20" s="1820">
        <v>0</v>
      </c>
      <c r="L20" s="1432"/>
      <c r="M20" s="1432"/>
    </row>
    <row r="21" spans="1:13" ht="11.25" customHeight="1">
      <c r="A21" s="1137" t="s">
        <v>248</v>
      </c>
      <c r="B21" s="1130"/>
      <c r="C21" s="1805">
        <v>0</v>
      </c>
      <c r="D21" s="1805">
        <v>0</v>
      </c>
      <c r="E21" s="1820">
        <v>0</v>
      </c>
      <c r="F21" s="1821">
        <v>0</v>
      </c>
      <c r="G21" s="1805">
        <v>0</v>
      </c>
      <c r="H21" s="1822">
        <v>0</v>
      </c>
      <c r="I21" s="1807">
        <v>0</v>
      </c>
      <c r="J21" s="1805">
        <v>0</v>
      </c>
      <c r="K21" s="1820">
        <v>0</v>
      </c>
      <c r="L21" s="1432"/>
      <c r="M21" s="1432"/>
    </row>
    <row r="22" spans="1:13" ht="11.25" customHeight="1">
      <c r="A22" s="1505" t="str">
        <f>$A$10</f>
        <v>Minimum Service Level and Above sub-total</v>
      </c>
      <c r="B22" s="1130"/>
      <c r="C22" s="1102">
        <f>SUM(C17:C21)</f>
        <v>0</v>
      </c>
      <c r="D22" s="1102">
        <f t="shared" ref="D22:K22" si="3">SUM(D17:D21)</f>
        <v>3601000</v>
      </c>
      <c r="E22" s="1103">
        <f t="shared" si="3"/>
        <v>3545000</v>
      </c>
      <c r="F22" s="1104">
        <f t="shared" si="3"/>
        <v>3545000</v>
      </c>
      <c r="G22" s="1102">
        <f t="shared" si="3"/>
        <v>3545000</v>
      </c>
      <c r="H22" s="1105">
        <f t="shared" si="3"/>
        <v>3545000</v>
      </c>
      <c r="I22" s="1106">
        <f t="shared" si="3"/>
        <v>1603000</v>
      </c>
      <c r="J22" s="1102">
        <f t="shared" si="3"/>
        <v>2555000</v>
      </c>
      <c r="K22" s="1103">
        <f t="shared" si="3"/>
        <v>2708000</v>
      </c>
      <c r="L22" s="1432"/>
      <c r="M22" s="1432"/>
    </row>
    <row r="23" spans="1:13" ht="11.25" customHeight="1">
      <c r="A23" s="1137" t="s">
        <v>247</v>
      </c>
      <c r="B23" s="1130"/>
      <c r="C23" s="1805">
        <v>0</v>
      </c>
      <c r="D23" s="1805">
        <f>'[5]A10-SerDel'!$E$23</f>
        <v>1608000</v>
      </c>
      <c r="E23" s="1820">
        <v>0</v>
      </c>
      <c r="F23" s="1821">
        <f>'[5]A10-SerDel'!$F$23</f>
        <v>400000</v>
      </c>
      <c r="G23" s="1805">
        <v>0</v>
      </c>
      <c r="H23" s="1822">
        <v>0</v>
      </c>
      <c r="I23" s="1807">
        <v>376000</v>
      </c>
      <c r="J23" s="1805">
        <v>376000</v>
      </c>
      <c r="K23" s="1820">
        <v>0</v>
      </c>
      <c r="L23" s="1432"/>
      <c r="M23" s="1432"/>
    </row>
    <row r="24" spans="1:13" ht="11.25" customHeight="1">
      <c r="A24" s="1137" t="s">
        <v>1309</v>
      </c>
      <c r="B24" s="1130"/>
      <c r="C24" s="1805">
        <v>0</v>
      </c>
      <c r="D24" s="1805">
        <v>0</v>
      </c>
      <c r="E24" s="1820">
        <v>0</v>
      </c>
      <c r="F24" s="1821">
        <v>0</v>
      </c>
      <c r="G24" s="1805">
        <v>0</v>
      </c>
      <c r="H24" s="1822">
        <v>0</v>
      </c>
      <c r="I24" s="1807">
        <v>0</v>
      </c>
      <c r="J24" s="1805">
        <v>0</v>
      </c>
      <c r="K24" s="1820">
        <v>0</v>
      </c>
      <c r="L24" s="1432"/>
      <c r="M24" s="1432"/>
    </row>
    <row r="25" spans="1:13" ht="11.25" customHeight="1">
      <c r="A25" s="1137" t="s">
        <v>1503</v>
      </c>
      <c r="B25" s="1130"/>
      <c r="C25" s="1805">
        <v>0</v>
      </c>
      <c r="D25" s="1805">
        <v>0</v>
      </c>
      <c r="E25" s="1820">
        <v>0</v>
      </c>
      <c r="F25" s="1821">
        <v>0</v>
      </c>
      <c r="G25" s="1805">
        <v>0</v>
      </c>
      <c r="H25" s="1822">
        <v>0</v>
      </c>
      <c r="I25" s="1807">
        <v>0</v>
      </c>
      <c r="J25" s="1805">
        <v>0</v>
      </c>
      <c r="K25" s="1820">
        <v>0</v>
      </c>
      <c r="L25" s="1432"/>
      <c r="M25" s="1432"/>
    </row>
    <row r="26" spans="1:13" ht="11.25" customHeight="1">
      <c r="A26" s="1505" t="str">
        <f>$A$14</f>
        <v>Below Minimum Service Level sub-total</v>
      </c>
      <c r="B26" s="1130"/>
      <c r="C26" s="1107">
        <f>SUM(C23:C25)</f>
        <v>0</v>
      </c>
      <c r="D26" s="1107">
        <f t="shared" ref="D26:K26" si="4">SUM(D23:D25)</f>
        <v>1608000</v>
      </c>
      <c r="E26" s="1108">
        <f t="shared" si="4"/>
        <v>0</v>
      </c>
      <c r="F26" s="1109">
        <f t="shared" si="4"/>
        <v>400000</v>
      </c>
      <c r="G26" s="1107">
        <f t="shared" si="4"/>
        <v>0</v>
      </c>
      <c r="H26" s="1110">
        <f t="shared" si="4"/>
        <v>0</v>
      </c>
      <c r="I26" s="1111">
        <f t="shared" si="4"/>
        <v>376000</v>
      </c>
      <c r="J26" s="1107">
        <f t="shared" si="4"/>
        <v>376000</v>
      </c>
      <c r="K26" s="1108">
        <f t="shared" si="4"/>
        <v>0</v>
      </c>
      <c r="L26" s="1432"/>
      <c r="M26" s="1432"/>
    </row>
    <row r="27" spans="1:13" ht="11.25" customHeight="1">
      <c r="A27" s="1138" t="str">
        <f>$A$15</f>
        <v>Total number of households</v>
      </c>
      <c r="B27" s="1130">
        <f>$B$15</f>
        <v>5</v>
      </c>
      <c r="C27" s="1139">
        <f>C22+C26</f>
        <v>0</v>
      </c>
      <c r="D27" s="1139">
        <f t="shared" ref="D27:K27" si="5">D22+D26</f>
        <v>5209000</v>
      </c>
      <c r="E27" s="1140">
        <f t="shared" si="5"/>
        <v>3545000</v>
      </c>
      <c r="F27" s="1141">
        <f t="shared" si="5"/>
        <v>3945000</v>
      </c>
      <c r="G27" s="1139">
        <f t="shared" si="5"/>
        <v>3545000</v>
      </c>
      <c r="H27" s="1142">
        <f t="shared" si="5"/>
        <v>3545000</v>
      </c>
      <c r="I27" s="1143">
        <f t="shared" si="5"/>
        <v>1979000</v>
      </c>
      <c r="J27" s="1139">
        <f t="shared" si="5"/>
        <v>2931000</v>
      </c>
      <c r="K27" s="1140">
        <f t="shared" si="5"/>
        <v>2708000</v>
      </c>
      <c r="L27" s="1432"/>
      <c r="M27" s="1432"/>
    </row>
    <row r="28" spans="1:13" ht="15.75" customHeight="1">
      <c r="A28" s="1136" t="s">
        <v>721</v>
      </c>
      <c r="B28" s="1130"/>
      <c r="C28" s="1054"/>
      <c r="D28" s="1054"/>
      <c r="E28" s="1055"/>
      <c r="F28" s="1056"/>
      <c r="G28" s="1054"/>
      <c r="H28" s="1057"/>
      <c r="I28" s="1058"/>
      <c r="J28" s="1054"/>
      <c r="K28" s="1055"/>
      <c r="L28" s="1432"/>
      <c r="M28" s="1432"/>
    </row>
    <row r="29" spans="1:13" ht="11.25" customHeight="1">
      <c r="A29" s="1137" t="s">
        <v>1310</v>
      </c>
      <c r="B29" s="1130"/>
      <c r="C29" s="1805">
        <v>0</v>
      </c>
      <c r="D29" s="1805">
        <f>'[5]A10-SerDel'!$E$29</f>
        <v>950000</v>
      </c>
      <c r="E29" s="1820">
        <f>'[5]A10-SerDel'!$F$29</f>
        <v>950000</v>
      </c>
      <c r="F29" s="1821">
        <f>'[5]A10-SerDel'!$F$29</f>
        <v>950000</v>
      </c>
      <c r="G29" s="1805">
        <f>'[5]A10-SerDel'!$F$29</f>
        <v>950000</v>
      </c>
      <c r="H29" s="1822">
        <f>'[5]A10-SerDel'!$F$29</f>
        <v>950000</v>
      </c>
      <c r="I29" s="1807">
        <v>5315000</v>
      </c>
      <c r="J29" s="1805">
        <v>5315000</v>
      </c>
      <c r="K29" s="1820">
        <v>5315000</v>
      </c>
      <c r="L29" s="1432"/>
      <c r="M29" s="1432"/>
    </row>
    <row r="30" spans="1:13" ht="11.25" customHeight="1">
      <c r="A30" s="1137" t="s">
        <v>531</v>
      </c>
      <c r="B30" s="1130"/>
      <c r="C30" s="1805">
        <v>0</v>
      </c>
      <c r="D30" s="1805">
        <f>'[5]A10-SerDel'!$E$30</f>
        <v>1613000</v>
      </c>
      <c r="E30" s="1820">
        <f>'[5]A10-SerDel'!$F$30</f>
        <v>1613000</v>
      </c>
      <c r="F30" s="1821">
        <f>'[5]A10-SerDel'!$F$30</f>
        <v>1613000</v>
      </c>
      <c r="G30" s="1805">
        <f>'[5]A10-SerDel'!$F$30</f>
        <v>1613000</v>
      </c>
      <c r="H30" s="1822">
        <f>'[5]A10-SerDel'!$F$30</f>
        <v>1613000</v>
      </c>
      <c r="I30" s="1807">
        <v>0</v>
      </c>
      <c r="J30" s="1805">
        <v>0</v>
      </c>
      <c r="K30" s="1820">
        <v>0</v>
      </c>
      <c r="L30" s="1432"/>
      <c r="M30" s="1432"/>
    </row>
    <row r="31" spans="1:13" ht="11.25" customHeight="1">
      <c r="A31" s="1505" t="str">
        <f>$A$10</f>
        <v>Minimum Service Level and Above sub-total</v>
      </c>
      <c r="B31" s="1130"/>
      <c r="C31" s="1102">
        <f>SUM(C29:C30)</f>
        <v>0</v>
      </c>
      <c r="D31" s="1102">
        <f t="shared" ref="D31:K31" si="6">SUM(D29:D30)</f>
        <v>2563000</v>
      </c>
      <c r="E31" s="1103">
        <f t="shared" si="6"/>
        <v>2563000</v>
      </c>
      <c r="F31" s="1104">
        <f t="shared" si="6"/>
        <v>2563000</v>
      </c>
      <c r="G31" s="1102">
        <f t="shared" si="6"/>
        <v>2563000</v>
      </c>
      <c r="H31" s="1105">
        <f t="shared" si="6"/>
        <v>2563000</v>
      </c>
      <c r="I31" s="1106">
        <f t="shared" si="6"/>
        <v>5315000</v>
      </c>
      <c r="J31" s="1102">
        <f t="shared" si="6"/>
        <v>5315000</v>
      </c>
      <c r="K31" s="1103">
        <f t="shared" si="6"/>
        <v>5315000</v>
      </c>
      <c r="L31" s="1432"/>
      <c r="M31" s="1432"/>
    </row>
    <row r="32" spans="1:13" ht="11.25" customHeight="1">
      <c r="A32" s="1137" t="s">
        <v>532</v>
      </c>
      <c r="B32" s="1130"/>
      <c r="C32" s="1805">
        <v>0</v>
      </c>
      <c r="D32" s="1805">
        <v>0</v>
      </c>
      <c r="E32" s="1820">
        <v>0</v>
      </c>
      <c r="F32" s="1821">
        <v>0</v>
      </c>
      <c r="G32" s="1805">
        <v>0</v>
      </c>
      <c r="H32" s="1822">
        <v>0</v>
      </c>
      <c r="I32" s="1807">
        <v>0</v>
      </c>
      <c r="J32" s="1805">
        <v>0</v>
      </c>
      <c r="K32" s="1820">
        <v>0</v>
      </c>
      <c r="L32" s="1432"/>
      <c r="M32" s="1432"/>
    </row>
    <row r="33" spans="1:13" ht="11.25" customHeight="1">
      <c r="A33" s="1137" t="s">
        <v>533</v>
      </c>
      <c r="B33" s="1130"/>
      <c r="C33" s="1805">
        <v>0</v>
      </c>
      <c r="D33" s="1805">
        <v>0</v>
      </c>
      <c r="E33" s="1820">
        <v>0</v>
      </c>
      <c r="F33" s="1821">
        <v>0</v>
      </c>
      <c r="G33" s="1805">
        <v>0</v>
      </c>
      <c r="H33" s="1822">
        <v>0</v>
      </c>
      <c r="I33" s="1807">
        <v>0</v>
      </c>
      <c r="J33" s="1805">
        <v>0</v>
      </c>
      <c r="K33" s="1820">
        <v>0</v>
      </c>
      <c r="L33" s="1432"/>
      <c r="M33" s="1432"/>
    </row>
    <row r="34" spans="1:13" ht="11.25" customHeight="1">
      <c r="A34" s="1137" t="s">
        <v>722</v>
      </c>
      <c r="B34" s="1130"/>
      <c r="C34" s="1805">
        <v>0</v>
      </c>
      <c r="D34" s="1805">
        <v>0</v>
      </c>
      <c r="E34" s="1820">
        <v>0</v>
      </c>
      <c r="F34" s="1821">
        <v>0</v>
      </c>
      <c r="G34" s="1805">
        <v>0</v>
      </c>
      <c r="H34" s="1822">
        <v>0</v>
      </c>
      <c r="I34" s="1807">
        <v>0</v>
      </c>
      <c r="J34" s="1805">
        <v>0</v>
      </c>
      <c r="K34" s="1820">
        <v>0</v>
      </c>
      <c r="L34" s="1432"/>
      <c r="M34" s="1432"/>
    </row>
    <row r="35" spans="1:13" ht="11.25" customHeight="1">
      <c r="A35" s="1505" t="str">
        <f>$A$14</f>
        <v>Below Minimum Service Level sub-total</v>
      </c>
      <c r="B35" s="1130"/>
      <c r="C35" s="1107">
        <f>SUM(C32:C34)</f>
        <v>0</v>
      </c>
      <c r="D35" s="1107">
        <f t="shared" ref="D35:K35" si="7">SUM(D32:D34)</f>
        <v>0</v>
      </c>
      <c r="E35" s="1108">
        <f t="shared" si="7"/>
        <v>0</v>
      </c>
      <c r="F35" s="1109">
        <f t="shared" si="7"/>
        <v>0</v>
      </c>
      <c r="G35" s="1107">
        <f t="shared" si="7"/>
        <v>0</v>
      </c>
      <c r="H35" s="1110">
        <f t="shared" si="7"/>
        <v>0</v>
      </c>
      <c r="I35" s="1111">
        <f t="shared" si="7"/>
        <v>0</v>
      </c>
      <c r="J35" s="1107">
        <f t="shared" si="7"/>
        <v>0</v>
      </c>
      <c r="K35" s="1108">
        <f t="shared" si="7"/>
        <v>0</v>
      </c>
      <c r="L35" s="1432"/>
      <c r="M35" s="1432"/>
    </row>
    <row r="36" spans="1:13" ht="11.25" customHeight="1">
      <c r="A36" s="1138" t="str">
        <f>$A$15</f>
        <v>Total number of households</v>
      </c>
      <c r="B36" s="1130">
        <f>$B$15</f>
        <v>5</v>
      </c>
      <c r="C36" s="1102">
        <f>C31+C35</f>
        <v>0</v>
      </c>
      <c r="D36" s="1102">
        <f t="shared" ref="D36:K36" si="8">D31+D35</f>
        <v>2563000</v>
      </c>
      <c r="E36" s="1103">
        <f t="shared" si="8"/>
        <v>2563000</v>
      </c>
      <c r="F36" s="1104">
        <f t="shared" si="8"/>
        <v>2563000</v>
      </c>
      <c r="G36" s="1102">
        <f t="shared" si="8"/>
        <v>2563000</v>
      </c>
      <c r="H36" s="1105">
        <f t="shared" si="8"/>
        <v>2563000</v>
      </c>
      <c r="I36" s="1106">
        <f t="shared" si="8"/>
        <v>5315000</v>
      </c>
      <c r="J36" s="1102">
        <f t="shared" si="8"/>
        <v>5315000</v>
      </c>
      <c r="K36" s="1103">
        <f t="shared" si="8"/>
        <v>5315000</v>
      </c>
      <c r="L36" s="1432"/>
      <c r="M36" s="1432"/>
    </row>
    <row r="37" spans="1:13" ht="15.75" customHeight="1">
      <c r="A37" s="1136" t="s">
        <v>725</v>
      </c>
      <c r="B37" s="1130"/>
      <c r="C37" s="1054"/>
      <c r="D37" s="1054"/>
      <c r="E37" s="1055"/>
      <c r="F37" s="1056"/>
      <c r="G37" s="1054"/>
      <c r="H37" s="1057"/>
      <c r="I37" s="1058"/>
      <c r="J37" s="1054"/>
      <c r="K37" s="1055"/>
      <c r="L37" s="1432"/>
      <c r="M37" s="1432"/>
    </row>
    <row r="38" spans="1:13" ht="11.25" customHeight="1">
      <c r="A38" s="1137" t="s">
        <v>780</v>
      </c>
      <c r="B38" s="1130"/>
      <c r="C38" s="1839">
        <v>0</v>
      </c>
      <c r="D38" s="1839">
        <f>'[5]A10-SerDel'!$E$38</f>
        <v>4288000</v>
      </c>
      <c r="E38" s="1840">
        <f>'[5]A10-SerDel'!$F$38</f>
        <v>4288000</v>
      </c>
      <c r="F38" s="1841">
        <f>'[5]A10-SerDel'!$F$38</f>
        <v>4288000</v>
      </c>
      <c r="G38" s="1839">
        <f>'[5]A10-SerDel'!$F$38</f>
        <v>4288000</v>
      </c>
      <c r="H38" s="1842">
        <f>'[5]A10-SerDel'!$F$38</f>
        <v>4288000</v>
      </c>
      <c r="I38" s="1843">
        <v>2593000</v>
      </c>
      <c r="J38" s="1839">
        <v>2496000</v>
      </c>
      <c r="K38" s="1840">
        <v>2618000</v>
      </c>
      <c r="L38" s="1432"/>
      <c r="M38" s="1432"/>
    </row>
    <row r="39" spans="1:13" ht="11.25" customHeight="1">
      <c r="A39" s="1505" t="str">
        <f>$A$10</f>
        <v>Minimum Service Level and Above sub-total</v>
      </c>
      <c r="B39" s="1130"/>
      <c r="C39" s="1054">
        <f>SUM(C38)</f>
        <v>0</v>
      </c>
      <c r="D39" s="1054">
        <f t="shared" ref="D39:K39" si="9">SUM(D38)</f>
        <v>4288000</v>
      </c>
      <c r="E39" s="1055">
        <f t="shared" si="9"/>
        <v>4288000</v>
      </c>
      <c r="F39" s="1056">
        <f t="shared" si="9"/>
        <v>4288000</v>
      </c>
      <c r="G39" s="1054">
        <f t="shared" si="9"/>
        <v>4288000</v>
      </c>
      <c r="H39" s="1057">
        <f t="shared" si="9"/>
        <v>4288000</v>
      </c>
      <c r="I39" s="1058">
        <f t="shared" si="9"/>
        <v>2593000</v>
      </c>
      <c r="J39" s="1054">
        <f t="shared" si="9"/>
        <v>2496000</v>
      </c>
      <c r="K39" s="1055">
        <f t="shared" si="9"/>
        <v>2618000</v>
      </c>
      <c r="L39" s="1432"/>
      <c r="M39" s="1432"/>
    </row>
    <row r="40" spans="1:13" ht="11.25" customHeight="1">
      <c r="A40" s="1137" t="s">
        <v>726</v>
      </c>
      <c r="B40" s="1130"/>
      <c r="C40" s="1805">
        <v>0</v>
      </c>
      <c r="D40" s="1805">
        <v>0</v>
      </c>
      <c r="E40" s="1820">
        <v>0</v>
      </c>
      <c r="F40" s="1821">
        <v>0</v>
      </c>
      <c r="G40" s="1805">
        <v>0</v>
      </c>
      <c r="H40" s="1822">
        <v>0</v>
      </c>
      <c r="I40" s="1807">
        <v>0</v>
      </c>
      <c r="J40" s="1805">
        <v>0</v>
      </c>
      <c r="K40" s="1820">
        <v>0</v>
      </c>
      <c r="L40" s="1432"/>
      <c r="M40" s="1432"/>
    </row>
    <row r="41" spans="1:13" ht="11.25" customHeight="1">
      <c r="A41" s="1137" t="s">
        <v>727</v>
      </c>
      <c r="B41" s="1130"/>
      <c r="C41" s="1805">
        <v>0</v>
      </c>
      <c r="D41" s="1805">
        <v>0</v>
      </c>
      <c r="E41" s="1820">
        <v>0</v>
      </c>
      <c r="F41" s="1821">
        <v>0</v>
      </c>
      <c r="G41" s="1805">
        <v>0</v>
      </c>
      <c r="H41" s="1822">
        <v>0</v>
      </c>
      <c r="I41" s="1807">
        <v>0</v>
      </c>
      <c r="J41" s="1805">
        <v>0</v>
      </c>
      <c r="K41" s="1820">
        <v>0</v>
      </c>
      <c r="L41" s="1432"/>
      <c r="M41" s="1432"/>
    </row>
    <row r="42" spans="1:13" ht="11.25" customHeight="1">
      <c r="A42" s="1137" t="s">
        <v>942</v>
      </c>
      <c r="B42" s="1130"/>
      <c r="C42" s="1805">
        <v>0</v>
      </c>
      <c r="D42" s="1805">
        <v>0</v>
      </c>
      <c r="E42" s="1820">
        <v>0</v>
      </c>
      <c r="F42" s="1821">
        <v>0</v>
      </c>
      <c r="G42" s="1805">
        <v>0</v>
      </c>
      <c r="H42" s="1822">
        <v>0</v>
      </c>
      <c r="I42" s="1807">
        <v>0</v>
      </c>
      <c r="J42" s="1805">
        <v>0</v>
      </c>
      <c r="K42" s="1820">
        <v>0</v>
      </c>
      <c r="L42" s="1432"/>
      <c r="M42" s="1432"/>
    </row>
    <row r="43" spans="1:13" ht="11.25" customHeight="1">
      <c r="A43" s="1137" t="s">
        <v>943</v>
      </c>
      <c r="B43" s="1130"/>
      <c r="C43" s="1805">
        <v>0</v>
      </c>
      <c r="D43" s="1805">
        <v>0</v>
      </c>
      <c r="E43" s="1820">
        <v>0</v>
      </c>
      <c r="F43" s="1821">
        <v>0</v>
      </c>
      <c r="G43" s="1805">
        <v>0</v>
      </c>
      <c r="H43" s="1822">
        <v>0</v>
      </c>
      <c r="I43" s="1807">
        <v>0</v>
      </c>
      <c r="J43" s="1805">
        <v>0</v>
      </c>
      <c r="K43" s="1820">
        <v>0</v>
      </c>
      <c r="L43" s="1432"/>
      <c r="M43" s="1432"/>
    </row>
    <row r="44" spans="1:13" ht="11.25" customHeight="1">
      <c r="A44" s="1137" t="s">
        <v>201</v>
      </c>
      <c r="B44" s="1130"/>
      <c r="C44" s="1805">
        <v>0</v>
      </c>
      <c r="D44" s="1805">
        <v>0</v>
      </c>
      <c r="E44" s="1820">
        <v>0</v>
      </c>
      <c r="F44" s="1821">
        <v>0</v>
      </c>
      <c r="G44" s="1805">
        <v>0</v>
      </c>
      <c r="H44" s="1822">
        <v>0</v>
      </c>
      <c r="I44" s="1807">
        <v>0</v>
      </c>
      <c r="J44" s="1805">
        <v>0</v>
      </c>
      <c r="K44" s="1820">
        <v>0</v>
      </c>
      <c r="L44" s="1432"/>
      <c r="M44" s="1432"/>
    </row>
    <row r="45" spans="1:13" ht="11.25" customHeight="1">
      <c r="A45" s="1505" t="str">
        <f>$A$14</f>
        <v>Below Minimum Service Level sub-total</v>
      </c>
      <c r="B45" s="1130"/>
      <c r="C45" s="1107">
        <f t="shared" ref="C45:K45" si="10">SUM(C40:C44)</f>
        <v>0</v>
      </c>
      <c r="D45" s="1107">
        <f t="shared" si="10"/>
        <v>0</v>
      </c>
      <c r="E45" s="1108">
        <f t="shared" si="10"/>
        <v>0</v>
      </c>
      <c r="F45" s="1109">
        <f t="shared" si="10"/>
        <v>0</v>
      </c>
      <c r="G45" s="1107">
        <f t="shared" si="10"/>
        <v>0</v>
      </c>
      <c r="H45" s="1110">
        <f t="shared" si="10"/>
        <v>0</v>
      </c>
      <c r="I45" s="1111">
        <f t="shared" si="10"/>
        <v>0</v>
      </c>
      <c r="J45" s="1107">
        <f t="shared" si="10"/>
        <v>0</v>
      </c>
      <c r="K45" s="1108">
        <f t="shared" si="10"/>
        <v>0</v>
      </c>
      <c r="L45" s="1432"/>
      <c r="M45" s="1432"/>
    </row>
    <row r="46" spans="1:13" ht="11.25" customHeight="1">
      <c r="A46" s="1138" t="str">
        <f>$A$15</f>
        <v>Total number of households</v>
      </c>
      <c r="B46" s="1130">
        <f>$B$15</f>
        <v>5</v>
      </c>
      <c r="C46" s="1139">
        <f>C39+C45</f>
        <v>0</v>
      </c>
      <c r="D46" s="1139">
        <f t="shared" ref="D46:K46" si="11">D39+D45</f>
        <v>4288000</v>
      </c>
      <c r="E46" s="1140">
        <f t="shared" si="11"/>
        <v>4288000</v>
      </c>
      <c r="F46" s="1141">
        <f t="shared" si="11"/>
        <v>4288000</v>
      </c>
      <c r="G46" s="1139">
        <f t="shared" si="11"/>
        <v>4288000</v>
      </c>
      <c r="H46" s="1142">
        <f t="shared" si="11"/>
        <v>4288000</v>
      </c>
      <c r="I46" s="1143">
        <f t="shared" si="11"/>
        <v>2593000</v>
      </c>
      <c r="J46" s="1139">
        <f t="shared" si="11"/>
        <v>2496000</v>
      </c>
      <c r="K46" s="1140">
        <f t="shared" si="11"/>
        <v>2618000</v>
      </c>
      <c r="L46" s="1432"/>
      <c r="M46" s="1432"/>
    </row>
    <row r="47" spans="1:13" ht="5.0999999999999996" customHeight="1">
      <c r="A47" s="1144"/>
      <c r="B47" s="1145"/>
      <c r="C47" s="1146"/>
      <c r="D47" s="1146"/>
      <c r="E47" s="1147"/>
      <c r="F47" s="1148"/>
      <c r="G47" s="1146"/>
      <c r="H47" s="1149"/>
      <c r="I47" s="1150"/>
      <c r="J47" s="1146"/>
      <c r="K47" s="1147"/>
      <c r="L47" s="1432"/>
      <c r="M47" s="1432"/>
    </row>
    <row r="48" spans="1:13" ht="15.75" customHeight="1">
      <c r="A48" s="1129" t="s">
        <v>202</v>
      </c>
      <c r="B48" s="1130">
        <v>7</v>
      </c>
      <c r="C48" s="1054"/>
      <c r="D48" s="1054"/>
      <c r="E48" s="1151"/>
      <c r="F48" s="1106"/>
      <c r="G48" s="1054"/>
      <c r="H48" s="1057"/>
      <c r="I48" s="1058"/>
      <c r="J48" s="1054"/>
      <c r="K48" s="1055"/>
      <c r="L48" s="1432"/>
      <c r="M48" s="1432"/>
    </row>
    <row r="49" spans="1:13" ht="11.25" customHeight="1">
      <c r="A49" s="1137" t="s">
        <v>1413</v>
      </c>
      <c r="B49" s="1130"/>
      <c r="C49" s="1805">
        <v>0</v>
      </c>
      <c r="D49" s="1805">
        <f>'[5]A10-SerDel'!$E$49</f>
        <v>1929000</v>
      </c>
      <c r="E49" s="1808">
        <f>'[5]A10-SerDel'!$F$49</f>
        <v>1929000</v>
      </c>
      <c r="F49" s="1807">
        <f>'[5]A10-SerDel'!$F$49</f>
        <v>1929000</v>
      </c>
      <c r="G49" s="1805">
        <f>'[5]A10-SerDel'!$G$49</f>
        <v>1929000</v>
      </c>
      <c r="H49" s="1808">
        <f>'[5]A10-SerDel'!$H$49</f>
        <v>1929000</v>
      </c>
      <c r="I49" s="1807">
        <v>0</v>
      </c>
      <c r="J49" s="1805">
        <v>0</v>
      </c>
      <c r="K49" s="1808">
        <v>0</v>
      </c>
      <c r="L49" s="1432"/>
      <c r="M49" s="1432"/>
    </row>
    <row r="50" spans="1:13" ht="11.25" customHeight="1">
      <c r="A50" s="1137" t="s">
        <v>393</v>
      </c>
      <c r="B50" s="1130"/>
      <c r="C50" s="1805">
        <v>0</v>
      </c>
      <c r="D50" s="1805">
        <f>'[5]A10-SerDel'!$E$50</f>
        <v>1929000</v>
      </c>
      <c r="E50" s="1808">
        <f>'[5]A10-SerDel'!$F$50</f>
        <v>1929000</v>
      </c>
      <c r="F50" s="1807">
        <f>'[5]A10-SerDel'!$F$50</f>
        <v>1929000</v>
      </c>
      <c r="G50" s="1805">
        <v>0</v>
      </c>
      <c r="H50" s="1808">
        <v>0</v>
      </c>
      <c r="I50" s="1807">
        <v>0</v>
      </c>
      <c r="J50" s="1805">
        <v>0</v>
      </c>
      <c r="K50" s="1808">
        <v>0</v>
      </c>
      <c r="L50" s="1432"/>
      <c r="M50" s="1432"/>
    </row>
    <row r="51" spans="1:13" ht="11.25" customHeight="1">
      <c r="A51" s="1137" t="s">
        <v>1415</v>
      </c>
      <c r="B51" s="1130"/>
      <c r="C51" s="1805">
        <v>0</v>
      </c>
      <c r="D51" s="1805">
        <f>'[5]A10-SerDel'!$E$51</f>
        <v>1929000</v>
      </c>
      <c r="E51" s="1808">
        <f>'[5]A10-SerDel'!$F$51</f>
        <v>1929000</v>
      </c>
      <c r="F51" s="1807">
        <f>'[5]A10-SerDel'!$F$51</f>
        <v>1929000</v>
      </c>
      <c r="G51" s="1805">
        <v>0</v>
      </c>
      <c r="H51" s="1808">
        <v>0</v>
      </c>
      <c r="I51" s="1807">
        <v>0</v>
      </c>
      <c r="J51" s="1805">
        <v>0</v>
      </c>
      <c r="K51" s="1808">
        <v>0</v>
      </c>
      <c r="L51" s="1432"/>
      <c r="M51" s="1432"/>
    </row>
    <row r="52" spans="1:13" ht="11.25" customHeight="1">
      <c r="A52" s="1291" t="s">
        <v>394</v>
      </c>
      <c r="B52" s="1145"/>
      <c r="C52" s="1839">
        <v>0</v>
      </c>
      <c r="D52" s="1839">
        <f>'[5]A10-SerDel'!$E$52</f>
        <v>1929000</v>
      </c>
      <c r="E52" s="1844">
        <f>'[5]A10-SerDel'!$F$52</f>
        <v>1929000</v>
      </c>
      <c r="F52" s="1843">
        <f>'[5]A10-SerDel'!$F$52</f>
        <v>1929000</v>
      </c>
      <c r="G52" s="1839">
        <v>0</v>
      </c>
      <c r="H52" s="1844">
        <v>0</v>
      </c>
      <c r="I52" s="1843">
        <v>0</v>
      </c>
      <c r="J52" s="1839">
        <v>0</v>
      </c>
      <c r="K52" s="1844">
        <v>0</v>
      </c>
      <c r="L52" s="1432"/>
      <c r="M52" s="1432"/>
    </row>
    <row r="53" spans="1:13" ht="4.5" customHeight="1">
      <c r="A53" s="1153"/>
      <c r="B53" s="1130"/>
      <c r="C53" s="1054"/>
      <c r="D53" s="1054"/>
      <c r="E53" s="1154"/>
      <c r="F53" s="1058"/>
      <c r="G53" s="1054"/>
      <c r="H53" s="1057"/>
      <c r="I53" s="1058"/>
      <c r="J53" s="1054"/>
      <c r="K53" s="1154"/>
      <c r="L53" s="1432"/>
      <c r="M53" s="1432"/>
    </row>
    <row r="54" spans="1:13" ht="11.25" customHeight="1">
      <c r="A54" s="1292" t="s">
        <v>408</v>
      </c>
      <c r="B54" s="1130">
        <v>8</v>
      </c>
      <c r="C54" s="1805"/>
      <c r="D54" s="1805"/>
      <c r="E54" s="1820"/>
      <c r="F54" s="1821"/>
      <c r="G54" s="1805"/>
      <c r="H54" s="1822"/>
      <c r="I54" s="1807"/>
      <c r="J54" s="1805"/>
      <c r="K54" s="1820"/>
      <c r="L54" s="1432"/>
      <c r="M54" s="1432"/>
    </row>
    <row r="55" spans="1:13" ht="11.25" customHeight="1">
      <c r="A55" s="1137" t="s">
        <v>1413</v>
      </c>
      <c r="B55" s="1130"/>
      <c r="C55" s="1805">
        <v>0</v>
      </c>
      <c r="D55" s="1805">
        <f>'[5]A10-SerDel'!$E$55</f>
        <v>96083000</v>
      </c>
      <c r="E55" s="1820">
        <f>'[5]A10-SerDel'!$F$55</f>
        <v>96083000</v>
      </c>
      <c r="F55" s="1821">
        <f>'[5]A10-SerDel'!$F$55</f>
        <v>96083000</v>
      </c>
      <c r="G55" s="1805">
        <f>'[5]A10-SerDel'!$F$55</f>
        <v>96083000</v>
      </c>
      <c r="H55" s="1822">
        <f>'[5]A10-SerDel'!$F$55</f>
        <v>96083000</v>
      </c>
      <c r="I55" s="1807">
        <v>0</v>
      </c>
      <c r="J55" s="1805">
        <v>0</v>
      </c>
      <c r="K55" s="1820">
        <v>0</v>
      </c>
      <c r="L55" s="1432"/>
      <c r="M55" s="1432"/>
    </row>
    <row r="56" spans="1:13" ht="11.25" customHeight="1">
      <c r="A56" s="1137" t="s">
        <v>1414</v>
      </c>
      <c r="B56" s="1130"/>
      <c r="C56" s="1805">
        <v>0</v>
      </c>
      <c r="D56" s="1805">
        <f>'[5]A10-SerDel'!$E$56</f>
        <v>139756000</v>
      </c>
      <c r="E56" s="1820">
        <f>'[5]A10-SerDel'!$F$56</f>
        <v>139756000</v>
      </c>
      <c r="F56" s="1821">
        <f>'[5]A10-SerDel'!$F$56</f>
        <v>139756000</v>
      </c>
      <c r="G56" s="1805">
        <f>'[5]A10-SerDel'!$F$56</f>
        <v>139756000</v>
      </c>
      <c r="H56" s="1822">
        <f>'[5]A10-SerDel'!$F$56</f>
        <v>139756000</v>
      </c>
      <c r="I56" s="1807">
        <v>0</v>
      </c>
      <c r="J56" s="1805">
        <v>0</v>
      </c>
      <c r="K56" s="1820">
        <v>0</v>
      </c>
      <c r="L56" s="1432"/>
      <c r="M56" s="1432"/>
    </row>
    <row r="57" spans="1:13" ht="11.25" customHeight="1">
      <c r="A57" s="1137" t="s">
        <v>1415</v>
      </c>
      <c r="B57" s="1130"/>
      <c r="C57" s="1805">
        <v>0</v>
      </c>
      <c r="D57" s="1805">
        <f>'[5]A10-SerDel'!$E$57</f>
        <v>139756000</v>
      </c>
      <c r="E57" s="1820">
        <f>'[5]A10-SerDel'!$F$57</f>
        <v>139756000</v>
      </c>
      <c r="F57" s="1821">
        <f>'[5]A10-SerDel'!$F$57</f>
        <v>139756000</v>
      </c>
      <c r="G57" s="1805">
        <f>'[5]A10-SerDel'!$F$57</f>
        <v>139756000</v>
      </c>
      <c r="H57" s="1822">
        <f>'[5]A10-SerDel'!$F$57</f>
        <v>139756000</v>
      </c>
      <c r="I57" s="1807">
        <v>0</v>
      </c>
      <c r="J57" s="1805">
        <v>0</v>
      </c>
      <c r="K57" s="1820">
        <v>0</v>
      </c>
      <c r="L57" s="1432"/>
      <c r="M57" s="1432"/>
    </row>
    <row r="58" spans="1:13" ht="11.25" customHeight="1">
      <c r="A58" s="1137" t="s">
        <v>1416</v>
      </c>
      <c r="B58" s="1130"/>
      <c r="C58" s="1805">
        <v>0</v>
      </c>
      <c r="D58" s="1805">
        <f>'[5]A10-SerDel'!$E$58</f>
        <v>46296000</v>
      </c>
      <c r="E58" s="1820">
        <f>'[5]A10-SerDel'!$F$58</f>
        <v>46296000</v>
      </c>
      <c r="F58" s="1821">
        <f>'[5]A10-SerDel'!$F$58</f>
        <v>46296000</v>
      </c>
      <c r="G58" s="1805">
        <f>'[5]A10-SerDel'!$F$58</f>
        <v>46296000</v>
      </c>
      <c r="H58" s="1822">
        <f>'[5]A10-SerDel'!$F$58</f>
        <v>46296000</v>
      </c>
      <c r="I58" s="1807">
        <v>0</v>
      </c>
      <c r="J58" s="1805">
        <v>0</v>
      </c>
      <c r="K58" s="1820">
        <v>0</v>
      </c>
      <c r="L58" s="1432"/>
      <c r="M58" s="1432"/>
    </row>
    <row r="59" spans="1:13" ht="11.25" customHeight="1">
      <c r="A59" s="1293" t="s">
        <v>781</v>
      </c>
      <c r="B59" s="1145"/>
      <c r="C59" s="1294">
        <f>SUM(C54:C58)</f>
        <v>0</v>
      </c>
      <c r="D59" s="1294">
        <f t="shared" ref="D59:K59" si="12">SUM(D54:D58)</f>
        <v>421891000</v>
      </c>
      <c r="E59" s="1295">
        <f t="shared" si="12"/>
        <v>421891000</v>
      </c>
      <c r="F59" s="1296">
        <f t="shared" si="12"/>
        <v>421891000</v>
      </c>
      <c r="G59" s="1294">
        <f t="shared" si="12"/>
        <v>421891000</v>
      </c>
      <c r="H59" s="1297">
        <f t="shared" si="12"/>
        <v>421891000</v>
      </c>
      <c r="I59" s="1298">
        <f t="shared" si="12"/>
        <v>0</v>
      </c>
      <c r="J59" s="1294">
        <f t="shared" si="12"/>
        <v>0</v>
      </c>
      <c r="K59" s="1295">
        <f t="shared" si="12"/>
        <v>0</v>
      </c>
      <c r="L59" s="1432"/>
      <c r="M59" s="1432"/>
    </row>
    <row r="60" spans="1:13" ht="3.75" customHeight="1">
      <c r="A60" s="1195"/>
      <c r="B60" s="1130"/>
      <c r="C60" s="1131"/>
      <c r="D60" s="1131"/>
      <c r="E60" s="1132"/>
      <c r="F60" s="1133"/>
      <c r="G60" s="1131"/>
      <c r="H60" s="1134"/>
      <c r="I60" s="1135"/>
      <c r="J60" s="1131"/>
      <c r="K60" s="1132"/>
      <c r="L60" s="1432"/>
      <c r="M60" s="1432"/>
    </row>
    <row r="61" spans="1:13" ht="11.25" customHeight="1">
      <c r="A61" s="1129" t="s">
        <v>778</v>
      </c>
      <c r="B61" s="1130"/>
      <c r="C61" s="1054"/>
      <c r="D61" s="1054"/>
      <c r="E61" s="1055"/>
      <c r="F61" s="1056"/>
      <c r="G61" s="1054"/>
      <c r="H61" s="1057"/>
      <c r="I61" s="1058"/>
      <c r="J61" s="1054"/>
      <c r="K61" s="1055"/>
      <c r="L61" s="1432"/>
      <c r="M61" s="1432"/>
    </row>
    <row r="62" spans="1:13" ht="11.25" customHeight="1">
      <c r="A62" s="1137" t="s">
        <v>2037</v>
      </c>
      <c r="B62" s="1130"/>
      <c r="C62" s="1845">
        <v>0</v>
      </c>
      <c r="D62" s="1845">
        <v>0</v>
      </c>
      <c r="E62" s="1846">
        <v>0</v>
      </c>
      <c r="F62" s="1847">
        <v>0</v>
      </c>
      <c r="G62" s="1845">
        <v>0</v>
      </c>
      <c r="H62" s="1848">
        <v>0</v>
      </c>
      <c r="I62" s="1849">
        <v>0</v>
      </c>
      <c r="J62" s="1845">
        <v>0</v>
      </c>
      <c r="K62" s="1846">
        <v>0</v>
      </c>
      <c r="L62" s="1432"/>
      <c r="M62" s="1432"/>
    </row>
    <row r="63" spans="1:13" ht="11.25" customHeight="1">
      <c r="A63" s="1137" t="s">
        <v>1504</v>
      </c>
      <c r="B63" s="1130"/>
      <c r="C63" s="1845">
        <v>0</v>
      </c>
      <c r="D63" s="1850">
        <f>'[5]A10-SerDel'!$E$63</f>
        <v>6000</v>
      </c>
      <c r="E63" s="1851">
        <f>'[5]A10-SerDel'!$F$63</f>
        <v>6000</v>
      </c>
      <c r="F63" s="1847">
        <f>'[5]A10-SerDel'!$F$63</f>
        <v>6000</v>
      </c>
      <c r="G63" s="1850">
        <f>'[5]A10-SerDel'!$F$63</f>
        <v>6000</v>
      </c>
      <c r="H63" s="1852">
        <f>'[5]A10-SerDel'!$F$63</f>
        <v>6000</v>
      </c>
      <c r="I63" s="1853">
        <v>0</v>
      </c>
      <c r="J63" s="1845">
        <v>0</v>
      </c>
      <c r="K63" s="1846">
        <v>0</v>
      </c>
      <c r="L63" s="1432"/>
      <c r="M63" s="1432"/>
    </row>
    <row r="64" spans="1:13" ht="11.25" customHeight="1">
      <c r="A64" s="1137" t="s">
        <v>1505</v>
      </c>
      <c r="B64" s="1130"/>
      <c r="C64" s="1845">
        <v>0</v>
      </c>
      <c r="D64" s="1845">
        <f>'[5]A10-SerDel'!$E$64</f>
        <v>6000</v>
      </c>
      <c r="E64" s="1846">
        <f>'[5]A10-SerDel'!$F$64</f>
        <v>6000</v>
      </c>
      <c r="F64" s="1847">
        <f>'[5]A10-SerDel'!$F$64</f>
        <v>6000</v>
      </c>
      <c r="G64" s="1850">
        <f>'[5]A10-SerDel'!$F$64</f>
        <v>6000</v>
      </c>
      <c r="H64" s="1852">
        <f>'[5]A10-SerDel'!$F$64</f>
        <v>6000</v>
      </c>
      <c r="I64" s="1849">
        <v>0</v>
      </c>
      <c r="J64" s="1845">
        <v>0</v>
      </c>
      <c r="K64" s="1846">
        <v>0</v>
      </c>
      <c r="L64" s="1432"/>
      <c r="M64" s="1432"/>
    </row>
    <row r="65" spans="1:13" ht="11.25" customHeight="1">
      <c r="A65" s="1137" t="s">
        <v>720</v>
      </c>
      <c r="B65" s="1130"/>
      <c r="C65" s="1845">
        <v>0</v>
      </c>
      <c r="D65" s="1845">
        <f>'[5]A10-SerDel'!$E$65</f>
        <v>6000</v>
      </c>
      <c r="E65" s="1846">
        <f>'[5]A10-SerDel'!$F$65</f>
        <v>6000</v>
      </c>
      <c r="F65" s="1847">
        <f>'[5]A10-SerDel'!$F$65</f>
        <v>6000</v>
      </c>
      <c r="G65" s="1850">
        <f>'[5]A10-SerDel'!$F$65</f>
        <v>6000</v>
      </c>
      <c r="H65" s="1852">
        <f>'[5]A10-SerDel'!$F$65</f>
        <v>6000</v>
      </c>
      <c r="I65" s="1849">
        <v>0</v>
      </c>
      <c r="J65" s="1845">
        <v>0</v>
      </c>
      <c r="K65" s="1846">
        <v>0</v>
      </c>
      <c r="L65" s="1432"/>
      <c r="M65" s="1432"/>
    </row>
    <row r="66" spans="1:13" ht="11.25" customHeight="1">
      <c r="A66" s="1137" t="s">
        <v>395</v>
      </c>
      <c r="B66" s="1130"/>
      <c r="C66" s="1845">
        <v>0</v>
      </c>
      <c r="D66" s="1850">
        <f>'[5]A10-SerDel'!$E$66</f>
        <v>50000</v>
      </c>
      <c r="E66" s="1851">
        <f>'[5]A10-SerDel'!$F$66</f>
        <v>50000</v>
      </c>
      <c r="F66" s="1847">
        <f>'[5]A10-SerDel'!$F$66</f>
        <v>50000</v>
      </c>
      <c r="G66" s="1850">
        <f>'[5]A10-SerDel'!$F$66</f>
        <v>50000</v>
      </c>
      <c r="H66" s="1852">
        <f>'[5]A10-SerDel'!$F$66</f>
        <v>50000</v>
      </c>
      <c r="I66" s="1853">
        <v>0</v>
      </c>
      <c r="J66" s="1845">
        <v>0</v>
      </c>
      <c r="K66" s="1846">
        <v>0</v>
      </c>
      <c r="L66" s="1432"/>
      <c r="M66" s="1432"/>
    </row>
    <row r="67" spans="1:13" ht="11.25" customHeight="1">
      <c r="A67" s="1152" t="s">
        <v>724</v>
      </c>
      <c r="B67" s="1145"/>
      <c r="C67" s="1854">
        <v>0</v>
      </c>
      <c r="D67" s="1854">
        <v>0</v>
      </c>
      <c r="E67" s="1855">
        <v>0</v>
      </c>
      <c r="F67" s="1856">
        <v>0</v>
      </c>
      <c r="G67" s="1857">
        <v>0</v>
      </c>
      <c r="H67" s="1858">
        <v>0</v>
      </c>
      <c r="I67" s="1859">
        <v>0</v>
      </c>
      <c r="J67" s="1854">
        <v>0</v>
      </c>
      <c r="K67" s="1855">
        <v>0</v>
      </c>
      <c r="L67" s="1432"/>
      <c r="M67" s="1432"/>
    </row>
    <row r="68" spans="1:13" ht="15.75" customHeight="1">
      <c r="A68" s="1129" t="s">
        <v>396</v>
      </c>
      <c r="B68" s="1130">
        <v>9</v>
      </c>
      <c r="C68" s="1054"/>
      <c r="D68" s="1054"/>
      <c r="E68" s="1055"/>
      <c r="F68" s="1056"/>
      <c r="G68" s="1054"/>
      <c r="H68" s="1057"/>
      <c r="I68" s="1058"/>
      <c r="J68" s="1054"/>
      <c r="K68" s="1055"/>
      <c r="L68" s="1432"/>
      <c r="M68" s="1432"/>
    </row>
    <row r="69" spans="1:13" ht="11.25" customHeight="1">
      <c r="A69" s="1137" t="s">
        <v>397</v>
      </c>
      <c r="B69" s="1130"/>
      <c r="C69" s="1805">
        <v>0</v>
      </c>
      <c r="D69" s="1805">
        <v>0</v>
      </c>
      <c r="E69" s="1820">
        <v>0</v>
      </c>
      <c r="F69" s="1821">
        <v>0</v>
      </c>
      <c r="G69" s="1805">
        <v>0</v>
      </c>
      <c r="H69" s="1822">
        <v>0</v>
      </c>
      <c r="I69" s="1807">
        <v>0</v>
      </c>
      <c r="J69" s="1805">
        <v>0</v>
      </c>
      <c r="K69" s="1820">
        <v>0</v>
      </c>
      <c r="L69" s="1432"/>
      <c r="M69" s="1432"/>
    </row>
    <row r="70" spans="1:13" ht="11.25" customHeight="1">
      <c r="A70" s="1137" t="s">
        <v>779</v>
      </c>
      <c r="B70" s="1130"/>
      <c r="C70" s="1805">
        <v>0</v>
      </c>
      <c r="D70" s="1805">
        <v>0</v>
      </c>
      <c r="E70" s="1820">
        <v>0</v>
      </c>
      <c r="F70" s="1821">
        <v>0</v>
      </c>
      <c r="G70" s="1805">
        <v>0</v>
      </c>
      <c r="H70" s="1822">
        <v>0</v>
      </c>
      <c r="I70" s="1807">
        <v>0</v>
      </c>
      <c r="J70" s="1805">
        <v>0</v>
      </c>
      <c r="K70" s="1820">
        <v>0</v>
      </c>
      <c r="L70" s="1432"/>
      <c r="M70" s="1432"/>
    </row>
    <row r="71" spans="1:13" ht="11.25" customHeight="1">
      <c r="A71" s="1137" t="s">
        <v>1018</v>
      </c>
      <c r="B71" s="1130"/>
      <c r="C71" s="1805">
        <v>0</v>
      </c>
      <c r="D71" s="1805">
        <f>'[5]A10-SerDel'!$E$71</f>
        <v>918502</v>
      </c>
      <c r="E71" s="1820">
        <f>'[5]A10-SerDel'!$F$71</f>
        <v>918502</v>
      </c>
      <c r="F71" s="1821">
        <f>'[5]A10-SerDel'!$F$71</f>
        <v>918502</v>
      </c>
      <c r="G71" s="1805">
        <f>'[5]A10-SerDel'!$F$71</f>
        <v>918502</v>
      </c>
      <c r="H71" s="1822">
        <f>'[5]A10-SerDel'!$F$71</f>
        <v>918502</v>
      </c>
      <c r="I71" s="1807">
        <v>0</v>
      </c>
      <c r="J71" s="1805">
        <v>0</v>
      </c>
      <c r="K71" s="1820">
        <v>0</v>
      </c>
      <c r="L71" s="1432"/>
      <c r="M71" s="1432"/>
    </row>
    <row r="72" spans="1:13" ht="11.25" customHeight="1">
      <c r="A72" s="1137" t="s">
        <v>1019</v>
      </c>
      <c r="B72" s="1130"/>
      <c r="C72" s="1805">
        <v>0</v>
      </c>
      <c r="D72" s="1805">
        <f>'[5]A10-SerDel'!$E$72</f>
        <v>499442</v>
      </c>
      <c r="E72" s="1820">
        <f>'[5]A10-SerDel'!$F$72</f>
        <v>499442</v>
      </c>
      <c r="F72" s="1821">
        <f>'[5]A10-SerDel'!$F$72</f>
        <v>499442</v>
      </c>
      <c r="G72" s="1805">
        <f>'[5]A10-SerDel'!$F$72</f>
        <v>499442</v>
      </c>
      <c r="H72" s="1822">
        <f>'[5]A10-SerDel'!$F$72</f>
        <v>499442</v>
      </c>
      <c r="I72" s="1807">
        <v>0</v>
      </c>
      <c r="J72" s="1805">
        <v>0</v>
      </c>
      <c r="K72" s="1820">
        <v>0</v>
      </c>
      <c r="L72" s="1432"/>
      <c r="M72" s="1432"/>
    </row>
    <row r="73" spans="1:13" ht="11.25" customHeight="1">
      <c r="A73" s="1137" t="s">
        <v>1937</v>
      </c>
      <c r="B73" s="1130"/>
      <c r="C73" s="1805">
        <v>0</v>
      </c>
      <c r="D73" s="1805">
        <v>0</v>
      </c>
      <c r="E73" s="1820">
        <v>0</v>
      </c>
      <c r="F73" s="1821">
        <v>0</v>
      </c>
      <c r="G73" s="1805">
        <v>0</v>
      </c>
      <c r="H73" s="1822">
        <v>0</v>
      </c>
      <c r="I73" s="1807">
        <v>0</v>
      </c>
      <c r="J73" s="1805">
        <v>0</v>
      </c>
      <c r="K73" s="1820">
        <v>0</v>
      </c>
      <c r="L73" s="1432"/>
      <c r="M73" s="1432"/>
    </row>
    <row r="74" spans="1:13" ht="11.25" customHeight="1">
      <c r="A74" s="1137" t="s">
        <v>1386</v>
      </c>
      <c r="B74" s="1130"/>
      <c r="C74" s="1805">
        <v>0</v>
      </c>
      <c r="D74" s="1805">
        <f>'[5]A10-SerDel'!$E$74</f>
        <v>499442</v>
      </c>
      <c r="E74" s="1820">
        <f>'[5]A10-SerDel'!$F$74</f>
        <v>499442</v>
      </c>
      <c r="F74" s="1821">
        <f>'[5]A10-SerDel'!$F$74</f>
        <v>499442</v>
      </c>
      <c r="G74" s="1805">
        <f>'[5]A10-SerDel'!$F$74</f>
        <v>499442</v>
      </c>
      <c r="H74" s="1822">
        <f>'[5]A10-SerDel'!$G$74</f>
        <v>499442</v>
      </c>
      <c r="I74" s="1807">
        <v>0</v>
      </c>
      <c r="J74" s="1805">
        <v>0</v>
      </c>
      <c r="K74" s="1820">
        <v>0</v>
      </c>
      <c r="L74" s="1432"/>
      <c r="M74" s="1432"/>
    </row>
    <row r="75" spans="1:13" ht="11.25" customHeight="1">
      <c r="A75" s="1137" t="s">
        <v>398</v>
      </c>
      <c r="B75" s="1130"/>
      <c r="C75" s="1805">
        <v>0</v>
      </c>
      <c r="D75" s="1805">
        <v>0</v>
      </c>
      <c r="E75" s="1820">
        <v>0</v>
      </c>
      <c r="F75" s="1821">
        <v>0</v>
      </c>
      <c r="G75" s="1805">
        <v>0</v>
      </c>
      <c r="H75" s="1822">
        <v>0</v>
      </c>
      <c r="I75" s="1807">
        <v>0</v>
      </c>
      <c r="J75" s="1805">
        <v>0</v>
      </c>
      <c r="K75" s="1820">
        <v>0</v>
      </c>
      <c r="L75" s="1432"/>
      <c r="M75" s="1432"/>
    </row>
    <row r="76" spans="1:13" ht="11.25" customHeight="1">
      <c r="A76" s="1137" t="s">
        <v>399</v>
      </c>
      <c r="B76" s="1130">
        <v>6</v>
      </c>
      <c r="C76" s="1805">
        <v>0</v>
      </c>
      <c r="D76" s="1805">
        <v>0</v>
      </c>
      <c r="E76" s="1820">
        <v>0</v>
      </c>
      <c r="F76" s="1821">
        <v>0</v>
      </c>
      <c r="G76" s="1805">
        <v>0</v>
      </c>
      <c r="H76" s="1822">
        <v>0</v>
      </c>
      <c r="I76" s="1807">
        <v>0</v>
      </c>
      <c r="J76" s="1805">
        <v>0</v>
      </c>
      <c r="K76" s="1820">
        <v>0</v>
      </c>
      <c r="L76" s="1432"/>
      <c r="M76" s="1432"/>
    </row>
    <row r="77" spans="1:13" ht="11.25" customHeight="1">
      <c r="A77" s="1137" t="s">
        <v>297</v>
      </c>
      <c r="B77" s="1130"/>
      <c r="C77" s="1805">
        <v>0</v>
      </c>
      <c r="D77" s="1805">
        <v>0</v>
      </c>
      <c r="E77" s="1820">
        <v>0</v>
      </c>
      <c r="F77" s="1821">
        <v>0</v>
      </c>
      <c r="G77" s="1805">
        <v>0</v>
      </c>
      <c r="H77" s="1822">
        <v>0</v>
      </c>
      <c r="I77" s="1807">
        <v>0</v>
      </c>
      <c r="J77" s="1805">
        <v>0</v>
      </c>
      <c r="K77" s="1820">
        <v>0</v>
      </c>
      <c r="L77" s="1432"/>
      <c r="M77" s="1432"/>
    </row>
    <row r="78" spans="1:13" ht="25.5">
      <c r="A78" s="1363" t="s">
        <v>400</v>
      </c>
      <c r="B78" s="1155"/>
      <c r="C78" s="1156">
        <f t="shared" ref="C78:I78" si="13">SUM(C69:C77)</f>
        <v>0</v>
      </c>
      <c r="D78" s="1156">
        <f t="shared" si="13"/>
        <v>1917386</v>
      </c>
      <c r="E78" s="1157">
        <f t="shared" si="13"/>
        <v>1917386</v>
      </c>
      <c r="F78" s="1158">
        <f t="shared" si="13"/>
        <v>1917386</v>
      </c>
      <c r="G78" s="1156">
        <f t="shared" si="13"/>
        <v>1917386</v>
      </c>
      <c r="H78" s="1159">
        <f t="shared" si="13"/>
        <v>1917386</v>
      </c>
      <c r="I78" s="1160">
        <f t="shared" si="13"/>
        <v>0</v>
      </c>
      <c r="J78" s="1156">
        <f>SUM(J69:J77)</f>
        <v>0</v>
      </c>
      <c r="K78" s="1157">
        <f>SUM(K69:K77)</f>
        <v>0</v>
      </c>
      <c r="L78" s="1432"/>
      <c r="M78" s="1432"/>
    </row>
    <row r="79" spans="1:13" ht="11.25" hidden="1" customHeight="1">
      <c r="A79" s="1161" t="str">
        <f>head27a</f>
        <v>References</v>
      </c>
      <c r="B79" s="691"/>
      <c r="L79" s="1432"/>
      <c r="M79" s="1432"/>
    </row>
    <row r="80" spans="1:13" ht="11.25" hidden="1" customHeight="1">
      <c r="A80" s="1162" t="s">
        <v>534</v>
      </c>
      <c r="B80" s="691"/>
    </row>
    <row r="81" spans="1:11" ht="11.25" hidden="1" customHeight="1">
      <c r="A81" s="1162" t="s">
        <v>535</v>
      </c>
      <c r="B81" s="691"/>
    </row>
    <row r="82" spans="1:11" ht="11.25" hidden="1" customHeight="1">
      <c r="A82" s="1162" t="s">
        <v>536</v>
      </c>
      <c r="B82" s="691"/>
    </row>
    <row r="83" spans="1:11" ht="11.25" hidden="1" customHeight="1">
      <c r="A83" s="1162" t="s">
        <v>537</v>
      </c>
      <c r="B83" s="1163"/>
      <c r="C83" s="1163"/>
      <c r="D83" s="1163"/>
      <c r="E83" s="1163"/>
      <c r="F83" s="1163"/>
      <c r="G83" s="1163"/>
      <c r="H83" s="1163"/>
      <c r="I83" s="1163"/>
      <c r="J83" s="1163"/>
      <c r="K83" s="1163"/>
    </row>
    <row r="84" spans="1:11" ht="11.25" hidden="1" customHeight="1">
      <c r="A84" s="1162" t="s">
        <v>538</v>
      </c>
      <c r="B84" s="1163"/>
      <c r="C84" s="1163"/>
      <c r="D84" s="1163"/>
      <c r="E84" s="1163"/>
      <c r="F84" s="1163"/>
      <c r="G84" s="1163"/>
      <c r="H84" s="1163"/>
      <c r="I84" s="1163"/>
      <c r="J84" s="1163"/>
      <c r="K84" s="1163"/>
    </row>
    <row r="85" spans="1:11" ht="11.25" hidden="1" customHeight="1">
      <c r="A85" s="1162" t="s">
        <v>539</v>
      </c>
      <c r="B85" s="1163"/>
      <c r="C85" s="1163"/>
      <c r="D85" s="1163"/>
      <c r="E85" s="1163"/>
      <c r="F85" s="1163"/>
      <c r="G85" s="1163"/>
      <c r="H85" s="1163"/>
      <c r="I85" s="1163"/>
      <c r="J85" s="1163"/>
      <c r="K85" s="1163"/>
    </row>
    <row r="86" spans="1:11" ht="11.25" hidden="1" customHeight="1">
      <c r="A86" s="1162" t="s">
        <v>782</v>
      </c>
      <c r="B86" s="1163"/>
      <c r="C86" s="1163"/>
      <c r="D86" s="1163"/>
      <c r="E86" s="1163"/>
      <c r="F86" s="1163"/>
      <c r="G86" s="1163"/>
      <c r="H86" s="1163"/>
      <c r="I86" s="1163"/>
      <c r="J86" s="1163"/>
      <c r="K86" s="1163"/>
    </row>
    <row r="87" spans="1:11" ht="11.25" hidden="1" customHeight="1">
      <c r="A87" s="1162" t="s">
        <v>873</v>
      </c>
      <c r="B87" s="1163"/>
      <c r="C87" s="1163"/>
      <c r="D87" s="1163"/>
      <c r="E87" s="1163"/>
      <c r="F87" s="1163"/>
      <c r="G87" s="1163"/>
      <c r="H87" s="1163"/>
      <c r="I87" s="1163"/>
      <c r="J87" s="1163"/>
      <c r="K87" s="1163"/>
    </row>
    <row r="88" spans="1:11" ht="11.25" hidden="1" customHeight="1">
      <c r="A88" s="1162" t="s">
        <v>1654</v>
      </c>
      <c r="B88" s="1162"/>
      <c r="C88" s="1163"/>
      <c r="D88" s="1163"/>
      <c r="E88" s="1163"/>
      <c r="F88" s="1163"/>
      <c r="G88" s="1163"/>
      <c r="H88" s="1163"/>
      <c r="I88" s="1163"/>
      <c r="J88" s="1163"/>
      <c r="K88" s="1163"/>
    </row>
    <row r="89" spans="1:11" ht="11.25" hidden="1" customHeight="1">
      <c r="A89" s="1163"/>
      <c r="B89" s="1163"/>
      <c r="C89" s="1163"/>
      <c r="D89" s="1163"/>
      <c r="E89" s="1163"/>
      <c r="F89" s="1163"/>
      <c r="G89" s="1163"/>
      <c r="H89" s="1163"/>
      <c r="I89" s="1163"/>
      <c r="J89" s="1163"/>
      <c r="K89" s="1163"/>
    </row>
    <row r="90" spans="1:11" ht="11.25" hidden="1" customHeight="1">
      <c r="A90" s="1163"/>
      <c r="B90" s="1163"/>
      <c r="C90" s="1163"/>
      <c r="D90" s="1163"/>
      <c r="E90" s="1163"/>
      <c r="F90" s="1163"/>
      <c r="G90" s="1163"/>
      <c r="H90" s="1163"/>
      <c r="I90" s="1163"/>
      <c r="J90" s="1163"/>
      <c r="K90" s="1163"/>
    </row>
    <row r="91" spans="1:11" ht="11.25" hidden="1" customHeight="1">
      <c r="A91" s="1163"/>
      <c r="B91" s="1163"/>
      <c r="C91" s="1163"/>
      <c r="D91" s="1163"/>
      <c r="E91" s="1163"/>
      <c r="F91" s="1163"/>
      <c r="G91" s="1163"/>
      <c r="H91" s="1163"/>
      <c r="I91" s="1163"/>
      <c r="J91" s="1163"/>
      <c r="K91" s="1163"/>
    </row>
    <row r="92" spans="1:11" ht="11.25" hidden="1" customHeight="1">
      <c r="A92" s="1163"/>
      <c r="B92" s="1163"/>
      <c r="C92" s="1163"/>
      <c r="D92" s="1163"/>
      <c r="E92" s="1163"/>
      <c r="F92" s="1163"/>
      <c r="G92" s="1163"/>
      <c r="H92" s="1163"/>
      <c r="I92" s="1163"/>
      <c r="J92" s="1163"/>
      <c r="K92" s="1163"/>
    </row>
    <row r="93" spans="1:11" ht="11.25" hidden="1" customHeight="1">
      <c r="A93" s="1163"/>
      <c r="B93" s="1163"/>
      <c r="C93" s="1163"/>
      <c r="D93" s="1163"/>
      <c r="E93" s="1163"/>
      <c r="F93" s="1163"/>
      <c r="G93" s="1163"/>
      <c r="H93" s="1163"/>
      <c r="I93" s="1163"/>
      <c r="J93" s="1163"/>
      <c r="K93" s="1163"/>
    </row>
    <row r="94" spans="1:11" ht="11.25" hidden="1" customHeight="1">
      <c r="A94" s="1163"/>
      <c r="B94" s="1163"/>
      <c r="C94" s="1163"/>
      <c r="D94" s="1163"/>
      <c r="E94" s="1163"/>
      <c r="F94" s="1163"/>
      <c r="G94" s="1163"/>
      <c r="H94" s="1163"/>
      <c r="I94" s="1163"/>
      <c r="J94" s="1163"/>
      <c r="K94" s="1163"/>
    </row>
    <row r="95" spans="1:11" ht="11.25" hidden="1" customHeight="1">
      <c r="A95" s="1163"/>
      <c r="B95" s="1163"/>
      <c r="C95" s="1163"/>
      <c r="D95" s="1163"/>
      <c r="E95" s="1163"/>
      <c r="F95" s="1163"/>
      <c r="G95" s="1163"/>
      <c r="H95" s="1163"/>
      <c r="I95" s="1163"/>
      <c r="J95" s="1163"/>
      <c r="K95" s="1163"/>
    </row>
    <row r="96" spans="1:11" ht="11.25" hidden="1" customHeight="1">
      <c r="A96" s="1163"/>
      <c r="B96" s="1163"/>
      <c r="C96" s="1163"/>
      <c r="D96" s="1163"/>
      <c r="E96" s="1163"/>
      <c r="F96" s="1163"/>
      <c r="G96" s="1163"/>
      <c r="H96" s="1163"/>
      <c r="I96" s="1163"/>
      <c r="J96" s="1163"/>
      <c r="K96" s="1163"/>
    </row>
    <row r="97" spans="1:11" ht="11.25" hidden="1" customHeight="1">
      <c r="A97" s="1163"/>
      <c r="B97" s="1163"/>
      <c r="C97" s="1163"/>
      <c r="D97" s="1163"/>
      <c r="E97" s="1163"/>
      <c r="F97" s="1163"/>
      <c r="G97" s="1163"/>
      <c r="H97" s="1163"/>
      <c r="I97" s="1163"/>
      <c r="J97" s="1163"/>
      <c r="K97" s="1163"/>
    </row>
    <row r="98" spans="1:11" ht="11.25" hidden="1" customHeight="1">
      <c r="A98" s="1163"/>
      <c r="B98" s="1163"/>
      <c r="C98" s="1163"/>
      <c r="D98" s="1163"/>
      <c r="E98" s="1163"/>
      <c r="F98" s="1163"/>
      <c r="G98" s="1163"/>
      <c r="H98" s="1163"/>
      <c r="I98" s="1163"/>
      <c r="J98" s="1163"/>
      <c r="K98" s="1163"/>
    </row>
    <row r="99" spans="1:11" ht="11.25" hidden="1" customHeight="1">
      <c r="B99" s="691"/>
    </row>
    <row r="100" spans="1:11" ht="11.25" customHeight="1">
      <c r="B100" s="691"/>
    </row>
    <row r="101" spans="1:11" ht="11.25" customHeight="1">
      <c r="B101" s="691"/>
    </row>
    <row r="102" spans="1:11" ht="11.25" customHeight="1">
      <c r="B102" s="691"/>
    </row>
    <row r="103" spans="1:11" ht="11.25" customHeight="1">
      <c r="B103" s="691"/>
    </row>
    <row r="104" spans="1:11" ht="11.25" customHeight="1">
      <c r="B104" s="691"/>
    </row>
    <row r="105" spans="1:11" ht="11.25" customHeight="1">
      <c r="B105" s="691"/>
    </row>
    <row r="106" spans="1:11" ht="11.25" customHeight="1">
      <c r="B106" s="691"/>
    </row>
    <row r="107" spans="1:11" ht="11.25" customHeight="1">
      <c r="B107" s="691"/>
    </row>
    <row r="108" spans="1:11" ht="11.25" customHeight="1">
      <c r="B108" s="691"/>
    </row>
    <row r="109" spans="1:11" ht="11.25" customHeight="1">
      <c r="B109" s="691"/>
    </row>
    <row r="110" spans="1:11" ht="11.25" customHeight="1">
      <c r="B110" s="691"/>
    </row>
    <row r="111" spans="1:11" ht="11.25" customHeight="1">
      <c r="B111" s="691"/>
    </row>
    <row r="112" spans="1:11"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sheetData>
  <sheetProtection password="A35B" sheet="1" objects="1" scenarios="1"/>
  <mergeCells count="4">
    <mergeCell ref="F2:H2"/>
    <mergeCell ref="I2:K2"/>
    <mergeCell ref="A2:A3"/>
    <mergeCell ref="B2:B3"/>
  </mergeCells>
  <phoneticPr fontId="3" type="noConversion"/>
  <dataValidations count="1">
    <dataValidation type="decimal" allowBlank="1" showInputMessage="1" showErrorMessage="1" sqref="C6:K9 C11:K13 C17:K21 C23:K25 C29:K30 C32:K34 C38:K38 C40:K44 C49:K52 C54:K58 C62:K67 C69:K77">
      <formula1>-9999999999999990000</formula1>
      <formula2>99999999999999900000</formula2>
    </dataValidation>
  </dataValidations>
  <printOptions horizontalCentered="1"/>
  <pageMargins left="0" right="0" top="0.78740157480314965" bottom="0.59055118110236227" header="0.51181102362204722" footer="0.39370078740157483"/>
  <pageSetup paperSize="9" scale="82"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1" enableFormatConditionsCalculation="0">
    <tabColor indexed="46"/>
  </sheetPr>
  <dimension ref="D2:AJ288"/>
  <sheetViews>
    <sheetView showGridLines="0" view="pageBreakPreview" topLeftCell="A4" zoomScale="60" workbookViewId="0">
      <selection activeCell="K47" sqref="K47"/>
    </sheetView>
  </sheetViews>
  <sheetFormatPr defaultRowHeight="12.75"/>
  <cols>
    <col min="19" max="22" width="9.140625" style="1479"/>
    <col min="23" max="23" width="19.7109375" style="1480" customWidth="1"/>
    <col min="24" max="25" width="9.140625" style="1480"/>
    <col min="26" max="26" width="9.140625" style="1479"/>
    <col min="27" max="27" width="13" style="1479" customWidth="1"/>
    <col min="28" max="28" width="24.85546875" style="1479" customWidth="1"/>
    <col min="29" max="36" width="9.140625" style="1479"/>
  </cols>
  <sheetData>
    <row r="2" spans="4:29">
      <c r="D2">
        <v>2020</v>
      </c>
    </row>
    <row r="4" spans="4:29">
      <c r="X4" s="1481" t="s">
        <v>443</v>
      </c>
    </row>
    <row r="5" spans="4:29">
      <c r="X5" s="1481" t="s">
        <v>879</v>
      </c>
    </row>
    <row r="6" spans="4:29">
      <c r="AB6" s="1489"/>
      <c r="AC6" s="1382"/>
    </row>
    <row r="7" spans="4:29">
      <c r="W7" s="1481" t="s">
        <v>947</v>
      </c>
      <c r="X7" s="1481" t="s">
        <v>268</v>
      </c>
      <c r="AB7" s="1489"/>
      <c r="AC7" s="1387"/>
    </row>
    <row r="8" spans="4:29">
      <c r="X8" s="1481" t="s">
        <v>1922</v>
      </c>
      <c r="AB8" s="1489"/>
      <c r="AC8" s="1382"/>
    </row>
    <row r="9" spans="4:29">
      <c r="AB9" s="1489"/>
      <c r="AC9" s="1382"/>
    </row>
    <row r="10" spans="4:29">
      <c r="AB10" s="1489"/>
      <c r="AC10" s="1382"/>
    </row>
    <row r="11" spans="4:29">
      <c r="AB11" s="1489"/>
      <c r="AC11" s="1382"/>
    </row>
    <row r="12" spans="4:29">
      <c r="AB12" s="1489"/>
      <c r="AC12" s="1382"/>
    </row>
    <row r="13" spans="4:29">
      <c r="AB13" s="1489"/>
      <c r="AC13" s="1387"/>
    </row>
    <row r="14" spans="4:29">
      <c r="AB14" s="1489"/>
      <c r="AC14" s="1382"/>
    </row>
    <row r="15" spans="4:29">
      <c r="AB15" s="1489"/>
      <c r="AC15" s="1370"/>
    </row>
    <row r="16" spans="4:29">
      <c r="AB16" s="1489"/>
      <c r="AC16" s="1370"/>
    </row>
    <row r="17" spans="23:29">
      <c r="W17" s="1481" t="s">
        <v>946</v>
      </c>
      <c r="X17" s="1481">
        <v>2008</v>
      </c>
      <c r="AB17" s="1489"/>
      <c r="AC17" s="1370"/>
    </row>
    <row r="18" spans="23:29">
      <c r="X18" s="1481">
        <v>2009</v>
      </c>
      <c r="AB18" s="1489"/>
      <c r="AC18" s="1370"/>
    </row>
    <row r="19" spans="23:29">
      <c r="X19" s="1481">
        <v>2010</v>
      </c>
      <c r="AB19" s="1489"/>
      <c r="AC19" s="1370"/>
    </row>
    <row r="20" spans="23:29">
      <c r="X20" s="1481">
        <v>2011</v>
      </c>
      <c r="AB20" s="1489"/>
      <c r="AC20" s="1370"/>
    </row>
    <row r="21" spans="23:29">
      <c r="X21" s="1481">
        <v>2012</v>
      </c>
      <c r="AB21" s="1489"/>
      <c r="AC21" s="1370"/>
    </row>
    <row r="22" spans="23:29">
      <c r="X22" s="1481">
        <v>2013</v>
      </c>
      <c r="AB22" s="1489"/>
      <c r="AC22" s="1370"/>
    </row>
    <row r="23" spans="23:29">
      <c r="X23" s="1481">
        <v>2014</v>
      </c>
      <c r="AB23" s="1489"/>
      <c r="AC23" s="1370"/>
    </row>
    <row r="24" spans="23:29">
      <c r="X24" s="1481">
        <v>2015</v>
      </c>
      <c r="AB24" s="1489"/>
      <c r="AC24" s="1370"/>
    </row>
    <row r="25" spans="23:29">
      <c r="X25" s="1481">
        <v>2016</v>
      </c>
      <c r="AB25" s="1489"/>
      <c r="AC25" s="1370"/>
    </row>
    <row r="26" spans="23:29">
      <c r="X26" s="1481">
        <v>2017</v>
      </c>
      <c r="AB26" s="1489"/>
      <c r="AC26" s="1370"/>
    </row>
    <row r="27" spans="23:29">
      <c r="X27" s="1481">
        <v>2018</v>
      </c>
      <c r="AB27" s="1489"/>
      <c r="AC27" s="1370"/>
    </row>
    <row r="28" spans="23:29">
      <c r="X28" s="1481">
        <v>2019</v>
      </c>
      <c r="AB28" s="1489"/>
      <c r="AC28" s="1370"/>
    </row>
    <row r="29" spans="23:29">
      <c r="X29" s="1481">
        <v>2020</v>
      </c>
      <c r="AB29" s="1489"/>
      <c r="AC29" s="1370"/>
    </row>
    <row r="30" spans="23:29">
      <c r="X30" s="1481">
        <v>2021</v>
      </c>
      <c r="AB30" s="1489"/>
      <c r="AC30" s="1370"/>
    </row>
    <row r="31" spans="23:29">
      <c r="X31" s="1481">
        <v>2022</v>
      </c>
      <c r="AB31" s="1489"/>
      <c r="AC31" s="1370"/>
    </row>
    <row r="32" spans="23:29">
      <c r="AB32" s="1489"/>
      <c r="AC32" s="1370"/>
    </row>
    <row r="33" spans="15:29">
      <c r="W33" s="1481" t="s">
        <v>1923</v>
      </c>
      <c r="X33" s="1480">
        <v>4</v>
      </c>
      <c r="AB33" s="1489"/>
      <c r="AC33" s="1381"/>
    </row>
    <row r="34" spans="15:29">
      <c r="W34" s="1481" t="s">
        <v>1921</v>
      </c>
      <c r="X34" s="1482">
        <f>INDEX(X17:X31,X33,1)</f>
        <v>2011</v>
      </c>
      <c r="AB34" s="1489"/>
      <c r="AC34" s="1413"/>
    </row>
    <row r="35" spans="15:29">
      <c r="AB35" s="1489"/>
      <c r="AC35" s="1413"/>
    </row>
    <row r="36" spans="15:29">
      <c r="W36" s="1481" t="s">
        <v>1924</v>
      </c>
      <c r="X36" s="1483" t="str">
        <f>MTREF&amp;"/"&amp;RIGHT(MTREF,2)+1</f>
        <v>2011/12</v>
      </c>
      <c r="AB36" s="1489"/>
      <c r="AC36" s="1370"/>
    </row>
    <row r="37" spans="15:29">
      <c r="O37" s="1673"/>
      <c r="AB37" s="1489"/>
      <c r="AC37" s="1370"/>
    </row>
    <row r="38" spans="15:29">
      <c r="O38" s="1673"/>
      <c r="AB38" s="1489"/>
      <c r="AC38" s="1370"/>
    </row>
    <row r="39" spans="15:29">
      <c r="O39" s="1673"/>
      <c r="AB39" s="1489"/>
      <c r="AC39" s="1370"/>
    </row>
    <row r="40" spans="15:29">
      <c r="O40" s="1674"/>
      <c r="AB40" s="1489"/>
      <c r="AC40" s="1370"/>
    </row>
    <row r="41" spans="15:29">
      <c r="AB41" s="1489"/>
      <c r="AC41" s="1370"/>
    </row>
    <row r="42" spans="15:29">
      <c r="AB42" s="1489"/>
      <c r="AC42" s="1370"/>
    </row>
    <row r="43" spans="15:29">
      <c r="AB43" s="1489"/>
      <c r="AC43" s="1370"/>
    </row>
    <row r="44" spans="15:29">
      <c r="AB44" s="1489"/>
      <c r="AC44" s="1370"/>
    </row>
    <row r="45" spans="15:29">
      <c r="AB45" s="1489"/>
      <c r="AC45" s="1370"/>
    </row>
    <row r="46" spans="15:29">
      <c r="AB46" s="1489"/>
      <c r="AC46" s="1370"/>
    </row>
    <row r="47" spans="15:29">
      <c r="AB47" s="1489"/>
      <c r="AC47" s="1370"/>
    </row>
    <row r="48" spans="15:29">
      <c r="AB48" s="1489"/>
      <c r="AC48" s="1370"/>
    </row>
    <row r="49" spans="28:29">
      <c r="AB49" s="1489"/>
      <c r="AC49" s="1370"/>
    </row>
    <row r="50" spans="28:29">
      <c r="AB50" s="1489"/>
      <c r="AC50" s="1370"/>
    </row>
    <row r="51" spans="28:29">
      <c r="AB51" s="1489"/>
      <c r="AC51" s="1370"/>
    </row>
    <row r="52" spans="28:29">
      <c r="AB52" s="1489"/>
      <c r="AC52" s="1370"/>
    </row>
    <row r="53" spans="28:29">
      <c r="AB53" s="1489"/>
      <c r="AC53" s="1370"/>
    </row>
    <row r="54" spans="28:29">
      <c r="AB54" s="1489"/>
      <c r="AC54" s="1370"/>
    </row>
    <row r="55" spans="28:29">
      <c r="AB55" s="1489"/>
      <c r="AC55" s="1370"/>
    </row>
    <row r="56" spans="28:29">
      <c r="AB56" s="1489"/>
      <c r="AC56" s="1370"/>
    </row>
    <row r="57" spans="28:29">
      <c r="AB57" s="1489"/>
      <c r="AC57" s="1370"/>
    </row>
    <row r="58" spans="28:29">
      <c r="AB58" s="1489"/>
      <c r="AC58" s="1370"/>
    </row>
    <row r="59" spans="28:29">
      <c r="AB59" s="1489"/>
      <c r="AC59" s="1370"/>
    </row>
    <row r="60" spans="28:29">
      <c r="AB60" s="1489"/>
      <c r="AC60" s="1370"/>
    </row>
    <row r="61" spans="28:29">
      <c r="AB61" s="1489"/>
      <c r="AC61" s="1370"/>
    </row>
    <row r="62" spans="28:29">
      <c r="AB62" s="1489"/>
      <c r="AC62" s="1370"/>
    </row>
    <row r="63" spans="28:29">
      <c r="AB63" s="1489"/>
      <c r="AC63" s="1370"/>
    </row>
    <row r="64" spans="28:29">
      <c r="AB64" s="1489"/>
      <c r="AC64" s="1370"/>
    </row>
    <row r="65" spans="28:29">
      <c r="AB65" s="1489"/>
      <c r="AC65" s="1370"/>
    </row>
    <row r="66" spans="28:29">
      <c r="AB66" s="1489"/>
      <c r="AC66" s="1370"/>
    </row>
    <row r="67" spans="28:29">
      <c r="AB67" s="1489"/>
      <c r="AC67" s="1370"/>
    </row>
    <row r="68" spans="28:29">
      <c r="AB68" s="1489"/>
      <c r="AC68" s="1370"/>
    </row>
    <row r="69" spans="28:29">
      <c r="AB69" s="1489"/>
      <c r="AC69" s="1370"/>
    </row>
    <row r="70" spans="28:29">
      <c r="AB70" s="1489"/>
      <c r="AC70" s="1370"/>
    </row>
    <row r="71" spans="28:29">
      <c r="AB71" s="1489"/>
      <c r="AC71" s="1370"/>
    </row>
    <row r="72" spans="28:29">
      <c r="AB72" s="1489"/>
      <c r="AC72" s="1370"/>
    </row>
    <row r="73" spans="28:29">
      <c r="AB73" s="1489"/>
      <c r="AC73" s="1370"/>
    </row>
    <row r="74" spans="28:29">
      <c r="AB74" s="1489"/>
      <c r="AC74" s="1370"/>
    </row>
    <row r="75" spans="28:29">
      <c r="AB75" s="1489"/>
      <c r="AC75" s="1370"/>
    </row>
    <row r="76" spans="28:29">
      <c r="AB76" s="1489"/>
      <c r="AC76" s="1370"/>
    </row>
    <row r="77" spans="28:29">
      <c r="AB77" s="1489"/>
      <c r="AC77" s="1370"/>
    </row>
    <row r="78" spans="28:29">
      <c r="AB78" s="1489"/>
      <c r="AC78" s="1370"/>
    </row>
    <row r="79" spans="28:29">
      <c r="AB79" s="1489"/>
      <c r="AC79" s="1370"/>
    </row>
    <row r="80" spans="28:29">
      <c r="AB80" s="1489"/>
      <c r="AC80" s="1370"/>
    </row>
    <row r="81" spans="28:29">
      <c r="AB81" s="1489"/>
      <c r="AC81" s="1370"/>
    </row>
    <row r="82" spans="28:29">
      <c r="AB82" s="1489"/>
      <c r="AC82" s="1370"/>
    </row>
    <row r="83" spans="28:29">
      <c r="AB83" s="1489"/>
      <c r="AC83" s="1370"/>
    </row>
    <row r="84" spans="28:29">
      <c r="AB84" s="1489"/>
      <c r="AC84" s="1370"/>
    </row>
    <row r="85" spans="28:29">
      <c r="AB85" s="1489"/>
      <c r="AC85" s="1370"/>
    </row>
    <row r="86" spans="28:29">
      <c r="AB86" s="1489"/>
      <c r="AC86" s="1370"/>
    </row>
    <row r="87" spans="28:29">
      <c r="AB87" s="1489"/>
      <c r="AC87" s="1370"/>
    </row>
    <row r="88" spans="28:29">
      <c r="AB88" s="1489"/>
      <c r="AC88" s="1370"/>
    </row>
    <row r="89" spans="28:29">
      <c r="AB89" s="1489"/>
      <c r="AC89" s="1370"/>
    </row>
    <row r="90" spans="28:29">
      <c r="AB90" s="1489"/>
      <c r="AC90" s="1370"/>
    </row>
    <row r="91" spans="28:29">
      <c r="AB91" s="1489"/>
      <c r="AC91" s="1370"/>
    </row>
    <row r="92" spans="28:29">
      <c r="AB92" s="1489"/>
      <c r="AC92" s="1370"/>
    </row>
    <row r="93" spans="28:29">
      <c r="AB93" s="1489"/>
      <c r="AC93" s="1370"/>
    </row>
    <row r="94" spans="28:29">
      <c r="AB94" s="1489"/>
      <c r="AC94" s="1370"/>
    </row>
    <row r="95" spans="28:29">
      <c r="AB95" s="1489"/>
      <c r="AC95" s="1370"/>
    </row>
    <row r="96" spans="28:29">
      <c r="AB96" s="1489"/>
      <c r="AC96" s="1370"/>
    </row>
    <row r="97" spans="28:29">
      <c r="AB97" s="1489"/>
      <c r="AC97" s="1370"/>
    </row>
    <row r="98" spans="28:29">
      <c r="AB98" s="1489"/>
      <c r="AC98" s="1370"/>
    </row>
    <row r="99" spans="28:29">
      <c r="AB99" s="1489"/>
      <c r="AC99" s="1370"/>
    </row>
    <row r="100" spans="28:29">
      <c r="AB100" s="1489"/>
      <c r="AC100" s="1370"/>
    </row>
    <row r="101" spans="28:29">
      <c r="AB101" s="1489"/>
      <c r="AC101" s="1370"/>
    </row>
    <row r="102" spans="28:29">
      <c r="AB102" s="1489"/>
      <c r="AC102" s="1370"/>
    </row>
    <row r="103" spans="28:29">
      <c r="AB103" s="1489"/>
      <c r="AC103" s="1370"/>
    </row>
    <row r="104" spans="28:29">
      <c r="AB104" s="1489"/>
      <c r="AC104" s="1370"/>
    </row>
    <row r="105" spans="28:29">
      <c r="AB105" s="1489"/>
      <c r="AC105" s="1370"/>
    </row>
    <row r="106" spans="28:29">
      <c r="AB106" s="1489"/>
      <c r="AC106" s="1370"/>
    </row>
    <row r="107" spans="28:29">
      <c r="AB107" s="1489"/>
      <c r="AC107" s="1370"/>
    </row>
    <row r="108" spans="28:29">
      <c r="AB108" s="1489"/>
      <c r="AC108" s="1370"/>
    </row>
    <row r="109" spans="28:29">
      <c r="AB109" s="1489"/>
      <c r="AC109" s="1370"/>
    </row>
    <row r="110" spans="28:29">
      <c r="AB110" s="1489"/>
      <c r="AC110" s="1370"/>
    </row>
    <row r="111" spans="28:29">
      <c r="AB111" s="1489"/>
      <c r="AC111" s="1370"/>
    </row>
    <row r="112" spans="28:29">
      <c r="AB112" s="1489"/>
      <c r="AC112" s="1370"/>
    </row>
    <row r="113" spans="28:29">
      <c r="AB113" s="1489"/>
      <c r="AC113" s="1370"/>
    </row>
    <row r="114" spans="28:29">
      <c r="AB114" s="1489"/>
      <c r="AC114" s="1370"/>
    </row>
    <row r="115" spans="28:29">
      <c r="AB115" s="1489"/>
      <c r="AC115" s="1370"/>
    </row>
    <row r="116" spans="28:29">
      <c r="AB116" s="1489"/>
      <c r="AC116" s="1370"/>
    </row>
    <row r="117" spans="28:29">
      <c r="AB117" s="1489"/>
      <c r="AC117" s="1370"/>
    </row>
    <row r="118" spans="28:29">
      <c r="AB118" s="1489"/>
      <c r="AC118" s="1370"/>
    </row>
    <row r="119" spans="28:29">
      <c r="AB119" s="1489"/>
      <c r="AC119" s="1370"/>
    </row>
    <row r="120" spans="28:29">
      <c r="AB120" s="1489"/>
      <c r="AC120" s="1370"/>
    </row>
    <row r="121" spans="28:29">
      <c r="AB121" s="1489"/>
      <c r="AC121" s="1370"/>
    </row>
    <row r="122" spans="28:29">
      <c r="AB122" s="1489"/>
      <c r="AC122" s="1370"/>
    </row>
    <row r="123" spans="28:29">
      <c r="AB123" s="1489"/>
      <c r="AC123" s="1370"/>
    </row>
    <row r="124" spans="28:29">
      <c r="AB124" s="1489"/>
      <c r="AC124" s="1370"/>
    </row>
    <row r="125" spans="28:29">
      <c r="AB125" s="1489"/>
      <c r="AC125" s="1370"/>
    </row>
    <row r="126" spans="28:29">
      <c r="AB126" s="1489"/>
      <c r="AC126" s="1370"/>
    </row>
    <row r="127" spans="28:29">
      <c r="AB127" s="1489"/>
      <c r="AC127" s="1370"/>
    </row>
    <row r="128" spans="28:29">
      <c r="AB128" s="1489"/>
      <c r="AC128" s="1370"/>
    </row>
    <row r="129" spans="28:29">
      <c r="AB129" s="1489"/>
      <c r="AC129" s="1370"/>
    </row>
    <row r="130" spans="28:29">
      <c r="AB130" s="1489"/>
      <c r="AC130" s="1370"/>
    </row>
    <row r="131" spans="28:29">
      <c r="AB131" s="1489"/>
      <c r="AC131" s="1370"/>
    </row>
    <row r="132" spans="28:29">
      <c r="AB132" s="1489"/>
      <c r="AC132" s="1370"/>
    </row>
    <row r="133" spans="28:29">
      <c r="AB133" s="1489"/>
      <c r="AC133" s="1370"/>
    </row>
    <row r="134" spans="28:29">
      <c r="AB134" s="1489"/>
      <c r="AC134" s="1370"/>
    </row>
    <row r="135" spans="28:29">
      <c r="AB135" s="1489"/>
      <c r="AC135" s="1370"/>
    </row>
    <row r="136" spans="28:29">
      <c r="AB136" s="1489"/>
      <c r="AC136" s="1370"/>
    </row>
    <row r="137" spans="28:29">
      <c r="AB137" s="1489"/>
      <c r="AC137" s="1370"/>
    </row>
    <row r="138" spans="28:29">
      <c r="AB138" s="1489"/>
      <c r="AC138" s="1370"/>
    </row>
    <row r="139" spans="28:29">
      <c r="AB139" s="1489"/>
      <c r="AC139" s="1370"/>
    </row>
    <row r="140" spans="28:29">
      <c r="AB140" s="1489"/>
      <c r="AC140" s="1370"/>
    </row>
    <row r="141" spans="28:29">
      <c r="AB141" s="1489"/>
      <c r="AC141" s="1370"/>
    </row>
    <row r="142" spans="28:29">
      <c r="AB142" s="1489"/>
      <c r="AC142" s="1370"/>
    </row>
    <row r="143" spans="28:29">
      <c r="AB143" s="1489"/>
      <c r="AC143" s="1370"/>
    </row>
    <row r="144" spans="28:29">
      <c r="AB144" s="1489"/>
      <c r="AC144" s="1370"/>
    </row>
    <row r="145" spans="28:29">
      <c r="AB145" s="1489"/>
      <c r="AC145" s="1370"/>
    </row>
    <row r="146" spans="28:29">
      <c r="AB146" s="1489"/>
      <c r="AC146" s="1370"/>
    </row>
    <row r="147" spans="28:29">
      <c r="AB147" s="1489"/>
      <c r="AC147" s="1370"/>
    </row>
    <row r="148" spans="28:29">
      <c r="AB148" s="1489"/>
      <c r="AC148" s="1370"/>
    </row>
    <row r="149" spans="28:29">
      <c r="AB149" s="1489"/>
      <c r="AC149" s="1370"/>
    </row>
    <row r="150" spans="28:29">
      <c r="AB150" s="1489"/>
      <c r="AC150" s="1370"/>
    </row>
    <row r="151" spans="28:29">
      <c r="AB151" s="1489"/>
      <c r="AC151" s="1370"/>
    </row>
    <row r="152" spans="28:29">
      <c r="AB152" s="1489"/>
      <c r="AC152" s="1370"/>
    </row>
    <row r="153" spans="28:29">
      <c r="AB153" s="1489"/>
      <c r="AC153" s="1370"/>
    </row>
    <row r="154" spans="28:29">
      <c r="AB154" s="1489"/>
      <c r="AC154" s="1370"/>
    </row>
    <row r="155" spans="28:29">
      <c r="AB155" s="1489"/>
      <c r="AC155" s="1370"/>
    </row>
    <row r="156" spans="28:29">
      <c r="AB156" s="1489"/>
      <c r="AC156" s="1370"/>
    </row>
    <row r="157" spans="28:29">
      <c r="AB157" s="1489"/>
      <c r="AC157" s="1370"/>
    </row>
    <row r="158" spans="28:29">
      <c r="AB158" s="1489"/>
      <c r="AC158" s="1370"/>
    </row>
    <row r="159" spans="28:29">
      <c r="AB159" s="1489"/>
      <c r="AC159" s="1370"/>
    </row>
    <row r="160" spans="28:29">
      <c r="AB160" s="1489"/>
      <c r="AC160" s="1370"/>
    </row>
    <row r="161" spans="28:29">
      <c r="AB161" s="1489"/>
      <c r="AC161" s="1370"/>
    </row>
    <row r="162" spans="28:29">
      <c r="AB162" s="1489"/>
      <c r="AC162" s="1370"/>
    </row>
    <row r="163" spans="28:29">
      <c r="AB163" s="1489"/>
      <c r="AC163" s="1370"/>
    </row>
    <row r="164" spans="28:29">
      <c r="AB164" s="1489"/>
      <c r="AC164" s="1370"/>
    </row>
    <row r="165" spans="28:29">
      <c r="AB165" s="1489"/>
      <c r="AC165" s="1370"/>
    </row>
    <row r="166" spans="28:29">
      <c r="AB166" s="1489"/>
      <c r="AC166" s="1370"/>
    </row>
    <row r="167" spans="28:29">
      <c r="AB167" s="1489"/>
      <c r="AC167" s="1370"/>
    </row>
    <row r="168" spans="28:29">
      <c r="AB168" s="1489"/>
      <c r="AC168" s="1370"/>
    </row>
    <row r="169" spans="28:29">
      <c r="AB169" s="1489"/>
      <c r="AC169" s="1370"/>
    </row>
    <row r="170" spans="28:29">
      <c r="AB170" s="1489"/>
      <c r="AC170" s="1370"/>
    </row>
    <row r="171" spans="28:29">
      <c r="AB171" s="1489"/>
      <c r="AC171" s="1370"/>
    </row>
    <row r="172" spans="28:29">
      <c r="AB172" s="1489"/>
      <c r="AC172" s="1370"/>
    </row>
    <row r="173" spans="28:29">
      <c r="AB173" s="1489"/>
      <c r="AC173" s="1370"/>
    </row>
    <row r="174" spans="28:29">
      <c r="AB174" s="1489"/>
      <c r="AC174" s="1370"/>
    </row>
    <row r="175" spans="28:29">
      <c r="AB175" s="1489"/>
      <c r="AC175" s="1370"/>
    </row>
    <row r="176" spans="28:29">
      <c r="AB176" s="1489"/>
      <c r="AC176" s="1370"/>
    </row>
    <row r="177" spans="28:29">
      <c r="AB177" s="1489"/>
      <c r="AC177" s="1370"/>
    </row>
    <row r="178" spans="28:29">
      <c r="AB178" s="1489"/>
      <c r="AC178" s="1370"/>
    </row>
    <row r="179" spans="28:29">
      <c r="AB179" s="1489"/>
      <c r="AC179" s="1370"/>
    </row>
    <row r="180" spans="28:29">
      <c r="AB180" s="1489"/>
      <c r="AC180" s="1370"/>
    </row>
    <row r="181" spans="28:29">
      <c r="AB181" s="1489"/>
      <c r="AC181" s="1370"/>
    </row>
    <row r="182" spans="28:29">
      <c r="AB182" s="1489"/>
      <c r="AC182" s="1370"/>
    </row>
    <row r="183" spans="28:29">
      <c r="AB183" s="1489"/>
      <c r="AC183" s="1370"/>
    </row>
    <row r="184" spans="28:29">
      <c r="AB184" s="1489"/>
      <c r="AC184" s="1370"/>
    </row>
    <row r="185" spans="28:29">
      <c r="AB185" s="1489"/>
      <c r="AC185" s="1370"/>
    </row>
    <row r="186" spans="28:29">
      <c r="AB186" s="1489"/>
      <c r="AC186" s="1370"/>
    </row>
    <row r="187" spans="28:29">
      <c r="AB187" s="1489"/>
      <c r="AC187" s="1370"/>
    </row>
    <row r="188" spans="28:29">
      <c r="AB188" s="1489"/>
      <c r="AC188" s="1370"/>
    </row>
    <row r="189" spans="28:29">
      <c r="AB189" s="1489"/>
      <c r="AC189" s="1370"/>
    </row>
    <row r="190" spans="28:29">
      <c r="AB190" s="1489"/>
      <c r="AC190" s="1370"/>
    </row>
    <row r="191" spans="28:29">
      <c r="AB191" s="1489"/>
      <c r="AC191" s="1370"/>
    </row>
    <row r="192" spans="28:29">
      <c r="AB192" s="1489"/>
      <c r="AC192" s="1370"/>
    </row>
    <row r="193" spans="28:29">
      <c r="AB193" s="1489"/>
      <c r="AC193" s="1370"/>
    </row>
    <row r="194" spans="28:29">
      <c r="AB194" s="1489"/>
      <c r="AC194" s="1370"/>
    </row>
    <row r="195" spans="28:29">
      <c r="AB195" s="1489"/>
      <c r="AC195" s="1370"/>
    </row>
    <row r="196" spans="28:29">
      <c r="AB196" s="1489"/>
      <c r="AC196" s="1370"/>
    </row>
    <row r="197" spans="28:29">
      <c r="AB197" s="1489"/>
      <c r="AC197" s="1370"/>
    </row>
    <row r="198" spans="28:29">
      <c r="AB198" s="1489"/>
      <c r="AC198" s="1370"/>
    </row>
    <row r="199" spans="28:29">
      <c r="AB199" s="1489"/>
      <c r="AC199" s="1370"/>
    </row>
    <row r="200" spans="28:29">
      <c r="AB200" s="1489"/>
      <c r="AC200" s="1370"/>
    </row>
    <row r="201" spans="28:29">
      <c r="AB201" s="1489"/>
      <c r="AC201" s="1370"/>
    </row>
    <row r="202" spans="28:29">
      <c r="AB202" s="1489"/>
      <c r="AC202" s="1370"/>
    </row>
    <row r="203" spans="28:29">
      <c r="AB203" s="1489"/>
      <c r="AC203" s="1370"/>
    </row>
    <row r="204" spans="28:29">
      <c r="AB204" s="1489"/>
      <c r="AC204" s="1370"/>
    </row>
    <row r="205" spans="28:29">
      <c r="AB205" s="1489"/>
      <c r="AC205" s="1370"/>
    </row>
    <row r="206" spans="28:29">
      <c r="AB206" s="1489"/>
      <c r="AC206" s="1370"/>
    </row>
    <row r="207" spans="28:29">
      <c r="AB207" s="1489"/>
      <c r="AC207" s="1370"/>
    </row>
    <row r="208" spans="28:29">
      <c r="AB208" s="1489"/>
      <c r="AC208" s="1370"/>
    </row>
    <row r="209" spans="28:29">
      <c r="AB209" s="1489"/>
      <c r="AC209" s="1370"/>
    </row>
    <row r="210" spans="28:29">
      <c r="AB210" s="1489"/>
      <c r="AC210" s="1370"/>
    </row>
    <row r="211" spans="28:29">
      <c r="AB211" s="1489"/>
      <c r="AC211" s="1370"/>
    </row>
    <row r="212" spans="28:29">
      <c r="AB212" s="1489"/>
      <c r="AC212" s="1370"/>
    </row>
    <row r="213" spans="28:29">
      <c r="AB213" s="1489"/>
      <c r="AC213" s="1370"/>
    </row>
    <row r="214" spans="28:29">
      <c r="AB214" s="1489"/>
      <c r="AC214" s="1370"/>
    </row>
    <row r="215" spans="28:29">
      <c r="AB215" s="1489"/>
      <c r="AC215" s="1370"/>
    </row>
    <row r="216" spans="28:29">
      <c r="AB216" s="1489"/>
      <c r="AC216" s="1370"/>
    </row>
    <row r="217" spans="28:29">
      <c r="AB217" s="1489"/>
      <c r="AC217" s="1370"/>
    </row>
    <row r="218" spans="28:29">
      <c r="AB218" s="1489"/>
      <c r="AC218" s="1370"/>
    </row>
    <row r="219" spans="28:29">
      <c r="AB219" s="1489"/>
      <c r="AC219" s="1370"/>
    </row>
    <row r="220" spans="28:29">
      <c r="AB220" s="1489"/>
      <c r="AC220" s="1370"/>
    </row>
    <row r="221" spans="28:29">
      <c r="AB221" s="1489"/>
      <c r="AC221" s="1370"/>
    </row>
    <row r="222" spans="28:29">
      <c r="AB222" s="1489"/>
      <c r="AC222" s="1370"/>
    </row>
    <row r="223" spans="28:29">
      <c r="AB223" s="1489"/>
      <c r="AC223" s="1370"/>
    </row>
    <row r="224" spans="28:29">
      <c r="AB224" s="1489"/>
      <c r="AC224" s="1370"/>
    </row>
    <row r="225" spans="28:29">
      <c r="AB225" s="1489"/>
      <c r="AC225" s="1370"/>
    </row>
    <row r="226" spans="28:29">
      <c r="AB226" s="1489"/>
      <c r="AC226" s="1370"/>
    </row>
    <row r="227" spans="28:29">
      <c r="AB227" s="1489"/>
      <c r="AC227" s="1370"/>
    </row>
    <row r="228" spans="28:29">
      <c r="AB228" s="1489"/>
      <c r="AC228" s="1370"/>
    </row>
    <row r="229" spans="28:29">
      <c r="AB229" s="1489"/>
      <c r="AC229" s="1370"/>
    </row>
    <row r="230" spans="28:29">
      <c r="AB230" s="1489"/>
      <c r="AC230" s="1370"/>
    </row>
    <row r="231" spans="28:29">
      <c r="AB231" s="1489"/>
      <c r="AC231" s="1370"/>
    </row>
    <row r="232" spans="28:29">
      <c r="AB232" s="1489"/>
      <c r="AC232" s="1370"/>
    </row>
    <row r="233" spans="28:29">
      <c r="AB233" s="1489"/>
      <c r="AC233" s="1370"/>
    </row>
    <row r="234" spans="28:29">
      <c r="AB234" s="1489"/>
      <c r="AC234" s="1370"/>
    </row>
    <row r="235" spans="28:29">
      <c r="AB235" s="1489"/>
      <c r="AC235" s="1370"/>
    </row>
    <row r="236" spans="28:29">
      <c r="AB236" s="1489"/>
      <c r="AC236" s="1370"/>
    </row>
    <row r="237" spans="28:29">
      <c r="AB237" s="1489"/>
      <c r="AC237" s="1370"/>
    </row>
    <row r="238" spans="28:29">
      <c r="AB238" s="1489"/>
      <c r="AC238" s="1370"/>
    </row>
    <row r="239" spans="28:29">
      <c r="AB239" s="1489"/>
      <c r="AC239" s="1370"/>
    </row>
    <row r="240" spans="28:29">
      <c r="AB240" s="1489"/>
      <c r="AC240" s="1370"/>
    </row>
    <row r="241" spans="28:29">
      <c r="AB241" s="1489"/>
      <c r="AC241" s="1370"/>
    </row>
    <row r="242" spans="28:29">
      <c r="AB242" s="1489"/>
      <c r="AC242" s="1370"/>
    </row>
    <row r="243" spans="28:29">
      <c r="AB243" s="1489"/>
      <c r="AC243" s="1370"/>
    </row>
    <row r="244" spans="28:29">
      <c r="AB244" s="1489"/>
      <c r="AC244" s="1370"/>
    </row>
    <row r="245" spans="28:29">
      <c r="AB245" s="1489"/>
      <c r="AC245" s="1370"/>
    </row>
    <row r="246" spans="28:29">
      <c r="AB246" s="1489"/>
      <c r="AC246" s="1370"/>
    </row>
    <row r="247" spans="28:29">
      <c r="AB247" s="1489"/>
      <c r="AC247" s="1370"/>
    </row>
    <row r="248" spans="28:29">
      <c r="AB248" s="1489"/>
      <c r="AC248" s="1370"/>
    </row>
    <row r="249" spans="28:29">
      <c r="AB249" s="1489"/>
      <c r="AC249" s="1370"/>
    </row>
    <row r="250" spans="28:29">
      <c r="AB250" s="1489"/>
      <c r="AC250" s="1370"/>
    </row>
    <row r="251" spans="28:29">
      <c r="AB251" s="1489"/>
      <c r="AC251" s="1370"/>
    </row>
    <row r="252" spans="28:29">
      <c r="AB252" s="1489"/>
      <c r="AC252" s="1370"/>
    </row>
    <row r="253" spans="28:29">
      <c r="AB253" s="1489"/>
      <c r="AC253" s="1370"/>
    </row>
    <row r="254" spans="28:29">
      <c r="AB254" s="1489"/>
      <c r="AC254" s="1370"/>
    </row>
    <row r="255" spans="28:29">
      <c r="AB255" s="1489"/>
      <c r="AC255" s="1370"/>
    </row>
    <row r="256" spans="28:29">
      <c r="AB256" s="1489"/>
      <c r="AC256" s="1370"/>
    </row>
    <row r="257" spans="28:29">
      <c r="AB257" s="1489"/>
      <c r="AC257" s="1370"/>
    </row>
    <row r="258" spans="28:29">
      <c r="AB258" s="1489"/>
      <c r="AC258" s="1370"/>
    </row>
    <row r="259" spans="28:29">
      <c r="AB259" s="1489"/>
      <c r="AC259" s="1370"/>
    </row>
    <row r="260" spans="28:29">
      <c r="AB260" s="1489"/>
      <c r="AC260" s="1370"/>
    </row>
    <row r="261" spans="28:29">
      <c r="AB261" s="1489"/>
      <c r="AC261" s="1370"/>
    </row>
    <row r="262" spans="28:29">
      <c r="AB262" s="1489"/>
      <c r="AC262" s="1370"/>
    </row>
    <row r="263" spans="28:29">
      <c r="AB263" s="1489"/>
      <c r="AC263" s="1370"/>
    </row>
    <row r="264" spans="28:29">
      <c r="AB264" s="1489"/>
      <c r="AC264" s="1370"/>
    </row>
    <row r="265" spans="28:29">
      <c r="AB265" s="1489"/>
      <c r="AC265" s="1370"/>
    </row>
    <row r="266" spans="28:29">
      <c r="AB266" s="1489"/>
      <c r="AC266" s="1370"/>
    </row>
    <row r="267" spans="28:29">
      <c r="AB267" s="1489"/>
      <c r="AC267" s="1370"/>
    </row>
    <row r="268" spans="28:29">
      <c r="AB268" s="1489"/>
      <c r="AC268" s="1370"/>
    </row>
    <row r="269" spans="28:29">
      <c r="AB269" s="1489"/>
      <c r="AC269" s="1370"/>
    </row>
    <row r="270" spans="28:29">
      <c r="AB270" s="1489"/>
      <c r="AC270" s="1370"/>
    </row>
    <row r="271" spans="28:29">
      <c r="AB271" s="1489"/>
      <c r="AC271" s="1370"/>
    </row>
    <row r="272" spans="28:29">
      <c r="AB272" s="1489"/>
      <c r="AC272" s="1370"/>
    </row>
    <row r="273" spans="28:29">
      <c r="AB273" s="1489"/>
      <c r="AC273" s="1370"/>
    </row>
    <row r="274" spans="28:29">
      <c r="AB274" s="1489"/>
      <c r="AC274" s="1370"/>
    </row>
    <row r="275" spans="28:29">
      <c r="AB275" s="1489"/>
      <c r="AC275" s="1370"/>
    </row>
    <row r="276" spans="28:29">
      <c r="AB276" s="1489"/>
      <c r="AC276" s="1370"/>
    </row>
    <row r="277" spans="28:29">
      <c r="AB277" s="1489"/>
      <c r="AC277" s="1370"/>
    </row>
    <row r="278" spans="28:29">
      <c r="AB278" s="1489"/>
      <c r="AC278" s="1370"/>
    </row>
    <row r="279" spans="28:29">
      <c r="AB279" s="1489"/>
      <c r="AC279" s="1370"/>
    </row>
    <row r="280" spans="28:29">
      <c r="AB280" s="1489"/>
      <c r="AC280" s="1370"/>
    </row>
    <row r="281" spans="28:29">
      <c r="AB281" s="1489"/>
      <c r="AC281" s="1370"/>
    </row>
    <row r="282" spans="28:29">
      <c r="AB282" s="1489"/>
      <c r="AC282" s="1370"/>
    </row>
    <row r="283" spans="28:29">
      <c r="AB283" s="1489"/>
      <c r="AC283" s="1370"/>
    </row>
    <row r="284" spans="28:29">
      <c r="AB284" s="1489"/>
      <c r="AC284" s="1370"/>
    </row>
    <row r="285" spans="28:29">
      <c r="AB285" s="1489"/>
      <c r="AC285" s="1370"/>
    </row>
    <row r="286" spans="28:29">
      <c r="AB286" s="1489"/>
      <c r="AC286" s="1370"/>
    </row>
    <row r="287" spans="28:29">
      <c r="AB287" s="1489"/>
      <c r="AC287" s="1370"/>
    </row>
    <row r="288" spans="28:29">
      <c r="AB288" s="1489"/>
      <c r="AC288" s="1370"/>
    </row>
  </sheetData>
  <sheetProtection sheet="1" objects="1" scenarios="1"/>
  <phoneticPr fontId="3" type="noConversion"/>
  <pageMargins left="0.75" right="0.75" top="1" bottom="1" header="0.5" footer="0.5"/>
  <pageSetup scale="76" orientation="portrait" horizontalDpi="200" verticalDpi="200" r:id="rId1"/>
  <headerFooter alignWithMargins="0"/>
  <drawing r:id="rId2"/>
  <legacyDrawing r:id="rId3"/>
  <controls>
    <mc:AlternateContent xmlns:mc="http://schemas.openxmlformats.org/markup-compatibility/2006">
      <mc:Choice Requires="x14">
        <control shapeId="124042" r:id="rId4" name="ToggleHiddenColumns">
          <controlPr defaultSize="0" autoLine="0" r:id="rId5">
            <anchor moveWithCells="1">
              <from>
                <xdr:col>1</xdr:col>
                <xdr:colOff>228600</xdr:colOff>
                <xdr:row>42</xdr:row>
                <xdr:rowOff>9525</xdr:rowOff>
              </from>
              <to>
                <xdr:col>5</xdr:col>
                <xdr:colOff>209550</xdr:colOff>
                <xdr:row>44</xdr:row>
                <xdr:rowOff>28575</xdr:rowOff>
              </to>
            </anchor>
          </controlPr>
        </control>
      </mc:Choice>
      <mc:Fallback>
        <control shapeId="124042" r:id="rId4" name="ToggleHiddenColumns"/>
      </mc:Fallback>
    </mc:AlternateContent>
    <mc:AlternateContent xmlns:mc="http://schemas.openxmlformats.org/markup-compatibility/2006">
      <mc:Choice Requires="x14">
        <control shapeId="124040" r:id="rId6" name="TogglePreAuditColums">
          <controlPr defaultSize="0" autoLine="0" r:id="rId7">
            <anchor moveWithCells="1">
              <from>
                <xdr:col>1</xdr:col>
                <xdr:colOff>257175</xdr:colOff>
                <xdr:row>35</xdr:row>
                <xdr:rowOff>19050</xdr:rowOff>
              </from>
              <to>
                <xdr:col>5</xdr:col>
                <xdr:colOff>238125</xdr:colOff>
                <xdr:row>37</xdr:row>
                <xdr:rowOff>19050</xdr:rowOff>
              </to>
            </anchor>
          </controlPr>
        </control>
      </mc:Choice>
      <mc:Fallback>
        <control shapeId="124040" r:id="rId6" name="TogglePreAuditColums"/>
      </mc:Fallback>
    </mc:AlternateContent>
    <mc:AlternateContent xmlns:mc="http://schemas.openxmlformats.org/markup-compatibility/2006">
      <mc:Choice Requires="x14">
        <control shapeId="124039" r:id="rId8" name="ToggleReferenceColumns">
          <controlPr defaultSize="0" autoLine="0" r:id="rId9">
            <anchor moveWithCells="1">
              <from>
                <xdr:col>1</xdr:col>
                <xdr:colOff>247650</xdr:colOff>
                <xdr:row>37</xdr:row>
                <xdr:rowOff>66675</xdr:rowOff>
              </from>
              <to>
                <xdr:col>5</xdr:col>
                <xdr:colOff>228600</xdr:colOff>
                <xdr:row>39</xdr:row>
                <xdr:rowOff>57150</xdr:rowOff>
              </to>
            </anchor>
          </controlPr>
        </control>
      </mc:Choice>
      <mc:Fallback>
        <control shapeId="124039" r:id="rId8" name="ToggleReferenceColumns"/>
      </mc:Fallback>
    </mc:AlternateContent>
    <mc:AlternateContent xmlns:mc="http://schemas.openxmlformats.org/markup-compatibility/2006">
      <mc:Choice Requires="x14">
        <control shapeId="123950" r:id="rId10" name="TextBox6">
          <controlPr defaultSize="0" autoLine="0" linkedCell="Contacts!B64" r:id="rId11">
            <anchor moveWithCells="1">
              <from>
                <xdr:col>9</xdr:col>
                <xdr:colOff>57150</xdr:colOff>
                <xdr:row>9</xdr:row>
                <xdr:rowOff>142875</xdr:rowOff>
              </from>
              <to>
                <xdr:col>11</xdr:col>
                <xdr:colOff>247650</xdr:colOff>
                <xdr:row>11</xdr:row>
                <xdr:rowOff>76200</xdr:rowOff>
              </to>
            </anchor>
          </controlPr>
        </control>
      </mc:Choice>
      <mc:Fallback>
        <control shapeId="123950" r:id="rId10" name="TextBox6"/>
      </mc:Fallback>
    </mc:AlternateContent>
    <mc:AlternateContent xmlns:mc="http://schemas.openxmlformats.org/markup-compatibility/2006">
      <mc:Choice Requires="x14">
        <control shapeId="123948" r:id="rId12" name="TextBox5">
          <controlPr defaultSize="0" autoLine="0" linkedCell="Contacts!B65" r:id="rId13">
            <anchor moveWithCells="1">
              <from>
                <xdr:col>5</xdr:col>
                <xdr:colOff>190500</xdr:colOff>
                <xdr:row>12</xdr:row>
                <xdr:rowOff>28575</xdr:rowOff>
              </from>
              <to>
                <xdr:col>11</xdr:col>
                <xdr:colOff>247650</xdr:colOff>
                <xdr:row>13</xdr:row>
                <xdr:rowOff>123825</xdr:rowOff>
              </to>
            </anchor>
          </controlPr>
        </control>
      </mc:Choice>
      <mc:Fallback>
        <control shapeId="123948" r:id="rId12" name="TextBox5"/>
      </mc:Fallback>
    </mc:AlternateContent>
    <mc:AlternateContent xmlns:mc="http://schemas.openxmlformats.org/markup-compatibility/2006">
      <mc:Choice Requires="x14">
        <control shapeId="123947" r:id="rId14" name="TextBox4">
          <controlPr defaultSize="0" autoLine="0" linkedCell="Contacts!B62" r:id="rId15">
            <anchor moveWithCells="1">
              <from>
                <xdr:col>5</xdr:col>
                <xdr:colOff>200025</xdr:colOff>
                <xdr:row>9</xdr:row>
                <xdr:rowOff>123825</xdr:rowOff>
              </from>
              <to>
                <xdr:col>7</xdr:col>
                <xdr:colOff>533400</xdr:colOff>
                <xdr:row>11</xdr:row>
                <xdr:rowOff>57150</xdr:rowOff>
              </to>
            </anchor>
          </controlPr>
        </control>
      </mc:Choice>
      <mc:Fallback>
        <control shapeId="123947" r:id="rId14" name="TextBox4"/>
      </mc:Fallback>
    </mc:AlternateContent>
    <mc:AlternateContent xmlns:mc="http://schemas.openxmlformats.org/markup-compatibility/2006">
      <mc:Choice Requires="x14">
        <control shapeId="123946" r:id="rId16" name="TextBox3">
          <controlPr defaultSize="0" autoLine="0" linkedCell="Contacts!B61" r:id="rId17">
            <anchor moveWithCells="1">
              <from>
                <xdr:col>5</xdr:col>
                <xdr:colOff>190500</xdr:colOff>
                <xdr:row>7</xdr:row>
                <xdr:rowOff>47625</xdr:rowOff>
              </from>
              <to>
                <xdr:col>11</xdr:col>
                <xdr:colOff>247650</xdr:colOff>
                <xdr:row>8</xdr:row>
                <xdr:rowOff>142875</xdr:rowOff>
              </to>
            </anchor>
          </controlPr>
        </control>
      </mc:Choice>
      <mc:Fallback>
        <control shapeId="123946" r:id="rId16" name="TextBox3"/>
      </mc:Fallback>
    </mc:AlternateContent>
    <mc:AlternateContent xmlns:mc="http://schemas.openxmlformats.org/markup-compatibility/2006">
      <mc:Choice Requires="x14">
        <control shapeId="123931" r:id="rId18" name="Drop Down 27">
          <controlPr defaultSize="0" autoLine="0" autoPict="0">
            <anchor moveWithCells="1">
              <from>
                <xdr:col>5</xdr:col>
                <xdr:colOff>209550</xdr:colOff>
                <xdr:row>18</xdr:row>
                <xdr:rowOff>28575</xdr:rowOff>
              </from>
              <to>
                <xdr:col>6</xdr:col>
                <xdr:colOff>485775</xdr:colOff>
                <xdr:row>19</xdr:row>
                <xdr:rowOff>123825</xdr:rowOff>
              </to>
            </anchor>
          </controlPr>
        </control>
      </mc:Choice>
    </mc:AlternateContent>
    <mc:AlternateContent xmlns:mc="http://schemas.openxmlformats.org/markup-compatibility/2006">
      <mc:Choice Requires="x14">
        <control shapeId="123932" r:id="rId19" name="Drop Down 28">
          <controlPr defaultSize="0" autoLine="0" autoPict="0">
            <anchor moveWithCells="1">
              <from>
                <xdr:col>5</xdr:col>
                <xdr:colOff>200025</xdr:colOff>
                <xdr:row>20</xdr:row>
                <xdr:rowOff>114300</xdr:rowOff>
              </from>
              <to>
                <xdr:col>7</xdr:col>
                <xdr:colOff>600075</xdr:colOff>
                <xdr:row>22</xdr:row>
                <xdr:rowOff>47625</xdr:rowOff>
              </to>
            </anchor>
          </controlPr>
        </control>
      </mc:Choice>
    </mc:AlternateContent>
    <mc:AlternateContent xmlns:mc="http://schemas.openxmlformats.org/markup-compatibility/2006">
      <mc:Choice Requires="x14">
        <control shapeId="123936" r:id="rId20" name="Drop Down 32">
          <controlPr defaultSize="0" autoLine="0" autoPict="0">
            <anchor moveWithCells="1">
              <from>
                <xdr:col>5</xdr:col>
                <xdr:colOff>200025</xdr:colOff>
                <xdr:row>15</xdr:row>
                <xdr:rowOff>57150</xdr:rowOff>
              </from>
              <to>
                <xdr:col>7</xdr:col>
                <xdr:colOff>247650</xdr:colOff>
                <xdr:row>16</xdr:row>
                <xdr:rowOff>152400</xdr:rowOff>
              </to>
            </anchor>
          </controlPr>
        </control>
      </mc:Choice>
    </mc:AlternateContent>
    <mc:AlternateContent xmlns:mc="http://schemas.openxmlformats.org/markup-compatibility/2006">
      <mc:Choice Requires="x14">
        <control shapeId="124151" r:id="rId21" name="Drop Down 247">
          <controlPr defaultSize="0" autoLine="0" autoPict="0">
            <anchor moveWithCells="1">
              <from>
                <xdr:col>5</xdr:col>
                <xdr:colOff>200025</xdr:colOff>
                <xdr:row>4</xdr:row>
                <xdr:rowOff>76200</xdr:rowOff>
              </from>
              <to>
                <xdr:col>11</xdr:col>
                <xdr:colOff>247650</xdr:colOff>
                <xdr:row>6</xdr:row>
                <xdr:rowOff>0</xdr:rowOff>
              </to>
            </anchor>
          </controlPr>
        </control>
      </mc:Choice>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indexed="42"/>
    <pageSetUpPr fitToPage="1"/>
  </sheetPr>
  <dimension ref="A1:P232"/>
  <sheetViews>
    <sheetView showGridLines="0" workbookViewId="0">
      <pane xSplit="1" ySplit="4" topLeftCell="B5" activePane="bottomRight" state="frozen"/>
      <selection activeCell="O37" sqref="A1:IV65536"/>
      <selection pane="topRight" activeCell="O37" sqref="A1:IV65536"/>
      <selection pane="bottomLeft" activeCell="O37" sqref="A1:IV65536"/>
      <selection pane="bottomRight" activeCell="K40" sqref="K40"/>
    </sheetView>
  </sheetViews>
  <sheetFormatPr defaultRowHeight="12.75"/>
  <cols>
    <col min="1" max="1" width="30.7109375" style="150" customWidth="1"/>
    <col min="2" max="2" width="3" style="233" hidden="1" customWidth="1"/>
    <col min="3" max="8" width="9.28515625" style="150" customWidth="1"/>
    <col min="9" max="9" width="9.140625" style="150" hidden="1" customWidth="1"/>
    <col min="10" max="12" width="9.28515625" style="150" customWidth="1"/>
    <col min="13" max="13" width="9.85546875" style="150" customWidth="1"/>
    <col min="14" max="14" width="9.5703125" style="150" customWidth="1"/>
    <col min="15" max="15" width="9.85546875" style="150" customWidth="1"/>
    <col min="16" max="18" width="9.5703125" style="150" customWidth="1"/>
    <col min="19" max="19" width="9.85546875" style="150" customWidth="1"/>
    <col min="20" max="22" width="9.5703125" style="150" customWidth="1"/>
    <col min="23" max="24" width="9.85546875" style="150" customWidth="1"/>
    <col min="25" max="16384" width="9.140625" style="150"/>
  </cols>
  <sheetData>
    <row r="1" spans="1:16" s="168" customFormat="1">
      <c r="A1" s="148" t="str">
        <f>muni&amp;" - "&amp;TableA1</f>
        <v>NC071 Ubuntu - Supporting Table SA1 Supportinging detail to 'Budgeted Financial Performance'</v>
      </c>
      <c r="B1" s="148"/>
      <c r="C1" s="148"/>
      <c r="D1" s="148"/>
      <c r="E1" s="148"/>
      <c r="F1" s="148"/>
      <c r="G1" s="148"/>
      <c r="H1" s="148"/>
      <c r="I1" s="148"/>
      <c r="J1" s="148"/>
      <c r="K1" s="148"/>
      <c r="L1" s="148"/>
    </row>
    <row r="2" spans="1:16" ht="28.5" customHeight="1">
      <c r="A2" s="2796" t="str">
        <f>desc</f>
        <v>Description</v>
      </c>
      <c r="B2" s="2798" t="str">
        <f>head27</f>
        <v>Ref</v>
      </c>
      <c r="C2" s="151" t="str">
        <f>head1b</f>
        <v>2007/8</v>
      </c>
      <c r="D2" s="151" t="str">
        <f>head1A</f>
        <v>2008/9</v>
      </c>
      <c r="E2" s="147" t="str">
        <f>Head1</f>
        <v>2009/10</v>
      </c>
      <c r="F2" s="2772" t="str">
        <f>Head2</f>
        <v>Current Year 2010/11</v>
      </c>
      <c r="G2" s="2773"/>
      <c r="H2" s="2773"/>
      <c r="I2" s="2773"/>
      <c r="J2" s="2769" t="str">
        <f>Head3</f>
        <v>2011/12 Medium Term Revenue &amp; Expenditure Framework</v>
      </c>
      <c r="K2" s="2770"/>
      <c r="L2" s="2771"/>
    </row>
    <row r="3" spans="1:16" ht="25.5">
      <c r="A3" s="2797"/>
      <c r="B3" s="2799"/>
      <c r="C3" s="153" t="str">
        <f>Head5</f>
        <v>Audited Outcome</v>
      </c>
      <c r="D3" s="153" t="str">
        <f>Head5</f>
        <v>Audited Outcome</v>
      </c>
      <c r="E3" s="154" t="str">
        <f>Head5</f>
        <v>Audited Outcome</v>
      </c>
      <c r="F3" s="152" t="str">
        <f>Head6</f>
        <v>Original Budget</v>
      </c>
      <c r="G3" s="153" t="str">
        <f>Head7</f>
        <v>Adjusted Budget</v>
      </c>
      <c r="H3" s="154" t="str">
        <f>Head8</f>
        <v>Full Year Forecast</v>
      </c>
      <c r="I3" s="155" t="str">
        <f>Head5b</f>
        <v>Pre-audit outcome</v>
      </c>
      <c r="J3" s="152" t="str">
        <f>Head9</f>
        <v>Budget Year 2011/12</v>
      </c>
      <c r="K3" s="153" t="str">
        <f>Head10</f>
        <v>Budget Year +1 2012/13</v>
      </c>
      <c r="L3" s="154" t="str">
        <f>Head11</f>
        <v>Budget Year +2 2013/14</v>
      </c>
    </row>
    <row r="4" spans="1:16">
      <c r="A4" s="169" t="s">
        <v>697</v>
      </c>
      <c r="B4" s="275"/>
      <c r="C4" s="138"/>
      <c r="D4" s="138"/>
      <c r="E4" s="157"/>
      <c r="F4" s="156"/>
      <c r="G4" s="138"/>
      <c r="H4" s="157"/>
      <c r="I4" s="158"/>
      <c r="J4" s="156"/>
      <c r="K4" s="138"/>
      <c r="L4" s="157"/>
    </row>
    <row r="5" spans="1:16">
      <c r="A5" s="307" t="s">
        <v>565</v>
      </c>
      <c r="B5" s="276"/>
      <c r="C5" s="374"/>
      <c r="D5" s="374"/>
      <c r="E5" s="181"/>
      <c r="F5" s="375"/>
      <c r="G5" s="374"/>
      <c r="H5" s="181"/>
      <c r="I5" s="290"/>
      <c r="J5" s="376"/>
      <c r="K5" s="374"/>
      <c r="L5" s="181"/>
    </row>
    <row r="6" spans="1:16">
      <c r="A6" s="377" t="str">
        <f>'A4-FinPerf RE'!A5</f>
        <v>Property rates</v>
      </c>
      <c r="B6" s="278">
        <v>6</v>
      </c>
      <c r="C6" s="378"/>
      <c r="D6" s="378"/>
      <c r="E6" s="181"/>
      <c r="F6" s="375"/>
      <c r="G6" s="378"/>
      <c r="H6" s="181"/>
      <c r="I6" s="290"/>
      <c r="J6" s="379"/>
      <c r="K6" s="378"/>
      <c r="L6" s="181"/>
      <c r="M6" s="345"/>
      <c r="N6" s="345"/>
      <c r="O6" s="345"/>
      <c r="P6" s="345"/>
    </row>
    <row r="7" spans="1:16">
      <c r="A7" s="1251" t="s">
        <v>459</v>
      </c>
      <c r="B7" s="278"/>
      <c r="C7" s="1860">
        <f>-SUMIFS(TB!N:N,TB!$K:$K,'SA1'!$A$6,TB!$L:$L,'SA1'!$A7)</f>
        <v>2640135.62</v>
      </c>
      <c r="D7" s="1860">
        <f>-SUMIFS(TB!O:O,TB!$K:$K,'SA1'!$A$6,TB!$L:$L,'SA1'!$A7)</f>
        <v>2889951.94</v>
      </c>
      <c r="E7" s="1861">
        <f>-SUMIFS(TB!P:P,TB!$K:$K,'SA1'!$A$6,TB!$L:$L,'SA1'!$A7)</f>
        <v>5062761.71</v>
      </c>
      <c r="F7" s="1862">
        <f>-SUMIFS(TB!Q:Q,TB!$K:$K,'SA1'!$A$6,TB!$L:$L,'SA1'!$A7)</f>
        <v>4500000</v>
      </c>
      <c r="G7" s="1860">
        <f>-SUMIFS(TB!R:R,TB!$K:$K,'SA1'!$A$6,TB!$L:$L,'SA1'!$A7)</f>
        <v>4500000</v>
      </c>
      <c r="H7" s="1861">
        <f>-SUMIFS(TB!S:S,TB!$K:$K,'SA1'!$A$6,TB!$L:$L,'SA1'!$A7)</f>
        <v>31215897</v>
      </c>
      <c r="I7" s="1863">
        <f>-SUMIFS(TB!T:T,TB!$K:$K,'SA1'!$A$6,TB!$L:$L,'SA1'!$A7)</f>
        <v>31215897</v>
      </c>
      <c r="J7" s="1864">
        <f>-SUMIFS(TB!U:U,TB!$K:$K,'SA1'!$A$6,TB!$L:$L,'SA1'!$A7)</f>
        <v>5075538.83</v>
      </c>
      <c r="K7" s="1860">
        <f>-SUMIFS(TB!V:V,TB!$K:$K,'SA1'!$A$6,TB!$L:$L,'SA1'!$A7)</f>
        <v>5380071.1598000005</v>
      </c>
      <c r="L7" s="1861">
        <f>-SUMIFS(TB!W:W,TB!$K:$K,'SA1'!$A$6,TB!$L:$L,'SA1'!$A7)</f>
        <v>5702875.4293880006</v>
      </c>
      <c r="M7" s="345"/>
      <c r="N7" s="345"/>
      <c r="O7" s="345"/>
      <c r="P7" s="345"/>
    </row>
    <row r="8" spans="1:16">
      <c r="A8" s="1503" t="s">
        <v>460</v>
      </c>
      <c r="B8" s="278"/>
      <c r="C8" s="1865">
        <f>SUMIFS(TB!N:N,TB!$K:$K,'SA1'!$A$6,TB!$L:$L,'SA1'!$A8)</f>
        <v>0</v>
      </c>
      <c r="D8" s="1865">
        <f>SUMIFS(TB!O:O,TB!$K:$K,'SA1'!$A$6,TB!$L:$L,'SA1'!$A8)</f>
        <v>0</v>
      </c>
      <c r="E8" s="1866">
        <f>SUMIFS(TB!P:P,TB!$K:$K,'SA1'!$A$6,TB!$L:$L,'SA1'!$A8)</f>
        <v>918502.65</v>
      </c>
      <c r="F8" s="1867">
        <f>SUMIFS(TB!Q:Q,TB!$K:$K,'SA1'!$A$6,TB!$L:$L,'SA1'!$A8)</f>
        <v>930000</v>
      </c>
      <c r="G8" s="1865">
        <f>SUMIFS(TB!R:R,TB!$K:$K,'SA1'!$A$6,TB!$L:$L,'SA1'!$A8)</f>
        <v>930000</v>
      </c>
      <c r="H8" s="1866">
        <f>SUMIFS(TB!S:S,TB!$K:$K,'SA1'!$A$6,TB!$L:$L,'SA1'!$A8)</f>
        <v>35454423</v>
      </c>
      <c r="I8" s="1868">
        <f>SUMIFS(TB!T:T,TB!$K:$K,'SA1'!$A$6,TB!$L:$L,'SA1'!$A8)</f>
        <v>35454423</v>
      </c>
      <c r="J8" s="1864">
        <f>SUMIFS(TB!U:U,TB!$K:$K,'SA1'!$A$6,TB!$L:$L,'SA1'!$A8)</f>
        <v>1195373.78</v>
      </c>
      <c r="K8" s="1865">
        <f>SUMIFS(TB!V:V,TB!$K:$K,'SA1'!$A$6,TB!$L:$L,'SA1'!$A8)</f>
        <v>1267096.2068</v>
      </c>
      <c r="L8" s="1866">
        <f>SUMIFS(TB!W:W,TB!$K:$K,'SA1'!$A$6,TB!$L:$L,'SA1'!$A8)</f>
        <v>1343121.979208</v>
      </c>
      <c r="M8" s="345"/>
      <c r="N8" s="345"/>
      <c r="O8" s="345"/>
      <c r="P8" s="345"/>
    </row>
    <row r="9" spans="1:16">
      <c r="A9" s="392" t="s">
        <v>461</v>
      </c>
      <c r="B9" s="278"/>
      <c r="C9" s="199">
        <f>C7-C8</f>
        <v>2640135.62</v>
      </c>
      <c r="D9" s="199">
        <f t="shared" ref="D9:L9" si="0">D7-D8</f>
        <v>2889951.94</v>
      </c>
      <c r="E9" s="200">
        <f t="shared" si="0"/>
        <v>4144259.06</v>
      </c>
      <c r="F9" s="201">
        <f t="shared" si="0"/>
        <v>3570000</v>
      </c>
      <c r="G9" s="199">
        <f t="shared" si="0"/>
        <v>3570000</v>
      </c>
      <c r="H9" s="200">
        <f t="shared" si="0"/>
        <v>-4238526</v>
      </c>
      <c r="I9" s="198">
        <f t="shared" si="0"/>
        <v>-4238526</v>
      </c>
      <c r="J9" s="202">
        <f t="shared" si="0"/>
        <v>3880165.05</v>
      </c>
      <c r="K9" s="199">
        <f t="shared" si="0"/>
        <v>4112974.9530000007</v>
      </c>
      <c r="L9" s="200">
        <f t="shared" si="0"/>
        <v>4359753.4501800006</v>
      </c>
      <c r="M9" s="345"/>
      <c r="N9" s="345"/>
      <c r="O9" s="345"/>
      <c r="P9" s="345"/>
    </row>
    <row r="10" spans="1:16" ht="5.0999999999999996" customHeight="1">
      <c r="A10" s="304"/>
      <c r="B10" s="278"/>
      <c r="C10" s="378"/>
      <c r="D10" s="378"/>
      <c r="E10" s="181"/>
      <c r="F10" s="375"/>
      <c r="G10" s="378"/>
      <c r="H10" s="181"/>
      <c r="I10" s="290"/>
      <c r="J10" s="379"/>
      <c r="K10" s="378"/>
      <c r="L10" s="181"/>
      <c r="M10" s="345"/>
      <c r="N10" s="345"/>
      <c r="O10" s="345"/>
      <c r="P10" s="345"/>
    </row>
    <row r="11" spans="1:16">
      <c r="A11" s="377" t="str">
        <f>'A4-FinPerf RE'!A7</f>
        <v>Service charges - electricity revenue</v>
      </c>
      <c r="B11" s="278">
        <v>6</v>
      </c>
      <c r="C11" s="378"/>
      <c r="D11" s="378"/>
      <c r="E11" s="181"/>
      <c r="F11" s="375"/>
      <c r="G11" s="378"/>
      <c r="H11" s="181"/>
      <c r="I11" s="290"/>
      <c r="J11" s="379"/>
      <c r="K11" s="378"/>
      <c r="L11" s="181"/>
      <c r="M11" s="345"/>
      <c r="N11" s="345"/>
      <c r="O11" s="345"/>
      <c r="P11" s="345"/>
    </row>
    <row r="12" spans="1:16">
      <c r="A12" s="1251" t="str">
        <f>"Total "&amp;A11</f>
        <v>Total Service charges - electricity revenue</v>
      </c>
      <c r="B12" s="278"/>
      <c r="C12" s="1805">
        <f>-SUMIFS(TB!N:N,TB!$K:$K,'SA1'!$A$11,TB!$L:$L,'SA1'!$A12)</f>
        <v>3797370.19</v>
      </c>
      <c r="D12" s="1860">
        <f>-SUMIFS(TB!O:O,TB!$K:$K,'SA1'!$A$11,TB!$L:$L,'SA1'!$A12)</f>
        <v>4997575.4399999995</v>
      </c>
      <c r="E12" s="1861">
        <f>-SUMIFS(TB!P:P,TB!$K:$K,'SA1'!$A$11,TB!$L:$L,'SA1'!$A12)</f>
        <v>6081064.3700000001</v>
      </c>
      <c r="F12" s="1862">
        <f>[6]SA1!$J$12</f>
        <v>6821175</v>
      </c>
      <c r="G12" s="1860">
        <f>-SUMIFS(TB!R:R,TB!$K:$K,'SA1'!$A$11,TB!$L:$L,'SA1'!$A12)</f>
        <v>6701100</v>
      </c>
      <c r="H12" s="1861">
        <f>-SUMIFS(TB!S:S,TB!$K:$K,'SA1'!$A$11,TB!$L:$L,'SA1'!$A12)</f>
        <v>6937271</v>
      </c>
      <c r="I12" s="1863">
        <f>-SUMIFS(TB!T:T,TB!$K:$K,'SA1'!$A$11,TB!$L:$L,'SA1'!$A12)</f>
        <v>6937271</v>
      </c>
      <c r="J12" s="1864">
        <f>-SUMIFS(TB!U:U,TB!$K:$K,'SA1'!$A$11,TB!$L:$L,'SA1'!$A12)</f>
        <v>5289862.8486000011</v>
      </c>
      <c r="K12" s="1860">
        <f>-SUMIFS(TB!V:V,TB!$K:$K,'SA1'!$A$11,TB!$L:$L,'SA1'!$A12)</f>
        <v>8241039.267376001</v>
      </c>
      <c r="L12" s="1861">
        <f>-SUMIFS(TB!W:W,TB!$K:$K,'SA1'!$A$11,TB!$L:$L,'SA1'!$A12)</f>
        <v>9018515</v>
      </c>
      <c r="M12" s="345"/>
      <c r="N12" s="345"/>
      <c r="O12" s="345"/>
      <c r="P12" s="345"/>
    </row>
    <row r="13" spans="1:16">
      <c r="A13" s="1503" t="str">
        <f>$A$8</f>
        <v>less Revenue Foregone</v>
      </c>
      <c r="B13" s="278"/>
      <c r="C13" s="1865">
        <v>0</v>
      </c>
      <c r="D13" s="1865">
        <v>0</v>
      </c>
      <c r="E13" s="1866">
        <v>0</v>
      </c>
      <c r="F13" s="1867">
        <v>0</v>
      </c>
      <c r="G13" s="1865">
        <v>0</v>
      </c>
      <c r="H13" s="1866"/>
      <c r="I13" s="1868"/>
      <c r="J13" s="1864"/>
      <c r="K13" s="1865"/>
      <c r="L13" s="1866"/>
      <c r="M13" s="345"/>
      <c r="N13" s="345"/>
      <c r="O13" s="345"/>
      <c r="P13" s="345"/>
    </row>
    <row r="14" spans="1:16" ht="12.75" customHeight="1">
      <c r="A14" s="392" t="str">
        <f>"Net "&amp; A11</f>
        <v>Net Service charges - electricity revenue</v>
      </c>
      <c r="B14" s="278"/>
      <c r="C14" s="199">
        <f t="shared" ref="C14:L14" si="1">C12-C13</f>
        <v>3797370.19</v>
      </c>
      <c r="D14" s="199">
        <f t="shared" si="1"/>
        <v>4997575.4399999995</v>
      </c>
      <c r="E14" s="200">
        <f t="shared" si="1"/>
        <v>6081064.3700000001</v>
      </c>
      <c r="F14" s="201">
        <f t="shared" si="1"/>
        <v>6821175</v>
      </c>
      <c r="G14" s="199">
        <f t="shared" si="1"/>
        <v>6701100</v>
      </c>
      <c r="H14" s="200">
        <f t="shared" si="1"/>
        <v>6937271</v>
      </c>
      <c r="I14" s="198">
        <f t="shared" si="1"/>
        <v>6937271</v>
      </c>
      <c r="J14" s="202">
        <f t="shared" si="1"/>
        <v>5289862.8486000011</v>
      </c>
      <c r="K14" s="199">
        <f t="shared" si="1"/>
        <v>8241039.267376001</v>
      </c>
      <c r="L14" s="200">
        <f t="shared" si="1"/>
        <v>9018515</v>
      </c>
      <c r="M14" s="345"/>
      <c r="N14" s="345"/>
      <c r="O14" s="345"/>
      <c r="P14" s="345"/>
    </row>
    <row r="15" spans="1:16" ht="5.0999999999999996" customHeight="1">
      <c r="B15" s="278"/>
      <c r="C15" s="1187"/>
      <c r="D15" s="1187"/>
      <c r="E15" s="208"/>
      <c r="F15" s="579"/>
      <c r="G15" s="1187"/>
      <c r="H15" s="208"/>
      <c r="I15" s="227"/>
      <c r="J15" s="1188"/>
      <c r="K15" s="1187"/>
      <c r="L15" s="208"/>
      <c r="M15" s="345"/>
      <c r="N15" s="345"/>
      <c r="O15" s="345"/>
      <c r="P15" s="345"/>
    </row>
    <row r="16" spans="1:16">
      <c r="A16" s="1189" t="str">
        <f>'A4-FinPerf RE'!A8</f>
        <v>Service charges - water revenue</v>
      </c>
      <c r="B16" s="278">
        <v>6</v>
      </c>
      <c r="C16" s="1187"/>
      <c r="D16" s="1187"/>
      <c r="E16" s="208"/>
      <c r="F16" s="579"/>
      <c r="G16" s="1187"/>
      <c r="H16" s="208"/>
      <c r="I16" s="227"/>
      <c r="J16" s="1188"/>
      <c r="K16" s="1187"/>
      <c r="L16" s="208"/>
      <c r="M16" s="345"/>
      <c r="N16" s="345"/>
      <c r="O16" s="345"/>
      <c r="P16" s="345"/>
    </row>
    <row r="17" spans="1:16">
      <c r="A17" s="1251" t="str">
        <f>"Total "&amp;A16</f>
        <v>Total Service charges - water revenue</v>
      </c>
      <c r="B17" s="278"/>
      <c r="C17" s="1805">
        <f>-SUMIFS(TB!N:N,TB!$K:$K,'SA1'!$A$16,TB!$L:$L,'SA1'!$A17)</f>
        <v>2501242.21</v>
      </c>
      <c r="D17" s="1869">
        <f>-SUMIFS(TB!O:O,TB!$K:$K,'SA1'!$A$16,TB!$L:$L,'SA1'!$A17)</f>
        <v>3007305.7299999995</v>
      </c>
      <c r="E17" s="1870">
        <f>-SUMIFS(TB!P:P,TB!$K:$K,'SA1'!$A$16,TB!$L:$L,'SA1'!$A17)</f>
        <v>4063905.7</v>
      </c>
      <c r="F17" s="1871">
        <f>[6]SA1!$J$17</f>
        <v>3906885</v>
      </c>
      <c r="G17" s="1869">
        <f>-SUMIFS(TB!R:R,TB!$K:$K,'SA1'!$A$16,TB!$L:$L,'SA1'!$A17)</f>
        <v>3892615</v>
      </c>
      <c r="H17" s="1870">
        <f>-SUMIFS(TB!S:S,TB!$K:$K,'SA1'!$A$16,TB!$L:$L,'SA1'!$A17)</f>
        <v>4867594</v>
      </c>
      <c r="I17" s="1872">
        <f>-SUMIFS(TB!T:T,TB!$K:$K,'SA1'!$A$16,TB!$L:$L,'SA1'!$A17)</f>
        <v>4867594</v>
      </c>
      <c r="J17" s="1873">
        <f>-SUMIFS(TB!U:U,TB!$K:$K,'SA1'!$A$16,TB!$L:$L,'SA1'!$A17)</f>
        <v>2109020.77</v>
      </c>
      <c r="K17" s="1869">
        <f>-SUMIFS(TB!V:V,TB!$K:$K,'SA1'!$A$16,TB!$L:$L,'SA1'!$A17)</f>
        <v>2328907.8470000001</v>
      </c>
      <c r="L17" s="1870">
        <f>-SUMIFS(TB!W:W,TB!$K:$K,'SA1'!$A$16,TB!$L:$L,'SA1'!$A17)</f>
        <v>2606233.5886400002</v>
      </c>
      <c r="M17" s="345"/>
      <c r="N17" s="345"/>
      <c r="O17" s="345"/>
      <c r="P17" s="345"/>
    </row>
    <row r="18" spans="1:16">
      <c r="A18" s="1503" t="str">
        <f>$A$8</f>
        <v>less Revenue Foregone</v>
      </c>
      <c r="B18" s="278"/>
      <c r="C18" s="1865"/>
      <c r="D18" s="1865"/>
      <c r="E18" s="1866"/>
      <c r="F18" s="1867">
        <v>0</v>
      </c>
      <c r="G18" s="1865">
        <v>0</v>
      </c>
      <c r="H18" s="1866"/>
      <c r="I18" s="1868"/>
      <c r="J18" s="1874"/>
      <c r="K18" s="1865"/>
      <c r="L18" s="1866"/>
      <c r="M18" s="345"/>
      <c r="N18" s="345"/>
      <c r="O18" s="345"/>
      <c r="P18" s="345"/>
    </row>
    <row r="19" spans="1:16">
      <c r="A19" s="392" t="str">
        <f>"Net "&amp; A16</f>
        <v>Net Service charges - water revenue</v>
      </c>
      <c r="B19" s="278"/>
      <c r="C19" s="199">
        <f t="shared" ref="C19:L19" si="2">C17-C18</f>
        <v>2501242.21</v>
      </c>
      <c r="D19" s="199">
        <f t="shared" si="2"/>
        <v>3007305.7299999995</v>
      </c>
      <c r="E19" s="200">
        <f t="shared" si="2"/>
        <v>4063905.7</v>
      </c>
      <c r="F19" s="201">
        <f t="shared" si="2"/>
        <v>3906885</v>
      </c>
      <c r="G19" s="199">
        <f t="shared" si="2"/>
        <v>3892615</v>
      </c>
      <c r="H19" s="200">
        <f t="shared" si="2"/>
        <v>4867594</v>
      </c>
      <c r="I19" s="198">
        <f t="shared" si="2"/>
        <v>4867594</v>
      </c>
      <c r="J19" s="202">
        <f t="shared" si="2"/>
        <v>2109020.77</v>
      </c>
      <c r="K19" s="199">
        <f t="shared" si="2"/>
        <v>2328907.8470000001</v>
      </c>
      <c r="L19" s="200">
        <f t="shared" si="2"/>
        <v>2606233.5886400002</v>
      </c>
      <c r="M19" s="345"/>
      <c r="N19" s="345"/>
      <c r="O19" s="345"/>
      <c r="P19" s="345"/>
    </row>
    <row r="20" spans="1:16" ht="4.5" customHeight="1">
      <c r="A20" s="392"/>
      <c r="B20" s="278"/>
      <c r="C20" s="1187"/>
      <c r="D20" s="1187"/>
      <c r="E20" s="208"/>
      <c r="F20" s="579"/>
      <c r="G20" s="1187"/>
      <c r="H20" s="208"/>
      <c r="I20" s="227"/>
      <c r="J20" s="1188"/>
      <c r="K20" s="1187"/>
      <c r="L20" s="208"/>
      <c r="M20" s="345"/>
      <c r="N20" s="345"/>
      <c r="O20" s="345"/>
      <c r="P20" s="345"/>
    </row>
    <row r="21" spans="1:16">
      <c r="A21" s="1189" t="str">
        <f>'A4-FinPerf RE'!A9</f>
        <v>Service charges - sanitation revenue</v>
      </c>
      <c r="B21" s="278"/>
      <c r="C21" s="1187"/>
      <c r="D21" s="1187"/>
      <c r="E21" s="208"/>
      <c r="F21" s="579"/>
      <c r="G21" s="1187"/>
      <c r="H21" s="208"/>
      <c r="I21" s="227"/>
      <c r="J21" s="1188"/>
      <c r="K21" s="1187"/>
      <c r="L21" s="208"/>
      <c r="M21" s="345"/>
      <c r="N21" s="345"/>
      <c r="O21" s="345"/>
      <c r="P21" s="345"/>
    </row>
    <row r="22" spans="1:16">
      <c r="A22" s="1251" t="str">
        <f>"Total "&amp;A21</f>
        <v>Total Service charges - sanitation revenue</v>
      </c>
      <c r="B22" s="278"/>
      <c r="C22" s="1805">
        <f>-SUMIFS(TB!N:N,TB!$K:$K,'SA1'!$A$21,TB!$L:$L,'SA1'!$A22)</f>
        <v>1940824.3</v>
      </c>
      <c r="D22" s="1869">
        <f>-SUMIFS(TB!O:O,TB!$K:$K,'SA1'!$A$21,TB!$L:$L,'SA1'!$A22)</f>
        <v>2270283.7400000002</v>
      </c>
      <c r="E22" s="1870">
        <f>-SUMIFS(TB!P:P,TB!$K:$K,'SA1'!$A$21,TB!$L:$L,'SA1'!$A22)</f>
        <v>1647476.7499999998</v>
      </c>
      <c r="F22" s="1871">
        <f>-SUMIFS(TB!Q:Q,TB!$K:$K,'SA1'!$A$21,TB!$L:$L,'SA1'!$A22)</f>
        <v>2410475</v>
      </c>
      <c r="G22" s="1869">
        <f>-SUMIFS(TB!R:R,TB!$K:$K,'SA1'!$A$21,TB!$L:$L,'SA1'!$A22)</f>
        <v>2410475</v>
      </c>
      <c r="H22" s="1870">
        <f>-SUMIFS(TB!S:S,TB!$K:$K,'SA1'!$A$21,TB!$L:$L,'SA1'!$A22)</f>
        <v>2428724</v>
      </c>
      <c r="I22" s="1872">
        <f>-SUMIFS(TB!T:T,TB!$K:$K,'SA1'!$A$21,TB!$L:$L,'SA1'!$A22)</f>
        <v>2428724</v>
      </c>
      <c r="J22" s="1873">
        <f>-SUMIFS(TB!U:U,TB!$K:$K,'SA1'!$A$21,TB!$L:$L,'SA1'!$A22)</f>
        <v>1603002.1949999998</v>
      </c>
      <c r="K22" s="1869">
        <f>-SUMIFS(TB!V:V,TB!$K:$K,'SA1'!$A$21,TB!$L:$L,'SA1'!$A22)</f>
        <v>2555100</v>
      </c>
      <c r="L22" s="1870">
        <f>-SUMIFS(TB!W:W,TB!$K:$K,'SA1'!$A$21,TB!$L:$L,'SA1'!$A22)</f>
        <v>2708410</v>
      </c>
      <c r="M22" s="345"/>
      <c r="N22" s="345"/>
      <c r="O22" s="345"/>
      <c r="P22" s="345"/>
    </row>
    <row r="23" spans="1:16">
      <c r="A23" s="1503" t="str">
        <f>$A$8</f>
        <v>less Revenue Foregone</v>
      </c>
      <c r="B23" s="278"/>
      <c r="C23" s="1805">
        <v>0</v>
      </c>
      <c r="D23" s="1805">
        <v>0</v>
      </c>
      <c r="E23" s="1870">
        <v>0</v>
      </c>
      <c r="F23" s="1805">
        <v>0</v>
      </c>
      <c r="G23" s="1805">
        <v>0</v>
      </c>
      <c r="H23" s="1870">
        <v>0</v>
      </c>
      <c r="I23" s="1872">
        <v>0</v>
      </c>
      <c r="J23" s="1873">
        <v>0</v>
      </c>
      <c r="K23" s="1805">
        <v>0</v>
      </c>
      <c r="L23" s="1870">
        <v>0</v>
      </c>
      <c r="M23" s="345"/>
      <c r="N23" s="345"/>
      <c r="O23" s="345"/>
      <c r="P23" s="345"/>
    </row>
    <row r="24" spans="1:16">
      <c r="A24" s="392" t="str">
        <f>"Net "&amp; A21</f>
        <v>Net Service charges - sanitation revenue</v>
      </c>
      <c r="B24" s="278"/>
      <c r="C24" s="199">
        <f t="shared" ref="C24:L24" si="3">C22-C23</f>
        <v>1940824.3</v>
      </c>
      <c r="D24" s="199">
        <f t="shared" si="3"/>
        <v>2270283.7400000002</v>
      </c>
      <c r="E24" s="200">
        <f t="shared" si="3"/>
        <v>1647476.7499999998</v>
      </c>
      <c r="F24" s="201">
        <f t="shared" si="3"/>
        <v>2410475</v>
      </c>
      <c r="G24" s="199">
        <f t="shared" si="3"/>
        <v>2410475</v>
      </c>
      <c r="H24" s="200">
        <f t="shared" si="3"/>
        <v>2428724</v>
      </c>
      <c r="I24" s="198">
        <f t="shared" si="3"/>
        <v>2428724</v>
      </c>
      <c r="J24" s="202">
        <f t="shared" si="3"/>
        <v>1603002.1949999998</v>
      </c>
      <c r="K24" s="199">
        <f t="shared" si="3"/>
        <v>2555100</v>
      </c>
      <c r="L24" s="200">
        <f t="shared" si="3"/>
        <v>2708410</v>
      </c>
      <c r="M24" s="345"/>
      <c r="N24" s="345"/>
      <c r="O24" s="345"/>
      <c r="P24" s="345"/>
    </row>
    <row r="25" spans="1:16" ht="4.5" customHeight="1">
      <c r="A25" s="392"/>
      <c r="B25" s="278"/>
      <c r="C25" s="1187"/>
      <c r="D25" s="1187"/>
      <c r="E25" s="208"/>
      <c r="F25" s="579"/>
      <c r="G25" s="1187"/>
      <c r="H25" s="208"/>
      <c r="I25" s="227"/>
      <c r="J25" s="1188"/>
      <c r="K25" s="1187"/>
      <c r="L25" s="208"/>
      <c r="M25" s="345"/>
      <c r="N25" s="345"/>
      <c r="O25" s="345"/>
      <c r="P25" s="345"/>
    </row>
    <row r="26" spans="1:16">
      <c r="A26" s="377" t="str">
        <f>'A4-FinPerf RE'!A10</f>
        <v>Service charges - refuse revenue</v>
      </c>
      <c r="B26" s="278">
        <v>6</v>
      </c>
      <c r="C26" s="378"/>
      <c r="D26" s="378"/>
      <c r="E26" s="181"/>
      <c r="F26" s="375"/>
      <c r="G26" s="378"/>
      <c r="H26" s="181"/>
      <c r="I26" s="290"/>
      <c r="J26" s="379"/>
      <c r="K26" s="378"/>
      <c r="L26" s="181"/>
      <c r="M26" s="345"/>
      <c r="N26" s="345"/>
      <c r="O26" s="345"/>
      <c r="P26" s="345"/>
    </row>
    <row r="27" spans="1:16" ht="11.25" customHeight="1">
      <c r="A27" s="1251" t="s">
        <v>1673</v>
      </c>
      <c r="B27" s="278"/>
      <c r="C27" s="1805">
        <f>-SUMIFS(TB!N:N,TB!$K:$K,'SA1'!$A$26,TB!$L:$L,'SA1'!$A27)</f>
        <v>1845573.98</v>
      </c>
      <c r="D27" s="1805">
        <f>-SUMIFS(TB!O:O,TB!$K:$K,'SA1'!$A$26,TB!$L:$L,'SA1'!$A27)</f>
        <v>1996840.48</v>
      </c>
      <c r="E27" s="1820">
        <f>-SUMIFS(TB!P:P,TB!$K:$K,'SA1'!$A$26,TB!$L:$L,'SA1'!$A27)</f>
        <v>2280786.84</v>
      </c>
      <c r="F27" s="1821">
        <f>-SUMIFS(TB!Q:Q,TB!$K:$K,'SA1'!$A$26,TB!$L:$L,'SA1'!$A27)</f>
        <v>2329660</v>
      </c>
      <c r="G27" s="1805">
        <f>-SUMIFS(TB!R:R,TB!$K:$K,'SA1'!$A$26,TB!$L:$L,'SA1'!$A27)</f>
        <v>2329660</v>
      </c>
      <c r="H27" s="1820">
        <f>-SUMIFS(TB!S:S,TB!$K:$K,'SA1'!$A$26,TB!$L:$L,'SA1'!$A27)</f>
        <v>2413471</v>
      </c>
      <c r="I27" s="1822">
        <f>-SUMIFS(TB!T:T,TB!$K:$K,'SA1'!$A$26,TB!$L:$L,'SA1'!$A27)</f>
        <v>2413471</v>
      </c>
      <c r="J27" s="1807">
        <f>-SUMIFS(TB!U:U,TB!$K:$K,'SA1'!$A$26,TB!$L:$L,'SA1'!$A27)</f>
        <v>2592865.02</v>
      </c>
      <c r="K27" s="1805">
        <f>-SUMIFS(TB!V:V,TB!$K:$K,'SA1'!$A$26,TB!$L:$L,'SA1'!$A27)</f>
        <v>2722448.2710000002</v>
      </c>
      <c r="L27" s="1820">
        <f>-SUMIFS(TB!W:W,TB!$K:$K,'SA1'!$A$26,TB!$L:$L,'SA1'!$A27)</f>
        <v>2858610.6845500004</v>
      </c>
      <c r="M27" s="345"/>
      <c r="N27" s="345"/>
      <c r="O27" s="345"/>
      <c r="P27" s="345"/>
    </row>
    <row r="28" spans="1:16" ht="11.25" customHeight="1">
      <c r="A28" s="1251" t="s">
        <v>1674</v>
      </c>
      <c r="B28" s="278"/>
      <c r="C28" s="1805">
        <v>0</v>
      </c>
      <c r="D28" s="1805">
        <v>0</v>
      </c>
      <c r="E28" s="1820">
        <v>0</v>
      </c>
      <c r="F28" s="1821">
        <v>0</v>
      </c>
      <c r="G28" s="1805">
        <v>0</v>
      </c>
      <c r="H28" s="1820">
        <v>0</v>
      </c>
      <c r="I28" s="1822">
        <v>0</v>
      </c>
      <c r="J28" s="1807">
        <v>0</v>
      </c>
      <c r="K28" s="1805">
        <v>0</v>
      </c>
      <c r="L28" s="1820">
        <v>0</v>
      </c>
      <c r="M28" s="345"/>
      <c r="N28" s="345"/>
      <c r="O28" s="345"/>
      <c r="P28" s="345"/>
    </row>
    <row r="29" spans="1:16" ht="11.25" customHeight="1">
      <c r="A29" s="1503" t="str">
        <f>$A$8</f>
        <v>less Revenue Foregone</v>
      </c>
      <c r="B29" s="278"/>
      <c r="C29" s="1805">
        <v>0</v>
      </c>
      <c r="D29" s="1805">
        <v>0</v>
      </c>
      <c r="E29" s="1820">
        <v>0</v>
      </c>
      <c r="F29" s="1821">
        <v>0</v>
      </c>
      <c r="G29" s="1805">
        <v>0</v>
      </c>
      <c r="H29" s="1820">
        <v>0</v>
      </c>
      <c r="I29" s="1822">
        <v>0</v>
      </c>
      <c r="J29" s="1807">
        <v>0</v>
      </c>
      <c r="K29" s="1805">
        <v>0</v>
      </c>
      <c r="L29" s="1820">
        <v>0</v>
      </c>
      <c r="M29" s="345"/>
      <c r="N29" s="345"/>
      <c r="O29" s="345"/>
      <c r="P29" s="345"/>
    </row>
    <row r="30" spans="1:16">
      <c r="A30" s="392" t="str">
        <f>"Net "&amp; A26</f>
        <v>Net Service charges - refuse revenue</v>
      </c>
      <c r="B30" s="278"/>
      <c r="C30" s="199">
        <f>SUM(C27:C28)-C29</f>
        <v>1845573.98</v>
      </c>
      <c r="D30" s="199">
        <f t="shared" ref="D30:L30" si="4">SUM(D27:D28)-D29</f>
        <v>1996840.48</v>
      </c>
      <c r="E30" s="200">
        <f t="shared" si="4"/>
        <v>2280786.84</v>
      </c>
      <c r="F30" s="201">
        <f t="shared" si="4"/>
        <v>2329660</v>
      </c>
      <c r="G30" s="199">
        <f t="shared" si="4"/>
        <v>2329660</v>
      </c>
      <c r="H30" s="200">
        <f t="shared" si="4"/>
        <v>2413471</v>
      </c>
      <c r="I30" s="198">
        <f t="shared" si="4"/>
        <v>2413471</v>
      </c>
      <c r="J30" s="202">
        <f t="shared" si="4"/>
        <v>2592865.02</v>
      </c>
      <c r="K30" s="199">
        <f t="shared" si="4"/>
        <v>2722448.2710000002</v>
      </c>
      <c r="L30" s="200">
        <f t="shared" si="4"/>
        <v>2858610.6845500004</v>
      </c>
      <c r="M30" s="345"/>
      <c r="N30" s="345"/>
      <c r="O30" s="345"/>
      <c r="P30" s="345"/>
    </row>
    <row r="31" spans="1:16" ht="5.0999999999999996" customHeight="1">
      <c r="A31" s="380"/>
      <c r="B31" s="278"/>
      <c r="C31" s="189"/>
      <c r="D31" s="189"/>
      <c r="E31" s="190"/>
      <c r="F31" s="191"/>
      <c r="G31" s="189"/>
      <c r="H31" s="190"/>
      <c r="I31" s="188"/>
      <c r="J31" s="192"/>
      <c r="K31" s="189"/>
      <c r="L31" s="190"/>
      <c r="M31" s="345"/>
      <c r="N31" s="345"/>
      <c r="O31" s="345"/>
      <c r="P31" s="345"/>
    </row>
    <row r="32" spans="1:16" ht="11.25" customHeight="1">
      <c r="A32" s="377" t="s">
        <v>391</v>
      </c>
      <c r="B32" s="278"/>
      <c r="C32" s="296"/>
      <c r="D32" s="296"/>
      <c r="E32" s="299"/>
      <c r="F32" s="298"/>
      <c r="G32" s="296"/>
      <c r="H32" s="299"/>
      <c r="I32" s="297"/>
      <c r="J32" s="381"/>
      <c r="K32" s="296"/>
      <c r="L32" s="299"/>
      <c r="M32" s="345"/>
      <c r="N32" s="345"/>
      <c r="O32" s="345"/>
      <c r="P32" s="345"/>
    </row>
    <row r="33" spans="1:16" ht="11.25" customHeight="1">
      <c r="A33" s="304" t="s">
        <v>462</v>
      </c>
      <c r="B33" s="278"/>
      <c r="C33" s="1805">
        <f>-SUMIFS(TB!N:N,TB!$K:$K,'SA1'!$A$32,TB!$L:$L,'SA1'!$A33)</f>
        <v>0</v>
      </c>
      <c r="D33" s="1805">
        <f>-SUMIFS(TB!O:O,TB!$K:$K,'SA1'!$A$32,TB!$L:$L,'SA1'!$A33)</f>
        <v>0</v>
      </c>
      <c r="E33" s="1820">
        <f>-SUMIFS(TB!P:P,TB!$K:$K,'SA1'!$A$32,TB!$L:$L,'SA1'!$A33)</f>
        <v>0</v>
      </c>
      <c r="F33" s="1821">
        <f>-SUMIFS(TB!Q:Q,TB!$K:$K,'SA1'!$A$32,TB!$L:$L,'SA1'!$A33)</f>
        <v>0</v>
      </c>
      <c r="G33" s="1805">
        <f>-SUMIFS(TB!R:R,TB!$K:$K,'SA1'!$A$32,TB!$L:$L,'SA1'!$A33)</f>
        <v>0</v>
      </c>
      <c r="H33" s="1820">
        <f>-SUMIFS(TB!S:S,TB!$K:$K,'SA1'!$A$32,TB!$L:$L,'SA1'!$A33)</f>
        <v>0</v>
      </c>
      <c r="I33" s="1822">
        <f>-SUMIFS(TB!T:T,TB!$K:$K,'SA1'!$A$32,TB!$L:$L,'SA1'!$A33)</f>
        <v>0</v>
      </c>
      <c r="J33" s="1807">
        <f>-SUMIFS(TB!U:U,TB!$K:$K,'SA1'!$A$32,TB!$L:$L,'SA1'!$A33)</f>
        <v>0</v>
      </c>
      <c r="K33" s="1805">
        <f>-SUMIFS(TB!V:V,TB!$K:$K,'SA1'!$A$32,TB!$L:$L,'SA1'!$A33)</f>
        <v>0</v>
      </c>
      <c r="L33" s="1820">
        <f>-SUMIFS(TB!W:W,TB!$K:$K,'SA1'!$A$32,TB!$L:$L,'SA1'!$A33)</f>
        <v>0</v>
      </c>
      <c r="M33" s="345"/>
      <c r="N33" s="345"/>
      <c r="O33" s="345"/>
      <c r="P33" s="345"/>
    </row>
    <row r="34" spans="1:16" ht="11.25" customHeight="1">
      <c r="A34" s="304" t="s">
        <v>2122</v>
      </c>
      <c r="B34" s="278"/>
      <c r="C34" s="1805">
        <f>-SUMIFS(TB!N:N,TB!$K:$K,'SA1'!$A$32,TB!$L:$L,'SA1'!$A34)</f>
        <v>0</v>
      </c>
      <c r="D34" s="1805">
        <f>-SUMIFS(TB!O:O,TB!$K:$K,'SA1'!$A$32,TB!$L:$L,'SA1'!$A34)</f>
        <v>0</v>
      </c>
      <c r="E34" s="1820">
        <f>-SUMIFS(TB!P:P,TB!$K:$K,'SA1'!$A$32,TB!$L:$L,'SA1'!$A34)</f>
        <v>0</v>
      </c>
      <c r="F34" s="1821">
        <f>-SUMIFS(TB!Q:Q,TB!$K:$K,'SA1'!$A$32,TB!$L:$L,'SA1'!$A34)</f>
        <v>0</v>
      </c>
      <c r="G34" s="1805">
        <f>-SUMIFS(TB!R:R,TB!$K:$K,'SA1'!$A$32,TB!$L:$L,'SA1'!$A34)</f>
        <v>0</v>
      </c>
      <c r="H34" s="1820">
        <f>-SUMIFS(TB!S:S,TB!$K:$K,'SA1'!$A$32,TB!$L:$L,'SA1'!$A34)</f>
        <v>0</v>
      </c>
      <c r="I34" s="1822">
        <f>-SUMIFS(TB!T:T,TB!$K:$K,'SA1'!$A$32,TB!$L:$L,'SA1'!$A34)</f>
        <v>0</v>
      </c>
      <c r="J34" s="1807">
        <f>-SUMIFS(TB!U:U,TB!$K:$K,'SA1'!$A$32,TB!$L:$L,'SA1'!$A34)</f>
        <v>0</v>
      </c>
      <c r="K34" s="1805">
        <f>-SUMIFS(TB!V:V,TB!$K:$K,'SA1'!$A$32,TB!$L:$L,'SA1'!$A34)</f>
        <v>0</v>
      </c>
      <c r="L34" s="1820">
        <f>-SUMIFS(TB!W:W,TB!$K:$K,'SA1'!$A$32,TB!$L:$L,'SA1'!$A34)</f>
        <v>0</v>
      </c>
      <c r="M34" s="345"/>
      <c r="N34" s="345"/>
      <c r="O34" s="345"/>
      <c r="P34" s="345"/>
    </row>
    <row r="35" spans="1:16" ht="11.25" customHeight="1">
      <c r="A35" s="304" t="s">
        <v>1666</v>
      </c>
      <c r="B35" s="278">
        <v>3</v>
      </c>
      <c r="C35" s="1805">
        <f>-SUMIFS(TB!N:N,TB!$K:$K,'SA1'!$A$35,TB!$L:$L,'SA1'!$A35)</f>
        <v>1074552.8299999996</v>
      </c>
      <c r="D35" s="1805">
        <f>-SUMIFS(TB!O:O,TB!$K:$K,'SA1'!$A$35,TB!$L:$L,'SA1'!$A35)</f>
        <v>11665846.659999998</v>
      </c>
      <c r="E35" s="1820">
        <f>-SUMIFS(TB!P:P,TB!$K:$K,'SA1'!$A$35,TB!$L:$L,'SA1'!$A35)</f>
        <v>571931.04</v>
      </c>
      <c r="F35" s="1821">
        <f>[6]SA1!$J$34</f>
        <v>1356000</v>
      </c>
      <c r="G35" s="1805">
        <f>-SUMIFS(TB!R:R,TB!$K:$K,'SA1'!$A$35,TB!$L:$L,'SA1'!$A35)</f>
        <v>637700</v>
      </c>
      <c r="H35" s="1820">
        <f>-SUMIFS(TB!S:S,TB!$K:$K,'SA1'!$A$35,TB!$L:$L,'SA1'!$A35)</f>
        <v>508622</v>
      </c>
      <c r="I35" s="1822">
        <f>-SUMIFS(TB!T:T,TB!$K:$K,'SA1'!$A$35,TB!$L:$L,'SA1'!$A35)</f>
        <v>508622</v>
      </c>
      <c r="J35" s="1807">
        <f>-SUMIFS(TB!U:U,TB!$K:$K,'SA1'!$A$35,TB!$L:$L,'SA1'!$A35)</f>
        <v>516250</v>
      </c>
      <c r="K35" s="1805">
        <f>-SUMIFS(TB!V:V,TB!$K:$K,'SA1'!$A$35,TB!$L:$L,'SA1'!$A35)</f>
        <v>316830</v>
      </c>
      <c r="L35" s="1820">
        <f>-SUMIFS(TB!W:W,TB!$K:$K,'SA1'!$A$35,TB!$L:$L,'SA1'!$A35)</f>
        <v>322335</v>
      </c>
      <c r="M35" s="345"/>
      <c r="N35" s="345"/>
      <c r="O35" s="345"/>
      <c r="P35" s="345"/>
    </row>
    <row r="36" spans="1:16" ht="11.25" customHeight="1">
      <c r="A36" s="392" t="s">
        <v>1284</v>
      </c>
      <c r="B36" s="278">
        <v>1</v>
      </c>
      <c r="C36" s="199">
        <f t="shared" ref="C36:L36" si="5">SUM(C33:C35)</f>
        <v>1074552.8299999996</v>
      </c>
      <c r="D36" s="199">
        <f t="shared" si="5"/>
        <v>11665846.659999998</v>
      </c>
      <c r="E36" s="200">
        <f t="shared" si="5"/>
        <v>571931.04</v>
      </c>
      <c r="F36" s="201">
        <f t="shared" si="5"/>
        <v>1356000</v>
      </c>
      <c r="G36" s="199">
        <f t="shared" si="5"/>
        <v>637700</v>
      </c>
      <c r="H36" s="200">
        <f t="shared" si="5"/>
        <v>508622</v>
      </c>
      <c r="I36" s="198">
        <f t="shared" si="5"/>
        <v>508622</v>
      </c>
      <c r="J36" s="202">
        <f t="shared" si="5"/>
        <v>516250</v>
      </c>
      <c r="K36" s="199">
        <f t="shared" si="5"/>
        <v>316830</v>
      </c>
      <c r="L36" s="200">
        <f t="shared" si="5"/>
        <v>322335</v>
      </c>
      <c r="M36" s="345"/>
      <c r="N36" s="345"/>
      <c r="O36" s="345"/>
      <c r="P36" s="345"/>
    </row>
    <row r="37" spans="1:16" ht="5.0999999999999996" customHeight="1">
      <c r="A37" s="187"/>
      <c r="B37" s="278"/>
      <c r="C37" s="189"/>
      <c r="D37" s="189"/>
      <c r="E37" s="190"/>
      <c r="F37" s="191"/>
      <c r="G37" s="189"/>
      <c r="H37" s="190"/>
      <c r="I37" s="188"/>
      <c r="J37" s="192"/>
      <c r="K37" s="189"/>
      <c r="L37" s="190"/>
      <c r="M37" s="345"/>
      <c r="N37" s="345"/>
      <c r="O37" s="345"/>
      <c r="P37" s="345"/>
    </row>
    <row r="38" spans="1:16" ht="15.75" customHeight="1">
      <c r="A38" s="382" t="s">
        <v>564</v>
      </c>
      <c r="B38" s="383"/>
      <c r="C38" s="384"/>
      <c r="D38" s="384"/>
      <c r="E38" s="385"/>
      <c r="F38" s="386"/>
      <c r="G38" s="384"/>
      <c r="H38" s="385"/>
      <c r="I38" s="387"/>
      <c r="J38" s="388"/>
      <c r="K38" s="384"/>
      <c r="L38" s="385"/>
      <c r="M38" s="345"/>
      <c r="N38" s="345"/>
      <c r="O38" s="345"/>
      <c r="P38" s="345"/>
    </row>
    <row r="39" spans="1:16" ht="11.25" customHeight="1">
      <c r="A39" s="170" t="str">
        <f>'A4-FinPerf RE'!A25</f>
        <v>Employee related costs</v>
      </c>
      <c r="B39" s="278"/>
      <c r="C39" s="189"/>
      <c r="D39" s="189"/>
      <c r="E39" s="190"/>
      <c r="F39" s="191"/>
      <c r="G39" s="189"/>
      <c r="H39" s="190"/>
      <c r="I39" s="188"/>
      <c r="J39" s="192"/>
      <c r="K39" s="189"/>
      <c r="L39" s="190"/>
      <c r="M39" s="345"/>
      <c r="N39" s="345"/>
      <c r="O39" s="345"/>
      <c r="P39" s="345"/>
    </row>
    <row r="40" spans="1:16" ht="11.25" customHeight="1">
      <c r="A40" s="179" t="s">
        <v>1158</v>
      </c>
      <c r="B40" s="279">
        <v>2</v>
      </c>
      <c r="C40" s="1805">
        <f>SUMIFS(TB!N:N,TB!$K:$K,'SA1'!$A$39,TB!$L:$L,'SA1'!$A40)</f>
        <v>7112942.7799999975</v>
      </c>
      <c r="D40" s="1805">
        <f>SUMIFS(TB!O:O,TB!$K:$K,'SA1'!$A$39,TB!$L:$L,'SA1'!$A40)</f>
        <v>7999670.1600000011</v>
      </c>
      <c r="E40" s="1820">
        <f>SUMIFS(TB!P:P,TB!$K:$K,'SA1'!$A$39,TB!$L:$L,'SA1'!$A40)</f>
        <v>9384205.629999999</v>
      </c>
      <c r="F40" s="1807">
        <v>14231715</v>
      </c>
      <c r="G40" s="1805">
        <f>SUMIFS(TB!R:R,TB!$K:$K,'SA1'!$A$39,TB!$L:$L,'SA1'!$A40)</f>
        <v>13063825</v>
      </c>
      <c r="H40" s="1820">
        <f>SUMIFS(TB!S:S,TB!$K:$K,'SA1'!$A$39,TB!$L:$L,'SA1'!$A40)</f>
        <v>11873502</v>
      </c>
      <c r="I40" s="1822">
        <f>SUMIFS(TB!T:T,TB!$K:$K,'SA1'!$A$39,TB!$L:$L,'SA1'!$A40)</f>
        <v>11873502</v>
      </c>
      <c r="J40" s="1807">
        <f>SUMIFS(TB!U:U,TB!$K:$K,'SA1'!$A$39,TB!$L:$L,'SA1'!$A40)</f>
        <v>16457599.075199999</v>
      </c>
      <c r="K40" s="1805">
        <f>SUMIFS(TB!V:V,TB!$K:$K,'SA1'!$A$39,TB!$L:$L,'SA1'!$A40)</f>
        <v>17613027.001216002</v>
      </c>
      <c r="L40" s="1820">
        <f>SUMIFS(TB!W:W,TB!$K:$K,'SA1'!$A$39,TB!$L:$L,'SA1'!$A40)</f>
        <v>18857915.851824641</v>
      </c>
      <c r="M40" s="345"/>
      <c r="N40" s="345"/>
      <c r="O40" s="345"/>
      <c r="P40" s="345"/>
    </row>
    <row r="41" spans="1:16" ht="11.25" customHeight="1">
      <c r="A41" s="179" t="s">
        <v>1159</v>
      </c>
      <c r="B41" s="278"/>
      <c r="C41" s="1805">
        <f>SUMIFS(TB!N:N,TB!$K:$K,'SA1'!$A$39,TB!$L:$L,'SA1'!$A41)</f>
        <v>1628275.21</v>
      </c>
      <c r="D41" s="1805">
        <f>SUMIFS(TB!O:O,TB!$K:$K,'SA1'!$A$39,TB!$L:$L,'SA1'!$A41)</f>
        <v>1716277.9900000002</v>
      </c>
      <c r="E41" s="1820">
        <f>SUMIFS(TB!P:P,TB!$K:$K,'SA1'!$A$39,TB!$L:$L,'SA1'!$A41)</f>
        <v>2153899.9699999997</v>
      </c>
      <c r="F41" s="1807">
        <f>332665+2179235+120280</f>
        <v>2632180</v>
      </c>
      <c r="G41" s="1805">
        <f>SUMIFS(TB!R:R,TB!$K:$K,'SA1'!$A$39,TB!$L:$L,'SA1'!$A41)</f>
        <v>3324435</v>
      </c>
      <c r="H41" s="1820">
        <f>SUMIFS(TB!S:S,TB!$K:$K,'SA1'!$A$39,TB!$L:$L,'SA1'!$A41)</f>
        <v>2386833</v>
      </c>
      <c r="I41" s="1822">
        <f>SUMIFS(TB!T:T,TB!$K:$K,'SA1'!$A$39,TB!$L:$L,'SA1'!$A41)</f>
        <v>2386833</v>
      </c>
      <c r="J41" s="1807">
        <f>SUMIFS(TB!U:U,TB!$K:$K,'SA1'!$A$39,TB!$L:$L,'SA1'!$A41)</f>
        <v>3698677.8768230085</v>
      </c>
      <c r="K41" s="1805">
        <f>SUMIFS(TB!V:V,TB!$K:$K,'SA1'!$A$39,TB!$L:$L,'SA1'!$A41)</f>
        <v>3768563.9884136696</v>
      </c>
      <c r="L41" s="1820">
        <f>SUMIFS(TB!W:W,TB!$K:$K,'SA1'!$A$39,TB!$L:$L,'SA1'!$A41)</f>
        <v>4045281.0646840255</v>
      </c>
      <c r="M41" s="345"/>
      <c r="N41" s="345"/>
      <c r="O41" s="345"/>
      <c r="P41" s="345"/>
    </row>
    <row r="42" spans="1:16" ht="11.25" customHeight="1">
      <c r="A42" s="179" t="s">
        <v>1160</v>
      </c>
      <c r="B42" s="278"/>
      <c r="C42" s="1805">
        <f>SUMIFS(TB!N:N,TB!$K:$K,'SA1'!$A$39,TB!$L:$L,'SA1'!$A42)</f>
        <v>727792.58000000007</v>
      </c>
      <c r="D42" s="1805">
        <f>SUMIFS(TB!O:O,TB!$K:$K,'SA1'!$A$39,TB!$L:$L,'SA1'!$A42)</f>
        <v>725071.53</v>
      </c>
      <c r="E42" s="1820">
        <f>SUMIFS(TB!P:P,TB!$K:$K,'SA1'!$A$39,TB!$L:$L,'SA1'!$A42)</f>
        <v>732055.89000000013</v>
      </c>
      <c r="F42" s="1807">
        <v>988425</v>
      </c>
      <c r="G42" s="1805">
        <f>SUMIFS(TB!R:R,TB!$K:$K,'SA1'!$A$39,TB!$L:$L,'SA1'!$A42)</f>
        <v>855105</v>
      </c>
      <c r="H42" s="1820">
        <f>SUMIFS(TB!S:S,TB!$K:$K,'SA1'!$A$39,TB!$L:$L,'SA1'!$A42)</f>
        <v>675430</v>
      </c>
      <c r="I42" s="1822">
        <f>SUMIFS(TB!T:T,TB!$K:$K,'SA1'!$A$39,TB!$L:$L,'SA1'!$A42)</f>
        <v>675430</v>
      </c>
      <c r="J42" s="1807">
        <f>SUMIFS(TB!U:U,TB!$K:$K,'SA1'!$A$39,TB!$L:$L,'SA1'!$A42)</f>
        <v>853788.53</v>
      </c>
      <c r="K42" s="1805">
        <f>SUMIFS(TB!V:V,TB!$K:$K,'SA1'!$A$39,TB!$L:$L,'SA1'!$A42)</f>
        <v>960063.70400000003</v>
      </c>
      <c r="L42" s="1820">
        <f>SUMIFS(TB!W:W,TB!$K:$K,'SA1'!$A$39,TB!$L:$L,'SA1'!$A42)</f>
        <v>1027552.40032</v>
      </c>
      <c r="M42" s="345"/>
      <c r="N42" s="345"/>
      <c r="O42" s="345"/>
      <c r="P42" s="345"/>
    </row>
    <row r="43" spans="1:16" ht="11.25" customHeight="1">
      <c r="A43" s="179" t="s">
        <v>807</v>
      </c>
      <c r="B43" s="278"/>
      <c r="C43" s="1805">
        <f>SUMIFS(TB!N:N,TB!$K:$K,'SA1'!$A$39,TB!$L:$L,'SA1'!$A43)</f>
        <v>48877.5</v>
      </c>
      <c r="D43" s="1805">
        <f>SUMIFS(TB!O:O,TB!$K:$K,'SA1'!$A$39,TB!$L:$L,'SA1'!$A43)</f>
        <v>46878.1</v>
      </c>
      <c r="E43" s="1820">
        <f>SUMIFS(TB!P:P,TB!$K:$K,'SA1'!$A$39,TB!$L:$L,'SA1'!$A43)</f>
        <v>47963.79</v>
      </c>
      <c r="F43" s="1807">
        <v>84890</v>
      </c>
      <c r="G43" s="1805">
        <f>SUMIFS(TB!R:R,TB!$K:$K,'SA1'!$A$39,TB!$L:$L,'SA1'!$A43)</f>
        <v>88610</v>
      </c>
      <c r="H43" s="1820">
        <f>SUMIFS(TB!S:S,TB!$K:$K,'SA1'!$A$39,TB!$L:$L,'SA1'!$A43)</f>
        <v>50466</v>
      </c>
      <c r="I43" s="1822">
        <f>SUMIFS(TB!T:T,TB!$K:$K,'SA1'!$A$39,TB!$L:$L,'SA1'!$A43)</f>
        <v>50466</v>
      </c>
      <c r="J43" s="1807">
        <f>SUMIFS(TB!U:U,TB!$K:$K,'SA1'!$A$39,TB!$L:$L,'SA1'!$A43)</f>
        <v>72540</v>
      </c>
      <c r="K43" s="1805">
        <f>SUMIFS(TB!V:V,TB!$K:$K,'SA1'!$A$39,TB!$L:$L,'SA1'!$A43)</f>
        <v>90865</v>
      </c>
      <c r="L43" s="1820">
        <f>SUMIFS(TB!W:W,TB!$K:$K,'SA1'!$A$39,TB!$L:$L,'SA1'!$A43)</f>
        <v>97195</v>
      </c>
      <c r="M43" s="345"/>
      <c r="N43" s="345"/>
      <c r="O43" s="345"/>
      <c r="P43" s="345"/>
    </row>
    <row r="44" spans="1:16" ht="11.25" customHeight="1">
      <c r="A44" s="179" t="s">
        <v>1161</v>
      </c>
      <c r="B44" s="278"/>
      <c r="C44" s="1805">
        <f>SUMIFS(TB!N:N,TB!$K:$K,'SA1'!$A$39,TB!$L:$L,'SA1'!$A44)</f>
        <v>341624.86</v>
      </c>
      <c r="D44" s="1805">
        <f>SUMIFS(TB!O:O,TB!$K:$K,'SA1'!$A$39,TB!$L:$L,'SA1'!$A44)</f>
        <v>532322.35</v>
      </c>
      <c r="E44" s="1820">
        <f>SUMIFS(TB!P:P,TB!$K:$K,'SA1'!$A$39,TB!$L:$L,'SA1'!$A44)</f>
        <v>624856.85</v>
      </c>
      <c r="F44" s="1807">
        <v>569500</v>
      </c>
      <c r="G44" s="1805">
        <f>SUMIFS(TB!R:R,TB!$K:$K,'SA1'!$A$39,TB!$L:$L,'SA1'!$A44)</f>
        <v>869500</v>
      </c>
      <c r="H44" s="1820">
        <f>SUMIFS(TB!S:S,TB!$K:$K,'SA1'!$A$39,TB!$L:$L,'SA1'!$A44)</f>
        <v>1027805</v>
      </c>
      <c r="I44" s="1822">
        <f>SUMIFS(TB!T:T,TB!$K:$K,'SA1'!$A$39,TB!$L:$L,'SA1'!$A44)</f>
        <v>1027805</v>
      </c>
      <c r="J44" s="1807">
        <f>SUMIFS(TB!U:U,TB!$K:$K,'SA1'!$A$39,TB!$L:$L,'SA1'!$A44)</f>
        <v>948500</v>
      </c>
      <c r="K44" s="1805">
        <f>SUMIFS(TB!V:V,TB!$K:$K,'SA1'!$A$39,TB!$L:$L,'SA1'!$A44)</f>
        <v>971500</v>
      </c>
      <c r="L44" s="1820">
        <f>SUMIFS(TB!W:W,TB!$K:$K,'SA1'!$A$39,TB!$L:$L,'SA1'!$A44)</f>
        <v>984500</v>
      </c>
      <c r="M44" s="345"/>
      <c r="N44" s="345"/>
      <c r="O44" s="345"/>
      <c r="P44" s="345"/>
    </row>
    <row r="45" spans="1:16" ht="11.25" customHeight="1">
      <c r="A45" s="179" t="s">
        <v>1163</v>
      </c>
      <c r="B45" s="278"/>
      <c r="C45" s="1805">
        <f>SUMIFS(TB!N:N,TB!$K:$K,'SA1'!$A$39,TB!$L:$L,'SA1'!$A45)</f>
        <v>401380.66000000003</v>
      </c>
      <c r="D45" s="1805">
        <f>SUMIFS(TB!O:O,TB!$K:$K,'SA1'!$A$39,TB!$L:$L,'SA1'!$A45)</f>
        <v>421001.99</v>
      </c>
      <c r="E45" s="1820">
        <f>SUMIFS(TB!P:P,TB!$K:$K,'SA1'!$A$39,TB!$L:$L,'SA1'!$A45)</f>
        <v>505658.44000000006</v>
      </c>
      <c r="F45" s="1807"/>
      <c r="G45" s="1805">
        <f>SUMIFS(TB!R:R,TB!$K:$K,'SA1'!$A$39,TB!$L:$L,'SA1'!$A45)</f>
        <v>830170</v>
      </c>
      <c r="H45" s="1820">
        <f>SUMIFS(TB!S:S,TB!$K:$K,'SA1'!$A$39,TB!$L:$L,'SA1'!$A45)</f>
        <v>670082</v>
      </c>
      <c r="I45" s="1822">
        <f>SUMIFS(TB!T:T,TB!$K:$K,'SA1'!$A$39,TB!$L:$L,'SA1'!$A45)</f>
        <v>670082</v>
      </c>
      <c r="J45" s="1807">
        <f>SUMIFS(TB!U:U,TB!$K:$K,'SA1'!$A$39,TB!$L:$L,'SA1'!$A45)</f>
        <v>1025740.0547999999</v>
      </c>
      <c r="K45" s="1805">
        <f>SUMIFS(TB!V:V,TB!$K:$K,'SA1'!$A$39,TB!$L:$L,'SA1'!$A45)</f>
        <v>1106558.0315999999</v>
      </c>
      <c r="L45" s="1820">
        <f>SUMIFS(TB!W:W,TB!$K:$K,'SA1'!$A$39,TB!$L:$L,'SA1'!$A45)</f>
        <v>1194886.6741280004</v>
      </c>
      <c r="M45" s="345"/>
      <c r="N45" s="345"/>
      <c r="O45" s="345"/>
      <c r="P45" s="345"/>
    </row>
    <row r="46" spans="1:16" ht="11.25" customHeight="1">
      <c r="A46" s="179" t="s">
        <v>1162</v>
      </c>
      <c r="B46" s="278"/>
      <c r="C46" s="1805">
        <f>SUMIFS(TB!N:N,TB!$K:$K,'SA1'!$A$39,TB!$L:$L,'SA1'!$A46)</f>
        <v>0</v>
      </c>
      <c r="D46" s="1805">
        <f>SUMIFS(TB!O:O,TB!$K:$K,'SA1'!$A$39,TB!$L:$L,'SA1'!$A46)</f>
        <v>11323</v>
      </c>
      <c r="E46" s="1820">
        <f>SUMIFS(TB!P:P,TB!$K:$K,'SA1'!$A$39,TB!$L:$L,'SA1'!$A46)</f>
        <v>7981</v>
      </c>
      <c r="F46" s="1807"/>
      <c r="G46" s="1805">
        <f>SUMIFS(TB!R:R,TB!$K:$K,'SA1'!$A$39,TB!$L:$L,'SA1'!$A46)</f>
        <v>0</v>
      </c>
      <c r="H46" s="1820">
        <f>SUMIFS(TB!S:S,TB!$K:$K,'SA1'!$A$39,TB!$L:$L,'SA1'!$A46)</f>
        <v>0</v>
      </c>
      <c r="I46" s="1822">
        <f>SUMIFS(TB!T:T,TB!$K:$K,'SA1'!$A$39,TB!$L:$L,'SA1'!$A46)</f>
        <v>0</v>
      </c>
      <c r="J46" s="1807">
        <f>SUMIFS(TB!U:U,TB!$K:$K,'SA1'!$A$39,TB!$L:$L,'SA1'!$A46)</f>
        <v>0</v>
      </c>
      <c r="K46" s="1805">
        <f>SUMIFS(TB!V:V,TB!$K:$K,'SA1'!$A$39,TB!$L:$L,'SA1'!$A46)</f>
        <v>0</v>
      </c>
      <c r="L46" s="1820">
        <f>SUMIFS(TB!W:W,TB!$K:$K,'SA1'!$A$39,TB!$L:$L,'SA1'!$A46)</f>
        <v>0</v>
      </c>
      <c r="M46" s="345"/>
      <c r="N46" s="345"/>
      <c r="O46" s="345"/>
      <c r="P46" s="345"/>
    </row>
    <row r="47" spans="1:16" ht="11.25" customHeight="1">
      <c r="A47" s="179" t="s">
        <v>1778</v>
      </c>
      <c r="B47" s="278"/>
      <c r="C47" s="1805">
        <f>SUMIFS(TB!N:N,TB!$K:$K,'SA1'!$A$39,TB!$L:$L,'SA1'!$A47)</f>
        <v>315766.47000000003</v>
      </c>
      <c r="D47" s="1805">
        <f>SUMIFS(TB!O:O,TB!$K:$K,'SA1'!$A$39,TB!$L:$L,'SA1'!$A47)</f>
        <v>288865.59000000003</v>
      </c>
      <c r="E47" s="1820">
        <f>SUMIFS(TB!P:P,TB!$K:$K,'SA1'!$A$39,TB!$L:$L,'SA1'!$A47)</f>
        <v>43547.550000000017</v>
      </c>
      <c r="F47" s="1807">
        <v>189000</v>
      </c>
      <c r="G47" s="1805">
        <f>SUMIFS(TB!R:R,TB!$K:$K,'SA1'!$A$39,TB!$L:$L,'SA1'!$A47)</f>
        <v>189000</v>
      </c>
      <c r="H47" s="1820">
        <f>SUMIFS(TB!S:S,TB!$K:$K,'SA1'!$A$39,TB!$L:$L,'SA1'!$A47)</f>
        <v>82904</v>
      </c>
      <c r="I47" s="1822">
        <f>SUMIFS(TB!T:T,TB!$K:$K,'SA1'!$A$39,TB!$L:$L,'SA1'!$A47)</f>
        <v>82904</v>
      </c>
      <c r="J47" s="1807">
        <f>SUMIFS(TB!U:U,TB!$K:$K,'SA1'!$A$39,TB!$L:$L,'SA1'!$A47)</f>
        <v>222000</v>
      </c>
      <c r="K47" s="1805">
        <f>SUMIFS(TB!V:V,TB!$K:$K,'SA1'!$A$39,TB!$L:$L,'SA1'!$A47)</f>
        <v>195000</v>
      </c>
      <c r="L47" s="1820">
        <f>SUMIFS(TB!W:W,TB!$K:$K,'SA1'!$A$39,TB!$L:$L,'SA1'!$A47)</f>
        <v>199000</v>
      </c>
      <c r="M47" s="345"/>
      <c r="N47" s="345"/>
      <c r="O47" s="345"/>
      <c r="P47" s="345"/>
    </row>
    <row r="48" spans="1:16" ht="11.25" customHeight="1">
      <c r="A48" s="179" t="s">
        <v>1779</v>
      </c>
      <c r="B48" s="278">
        <v>4</v>
      </c>
      <c r="C48" s="1805">
        <f>SUMIFS(TB!N:N,TB!$K:$K,'SA1'!$A$39,TB!$L:$L,'SA1'!$A48)</f>
        <v>0</v>
      </c>
      <c r="D48" s="1805">
        <f>SUMIFS(TB!O:O,TB!$K:$K,'SA1'!$A$39,TB!$L:$L,'SA1'!$A48)</f>
        <v>74603</v>
      </c>
      <c r="E48" s="1820">
        <f>SUMIFS(TB!P:P,TB!$K:$K,'SA1'!$A$39,TB!$L:$L,'SA1'!$A48)</f>
        <v>79328</v>
      </c>
      <c r="F48" s="1807"/>
      <c r="G48" s="1805">
        <f>SUMIFS(TB!R:R,TB!$K:$K,'SA1'!$A$39,TB!$L:$L,'SA1'!$A48)</f>
        <v>0</v>
      </c>
      <c r="H48" s="1820">
        <f>SUMIFS(TB!S:S,TB!$K:$K,'SA1'!$A$39,TB!$L:$L,'SA1'!$A48)</f>
        <v>0</v>
      </c>
      <c r="I48" s="1822">
        <f>SUMIFS(TB!T:T,TB!$K:$K,'SA1'!$A$39,TB!$L:$L,'SA1'!$A48)</f>
        <v>0</v>
      </c>
      <c r="J48" s="1807">
        <f>SUMIFS(TB!U:U,TB!$K:$K,'SA1'!$A$39,TB!$L:$L,'SA1'!$A48)</f>
        <v>0</v>
      </c>
      <c r="K48" s="1805">
        <f>SUMIFS(TB!V:V,TB!$K:$K,'SA1'!$A$39,TB!$L:$L,'SA1'!$A48)</f>
        <v>0</v>
      </c>
      <c r="L48" s="1820">
        <f>SUMIFS(TB!W:W,TB!$K:$K,'SA1'!$A$39,TB!$L:$L,'SA1'!$A48)</f>
        <v>0</v>
      </c>
      <c r="M48" s="345"/>
      <c r="N48" s="345"/>
      <c r="O48" s="345"/>
      <c r="P48" s="345"/>
    </row>
    <row r="49" spans="1:16" ht="11.25" customHeight="1">
      <c r="A49" s="389" t="s">
        <v>138</v>
      </c>
      <c r="B49" s="278">
        <v>5</v>
      </c>
      <c r="C49" s="253">
        <f>SUM(C40:C48)</f>
        <v>10576660.059999999</v>
      </c>
      <c r="D49" s="253">
        <f t="shared" ref="D49:L49" si="6">SUM(D40:D48)</f>
        <v>11816013.710000001</v>
      </c>
      <c r="E49" s="254">
        <f t="shared" si="6"/>
        <v>13579497.119999997</v>
      </c>
      <c r="F49" s="255">
        <f t="shared" si="6"/>
        <v>18695710</v>
      </c>
      <c r="G49" s="253">
        <f t="shared" si="6"/>
        <v>19220645</v>
      </c>
      <c r="H49" s="254">
        <f t="shared" si="6"/>
        <v>16767022</v>
      </c>
      <c r="I49" s="252">
        <f t="shared" si="6"/>
        <v>16767022</v>
      </c>
      <c r="J49" s="256">
        <f t="shared" si="6"/>
        <v>23278845.536823008</v>
      </c>
      <c r="K49" s="253">
        <f t="shared" si="6"/>
        <v>24705577.725229669</v>
      </c>
      <c r="L49" s="254">
        <f t="shared" si="6"/>
        <v>26406330.990956668</v>
      </c>
      <c r="M49" s="345"/>
      <c r="N49" s="345"/>
      <c r="O49" s="345"/>
      <c r="P49" s="345"/>
    </row>
    <row r="50" spans="1:16" ht="11.25" customHeight="1">
      <c r="A50" s="390" t="s">
        <v>522</v>
      </c>
      <c r="B50" s="278"/>
      <c r="C50" s="1805">
        <v>0</v>
      </c>
      <c r="D50" s="1805">
        <v>0</v>
      </c>
      <c r="E50" s="1820">
        <v>0</v>
      </c>
      <c r="F50" s="1821"/>
      <c r="G50" s="1805"/>
      <c r="H50" s="1820"/>
      <c r="I50" s="1822"/>
      <c r="J50" s="1807"/>
      <c r="K50" s="1805"/>
      <c r="L50" s="1820"/>
      <c r="M50" s="345"/>
      <c r="N50" s="345"/>
      <c r="O50" s="345"/>
      <c r="P50" s="345"/>
    </row>
    <row r="51" spans="1:16" ht="11.25" customHeight="1">
      <c r="A51" s="305" t="str">
        <f>"Total "&amp;A39</f>
        <v>Total Employee related costs</v>
      </c>
      <c r="B51" s="278">
        <v>1</v>
      </c>
      <c r="C51" s="253">
        <f>C49-C50</f>
        <v>10576660.059999999</v>
      </c>
      <c r="D51" s="253">
        <f t="shared" ref="D51:L51" si="7">D49-D50</f>
        <v>11816013.710000001</v>
      </c>
      <c r="E51" s="254">
        <f t="shared" si="7"/>
        <v>13579497.119999997</v>
      </c>
      <c r="F51" s="255">
        <f t="shared" si="7"/>
        <v>18695710</v>
      </c>
      <c r="G51" s="253">
        <f t="shared" si="7"/>
        <v>19220645</v>
      </c>
      <c r="H51" s="254">
        <f t="shared" si="7"/>
        <v>16767022</v>
      </c>
      <c r="I51" s="252">
        <f t="shared" si="7"/>
        <v>16767022</v>
      </c>
      <c r="J51" s="256">
        <f t="shared" si="7"/>
        <v>23278845.536823008</v>
      </c>
      <c r="K51" s="253">
        <f t="shared" si="7"/>
        <v>24705577.725229669</v>
      </c>
      <c r="L51" s="254">
        <f t="shared" si="7"/>
        <v>26406330.990956668</v>
      </c>
      <c r="M51" s="345"/>
      <c r="N51" s="345"/>
      <c r="O51" s="345"/>
      <c r="P51" s="345"/>
    </row>
    <row r="52" spans="1:16" ht="5.0999999999999996" customHeight="1">
      <c r="A52" s="187"/>
      <c r="B52" s="278"/>
      <c r="C52" s="189"/>
      <c r="D52" s="189"/>
      <c r="E52" s="190"/>
      <c r="F52" s="191"/>
      <c r="G52" s="189"/>
      <c r="H52" s="190"/>
      <c r="I52" s="188"/>
      <c r="J52" s="192"/>
      <c r="K52" s="189"/>
      <c r="L52" s="190"/>
      <c r="M52" s="345"/>
      <c r="N52" s="345"/>
      <c r="O52" s="345"/>
      <c r="P52" s="345"/>
    </row>
    <row r="53" spans="1:16" ht="11.25" customHeight="1">
      <c r="A53" s="170" t="s">
        <v>869</v>
      </c>
      <c r="B53" s="278"/>
      <c r="C53" s="1261"/>
      <c r="D53" s="1261"/>
      <c r="E53" s="1287"/>
      <c r="F53" s="1288"/>
      <c r="G53" s="1261"/>
      <c r="H53" s="1287"/>
      <c r="I53" s="1289"/>
      <c r="J53" s="1262"/>
      <c r="K53" s="1261"/>
      <c r="L53" s="1287"/>
      <c r="M53" s="345"/>
      <c r="N53" s="345"/>
      <c r="O53" s="345"/>
      <c r="P53" s="345"/>
    </row>
    <row r="54" spans="1:16" ht="11.25" customHeight="1">
      <c r="A54" s="1875" t="s">
        <v>870</v>
      </c>
      <c r="B54" s="278"/>
      <c r="C54" s="1805"/>
      <c r="D54" s="1805"/>
      <c r="E54" s="1820"/>
      <c r="F54" s="1821"/>
      <c r="G54" s="1805"/>
      <c r="H54" s="1820"/>
      <c r="I54" s="1822"/>
      <c r="J54" s="1807"/>
      <c r="K54" s="1805"/>
      <c r="L54" s="1820"/>
      <c r="M54" s="345"/>
      <c r="N54" s="345"/>
      <c r="O54" s="345"/>
      <c r="P54" s="345"/>
    </row>
    <row r="55" spans="1:16" ht="11.25" customHeight="1">
      <c r="A55" s="1875"/>
      <c r="B55" s="278"/>
      <c r="C55" s="1805"/>
      <c r="D55" s="1805"/>
      <c r="E55" s="1820"/>
      <c r="F55" s="1821"/>
      <c r="G55" s="1805"/>
      <c r="H55" s="1820"/>
      <c r="I55" s="1822"/>
      <c r="J55" s="1807"/>
      <c r="K55" s="1805"/>
      <c r="L55" s="1820"/>
      <c r="M55" s="345"/>
      <c r="N55" s="345"/>
      <c r="O55" s="345"/>
      <c r="P55" s="345"/>
    </row>
    <row r="56" spans="1:16" ht="11.25" customHeight="1">
      <c r="A56" s="1875"/>
      <c r="B56" s="278"/>
      <c r="C56" s="1805"/>
      <c r="D56" s="1805"/>
      <c r="E56" s="1820"/>
      <c r="F56" s="1821"/>
      <c r="G56" s="1805"/>
      <c r="H56" s="1820"/>
      <c r="I56" s="1822"/>
      <c r="J56" s="1807"/>
      <c r="K56" s="1805"/>
      <c r="L56" s="1820"/>
      <c r="M56" s="345"/>
      <c r="N56" s="345"/>
      <c r="O56" s="345"/>
      <c r="P56" s="345"/>
    </row>
    <row r="57" spans="1:16" ht="11.25" customHeight="1">
      <c r="A57" s="1875"/>
      <c r="B57" s="278"/>
      <c r="C57" s="1805"/>
      <c r="D57" s="1805"/>
      <c r="E57" s="1820"/>
      <c r="F57" s="1821"/>
      <c r="G57" s="1805"/>
      <c r="H57" s="1820"/>
      <c r="I57" s="1822"/>
      <c r="J57" s="1807"/>
      <c r="K57" s="1805"/>
      <c r="L57" s="1820"/>
      <c r="M57" s="345"/>
      <c r="N57" s="345"/>
      <c r="O57" s="345"/>
      <c r="P57" s="345"/>
    </row>
    <row r="58" spans="1:16" ht="11.25" customHeight="1">
      <c r="A58" s="1875"/>
      <c r="B58" s="278"/>
      <c r="C58" s="1805"/>
      <c r="D58" s="1805"/>
      <c r="E58" s="1820"/>
      <c r="F58" s="1821"/>
      <c r="G58" s="1805"/>
      <c r="H58" s="1820"/>
      <c r="I58" s="1822"/>
      <c r="J58" s="1807"/>
      <c r="K58" s="1805"/>
      <c r="L58" s="1820"/>
      <c r="M58" s="345"/>
      <c r="N58" s="345"/>
      <c r="O58" s="345"/>
      <c r="P58" s="345"/>
    </row>
    <row r="59" spans="1:16" ht="11.25" customHeight="1">
      <c r="A59" s="1875"/>
      <c r="B59" s="278"/>
      <c r="C59" s="1805"/>
      <c r="D59" s="1805"/>
      <c r="E59" s="1820"/>
      <c r="F59" s="1821"/>
      <c r="G59" s="1805"/>
      <c r="H59" s="1820"/>
      <c r="I59" s="1822"/>
      <c r="J59" s="1807"/>
      <c r="K59" s="1805"/>
      <c r="L59" s="1820"/>
      <c r="M59" s="345"/>
      <c r="N59" s="345"/>
      <c r="O59" s="345"/>
      <c r="P59" s="345"/>
    </row>
    <row r="60" spans="1:16" ht="11.25" customHeight="1">
      <c r="A60" s="305" t="str">
        <f>"Total "&amp;A53</f>
        <v>Total Contributions recognised - capital</v>
      </c>
      <c r="B60" s="278"/>
      <c r="C60" s="199">
        <f t="shared" ref="C60:L60" si="8">SUM(C54:C59)</f>
        <v>0</v>
      </c>
      <c r="D60" s="199">
        <f t="shared" si="8"/>
        <v>0</v>
      </c>
      <c r="E60" s="200">
        <f t="shared" si="8"/>
        <v>0</v>
      </c>
      <c r="F60" s="201">
        <f t="shared" si="8"/>
        <v>0</v>
      </c>
      <c r="G60" s="199">
        <f t="shared" si="8"/>
        <v>0</v>
      </c>
      <c r="H60" s="200">
        <f t="shared" si="8"/>
        <v>0</v>
      </c>
      <c r="I60" s="198">
        <f t="shared" si="8"/>
        <v>0</v>
      </c>
      <c r="J60" s="202">
        <f t="shared" si="8"/>
        <v>0</v>
      </c>
      <c r="K60" s="199">
        <f t="shared" si="8"/>
        <v>0</v>
      </c>
      <c r="L60" s="200">
        <f t="shared" si="8"/>
        <v>0</v>
      </c>
      <c r="M60" s="345"/>
      <c r="N60" s="345"/>
      <c r="O60" s="345"/>
      <c r="P60" s="345"/>
    </row>
    <row r="61" spans="1:16" ht="5.0999999999999996" customHeight="1">
      <c r="A61" s="187"/>
      <c r="B61" s="278"/>
      <c r="C61" s="189"/>
      <c r="D61" s="189"/>
      <c r="E61" s="190"/>
      <c r="F61" s="191"/>
      <c r="G61" s="189"/>
      <c r="H61" s="190"/>
      <c r="I61" s="188"/>
      <c r="J61" s="192"/>
      <c r="K61" s="189"/>
      <c r="L61" s="190"/>
      <c r="M61" s="345"/>
      <c r="N61" s="345"/>
      <c r="O61" s="345"/>
      <c r="P61" s="345"/>
    </row>
    <row r="62" spans="1:16" ht="11.25" customHeight="1">
      <c r="A62" s="170" t="str">
        <f>'A4-FinPerf RE'!A28</f>
        <v>Depreciation &amp; asset impairment</v>
      </c>
      <c r="B62" s="278"/>
      <c r="C62" s="189"/>
      <c r="D62" s="189"/>
      <c r="E62" s="190"/>
      <c r="F62" s="191"/>
      <c r="G62" s="189"/>
      <c r="H62" s="190"/>
      <c r="I62" s="188"/>
      <c r="J62" s="192"/>
      <c r="K62" s="189"/>
      <c r="L62" s="190"/>
      <c r="M62" s="345"/>
      <c r="N62" s="345"/>
      <c r="O62" s="345"/>
      <c r="P62" s="345"/>
    </row>
    <row r="63" spans="1:16" ht="11.25" customHeight="1">
      <c r="A63" s="304" t="s">
        <v>1696</v>
      </c>
      <c r="B63" s="278"/>
      <c r="C63" s="1805">
        <f>SUMIFS(TB!N:N,TB!$K:$K,'SA1'!$A$62,TB!$L:$L,'SA1'!$A63)</f>
        <v>0</v>
      </c>
      <c r="D63" s="1805">
        <f>SUMIFS(TB!O:O,TB!$K:$K,'SA1'!$A$62,TB!$L:$L,'SA1'!$A63)</f>
        <v>4025720.9765738035</v>
      </c>
      <c r="E63" s="1820">
        <f>SUMIFS(TB!P:P,TB!$K:$K,'SA1'!$A$62,TB!$L:$L,'SA1'!$A63)</f>
        <v>4524935.8346276861</v>
      </c>
      <c r="F63" s="1821">
        <f>[5]SA1!$J$58</f>
        <v>204800</v>
      </c>
      <c r="G63" s="1805">
        <f>SUMIFS(TB!R:R,TB!$K:$K,'SA1'!$A$62,TB!$L:$L,'SA1'!$A63)</f>
        <v>221400</v>
      </c>
      <c r="H63" s="1820">
        <f>SUMIFS(TB!S:S,TB!$K:$K,'SA1'!$A$62,TB!$L:$L,'SA1'!$A63)</f>
        <v>24798</v>
      </c>
      <c r="I63" s="1822">
        <f>SUMIFS(TB!T:T,TB!$K:$K,'SA1'!$A$62,TB!$L:$L,'SA1'!$A63)</f>
        <v>24798</v>
      </c>
      <c r="J63" s="1807">
        <f>SUMIFS(TB!U:U,TB!$K:$K,'SA1'!$A$62,TB!$L:$L,'SA1'!$A63)</f>
        <v>5357533.0649144258</v>
      </c>
      <c r="K63" s="1805">
        <f>SUMIFS(TB!V:V,TB!$K:$K,'SA1'!$A$62,TB!$L:$L,'SA1'!$A63)</f>
        <v>5802697.0488092918</v>
      </c>
      <c r="L63" s="1820">
        <f>SUMIFS(TB!W:W,TB!$K:$K,'SA1'!$A$62,TB!$L:$L,'SA1'!$A63)</f>
        <v>6140314.8717378499</v>
      </c>
      <c r="M63" s="345"/>
      <c r="N63" s="345"/>
      <c r="O63" s="345"/>
      <c r="P63" s="345"/>
    </row>
    <row r="64" spans="1:16" ht="11.25" customHeight="1">
      <c r="A64" s="304" t="s">
        <v>1021</v>
      </c>
      <c r="B64" s="278"/>
      <c r="C64" s="1805">
        <f>SUMIFS(TB!N:N,TB!$K:$K,'SA1'!$A$62,TB!$L:$L,'SA1'!$A64)</f>
        <v>0</v>
      </c>
      <c r="D64" s="1805">
        <f>SUMIFS(TB!O:O,TB!$K:$K,'SA1'!$A$62,TB!$L:$L,'SA1'!$A64)</f>
        <v>0</v>
      </c>
      <c r="E64" s="1820">
        <f>SUMIFS(TB!P:P,TB!$K:$K,'SA1'!$A$62,TB!$L:$L,'SA1'!$A64)</f>
        <v>0</v>
      </c>
      <c r="F64" s="1821">
        <f>SUMIFS(TB!Q:Q,TB!$K:$K,'SA1'!$A$62,TB!$L:$L,'SA1'!$A64)</f>
        <v>0</v>
      </c>
      <c r="G64" s="1805">
        <f>SUMIFS(TB!R:R,TB!$K:$K,'SA1'!$A$62,TB!$L:$L,'SA1'!$A64)</f>
        <v>0</v>
      </c>
      <c r="H64" s="1820">
        <f>SUMIFS(TB!S:S,TB!$K:$K,'SA1'!$A$62,TB!$L:$L,'SA1'!$A64)</f>
        <v>0</v>
      </c>
      <c r="I64" s="1822">
        <f>SUMIFS(TB!T:T,TB!$K:$K,'SA1'!$A$62,TB!$L:$L,'SA1'!$A64)</f>
        <v>0</v>
      </c>
      <c r="J64" s="1807">
        <f>SUMIFS(TB!U:U,TB!$K:$K,'SA1'!$A$62,TB!$L:$L,'SA1'!$A64)</f>
        <v>0</v>
      </c>
      <c r="K64" s="1805">
        <f>SUMIFS(TB!V:V,TB!$K:$K,'SA1'!$A$62,TB!$L:$L,'SA1'!$A64)</f>
        <v>0</v>
      </c>
      <c r="L64" s="1820">
        <f>SUMIFS(TB!W:W,TB!$K:$K,'SA1'!$A$62,TB!$L:$L,'SA1'!$A64)</f>
        <v>0</v>
      </c>
      <c r="M64" s="345"/>
      <c r="N64" s="345"/>
      <c r="O64" s="345"/>
      <c r="P64" s="345"/>
    </row>
    <row r="65" spans="1:16" ht="11.25" customHeight="1">
      <c r="A65" s="304" t="s">
        <v>1562</v>
      </c>
      <c r="B65" s="278"/>
      <c r="C65" s="1805">
        <f>SUMIFS(TB!N:N,TB!$K:$K,'SA1'!$A$62,TB!$L:$L,'SA1'!$A65)</f>
        <v>0</v>
      </c>
      <c r="D65" s="1805">
        <f>SUMIFS(TB!O:O,TB!$K:$K,'SA1'!$A$62,TB!$L:$L,'SA1'!$A65)</f>
        <v>0</v>
      </c>
      <c r="E65" s="1820">
        <f>SUMIFS(TB!P:P,TB!$K:$K,'SA1'!$A$62,TB!$L:$L,'SA1'!$A65)</f>
        <v>0</v>
      </c>
      <c r="F65" s="1821">
        <f>SUMIFS(TB!Q:Q,TB!$K:$K,'SA1'!$A$62,TB!$L:$L,'SA1'!$A65)</f>
        <v>0</v>
      </c>
      <c r="G65" s="1805">
        <f>SUMIFS(TB!R:R,TB!$K:$K,'SA1'!$A$62,TB!$L:$L,'SA1'!$A65)</f>
        <v>0</v>
      </c>
      <c r="H65" s="1820">
        <f>SUMIFS(TB!S:S,TB!$K:$K,'SA1'!$A$62,TB!$L:$L,'SA1'!$A65)</f>
        <v>0</v>
      </c>
      <c r="I65" s="1822">
        <f>SUMIFS(TB!T:T,TB!$K:$K,'SA1'!$A$62,TB!$L:$L,'SA1'!$A65)</f>
        <v>0</v>
      </c>
      <c r="J65" s="1807">
        <f>SUMIFS(TB!U:U,TB!$K:$K,'SA1'!$A$62,TB!$L:$L,'SA1'!$A65)</f>
        <v>0</v>
      </c>
      <c r="K65" s="1805">
        <f>SUMIFS(TB!V:V,TB!$K:$K,'SA1'!$A$62,TB!$L:$L,'SA1'!$A65)</f>
        <v>0</v>
      </c>
      <c r="L65" s="1820">
        <f>SUMIFS(TB!W:W,TB!$K:$K,'SA1'!$A$62,TB!$L:$L,'SA1'!$A65)</f>
        <v>0</v>
      </c>
      <c r="M65" s="345"/>
      <c r="N65" s="345"/>
      <c r="O65" s="345"/>
      <c r="P65" s="345"/>
    </row>
    <row r="66" spans="1:16" ht="11.25" customHeight="1">
      <c r="A66" s="305" t="str">
        <f>"Total "&amp;LEFT(A62,35)</f>
        <v>Total Depreciation &amp; asset impairment</v>
      </c>
      <c r="B66" s="278">
        <v>1</v>
      </c>
      <c r="C66" s="199">
        <f t="shared" ref="C66:L66" si="9">SUM(C63:C65)</f>
        <v>0</v>
      </c>
      <c r="D66" s="199">
        <f t="shared" si="9"/>
        <v>4025720.9765738035</v>
      </c>
      <c r="E66" s="200">
        <f t="shared" si="9"/>
        <v>4524935.8346276861</v>
      </c>
      <c r="F66" s="201">
        <f t="shared" si="9"/>
        <v>204800</v>
      </c>
      <c r="G66" s="199">
        <f t="shared" si="9"/>
        <v>221400</v>
      </c>
      <c r="H66" s="200">
        <f t="shared" si="9"/>
        <v>24798</v>
      </c>
      <c r="I66" s="198">
        <f t="shared" si="9"/>
        <v>24798</v>
      </c>
      <c r="J66" s="202">
        <f t="shared" si="9"/>
        <v>5357533.0649144258</v>
      </c>
      <c r="K66" s="199">
        <f t="shared" si="9"/>
        <v>5802697.0488092918</v>
      </c>
      <c r="L66" s="200">
        <f t="shared" si="9"/>
        <v>6140314.8717378499</v>
      </c>
      <c r="M66" s="345"/>
      <c r="N66" s="345"/>
      <c r="O66" s="345"/>
      <c r="P66" s="345"/>
    </row>
    <row r="67" spans="1:16" ht="5.0999999999999996" customHeight="1">
      <c r="A67" s="305"/>
      <c r="B67" s="278"/>
      <c r="C67" s="204"/>
      <c r="D67" s="204"/>
      <c r="E67" s="205"/>
      <c r="F67" s="206"/>
      <c r="G67" s="204"/>
      <c r="H67" s="205"/>
      <c r="I67" s="203"/>
      <c r="J67" s="207"/>
      <c r="K67" s="204"/>
      <c r="L67" s="205"/>
      <c r="M67" s="345"/>
      <c r="N67" s="345"/>
      <c r="O67" s="345"/>
      <c r="P67" s="345"/>
    </row>
    <row r="68" spans="1:16" ht="11.25" customHeight="1">
      <c r="A68" s="170" t="str">
        <f>'A4-FinPerf RE'!A30</f>
        <v>Bulk purchases</v>
      </c>
      <c r="B68" s="278"/>
      <c r="C68" s="204"/>
      <c r="D68" s="204"/>
      <c r="E68" s="205"/>
      <c r="F68" s="206"/>
      <c r="G68" s="204"/>
      <c r="H68" s="205"/>
      <c r="I68" s="203"/>
      <c r="J68" s="207"/>
      <c r="K68" s="204"/>
      <c r="L68" s="205"/>
      <c r="M68" s="345"/>
      <c r="N68" s="345"/>
      <c r="O68" s="345"/>
      <c r="P68" s="345"/>
    </row>
    <row r="69" spans="1:16" ht="11.25" customHeight="1">
      <c r="A69" s="179" t="s">
        <v>684</v>
      </c>
      <c r="B69" s="278"/>
      <c r="C69" s="1805">
        <f>SUMIFS(TB!N:N,TB!$K:$K,'SA1'!$A$68,TB!$L:$L,'SA1'!$A69)</f>
        <v>2804715</v>
      </c>
      <c r="D69" s="1805">
        <f>SUMIFS(TB!O:O,TB!$K:$K,'SA1'!$A$68,TB!$L:$L,'SA1'!$A69)</f>
        <v>3920739.63</v>
      </c>
      <c r="E69" s="1820">
        <f>SUMIFS(TB!P:P,TB!$K:$K,'SA1'!$A$68,TB!$L:$L,'SA1'!$A69)</f>
        <v>5554012.0899999999</v>
      </c>
      <c r="F69" s="1821">
        <f>SUMIFS(TB!Q:Q,TB!$K:$K,'SA1'!$A$68,TB!$L:$L,'SA1'!$A69)</f>
        <v>7129415</v>
      </c>
      <c r="G69" s="1805">
        <f>SUMIFS(TB!R:R,TB!$K:$K,'SA1'!$A$68,TB!$L:$L,'SA1'!$A69)</f>
        <v>8000000</v>
      </c>
      <c r="H69" s="1820">
        <f>SUMIFS(TB!S:S,TB!$K:$K,'SA1'!$A$68,TB!$L:$L,'SA1'!$A69)</f>
        <v>8090054</v>
      </c>
      <c r="I69" s="1822">
        <f>SUMIFS(TB!T:T,TB!$K:$K,'SA1'!$A$68,TB!$L:$L,'SA1'!$A69)</f>
        <v>8090054</v>
      </c>
      <c r="J69" s="1807">
        <f>SUMIFS(TB!U:U,TB!$K:$K,'SA1'!$A$68,TB!$L:$L,'SA1'!$A69)</f>
        <v>8000000</v>
      </c>
      <c r="K69" s="1805">
        <f>SUMIFS(TB!V:V,TB!$K:$K,'SA1'!$A$68,TB!$L:$L,'SA1'!$A69)</f>
        <v>8834005</v>
      </c>
      <c r="L69" s="1820">
        <f>SUMIFS(TB!W:W,TB!$K:$K,'SA1'!$A$68,TB!$L:$L,'SA1'!$A69)</f>
        <v>10967285</v>
      </c>
      <c r="M69" s="345"/>
      <c r="N69" s="345"/>
      <c r="O69" s="345"/>
      <c r="P69" s="345"/>
    </row>
    <row r="70" spans="1:16" ht="11.25" customHeight="1">
      <c r="A70" s="179" t="s">
        <v>1018</v>
      </c>
      <c r="B70" s="278"/>
      <c r="C70" s="1805">
        <f>SUMIFS(TB!N:N,TB!$K:$K,'SA1'!$A$68,TB!$L:$L,'SA1'!$A70)</f>
        <v>355439.76</v>
      </c>
      <c r="D70" s="1805">
        <f>SUMIFS(TB!O:O,TB!$K:$K,'SA1'!$A$68,TB!$L:$L,'SA1'!$A70)</f>
        <v>423948.81</v>
      </c>
      <c r="E70" s="1820">
        <f>SUMIFS(TB!P:P,TB!$K:$K,'SA1'!$A$68,TB!$L:$L,'SA1'!$A70)</f>
        <v>431952.34</v>
      </c>
      <c r="F70" s="1821">
        <f>SUMIFS(TB!Q:Q,TB!$K:$K,'SA1'!$A$68,TB!$L:$L,'SA1'!$A70)</f>
        <v>456100</v>
      </c>
      <c r="G70" s="1805">
        <f>SUMIFS(TB!R:R,TB!$K:$K,'SA1'!$A$68,TB!$L:$L,'SA1'!$A70)</f>
        <v>456100</v>
      </c>
      <c r="H70" s="1820">
        <f>SUMIFS(TB!S:S,TB!$K:$K,'SA1'!$A$68,TB!$L:$L,'SA1'!$A70)</f>
        <v>382872</v>
      </c>
      <c r="I70" s="1822">
        <f>SUMIFS(TB!T:T,TB!$K:$K,'SA1'!$A$68,TB!$L:$L,'SA1'!$A70)</f>
        <v>382872</v>
      </c>
      <c r="J70" s="1807">
        <f>SUMIFS(TB!U:U,TB!$K:$K,'SA1'!$A$68,TB!$L:$L,'SA1'!$A70)</f>
        <v>450000</v>
      </c>
      <c r="K70" s="1805">
        <f>SUMIFS(TB!V:V,TB!$K:$K,'SA1'!$A$68,TB!$L:$L,'SA1'!$A70)</f>
        <v>483465</v>
      </c>
      <c r="L70" s="1820">
        <f>SUMIFS(TB!W:W,TB!$K:$K,'SA1'!$A$68,TB!$L:$L,'SA1'!$A70)</f>
        <v>512475</v>
      </c>
      <c r="M70" s="345"/>
      <c r="N70" s="345"/>
      <c r="O70" s="345"/>
      <c r="P70" s="345"/>
    </row>
    <row r="71" spans="1:16" ht="11.25" customHeight="1">
      <c r="A71" s="305" t="s">
        <v>1285</v>
      </c>
      <c r="B71" s="278">
        <v>1</v>
      </c>
      <c r="C71" s="199">
        <f>SUM(C69:C70)</f>
        <v>3160154.76</v>
      </c>
      <c r="D71" s="199">
        <f t="shared" ref="D71:L71" si="10">SUM(D69:D70)</f>
        <v>4344688.4399999995</v>
      </c>
      <c r="E71" s="200">
        <f t="shared" si="10"/>
        <v>5985964.4299999997</v>
      </c>
      <c r="F71" s="201">
        <f t="shared" si="10"/>
        <v>7585515</v>
      </c>
      <c r="G71" s="199">
        <f t="shared" si="10"/>
        <v>8456100</v>
      </c>
      <c r="H71" s="200">
        <f t="shared" si="10"/>
        <v>8472926</v>
      </c>
      <c r="I71" s="198">
        <f t="shared" si="10"/>
        <v>8472926</v>
      </c>
      <c r="J71" s="202">
        <f t="shared" si="10"/>
        <v>8450000</v>
      </c>
      <c r="K71" s="199">
        <f t="shared" si="10"/>
        <v>9317470</v>
      </c>
      <c r="L71" s="200">
        <f t="shared" si="10"/>
        <v>11479760</v>
      </c>
      <c r="M71" s="345"/>
      <c r="N71" s="345"/>
      <c r="O71" s="345"/>
      <c r="P71" s="345"/>
    </row>
    <row r="72" spans="1:16" ht="5.0999999999999996" customHeight="1">
      <c r="A72" s="305"/>
      <c r="B72" s="278"/>
      <c r="C72" s="204"/>
      <c r="D72" s="204"/>
      <c r="E72" s="205"/>
      <c r="F72" s="206"/>
      <c r="G72" s="204"/>
      <c r="H72" s="205"/>
      <c r="I72" s="203"/>
      <c r="J72" s="207"/>
      <c r="K72" s="204"/>
      <c r="L72" s="205"/>
      <c r="M72" s="345"/>
      <c r="N72" s="345"/>
      <c r="O72" s="345"/>
      <c r="P72" s="345"/>
    </row>
    <row r="73" spans="1:16" ht="11.25" customHeight="1">
      <c r="A73" s="170" t="str">
        <f>'A4-FinPerf RE'!A32</f>
        <v>Contracted services</v>
      </c>
      <c r="B73" s="278"/>
      <c r="C73" s="189"/>
      <c r="D73" s="189"/>
      <c r="E73" s="190"/>
      <c r="F73" s="191"/>
      <c r="G73" s="189"/>
      <c r="H73" s="190"/>
      <c r="I73" s="188"/>
      <c r="J73" s="192"/>
      <c r="K73" s="189"/>
      <c r="L73" s="190"/>
      <c r="M73" s="345"/>
      <c r="N73" s="345"/>
      <c r="O73" s="345"/>
      <c r="P73" s="345"/>
    </row>
    <row r="74" spans="1:16" ht="11.25" customHeight="1">
      <c r="A74" s="1875" t="s">
        <v>3046</v>
      </c>
      <c r="B74" s="278"/>
      <c r="C74" s="1805">
        <f>SUMIFS(TB!N:N,TB!$K:$K,'SA1'!$A$73,TB!$L:$L,'SA1'!$A74)</f>
        <v>0</v>
      </c>
      <c r="D74" s="1805">
        <f>SUMIFS(TB!O:O,TB!$K:$K,'SA1'!$A$73,TB!$L:$L,'SA1'!$A74)</f>
        <v>0</v>
      </c>
      <c r="E74" s="1820">
        <f>SUMIFS(TB!P:P,TB!$K:$K,'SA1'!$A$73,TB!$L:$L,'SA1'!$A74)</f>
        <v>0</v>
      </c>
      <c r="F74" s="1821">
        <f>SUMIFS(TB!Q:Q,TB!$K:$K,'SA1'!$A$73,TB!$L:$L,'SA1'!$A74)</f>
        <v>0</v>
      </c>
      <c r="G74" s="1805">
        <f>SUMIFS(TB!R:R,TB!$K:$K,'SA1'!$A$73,TB!$L:$L,'SA1'!$A74)</f>
        <v>0</v>
      </c>
      <c r="H74" s="1820">
        <f>SUMIFS(TB!S:S,TB!$K:$K,'SA1'!$A$73,TB!$L:$L,'SA1'!$A74)</f>
        <v>0</v>
      </c>
      <c r="I74" s="1822">
        <f>SUMIFS(TB!T:T,TB!$K:$K,'SA1'!$A$73,TB!$L:$L,'SA1'!$A74)</f>
        <v>0</v>
      </c>
      <c r="J74" s="1807">
        <f>SUMIFS(TB!U:U,TB!$K:$K,'SA1'!$A$73,TB!$L:$L,'SA1'!$A74)</f>
        <v>0</v>
      </c>
      <c r="K74" s="1805">
        <f>SUMIFS(TB!V:V,TB!$K:$K,'SA1'!$A$73,TB!$L:$L,'SA1'!$A74)</f>
        <v>0</v>
      </c>
      <c r="L74" s="1820">
        <f>SUMIFS(TB!W:W,TB!$K:$K,'SA1'!$A$73,TB!$L:$L,'SA1'!$A74)</f>
        <v>0</v>
      </c>
      <c r="M74" s="345"/>
      <c r="N74" s="345"/>
      <c r="O74" s="345"/>
      <c r="P74" s="345"/>
    </row>
    <row r="75" spans="1:16" ht="11.25" customHeight="1">
      <c r="A75" s="1876" t="s">
        <v>3047</v>
      </c>
      <c r="B75" s="278"/>
      <c r="C75" s="1805">
        <f>SUMIFS(TB!N:N,TB!$K:$K,'SA1'!$A$73,TB!$L:$L,'SA1'!$A75)</f>
        <v>0</v>
      </c>
      <c r="D75" s="1805">
        <f>SUMIFS(TB!O:O,TB!$K:$K,'SA1'!$A$73,TB!$L:$L,'SA1'!$A75)</f>
        <v>0</v>
      </c>
      <c r="E75" s="1820">
        <f>SUMIFS(TB!P:P,TB!$K:$K,'SA1'!$A$73,TB!$L:$L,'SA1'!$A75)</f>
        <v>0</v>
      </c>
      <c r="F75" s="1821">
        <f>[5]SA1!$J$69</f>
        <v>40000</v>
      </c>
      <c r="G75" s="1805">
        <f>SUMIFS(TB!R:R,TB!$K:$K,'SA1'!$A$73,TB!$L:$L,'SA1'!$A75)</f>
        <v>0</v>
      </c>
      <c r="H75" s="1820">
        <f>SUMIFS(TB!S:S,TB!$K:$K,'SA1'!$A$73,TB!$L:$L,'SA1'!$A75)</f>
        <v>0</v>
      </c>
      <c r="I75" s="1822">
        <f>SUMIFS(TB!T:T,TB!$K:$K,'SA1'!$A$73,TB!$L:$L,'SA1'!$A75)</f>
        <v>0</v>
      </c>
      <c r="J75" s="1807">
        <f>SUMIFS(TB!U:U,TB!$K:$K,'SA1'!$A$73,TB!$L:$L,'SA1'!$A75)</f>
        <v>0</v>
      </c>
      <c r="K75" s="1805">
        <f>SUMIFS(TB!V:V,TB!$K:$K,'SA1'!$A$73,TB!$L:$L,'SA1'!$A75)</f>
        <v>0</v>
      </c>
      <c r="L75" s="1820">
        <f>SUMIFS(TB!W:W,TB!$K:$K,'SA1'!$A$73,TB!$L:$L,'SA1'!$A75)</f>
        <v>0</v>
      </c>
      <c r="M75" s="345"/>
      <c r="N75" s="345"/>
      <c r="O75" s="345"/>
      <c r="P75" s="345"/>
    </row>
    <row r="76" spans="1:16" ht="11.25" customHeight="1">
      <c r="A76" s="1875" t="s">
        <v>2165</v>
      </c>
      <c r="B76" s="278"/>
      <c r="C76" s="1805">
        <f>SUMIFS(TB!N:N,TB!$K:$K,'SA1'!$A$73,TB!$L:$L,'SA1'!$A76)</f>
        <v>0</v>
      </c>
      <c r="D76" s="1805">
        <f>SUMIFS(TB!O:O,TB!$K:$K,'SA1'!$A$73,TB!$L:$L,'SA1'!$A76)</f>
        <v>0</v>
      </c>
      <c r="E76" s="1820">
        <f>SUMIFS(TB!P:P,TB!$K:$K,'SA1'!$A$73,TB!$L:$L,'SA1'!$A76)</f>
        <v>0</v>
      </c>
      <c r="F76" s="1821">
        <f>[5]SA1!$J$70</f>
        <v>50000</v>
      </c>
      <c r="G76" s="1805">
        <f>SUMIFS(TB!R:R,TB!$K:$K,'SA1'!$A$73,TB!$L:$L,'SA1'!$A76)</f>
        <v>0</v>
      </c>
      <c r="H76" s="1820">
        <f>SUMIFS(TB!S:S,TB!$K:$K,'SA1'!$A$73,TB!$L:$L,'SA1'!$A76)</f>
        <v>0</v>
      </c>
      <c r="I76" s="1822">
        <f>SUMIFS(TB!T:T,TB!$K:$K,'SA1'!$A$73,TB!$L:$L,'SA1'!$A76)</f>
        <v>0</v>
      </c>
      <c r="J76" s="1807">
        <f>SUMIFS(TB!U:U,TB!$K:$K,'SA1'!$A$73,TB!$L:$L,'SA1'!$A76)</f>
        <v>0</v>
      </c>
      <c r="K76" s="1805">
        <f>SUMIFS(TB!V:V,TB!$K:$K,'SA1'!$A$73,TB!$L:$L,'SA1'!$A76)</f>
        <v>0</v>
      </c>
      <c r="L76" s="1820">
        <f>SUMIFS(TB!W:W,TB!$K:$K,'SA1'!$A$73,TB!$L:$L,'SA1'!$A76)</f>
        <v>0</v>
      </c>
      <c r="M76" s="345"/>
      <c r="N76" s="345"/>
      <c r="O76" s="345"/>
      <c r="P76" s="345"/>
    </row>
    <row r="77" spans="1:16" ht="11.25" customHeight="1">
      <c r="A77" s="1875" t="s">
        <v>1018</v>
      </c>
      <c r="B77" s="278"/>
      <c r="C77" s="1805">
        <f>SUMIFS(TB!N:N,TB!$K:$K,'SA1'!$A$73,TB!$L:$L,'SA1'!$A77)</f>
        <v>0</v>
      </c>
      <c r="D77" s="1805">
        <f>SUMIFS(TB!O:O,TB!$K:$K,'SA1'!$A$73,TB!$L:$L,'SA1'!$A77)</f>
        <v>0</v>
      </c>
      <c r="E77" s="1820">
        <f>SUMIFS(TB!P:P,TB!$K:$K,'SA1'!$A$73,TB!$L:$L,'SA1'!$A77)</f>
        <v>0</v>
      </c>
      <c r="F77" s="1821">
        <f>SUMIFS(TB!Q:Q,TB!$K:$K,'SA1'!$A$73,TB!$L:$L,'SA1'!$A77)</f>
        <v>0</v>
      </c>
      <c r="G77" s="1805">
        <f>SUMIFS(TB!R:R,TB!$K:$K,'SA1'!$A$73,TB!$L:$L,'SA1'!$A77)</f>
        <v>0</v>
      </c>
      <c r="H77" s="1820">
        <f>SUMIFS(TB!S:S,TB!$K:$K,'SA1'!$A$73,TB!$L:$L,'SA1'!$A77)</f>
        <v>0</v>
      </c>
      <c r="I77" s="1822">
        <f>SUMIFS(TB!T:T,TB!$K:$K,'SA1'!$A$73,TB!$L:$L,'SA1'!$A77)</f>
        <v>0</v>
      </c>
      <c r="J77" s="1807">
        <f>SUMIFS(TB!U:U,TB!$K:$K,'SA1'!$A$73,TB!$L:$L,'SA1'!$A77)</f>
        <v>0</v>
      </c>
      <c r="K77" s="1805">
        <f>SUMIFS(TB!V:V,TB!$K:$K,'SA1'!$A$73,TB!$L:$L,'SA1'!$A77)</f>
        <v>0</v>
      </c>
      <c r="L77" s="1820">
        <f>SUMIFS(TB!W:W,TB!$K:$K,'SA1'!$A$73,TB!$L:$L,'SA1'!$A77)</f>
        <v>0</v>
      </c>
      <c r="M77" s="345"/>
      <c r="N77" s="345"/>
      <c r="O77" s="345"/>
      <c r="P77" s="345"/>
    </row>
    <row r="78" spans="1:16" ht="11.25" customHeight="1">
      <c r="A78" s="1504" t="s">
        <v>138</v>
      </c>
      <c r="B78" s="278">
        <v>1</v>
      </c>
      <c r="C78" s="199">
        <f t="shared" ref="C78:L78" si="11">SUM(C74:C77)</f>
        <v>0</v>
      </c>
      <c r="D78" s="199">
        <f t="shared" si="11"/>
        <v>0</v>
      </c>
      <c r="E78" s="200">
        <f t="shared" si="11"/>
        <v>0</v>
      </c>
      <c r="F78" s="201">
        <f t="shared" si="11"/>
        <v>90000</v>
      </c>
      <c r="G78" s="199">
        <f t="shared" si="11"/>
        <v>0</v>
      </c>
      <c r="H78" s="200">
        <f t="shared" si="11"/>
        <v>0</v>
      </c>
      <c r="I78" s="198">
        <f t="shared" si="11"/>
        <v>0</v>
      </c>
      <c r="J78" s="202">
        <f t="shared" si="11"/>
        <v>0</v>
      </c>
      <c r="K78" s="199">
        <f t="shared" si="11"/>
        <v>0</v>
      </c>
      <c r="L78" s="200">
        <f t="shared" si="11"/>
        <v>0</v>
      </c>
      <c r="M78" s="345"/>
      <c r="N78" s="345"/>
      <c r="O78" s="345"/>
      <c r="P78" s="345"/>
    </row>
    <row r="79" spans="1:16" ht="11.25" customHeight="1">
      <c r="A79" s="392" t="s">
        <v>1566</v>
      </c>
      <c r="B79" s="278"/>
      <c r="C79" s="204"/>
      <c r="D79" s="204"/>
      <c r="E79" s="205"/>
      <c r="F79" s="206"/>
      <c r="G79" s="204"/>
      <c r="H79" s="205"/>
      <c r="I79" s="203"/>
      <c r="J79" s="207"/>
      <c r="K79" s="204"/>
      <c r="L79" s="205"/>
      <c r="M79" s="345"/>
      <c r="N79" s="345"/>
      <c r="O79" s="345"/>
      <c r="P79" s="345"/>
    </row>
    <row r="80" spans="1:16" ht="11.25" customHeight="1">
      <c r="A80" s="393" t="s">
        <v>684</v>
      </c>
      <c r="B80" s="278"/>
      <c r="C80" s="1829">
        <v>0</v>
      </c>
      <c r="D80" s="1829">
        <v>0</v>
      </c>
      <c r="E80" s="1830">
        <v>0</v>
      </c>
      <c r="F80" s="1831">
        <v>0</v>
      </c>
      <c r="G80" s="1829">
        <v>0</v>
      </c>
      <c r="H80" s="1830">
        <v>0</v>
      </c>
      <c r="I80" s="1832">
        <v>0</v>
      </c>
      <c r="J80" s="1834">
        <v>0</v>
      </c>
      <c r="K80" s="1829">
        <v>0</v>
      </c>
      <c r="L80" s="1830">
        <v>0</v>
      </c>
      <c r="M80" s="345"/>
      <c r="N80" s="345"/>
      <c r="O80" s="345"/>
      <c r="P80" s="345"/>
    </row>
    <row r="81" spans="1:16" ht="11.25" customHeight="1">
      <c r="A81" s="393" t="s">
        <v>1018</v>
      </c>
      <c r="B81" s="278"/>
      <c r="C81" s="1829">
        <v>0</v>
      </c>
      <c r="D81" s="1829">
        <v>0</v>
      </c>
      <c r="E81" s="1830">
        <v>0</v>
      </c>
      <c r="F81" s="1831">
        <v>0</v>
      </c>
      <c r="G81" s="1829">
        <v>0</v>
      </c>
      <c r="H81" s="1830">
        <v>0</v>
      </c>
      <c r="I81" s="1832">
        <v>0</v>
      </c>
      <c r="J81" s="1834">
        <v>0</v>
      </c>
      <c r="K81" s="1829">
        <v>0</v>
      </c>
      <c r="L81" s="1830">
        <v>0</v>
      </c>
      <c r="M81" s="345"/>
      <c r="N81" s="345"/>
      <c r="O81" s="345"/>
      <c r="P81" s="345"/>
    </row>
    <row r="82" spans="1:16" ht="11.25" customHeight="1">
      <c r="A82" s="393" t="s">
        <v>1019</v>
      </c>
      <c r="B82" s="278"/>
      <c r="C82" s="1829">
        <v>0</v>
      </c>
      <c r="D82" s="1829">
        <v>0</v>
      </c>
      <c r="E82" s="1830">
        <v>0</v>
      </c>
      <c r="F82" s="1831">
        <v>0</v>
      </c>
      <c r="G82" s="1829">
        <v>0</v>
      </c>
      <c r="H82" s="1830">
        <v>0</v>
      </c>
      <c r="I82" s="1832">
        <v>0</v>
      </c>
      <c r="J82" s="1834">
        <v>0</v>
      </c>
      <c r="K82" s="1829">
        <v>0</v>
      </c>
      <c r="L82" s="1830">
        <v>0</v>
      </c>
      <c r="M82" s="345"/>
      <c r="N82" s="345"/>
      <c r="O82" s="345"/>
      <c r="P82" s="345"/>
    </row>
    <row r="83" spans="1:16" ht="11.25" customHeight="1">
      <c r="A83" s="393" t="s">
        <v>297</v>
      </c>
      <c r="B83" s="278"/>
      <c r="C83" s="1829">
        <v>0</v>
      </c>
      <c r="D83" s="1829">
        <v>0</v>
      </c>
      <c r="E83" s="1830">
        <v>0</v>
      </c>
      <c r="F83" s="1831">
        <v>0</v>
      </c>
      <c r="G83" s="1829">
        <v>0</v>
      </c>
      <c r="H83" s="1830">
        <v>0</v>
      </c>
      <c r="I83" s="1832">
        <v>0</v>
      </c>
      <c r="J83" s="1834">
        <v>0</v>
      </c>
      <c r="K83" s="1829">
        <v>0</v>
      </c>
      <c r="L83" s="1830">
        <v>0</v>
      </c>
      <c r="M83" s="345"/>
      <c r="N83" s="345"/>
      <c r="O83" s="345"/>
      <c r="P83" s="345"/>
    </row>
    <row r="84" spans="1:16" ht="11.25" customHeight="1">
      <c r="A84" s="1192" t="s">
        <v>1567</v>
      </c>
      <c r="B84" s="278"/>
      <c r="C84" s="199">
        <f>SUM(C78:C83)</f>
        <v>0</v>
      </c>
      <c r="D84" s="199">
        <f t="shared" ref="D84:L84" si="12">SUM(D78:D83)</f>
        <v>0</v>
      </c>
      <c r="E84" s="200">
        <f t="shared" si="12"/>
        <v>0</v>
      </c>
      <c r="F84" s="201">
        <f t="shared" si="12"/>
        <v>90000</v>
      </c>
      <c r="G84" s="199">
        <f t="shared" si="12"/>
        <v>0</v>
      </c>
      <c r="H84" s="200">
        <f t="shared" si="12"/>
        <v>0</v>
      </c>
      <c r="I84" s="198">
        <f t="shared" si="12"/>
        <v>0</v>
      </c>
      <c r="J84" s="202">
        <f t="shared" si="12"/>
        <v>0</v>
      </c>
      <c r="K84" s="199">
        <f t="shared" si="12"/>
        <v>0</v>
      </c>
      <c r="L84" s="200">
        <f t="shared" si="12"/>
        <v>0</v>
      </c>
      <c r="M84" s="345"/>
      <c r="N84" s="345"/>
      <c r="O84" s="345"/>
      <c r="P84" s="345"/>
    </row>
    <row r="85" spans="1:16" ht="5.0999999999999996" customHeight="1">
      <c r="A85" s="187"/>
      <c r="B85" s="278"/>
      <c r="C85" s="189"/>
      <c r="D85" s="189"/>
      <c r="E85" s="190"/>
      <c r="F85" s="191"/>
      <c r="G85" s="189"/>
      <c r="H85" s="190"/>
      <c r="I85" s="188"/>
      <c r="J85" s="192"/>
      <c r="K85" s="189"/>
      <c r="L85" s="190"/>
      <c r="M85" s="345"/>
      <c r="N85" s="345"/>
      <c r="O85" s="345"/>
      <c r="P85" s="345"/>
    </row>
    <row r="86" spans="1:16" ht="11.25" customHeight="1">
      <c r="A86" s="170" t="s">
        <v>40</v>
      </c>
      <c r="B86" s="280"/>
      <c r="C86" s="189"/>
      <c r="D86" s="189"/>
      <c r="E86" s="190"/>
      <c r="F86" s="191"/>
      <c r="G86" s="189"/>
      <c r="H86" s="190"/>
      <c r="I86" s="188"/>
      <c r="J86" s="192"/>
      <c r="K86" s="189"/>
      <c r="L86" s="190"/>
      <c r="M86" s="345"/>
      <c r="N86" s="345"/>
      <c r="O86" s="345"/>
      <c r="P86" s="345"/>
    </row>
    <row r="87" spans="1:16" ht="11.25" customHeight="1">
      <c r="A87" s="304" t="s">
        <v>498</v>
      </c>
      <c r="B87" s="278"/>
      <c r="C87" s="1805">
        <f>SUMIFS(TB!N:N,TB!$K:$K,'SA1'!$A$89,TB!$L:$L,'SA1'!$A87)</f>
        <v>0</v>
      </c>
      <c r="D87" s="1805">
        <f>SUMIFS(TB!O:O,TB!$K:$K,'SA1'!$A$89,TB!$L:$L,'SA1'!$A87)</f>
        <v>0</v>
      </c>
      <c r="E87" s="1805">
        <f>SUMIFS(TB!P:P,TB!$K:$K,'SA1'!$A$89,TB!$L:$L,'SA1'!$A87)</f>
        <v>0</v>
      </c>
      <c r="F87" s="1821"/>
      <c r="G87" s="1805">
        <f>SUMIFS(TB!R:R,TB!$K:$K,'SA1'!$A$89,TB!$L:$L,'SA1'!$A87)</f>
        <v>0</v>
      </c>
      <c r="H87" s="1820">
        <f>SUMIFS(TB!S:S,TB!$K:$K,'SA1'!$A$89,TB!$L:$L,'SA1'!$A87)</f>
        <v>0</v>
      </c>
      <c r="I87" s="1822">
        <f>SUMIFS(TB!T:T,TB!$K:$K,'SA1'!$A$89,TB!$L:$L,'SA1'!$A87)</f>
        <v>0</v>
      </c>
      <c r="J87" s="1807">
        <f>SUMIFS(TB!U:U,TB!$K:$K,'SA1'!$A$89,TB!$L:$L,'SA1'!$A87)</f>
        <v>0</v>
      </c>
      <c r="K87" s="1805">
        <f>SUMIFS(TB!V:V,TB!$K:$K,'SA1'!$A$89,TB!$L:$L,'SA1'!$A87)</f>
        <v>0</v>
      </c>
      <c r="L87" s="1820">
        <f>SUMIFS(TB!W:W,TB!$K:$K,'SA1'!$A$89,TB!$L:$L,'SA1'!$A87)</f>
        <v>0</v>
      </c>
      <c r="M87" s="345"/>
      <c r="N87" s="345"/>
      <c r="O87" s="345"/>
      <c r="P87" s="345"/>
    </row>
    <row r="88" spans="1:16" ht="11.25" customHeight="1">
      <c r="A88" s="304" t="s">
        <v>1611</v>
      </c>
      <c r="B88" s="278"/>
      <c r="C88" s="1805">
        <f>SUMIFS(TB!N:N,TB!$K:$K,'SA1'!$A$89,TB!$L:$L,'SA1'!$A88)</f>
        <v>0</v>
      </c>
      <c r="D88" s="1805">
        <f>SUMIFS(TB!O:O,TB!$K:$K,'SA1'!$A$89,TB!$L:$L,'SA1'!$A88)</f>
        <v>0</v>
      </c>
      <c r="E88" s="1805">
        <f>SUMIFS(TB!P:P,TB!$K:$K,'SA1'!$A$89,TB!$L:$L,'SA1'!$A88)</f>
        <v>0</v>
      </c>
      <c r="F88" s="1821"/>
      <c r="G88" s="1805">
        <f>SUMIFS(TB!R:R,TB!$K:$K,'SA1'!$A$89,TB!$L:$L,'SA1'!$A88)</f>
        <v>0</v>
      </c>
      <c r="H88" s="1820">
        <f>SUMIFS(TB!S:S,TB!$K:$K,'SA1'!$A$89,TB!$L:$L,'SA1'!$A88)</f>
        <v>0</v>
      </c>
      <c r="I88" s="1822">
        <f>SUMIFS(TB!T:T,TB!$K:$K,'SA1'!$A$89,TB!$L:$L,'SA1'!$A88)</f>
        <v>0</v>
      </c>
      <c r="J88" s="1807">
        <f>SUMIFS(TB!U:U,TB!$K:$K,'SA1'!$A$89,TB!$L:$L,'SA1'!$A88)</f>
        <v>0</v>
      </c>
      <c r="K88" s="1805">
        <f>SUMIFS(TB!V:V,TB!$K:$K,'SA1'!$A$89,TB!$L:$L,'SA1'!$A88)</f>
        <v>0</v>
      </c>
      <c r="L88" s="1820">
        <f>SUMIFS(TB!W:W,TB!$K:$K,'SA1'!$A$89,TB!$L:$L,'SA1'!$A88)</f>
        <v>0</v>
      </c>
      <c r="M88" s="345"/>
      <c r="N88" s="345"/>
      <c r="O88" s="345"/>
      <c r="P88" s="345"/>
    </row>
    <row r="89" spans="1:16" ht="11.25" customHeight="1">
      <c r="A89" s="179" t="s">
        <v>502</v>
      </c>
      <c r="B89" s="278">
        <v>3</v>
      </c>
      <c r="C89" s="1805">
        <f>SUMIFS(TB!N:N,TB!$K:$K,'SA1'!$A$89,TB!$L:$L,'SA1'!$A89)</f>
        <v>546492.46000000008</v>
      </c>
      <c r="D89" s="1805">
        <f>SUMIFS(TB!O:O,TB!$K:$K,'SA1'!$A$89,TB!$L:$L,'SA1'!$A89)</f>
        <v>407278.1</v>
      </c>
      <c r="E89" s="1805">
        <f>SUMIFS(TB!P:P,TB!$K:$K,'SA1'!$A$89,TB!$L:$L,'SA1'!$A89)</f>
        <v>654374.21000000008</v>
      </c>
      <c r="F89" s="1821">
        <f>[5]SA1!$J$85</f>
        <v>1117000</v>
      </c>
      <c r="G89" s="1805">
        <f>SUMIFS(TB!R:R,TB!$K:$K,'SA1'!$A$89,TB!$L:$L,'SA1'!$A89)</f>
        <v>2309250</v>
      </c>
      <c r="H89" s="1820">
        <f>SUMIFS(TB!S:S,TB!$K:$K,'SA1'!$A$89,TB!$L:$L,'SA1'!$A89)</f>
        <v>1415459</v>
      </c>
      <c r="I89" s="1822">
        <f>SUMIFS(TB!T:T,TB!$K:$K,'SA1'!$A$89,TB!$L:$L,'SA1'!$A89)</f>
        <v>1415459</v>
      </c>
      <c r="J89" s="1807">
        <f>SUMIFS(TB!U:U,TB!$K:$K,'SA1'!$A$89,TB!$L:$L,'SA1'!$A89)</f>
        <v>2615000</v>
      </c>
      <c r="K89" s="1805">
        <f>SUMIFS(TB!V:V,TB!$K:$K,'SA1'!$A$89,TB!$L:$L,'SA1'!$A89)</f>
        <v>2532300</v>
      </c>
      <c r="L89" s="1820">
        <f>SUMIFS(TB!W:W,TB!$K:$K,'SA1'!$A$89,TB!$L:$L,'SA1'!$A89)</f>
        <v>2730200</v>
      </c>
      <c r="M89" s="345"/>
      <c r="N89" s="345"/>
      <c r="O89" s="345"/>
      <c r="P89" s="345"/>
    </row>
    <row r="90" spans="1:16" ht="11.25" customHeight="1">
      <c r="A90" s="1777" t="s">
        <v>3030</v>
      </c>
      <c r="B90" s="278"/>
      <c r="C90" s="1805">
        <f>SUMIFS(TB!N:N,TB!$K:$K,'SA1'!$A$89,TB!$L:$L,'SA1'!$A90)</f>
        <v>1273908.4100000001</v>
      </c>
      <c r="D90" s="1805">
        <f>SUMIFS(TB!O:O,TB!$K:$K,'SA1'!$A$89,TB!$L:$L,'SA1'!$A90)</f>
        <v>1133566.17</v>
      </c>
      <c r="E90" s="1805">
        <f>SUMIFS(TB!P:P,TB!$K:$K,'SA1'!$A$89,TB!$L:$L,'SA1'!$A90)</f>
        <v>1553123.5400000003</v>
      </c>
      <c r="F90" s="1821"/>
      <c r="G90" s="1805">
        <f>SUMIFS(TB!R:R,TB!$K:$K,'SA1'!$A$89,TB!$L:$L,'SA1'!$A90)</f>
        <v>4375250</v>
      </c>
      <c r="H90" s="1820">
        <f>SUMIFS(TB!S:S,TB!$K:$K,'SA1'!$A$89,TB!$L:$L,'SA1'!$A90)</f>
        <v>2891183</v>
      </c>
      <c r="I90" s="1822">
        <f>SUMIFS(TB!T:T,TB!$K:$K,'SA1'!$A$89,TB!$L:$L,'SA1'!$A90)</f>
        <v>2891183</v>
      </c>
      <c r="J90" s="1807">
        <f>SUMIFS(TB!U:U,TB!$K:$K,'SA1'!$A$89,TB!$L:$L,'SA1'!$A90)</f>
        <v>5725750</v>
      </c>
      <c r="K90" s="1805">
        <f>SUMIFS(TB!V:V,TB!$K:$K,'SA1'!$A$89,TB!$L:$L,'SA1'!$A90)</f>
        <v>7199450</v>
      </c>
      <c r="L90" s="1820">
        <f>SUMIFS(TB!W:W,TB!$K:$K,'SA1'!$A$89,TB!$L:$L,'SA1'!$A90)</f>
        <v>6663808</v>
      </c>
      <c r="M90" s="345"/>
      <c r="N90" s="345"/>
      <c r="O90" s="345"/>
      <c r="P90" s="345"/>
    </row>
    <row r="91" spans="1:16" ht="11.25" customHeight="1">
      <c r="A91" s="1777" t="s">
        <v>498</v>
      </c>
      <c r="B91" s="278"/>
      <c r="C91" s="1805">
        <f>SUMIFS(TB!N:N,TB!$K:$K,'SA1'!$A$89,TB!$L:$L,'SA1'!$A91)</f>
        <v>0</v>
      </c>
      <c r="D91" s="1805">
        <f>SUMIFS(TB!O:O,TB!$K:$K,'SA1'!$A$89,TB!$L:$L,'SA1'!$A91)</f>
        <v>0</v>
      </c>
      <c r="E91" s="1805">
        <f>SUMIFS(TB!P:P,TB!$K:$K,'SA1'!$A$89,TB!$L:$L,'SA1'!$A91)</f>
        <v>0</v>
      </c>
      <c r="F91" s="1821"/>
      <c r="G91" s="1805">
        <f>SUMIFS(TB!R:R,TB!$K:$K,'SA1'!$A$89,TB!$L:$L,'SA1'!$A91)</f>
        <v>0</v>
      </c>
      <c r="H91" s="1820">
        <f>SUMIFS(TB!S:S,TB!$K:$K,'SA1'!$A$89,TB!$L:$L,'SA1'!$A91)</f>
        <v>0</v>
      </c>
      <c r="I91" s="1822">
        <f>SUMIFS(TB!T:T,TB!$K:$K,'SA1'!$A$89,TB!$L:$L,'SA1'!$A91)</f>
        <v>0</v>
      </c>
      <c r="J91" s="1807">
        <f>SUMIFS(TB!U:U,TB!$K:$K,'SA1'!$A$89,TB!$L:$L,'SA1'!$A91)</f>
        <v>0</v>
      </c>
      <c r="K91" s="1805">
        <f>SUMIFS(TB!V:V,TB!$K:$K,'SA1'!$A$89,TB!$L:$L,'SA1'!$A91)</f>
        <v>0</v>
      </c>
      <c r="L91" s="1820">
        <f>SUMIFS(TB!W:W,TB!$K:$K,'SA1'!$A$89,TB!$L:$L,'SA1'!$A91)</f>
        <v>0</v>
      </c>
      <c r="M91" s="345"/>
      <c r="N91" s="345"/>
      <c r="O91" s="345"/>
      <c r="P91" s="345"/>
    </row>
    <row r="92" spans="1:16" ht="11.25" customHeight="1">
      <c r="A92" s="1777" t="s">
        <v>3019</v>
      </c>
      <c r="B92" s="278"/>
      <c r="C92" s="1805">
        <f>SUMIFS(TB!N:N,TB!$K:$K,'SA1'!$A$89,TB!$L:$L,'SA1'!$A92)</f>
        <v>128244.45999999999</v>
      </c>
      <c r="D92" s="1805">
        <f>SUMIFS(TB!O:O,TB!$K:$K,'SA1'!$A$89,TB!$L:$L,'SA1'!$A92)</f>
        <v>855241.63</v>
      </c>
      <c r="E92" s="1805">
        <f>SUMIFS(TB!P:P,TB!$K:$K,'SA1'!$A$89,TB!$L:$L,'SA1'!$A92)</f>
        <v>1230012.33</v>
      </c>
      <c r="F92" s="1821">
        <f>[5]SA1!$J$84</f>
        <v>1600000</v>
      </c>
      <c r="G92" s="1805">
        <f>SUMIFS(TB!R:R,TB!$K:$K,'SA1'!$A$89,TB!$L:$L,'SA1'!$A92)</f>
        <v>1600000</v>
      </c>
      <c r="H92" s="1820">
        <f>SUMIFS(TB!S:S,TB!$K:$K,'SA1'!$A$89,TB!$L:$L,'SA1'!$A92)</f>
        <v>528931</v>
      </c>
      <c r="I92" s="1822">
        <f>SUMIFS(TB!T:T,TB!$K:$K,'SA1'!$A$89,TB!$L:$L,'SA1'!$A92)</f>
        <v>528931</v>
      </c>
      <c r="J92" s="1807">
        <f>SUMIFS(TB!U:U,TB!$K:$K,'SA1'!$A$89,TB!$L:$L,'SA1'!$A92)</f>
        <v>1600000</v>
      </c>
      <c r="K92" s="1805">
        <f>SUMIFS(TB!V:V,TB!$K:$K,'SA1'!$A$89,TB!$L:$L,'SA1'!$A92)</f>
        <v>1700000</v>
      </c>
      <c r="L92" s="1820">
        <f>SUMIFS(TB!W:W,TB!$K:$K,'SA1'!$A$89,TB!$L:$L,'SA1'!$A92)</f>
        <v>1800000</v>
      </c>
      <c r="M92" s="345"/>
      <c r="N92" s="345"/>
      <c r="O92" s="345"/>
      <c r="P92" s="345"/>
    </row>
    <row r="93" spans="1:16" ht="11.25" customHeight="1">
      <c r="A93" s="1777" t="s">
        <v>2137</v>
      </c>
      <c r="B93" s="278"/>
      <c r="C93" s="1805">
        <f>SUMIFS(TB!N:N,TB!$K:$K,'SA1'!$A$89,TB!$L:$L,'SA1'!$A93)</f>
        <v>175787.54</v>
      </c>
      <c r="D93" s="1805">
        <f>SUMIFS(TB!O:O,TB!$K:$K,'SA1'!$A$89,TB!$L:$L,'SA1'!$A93)</f>
        <v>169027.17</v>
      </c>
      <c r="E93" s="1805">
        <f>SUMIFS(TB!P:P,TB!$K:$K,'SA1'!$A$89,TB!$L:$L,'SA1'!$A93)</f>
        <v>148365.52000000002</v>
      </c>
      <c r="F93" s="1821"/>
      <c r="G93" s="1805">
        <f>SUMIFS(TB!R:R,TB!$K:$K,'SA1'!$A$89,TB!$L:$L,'SA1'!$A93)</f>
        <v>185000</v>
      </c>
      <c r="H93" s="1820">
        <f>SUMIFS(TB!S:S,TB!$K:$K,'SA1'!$A$89,TB!$L:$L,'SA1'!$A93)</f>
        <v>105216</v>
      </c>
      <c r="I93" s="1822">
        <f>SUMIFS(TB!T:T,TB!$K:$K,'SA1'!$A$89,TB!$L:$L,'SA1'!$A93)</f>
        <v>105216</v>
      </c>
      <c r="J93" s="1807">
        <f>SUMIFS(TB!U:U,TB!$K:$K,'SA1'!$A$89,TB!$L:$L,'SA1'!$A93)</f>
        <v>121000</v>
      </c>
      <c r="K93" s="1805">
        <f>SUMIFS(TB!V:V,TB!$K:$K,'SA1'!$A$89,TB!$L:$L,'SA1'!$A93)</f>
        <v>186000</v>
      </c>
      <c r="L93" s="1820">
        <f>SUMIFS(TB!W:W,TB!$K:$K,'SA1'!$A$89,TB!$L:$L,'SA1'!$A93)</f>
        <v>187000</v>
      </c>
      <c r="M93" s="345"/>
      <c r="N93" s="345"/>
      <c r="O93" s="345"/>
      <c r="P93" s="345"/>
    </row>
    <row r="94" spans="1:16" ht="11.25" customHeight="1">
      <c r="A94" s="1777" t="s">
        <v>3021</v>
      </c>
      <c r="B94" s="278"/>
      <c r="C94" s="1805">
        <f>SUMIFS(TB!N:N,TB!$K:$K,'SA1'!$A$89,TB!$L:$L,'SA1'!$A94)</f>
        <v>39607.72</v>
      </c>
      <c r="D94" s="1805">
        <f>SUMIFS(TB!O:O,TB!$K:$K,'SA1'!$A$89,TB!$L:$L,'SA1'!$A94)</f>
        <v>263132.93</v>
      </c>
      <c r="E94" s="1805">
        <f>SUMIFS(TB!P:P,TB!$K:$K,'SA1'!$A$89,TB!$L:$L,'SA1'!$A94)</f>
        <v>120330.67000000001</v>
      </c>
      <c r="F94" s="1821"/>
      <c r="G94" s="1805">
        <f>SUMIFS(TB!R:R,TB!$K:$K,'SA1'!$A$89,TB!$L:$L,'SA1'!$A94)</f>
        <v>114500</v>
      </c>
      <c r="H94" s="1820">
        <f>SUMIFS(TB!S:S,TB!$K:$K,'SA1'!$A$89,TB!$L:$L,'SA1'!$A94)</f>
        <v>175191</v>
      </c>
      <c r="I94" s="1822">
        <f>SUMIFS(TB!T:T,TB!$K:$K,'SA1'!$A$89,TB!$L:$L,'SA1'!$A94)</f>
        <v>175191</v>
      </c>
      <c r="J94" s="1807">
        <f>SUMIFS(TB!U:U,TB!$K:$K,'SA1'!$A$89,TB!$L:$L,'SA1'!$A94)</f>
        <v>144500</v>
      </c>
      <c r="K94" s="1805">
        <f>SUMIFS(TB!V:V,TB!$K:$K,'SA1'!$A$89,TB!$L:$L,'SA1'!$A94)</f>
        <v>152900</v>
      </c>
      <c r="L94" s="1820">
        <f>SUMIFS(TB!W:W,TB!$K:$K,'SA1'!$A$89,TB!$L:$L,'SA1'!$A94)</f>
        <v>161804</v>
      </c>
      <c r="M94" s="345"/>
      <c r="N94" s="345"/>
      <c r="O94" s="345"/>
      <c r="P94" s="345"/>
    </row>
    <row r="95" spans="1:16" ht="11.25" customHeight="1">
      <c r="A95" s="1777" t="s">
        <v>2124</v>
      </c>
      <c r="B95" s="278"/>
      <c r="C95" s="1805">
        <f>SUMIFS(TB!N:N,TB!$K:$K,'SA1'!$A$89,TB!$L:$L,'SA1'!$A95)</f>
        <v>822803.37000000011</v>
      </c>
      <c r="D95" s="1805">
        <f>SUMIFS(TB!O:O,TB!$K:$K,'SA1'!$A$89,TB!$L:$L,'SA1'!$A95)</f>
        <v>863777.99000000011</v>
      </c>
      <c r="E95" s="1805">
        <f>SUMIFS(TB!P:P,TB!$K:$K,'SA1'!$A$89,TB!$L:$L,'SA1'!$A95)</f>
        <v>784342.30000000016</v>
      </c>
      <c r="F95" s="1821"/>
      <c r="G95" s="1805">
        <f>SUMIFS(TB!R:R,TB!$K:$K,'SA1'!$A$89,TB!$L:$L,'SA1'!$A95)</f>
        <v>803100</v>
      </c>
      <c r="H95" s="1820">
        <f>SUMIFS(TB!S:S,TB!$K:$K,'SA1'!$A$89,TB!$L:$L,'SA1'!$A95)</f>
        <v>934528</v>
      </c>
      <c r="I95" s="1822">
        <f>SUMIFS(TB!T:T,TB!$K:$K,'SA1'!$A$89,TB!$L:$L,'SA1'!$A95)</f>
        <v>934528</v>
      </c>
      <c r="J95" s="1807">
        <f>SUMIFS(TB!U:U,TB!$K:$K,'SA1'!$A$89,TB!$L:$L,'SA1'!$A95)</f>
        <v>1125000</v>
      </c>
      <c r="K95" s="1805">
        <f>SUMIFS(TB!V:V,TB!$K:$K,'SA1'!$A$89,TB!$L:$L,'SA1'!$A95)</f>
        <v>965200</v>
      </c>
      <c r="L95" s="1820">
        <f>SUMIFS(TB!W:W,TB!$K:$K,'SA1'!$A$89,TB!$L:$L,'SA1'!$A95)</f>
        <v>977300</v>
      </c>
      <c r="M95" s="345"/>
      <c r="N95" s="345"/>
      <c r="O95" s="345"/>
      <c r="P95" s="345"/>
    </row>
    <row r="96" spans="1:16" ht="11.25" customHeight="1">
      <c r="A96" s="1777" t="s">
        <v>3022</v>
      </c>
      <c r="B96" s="278"/>
      <c r="C96" s="1805">
        <f>SUMIFS(TB!N:N,TB!$K:$K,'SA1'!$A$89,TB!$L:$L,'SA1'!$A96)</f>
        <v>8715.91</v>
      </c>
      <c r="D96" s="1805">
        <f>SUMIFS(TB!O:O,TB!$K:$K,'SA1'!$A$89,TB!$L:$L,'SA1'!$A96)</f>
        <v>30269.599999999999</v>
      </c>
      <c r="E96" s="1805">
        <f>SUMIFS(TB!P:P,TB!$K:$K,'SA1'!$A$89,TB!$L:$L,'SA1'!$A96)</f>
        <v>19588.91</v>
      </c>
      <c r="F96" s="1821"/>
      <c r="G96" s="1805">
        <f>SUMIFS(TB!R:R,TB!$K:$K,'SA1'!$A$89,TB!$L:$L,'SA1'!$A96)</f>
        <v>100000</v>
      </c>
      <c r="H96" s="1820">
        <f>SUMIFS(TB!S:S,TB!$K:$K,'SA1'!$A$89,TB!$L:$L,'SA1'!$A96)</f>
        <v>19702</v>
      </c>
      <c r="I96" s="1822">
        <f>SUMIFS(TB!T:T,TB!$K:$K,'SA1'!$A$89,TB!$L:$L,'SA1'!$A96)</f>
        <v>19702</v>
      </c>
      <c r="J96" s="1807">
        <f>SUMIFS(TB!U:U,TB!$K:$K,'SA1'!$A$89,TB!$L:$L,'SA1'!$A96)</f>
        <v>90000</v>
      </c>
      <c r="K96" s="1805">
        <f>SUMIFS(TB!V:V,TB!$K:$K,'SA1'!$A$89,TB!$L:$L,'SA1'!$A96)</f>
        <v>120000</v>
      </c>
      <c r="L96" s="1820">
        <f>SUMIFS(TB!W:W,TB!$K:$K,'SA1'!$A$89,TB!$L:$L,'SA1'!$A96)</f>
        <v>150000</v>
      </c>
      <c r="M96" s="345"/>
      <c r="N96" s="345"/>
      <c r="O96" s="345"/>
      <c r="P96" s="345"/>
    </row>
    <row r="97" spans="1:16" ht="11.25" customHeight="1">
      <c r="A97" s="1777" t="s">
        <v>2138</v>
      </c>
      <c r="B97" s="278"/>
      <c r="C97" s="1805">
        <f>SUMIFS(TB!N:N,TB!$K:$K,'SA1'!$A$89,TB!$L:$L,'SA1'!$A97)</f>
        <v>253389.58000000002</v>
      </c>
      <c r="D97" s="1805">
        <f>SUMIFS(TB!O:O,TB!$K:$K,'SA1'!$A$89,TB!$L:$L,'SA1'!$A97)</f>
        <v>242394.28999999998</v>
      </c>
      <c r="E97" s="1805">
        <f>SUMIFS(TB!P:P,TB!$K:$K,'SA1'!$A$89,TB!$L:$L,'SA1'!$A97)</f>
        <v>288840.65000000002</v>
      </c>
      <c r="F97" s="1821"/>
      <c r="G97" s="1805">
        <f>SUMIFS(TB!R:R,TB!$K:$K,'SA1'!$A$89,TB!$L:$L,'SA1'!$A97)</f>
        <v>377045</v>
      </c>
      <c r="H97" s="1820">
        <f>SUMIFS(TB!S:S,TB!$K:$K,'SA1'!$A$89,TB!$L:$L,'SA1'!$A97)</f>
        <v>184056</v>
      </c>
      <c r="I97" s="1822">
        <f>SUMIFS(TB!T:T,TB!$K:$K,'SA1'!$A$89,TB!$L:$L,'SA1'!$A97)</f>
        <v>184056</v>
      </c>
      <c r="J97" s="1807">
        <f>SUMIFS(TB!U:U,TB!$K:$K,'SA1'!$A$89,TB!$L:$L,'SA1'!$A97)</f>
        <v>415000</v>
      </c>
      <c r="K97" s="1805">
        <f>SUMIFS(TB!V:V,TB!$K:$K,'SA1'!$A$89,TB!$L:$L,'SA1'!$A97)</f>
        <v>672130</v>
      </c>
      <c r="L97" s="1820">
        <f>SUMIFS(TB!W:W,TB!$K:$K,'SA1'!$A$89,TB!$L:$L,'SA1'!$A97)</f>
        <v>734564</v>
      </c>
      <c r="M97" s="345"/>
      <c r="N97" s="345"/>
      <c r="O97" s="345"/>
      <c r="P97" s="345"/>
    </row>
    <row r="98" spans="1:16" ht="11.25" customHeight="1">
      <c r="A98" s="1777" t="s">
        <v>3015</v>
      </c>
      <c r="B98" s="278"/>
      <c r="C98" s="1805">
        <f>SUMIFS(TB!N:N,TB!$K:$K,'SA1'!$A$89,TB!$L:$L,'SA1'!$A98)</f>
        <v>0</v>
      </c>
      <c r="D98" s="1805">
        <f>SUMIFS(TB!O:O,TB!$K:$K,'SA1'!$A$89,TB!$L:$L,'SA1'!$A98)</f>
        <v>18241075.18</v>
      </c>
      <c r="E98" s="1805">
        <f>SUMIFS(TB!P:P,TB!$K:$K,'SA1'!$A$89,TB!$L:$L,'SA1'!$A98)</f>
        <v>1508963.02</v>
      </c>
      <c r="F98" s="1821"/>
      <c r="G98" s="1805">
        <f>SUMIFS(TB!R:R,TB!$K:$K,'SA1'!$A$89,TB!$L:$L,'SA1'!$A98)</f>
        <v>542000</v>
      </c>
      <c r="H98" s="1820">
        <f>SUMIFS(TB!S:S,TB!$K:$K,'SA1'!$A$89,TB!$L:$L,'SA1'!$A98)</f>
        <v>245720</v>
      </c>
      <c r="I98" s="1822">
        <f>SUMIFS(TB!T:T,TB!$K:$K,'SA1'!$A$89,TB!$L:$L,'SA1'!$A98)</f>
        <v>245720</v>
      </c>
      <c r="J98" s="1807">
        <f>SUMIFS(TB!U:U,TB!$K:$K,'SA1'!$A$89,TB!$L:$L,'SA1'!$A98)</f>
        <v>540000</v>
      </c>
      <c r="K98" s="1805">
        <f>SUMIFS(TB!V:V,TB!$K:$K,'SA1'!$A$89,TB!$L:$L,'SA1'!$A98)</f>
        <v>576000</v>
      </c>
      <c r="L98" s="1820">
        <f>SUMIFS(TB!W:W,TB!$K:$K,'SA1'!$A$89,TB!$L:$L,'SA1'!$A98)</f>
        <v>582000</v>
      </c>
      <c r="M98" s="345"/>
      <c r="N98" s="345"/>
      <c r="O98" s="345"/>
      <c r="P98" s="345"/>
    </row>
    <row r="99" spans="1:16" ht="11.25" customHeight="1">
      <c r="A99" s="1777" t="s">
        <v>3018</v>
      </c>
      <c r="B99" s="278"/>
      <c r="C99" s="1805">
        <f>SUMIFS(TB!N:N,TB!$K:$K,'SA1'!$A$89,TB!$L:$L,'SA1'!$A99)</f>
        <v>103692.22</v>
      </c>
      <c r="D99" s="1805">
        <f>SUMIFS(TB!O:O,TB!$K:$K,'SA1'!$A$89,TB!$L:$L,'SA1'!$A99)</f>
        <v>130214.55</v>
      </c>
      <c r="E99" s="1805">
        <f>SUMIFS(TB!P:P,TB!$K:$K,'SA1'!$A$89,TB!$L:$L,'SA1'!$A99)</f>
        <v>162436.43999999997</v>
      </c>
      <c r="F99" s="1821"/>
      <c r="G99" s="1805">
        <f>SUMIFS(TB!R:R,TB!$K:$K,'SA1'!$A$89,TB!$L:$L,'SA1'!$A99)</f>
        <v>191400</v>
      </c>
      <c r="H99" s="1820">
        <f>SUMIFS(TB!S:S,TB!$K:$K,'SA1'!$A$89,TB!$L:$L,'SA1'!$A99)</f>
        <v>221517</v>
      </c>
      <c r="I99" s="1822">
        <f>SUMIFS(TB!T:T,TB!$K:$K,'SA1'!$A$89,TB!$L:$L,'SA1'!$A99)</f>
        <v>221517</v>
      </c>
      <c r="J99" s="1807">
        <f>SUMIFS(TB!U:U,TB!$K:$K,'SA1'!$A$89,TB!$L:$L,'SA1'!$A99)</f>
        <v>99100</v>
      </c>
      <c r="K99" s="1805">
        <f>SUMIFS(TB!V:V,TB!$K:$K,'SA1'!$A$89,TB!$L:$L,'SA1'!$A99)</f>
        <v>109400</v>
      </c>
      <c r="L99" s="1820">
        <f>SUMIFS(TB!W:W,TB!$K:$K,'SA1'!$A$89,TB!$L:$L,'SA1'!$A99)</f>
        <v>112800</v>
      </c>
      <c r="M99" s="345"/>
      <c r="N99" s="345"/>
      <c r="O99" s="345"/>
      <c r="P99" s="345"/>
    </row>
    <row r="100" spans="1:16" ht="11.25" customHeight="1">
      <c r="A100" s="1777" t="s">
        <v>3008</v>
      </c>
      <c r="B100" s="278"/>
      <c r="C100" s="1805">
        <f>SUMIFS(TB!N:N,TB!$K:$K,'SA1'!$A$89,TB!$L:$L,'SA1'!$A100)</f>
        <v>93197.440000000002</v>
      </c>
      <c r="D100" s="1805">
        <f>SUMIFS(TB!O:O,TB!$K:$K,'SA1'!$A$89,TB!$L:$L,'SA1'!$A100)</f>
        <v>69143.98000000001</v>
      </c>
      <c r="E100" s="1805">
        <f>SUMIFS(TB!P:P,TB!$K:$K,'SA1'!$A$89,TB!$L:$L,'SA1'!$A100)</f>
        <v>106252.73</v>
      </c>
      <c r="F100" s="1821"/>
      <c r="G100" s="1805">
        <f>SUMIFS(TB!R:R,TB!$K:$K,'SA1'!$A$89,TB!$L:$L,'SA1'!$A100)</f>
        <v>220400</v>
      </c>
      <c r="H100" s="1820">
        <f>SUMIFS(TB!S:S,TB!$K:$K,'SA1'!$A$89,TB!$L:$L,'SA1'!$A100)</f>
        <v>255106</v>
      </c>
      <c r="I100" s="1822">
        <f>SUMIFS(TB!T:T,TB!$K:$K,'SA1'!$A$89,TB!$L:$L,'SA1'!$A100)</f>
        <v>255106</v>
      </c>
      <c r="J100" s="1807">
        <f>SUMIFS(TB!U:U,TB!$K:$K,'SA1'!$A$89,TB!$L:$L,'SA1'!$A100)</f>
        <v>297000</v>
      </c>
      <c r="K100" s="1805">
        <f>SUMIFS(TB!V:V,TB!$K:$K,'SA1'!$A$89,TB!$L:$L,'SA1'!$A100)</f>
        <v>227400</v>
      </c>
      <c r="L100" s="1820">
        <f>SUMIFS(TB!W:W,TB!$K:$K,'SA1'!$A$89,TB!$L:$L,'SA1'!$A100)</f>
        <v>230700</v>
      </c>
      <c r="M100" s="345"/>
      <c r="N100" s="345"/>
      <c r="O100" s="345"/>
      <c r="P100" s="345"/>
    </row>
    <row r="101" spans="1:16" ht="11.25" customHeight="1">
      <c r="A101" s="1777" t="s">
        <v>3011</v>
      </c>
      <c r="B101" s="278"/>
      <c r="C101" s="1805">
        <f>SUMIFS(TB!N:N,TB!$K:$K,'SA1'!$A$89,TB!$L:$L,'SA1'!$A101)</f>
        <v>36140.710000000006</v>
      </c>
      <c r="D101" s="1805">
        <f>SUMIFS(TB!O:O,TB!$K:$K,'SA1'!$A$89,TB!$L:$L,'SA1'!$A101)</f>
        <v>30585.870000000003</v>
      </c>
      <c r="E101" s="1805">
        <f>SUMIFS(TB!P:P,TB!$K:$K,'SA1'!$A$89,TB!$L:$L,'SA1'!$A101)</f>
        <v>162543.5</v>
      </c>
      <c r="F101" s="1821"/>
      <c r="G101" s="1805">
        <f>SUMIFS(TB!R:R,TB!$K:$K,'SA1'!$A$89,TB!$L:$L,'SA1'!$A101)</f>
        <v>122650</v>
      </c>
      <c r="H101" s="1820">
        <f>SUMIFS(TB!S:S,TB!$K:$K,'SA1'!$A$89,TB!$L:$L,'SA1'!$A101)</f>
        <v>13736</v>
      </c>
      <c r="I101" s="1822">
        <f>SUMIFS(TB!T:T,TB!$K:$K,'SA1'!$A$89,TB!$L:$L,'SA1'!$A101)</f>
        <v>13736</v>
      </c>
      <c r="J101" s="1807">
        <f>SUMIFS(TB!U:U,TB!$K:$K,'SA1'!$A$89,TB!$L:$L,'SA1'!$A101)</f>
        <v>130000</v>
      </c>
      <c r="K101" s="1805">
        <f>SUMIFS(TB!V:V,TB!$K:$K,'SA1'!$A$89,TB!$L:$L,'SA1'!$A101)</f>
        <v>125300</v>
      </c>
      <c r="L101" s="1820">
        <f>SUMIFS(TB!W:W,TB!$K:$K,'SA1'!$A$89,TB!$L:$L,'SA1'!$A101)</f>
        <v>125400</v>
      </c>
      <c r="M101" s="345"/>
      <c r="N101" s="345"/>
      <c r="O101" s="345"/>
      <c r="P101" s="345"/>
    </row>
    <row r="102" spans="1:16" ht="11.25" customHeight="1">
      <c r="A102" s="1777" t="s">
        <v>3023</v>
      </c>
      <c r="B102" s="278"/>
      <c r="C102" s="1805">
        <f>SUMIFS(TB!N:N,TB!$K:$K,'SA1'!$A$89,TB!$L:$L,'SA1'!$A102)</f>
        <v>78487.39</v>
      </c>
      <c r="D102" s="1805">
        <f>SUMIFS(TB!O:O,TB!$K:$K,'SA1'!$A$89,TB!$L:$L,'SA1'!$A102)</f>
        <v>97846.22</v>
      </c>
      <c r="E102" s="1805">
        <f>SUMIFS(TB!P:P,TB!$K:$K,'SA1'!$A$89,TB!$L:$L,'SA1'!$A102)</f>
        <v>64779.42</v>
      </c>
      <c r="F102" s="1821"/>
      <c r="G102" s="1805">
        <f>SUMIFS(TB!R:R,TB!$K:$K,'SA1'!$A$89,TB!$L:$L,'SA1'!$A102)</f>
        <v>280275</v>
      </c>
      <c r="H102" s="1820">
        <f>SUMIFS(TB!S:S,TB!$K:$K,'SA1'!$A$89,TB!$L:$L,'SA1'!$A102)</f>
        <v>154444</v>
      </c>
      <c r="I102" s="1822">
        <f>SUMIFS(TB!T:T,TB!$K:$K,'SA1'!$A$89,TB!$L:$L,'SA1'!$A102)</f>
        <v>154444</v>
      </c>
      <c r="J102" s="1807">
        <f>SUMIFS(TB!U:U,TB!$K:$K,'SA1'!$A$89,TB!$L:$L,'SA1'!$A102)</f>
        <v>310883.54938799993</v>
      </c>
      <c r="K102" s="1805">
        <f>SUMIFS(TB!V:V,TB!$K:$K,'SA1'!$A$89,TB!$L:$L,'SA1'!$A102)</f>
        <v>335754.23333903996</v>
      </c>
      <c r="L102" s="1820">
        <f>SUMIFS(TB!W:W,TB!$K:$K,'SA1'!$A$89,TB!$L:$L,'SA1'!$A102)</f>
        <v>362614.57200616319</v>
      </c>
      <c r="M102" s="345"/>
      <c r="N102" s="345"/>
      <c r="O102" s="345"/>
      <c r="P102" s="345"/>
    </row>
    <row r="103" spans="1:16" ht="11.25" customHeight="1">
      <c r="A103" s="1777" t="s">
        <v>3010</v>
      </c>
      <c r="B103" s="278"/>
      <c r="C103" s="1805">
        <f>SUMIFS(TB!N:N,TB!$K:$K,'SA1'!$A$89,TB!$L:$L,'SA1'!$A103)</f>
        <v>301361.94999999995</v>
      </c>
      <c r="D103" s="1805">
        <f>SUMIFS(TB!O:O,TB!$K:$K,'SA1'!$A$89,TB!$L:$L,'SA1'!$A103)</f>
        <v>250676.38000000003</v>
      </c>
      <c r="E103" s="1805">
        <f>SUMIFS(TB!P:P,TB!$K:$K,'SA1'!$A$89,TB!$L:$L,'SA1'!$A103)</f>
        <v>209563.65000000002</v>
      </c>
      <c r="F103" s="1821"/>
      <c r="G103" s="1805">
        <f>SUMIFS(TB!R:R,TB!$K:$K,'SA1'!$A$89,TB!$L:$L,'SA1'!$A103)</f>
        <v>222850</v>
      </c>
      <c r="H103" s="1820">
        <f>SUMIFS(TB!S:S,TB!$K:$K,'SA1'!$A$89,TB!$L:$L,'SA1'!$A103)</f>
        <v>208137</v>
      </c>
      <c r="I103" s="1822">
        <f>SUMIFS(TB!T:T,TB!$K:$K,'SA1'!$A$89,TB!$L:$L,'SA1'!$A103)</f>
        <v>208137</v>
      </c>
      <c r="J103" s="1807">
        <f>SUMIFS(TB!U:U,TB!$K:$K,'SA1'!$A$89,TB!$L:$L,'SA1'!$A103)</f>
        <v>250650</v>
      </c>
      <c r="K103" s="1805">
        <f>SUMIFS(TB!V:V,TB!$K:$K,'SA1'!$A$89,TB!$L:$L,'SA1'!$A103)</f>
        <v>264555</v>
      </c>
      <c r="L103" s="1820">
        <f>SUMIFS(TB!W:W,TB!$K:$K,'SA1'!$A$89,TB!$L:$L,'SA1'!$A103)</f>
        <v>267260</v>
      </c>
      <c r="M103" s="345"/>
      <c r="N103" s="345"/>
      <c r="O103" s="345"/>
      <c r="P103" s="345"/>
    </row>
    <row r="104" spans="1:16" ht="11.25" customHeight="1">
      <c r="A104" s="1777" t="s">
        <v>3006</v>
      </c>
      <c r="B104" s="278"/>
      <c r="C104" s="1805">
        <f>SUMIFS(TB!N:N,TB!$K:$K,'SA1'!$A$89,TB!$L:$L,'SA1'!$A104)</f>
        <v>54435.6</v>
      </c>
      <c r="D104" s="1805">
        <f>SUMIFS(TB!O:O,TB!$K:$K,'SA1'!$A$89,TB!$L:$L,'SA1'!$A104)</f>
        <v>38340.14</v>
      </c>
      <c r="E104" s="1805">
        <f>SUMIFS(TB!P:P,TB!$K:$K,'SA1'!$A$89,TB!$L:$L,'SA1'!$A104)</f>
        <v>102634.4</v>
      </c>
      <c r="F104" s="1821"/>
      <c r="G104" s="1805">
        <f>SUMIFS(TB!R:R,TB!$K:$K,'SA1'!$A$89,TB!$L:$L,'SA1'!$A104)</f>
        <v>60000</v>
      </c>
      <c r="H104" s="1820">
        <f>SUMIFS(TB!S:S,TB!$K:$K,'SA1'!$A$89,TB!$L:$L,'SA1'!$A104)</f>
        <v>20447</v>
      </c>
      <c r="I104" s="1822">
        <f>SUMIFS(TB!T:T,TB!$K:$K,'SA1'!$A$89,TB!$L:$L,'SA1'!$A104)</f>
        <v>20447</v>
      </c>
      <c r="J104" s="1807">
        <f>SUMIFS(TB!U:U,TB!$K:$K,'SA1'!$A$89,TB!$L:$L,'SA1'!$A104)</f>
        <v>448000</v>
      </c>
      <c r="K104" s="1805">
        <f>SUMIFS(TB!V:V,TB!$K:$K,'SA1'!$A$89,TB!$L:$L,'SA1'!$A104)</f>
        <v>225000</v>
      </c>
      <c r="L104" s="1820">
        <f>SUMIFS(TB!W:W,TB!$K:$K,'SA1'!$A$89,TB!$L:$L,'SA1'!$A104)</f>
        <v>210000</v>
      </c>
      <c r="M104" s="345"/>
      <c r="N104" s="345"/>
      <c r="O104" s="345"/>
      <c r="P104" s="345"/>
    </row>
    <row r="105" spans="1:16" ht="11.25" customHeight="1">
      <c r="A105" s="1777" t="s">
        <v>3007</v>
      </c>
      <c r="B105" s="278"/>
      <c r="C105" s="1805">
        <f>SUMIFS(TB!N:N,TB!$K:$K,'SA1'!$A$89,TB!$L:$L,'SA1'!$A105)</f>
        <v>544067.03</v>
      </c>
      <c r="D105" s="1805">
        <f>SUMIFS(TB!O:O,TB!$K:$K,'SA1'!$A$89,TB!$L:$L,'SA1'!$A105)</f>
        <v>704543.28</v>
      </c>
      <c r="E105" s="1805">
        <f>SUMIFS(TB!P:P,TB!$K:$K,'SA1'!$A$89,TB!$L:$L,'SA1'!$A105)</f>
        <v>901412.00999999989</v>
      </c>
      <c r="F105" s="1821"/>
      <c r="G105" s="1805">
        <f>SUMIFS(TB!R:R,TB!$K:$K,'SA1'!$A$89,TB!$L:$L,'SA1'!$A105)</f>
        <v>933000</v>
      </c>
      <c r="H105" s="1820">
        <f>SUMIFS(TB!S:S,TB!$K:$K,'SA1'!$A$89,TB!$L:$L,'SA1'!$A105)</f>
        <v>943443</v>
      </c>
      <c r="I105" s="1822">
        <f>SUMIFS(TB!T:T,TB!$K:$K,'SA1'!$A$89,TB!$L:$L,'SA1'!$A105)</f>
        <v>943443</v>
      </c>
      <c r="J105" s="1807">
        <f>SUMIFS(TB!U:U,TB!$K:$K,'SA1'!$A$89,TB!$L:$L,'SA1'!$A105)</f>
        <v>1180000</v>
      </c>
      <c r="K105" s="1805">
        <f>SUMIFS(TB!V:V,TB!$K:$K,'SA1'!$A$89,TB!$L:$L,'SA1'!$A105)</f>
        <v>1295000</v>
      </c>
      <c r="L105" s="1820">
        <f>SUMIFS(TB!W:W,TB!$K:$K,'SA1'!$A$89,TB!$L:$L,'SA1'!$A105)</f>
        <v>1345000</v>
      </c>
      <c r="M105" s="345"/>
      <c r="N105" s="345"/>
      <c r="O105" s="345"/>
      <c r="P105" s="345"/>
    </row>
    <row r="106" spans="1:16" ht="11.25" customHeight="1">
      <c r="A106" s="1777" t="s">
        <v>3012</v>
      </c>
      <c r="B106" s="278"/>
      <c r="C106" s="1805">
        <f>SUMIFS(TB!N:N,TB!$K:$K,'SA1'!$A$89,TB!$L:$L,'SA1'!$A106)</f>
        <v>80160.999999999985</v>
      </c>
      <c r="D106" s="1805">
        <f>SUMIFS(TB!O:O,TB!$K:$K,'SA1'!$A$89,TB!$L:$L,'SA1'!$A106)</f>
        <v>308422.34000000003</v>
      </c>
      <c r="E106" s="1805">
        <f>SUMIFS(TB!P:P,TB!$K:$K,'SA1'!$A$89,TB!$L:$L,'SA1'!$A106)</f>
        <v>1177167.28</v>
      </c>
      <c r="F106" s="1821"/>
      <c r="G106" s="1805">
        <f>SUMIFS(TB!R:R,TB!$K:$K,'SA1'!$A$89,TB!$L:$L,'SA1'!$A106)</f>
        <v>1386590</v>
      </c>
      <c r="H106" s="1820">
        <f>SUMIFS(TB!S:S,TB!$K:$K,'SA1'!$A$89,TB!$L:$L,'SA1'!$A106)</f>
        <v>1684567</v>
      </c>
      <c r="I106" s="1822">
        <f>SUMIFS(TB!T:T,TB!$K:$K,'SA1'!$A$89,TB!$L:$L,'SA1'!$A106)</f>
        <v>1684567</v>
      </c>
      <c r="J106" s="1807">
        <f>SUMIFS(TB!U:U,TB!$K:$K,'SA1'!$A$89,TB!$L:$L,'SA1'!$A106)</f>
        <v>1556100</v>
      </c>
      <c r="K106" s="1805">
        <f>SUMIFS(TB!V:V,TB!$K:$K,'SA1'!$A$89,TB!$L:$L,'SA1'!$A106)</f>
        <v>1132237.7</v>
      </c>
      <c r="L106" s="1820">
        <f>SUMIFS(TB!W:W,TB!$K:$K,'SA1'!$A$89,TB!$L:$L,'SA1'!$A106)</f>
        <v>1218541.13686</v>
      </c>
      <c r="M106" s="345"/>
      <c r="N106" s="345"/>
      <c r="O106" s="345"/>
      <c r="P106" s="345"/>
    </row>
    <row r="107" spans="1:16" ht="11.25" customHeight="1">
      <c r="A107" s="1777" t="s">
        <v>1611</v>
      </c>
      <c r="B107" s="278"/>
      <c r="C107" s="1805">
        <f>SUMIFS(TB!N:N,TB!$K:$K,'SA1'!$A$89,TB!$L:$L,'SA1'!$A107)</f>
        <v>0</v>
      </c>
      <c r="D107" s="1805">
        <f>SUMIFS(TB!O:O,TB!$K:$K,'SA1'!$A$89,TB!$L:$L,'SA1'!$A107)</f>
        <v>0</v>
      </c>
      <c r="E107" s="1805">
        <f>SUMIFS(TB!P:P,TB!$K:$K,'SA1'!$A$89,TB!$L:$L,'SA1'!$A107)</f>
        <v>0</v>
      </c>
      <c r="F107" s="1821">
        <f>[5]SA1!$J$82</f>
        <v>560000</v>
      </c>
      <c r="G107" s="1805">
        <f>SUMIFS(TB!R:R,TB!$K:$K,'SA1'!$A$89,TB!$L:$L,'SA1'!$A107)</f>
        <v>0</v>
      </c>
      <c r="H107" s="1820">
        <f>SUMIFS(TB!S:S,TB!$K:$K,'SA1'!$A$89,TB!$L:$L,'SA1'!$A107)</f>
        <v>0</v>
      </c>
      <c r="I107" s="1822">
        <f>SUMIFS(TB!T:T,TB!$K:$K,'SA1'!$A$89,TB!$L:$L,'SA1'!$A107)</f>
        <v>0</v>
      </c>
      <c r="J107" s="1807">
        <f>SUMIFS(TB!U:U,TB!$K:$K,'SA1'!$A$89,TB!$L:$L,'SA1'!$A107)</f>
        <v>0</v>
      </c>
      <c r="K107" s="1805">
        <f>SUMIFS(TB!V:V,TB!$K:$K,'SA1'!$A$89,TB!$L:$L,'SA1'!$A107)</f>
        <v>0</v>
      </c>
      <c r="L107" s="1820">
        <f>SUMIFS(TB!W:W,TB!$K:$K,'SA1'!$A$89,TB!$L:$L,'SA1'!$A107)</f>
        <v>0</v>
      </c>
      <c r="M107" s="345"/>
      <c r="N107" s="345"/>
      <c r="O107" s="345"/>
      <c r="P107" s="345"/>
    </row>
    <row r="108" spans="1:16" ht="11.25" customHeight="1">
      <c r="A108" s="1777" t="s">
        <v>732</v>
      </c>
      <c r="B108" s="278"/>
      <c r="C108" s="1805">
        <f>SUMIFS(TB!N:N,TB!$K:$K,'SA1'!$A$89,TB!$L:$L,'SA1'!$A108)</f>
        <v>1027805.55</v>
      </c>
      <c r="D108" s="1805">
        <f>SUMIFS(TB!O:O,TB!$K:$K,'SA1'!$A$89,TB!$L:$L,'SA1'!$A108)</f>
        <v>1180405.6499999999</v>
      </c>
      <c r="E108" s="1805">
        <f>SUMIFS(TB!P:P,TB!$K:$K,'SA1'!$A$89,TB!$L:$L,'SA1'!$A108)</f>
        <v>500679.52</v>
      </c>
      <c r="F108" s="1821">
        <f>[5]SA1!$J$83</f>
        <v>1000000</v>
      </c>
      <c r="G108" s="1805">
        <f>SUMIFS(TB!R:R,TB!$K:$K,'SA1'!$A$89,TB!$L:$L,'SA1'!$A108)</f>
        <v>1000000</v>
      </c>
      <c r="H108" s="1820">
        <f>SUMIFS(TB!S:S,TB!$K:$K,'SA1'!$A$89,TB!$L:$L,'SA1'!$A108)</f>
        <v>725106</v>
      </c>
      <c r="I108" s="1822">
        <f>SUMIFS(TB!T:T,TB!$K:$K,'SA1'!$A$89,TB!$L:$L,'SA1'!$A108)</f>
        <v>725106</v>
      </c>
      <c r="J108" s="1807">
        <f>SUMIFS(TB!U:U,TB!$K:$K,'SA1'!$A$89,TB!$L:$L,'SA1'!$A108)</f>
        <v>1450000</v>
      </c>
      <c r="K108" s="1805">
        <f>SUMIFS(TB!V:V,TB!$K:$K,'SA1'!$A$89,TB!$L:$L,'SA1'!$A108)</f>
        <v>1500000</v>
      </c>
      <c r="L108" s="1820">
        <f>SUMIFS(TB!W:W,TB!$K:$K,'SA1'!$A$89,TB!$L:$L,'SA1'!$A108)</f>
        <v>1750000</v>
      </c>
      <c r="M108" s="345"/>
      <c r="N108" s="345"/>
      <c r="O108" s="345"/>
      <c r="P108" s="345"/>
    </row>
    <row r="109" spans="1:16" ht="11.25" customHeight="1">
      <c r="A109" s="1817"/>
      <c r="B109" s="278"/>
      <c r="C109" s="1805"/>
      <c r="D109" s="1805"/>
      <c r="E109" s="1820"/>
      <c r="F109" s="1821"/>
      <c r="G109" s="1805"/>
      <c r="H109" s="1820"/>
      <c r="I109" s="1822"/>
      <c r="J109" s="1807"/>
      <c r="K109" s="1805"/>
      <c r="L109" s="1820"/>
      <c r="M109" s="345"/>
      <c r="N109" s="345"/>
      <c r="O109" s="345"/>
      <c r="P109" s="345"/>
    </row>
    <row r="110" spans="1:16" ht="11.25" customHeight="1">
      <c r="A110" s="320" t="s">
        <v>808</v>
      </c>
      <c r="B110" s="321">
        <v>1</v>
      </c>
      <c r="C110" s="216">
        <f t="shared" ref="C110:L110" si="13">SUM(C87:C109)</f>
        <v>5568298.3400000008</v>
      </c>
      <c r="D110" s="216">
        <f t="shared" si="13"/>
        <v>25015941.469999999</v>
      </c>
      <c r="E110" s="214">
        <f t="shared" si="13"/>
        <v>9695410.1000000015</v>
      </c>
      <c r="F110" s="215">
        <f t="shared" si="13"/>
        <v>4277000</v>
      </c>
      <c r="G110" s="216">
        <f t="shared" si="13"/>
        <v>14823310</v>
      </c>
      <c r="H110" s="214">
        <f t="shared" si="13"/>
        <v>10726489</v>
      </c>
      <c r="I110" s="217">
        <f t="shared" si="13"/>
        <v>10726489</v>
      </c>
      <c r="J110" s="218">
        <f t="shared" si="13"/>
        <v>18097983.549387999</v>
      </c>
      <c r="K110" s="216">
        <f t="shared" si="13"/>
        <v>19318626.933339041</v>
      </c>
      <c r="L110" s="214">
        <f t="shared" si="13"/>
        <v>19608991.708866164</v>
      </c>
      <c r="M110" s="345"/>
      <c r="N110" s="345"/>
      <c r="O110" s="345"/>
      <c r="P110" s="345"/>
    </row>
    <row r="111" spans="1:16" ht="11.25" customHeight="1">
      <c r="A111" s="226"/>
      <c r="B111" s="222"/>
      <c r="C111" s="203"/>
      <c r="D111" s="203"/>
      <c r="E111" s="203"/>
      <c r="F111" s="203"/>
      <c r="G111" s="203"/>
      <c r="H111" s="203"/>
      <c r="I111" s="203"/>
      <c r="J111" s="203"/>
      <c r="K111" s="203"/>
      <c r="L111" s="203"/>
      <c r="M111" s="345"/>
      <c r="N111" s="345"/>
      <c r="O111" s="345"/>
      <c r="P111" s="345"/>
    </row>
    <row r="112" spans="1:16" ht="27" customHeight="1">
      <c r="A112" s="1668" t="s">
        <v>2068</v>
      </c>
      <c r="B112" s="1687">
        <v>8</v>
      </c>
      <c r="C112" s="1669"/>
      <c r="D112" s="1558"/>
      <c r="E112" s="539"/>
      <c r="F112" s="1669"/>
      <c r="G112" s="1558"/>
      <c r="H112" s="539"/>
      <c r="I112" s="1548"/>
      <c r="J112" s="1669"/>
      <c r="K112" s="1558"/>
      <c r="L112" s="539"/>
      <c r="M112" s="345"/>
      <c r="N112" s="345"/>
      <c r="O112" s="345"/>
      <c r="P112" s="345"/>
    </row>
    <row r="113" spans="1:16" s="693" customFormat="1" ht="11.25" customHeight="1">
      <c r="A113" s="179" t="s">
        <v>497</v>
      </c>
      <c r="B113" s="1562"/>
      <c r="C113" s="1809">
        <v>0</v>
      </c>
      <c r="D113" s="1805">
        <v>0</v>
      </c>
      <c r="E113" s="1808">
        <v>0</v>
      </c>
      <c r="F113" s="1809">
        <v>0</v>
      </c>
      <c r="G113" s="1805">
        <v>0</v>
      </c>
      <c r="H113" s="1808">
        <v>0</v>
      </c>
      <c r="I113" s="1877">
        <v>0</v>
      </c>
      <c r="J113" s="1809">
        <v>0</v>
      </c>
      <c r="K113" s="1805">
        <v>0</v>
      </c>
      <c r="L113" s="1808">
        <v>0</v>
      </c>
      <c r="M113" s="1077"/>
      <c r="N113" s="1077"/>
      <c r="O113" s="1077"/>
      <c r="P113" s="1077"/>
    </row>
    <row r="114" spans="1:16" s="693" customFormat="1" ht="11.25" customHeight="1">
      <c r="A114" s="179" t="s">
        <v>1629</v>
      </c>
      <c r="B114" s="1562"/>
      <c r="C114" s="1809">
        <v>0</v>
      </c>
      <c r="D114" s="1805">
        <v>0</v>
      </c>
      <c r="E114" s="1808">
        <v>0</v>
      </c>
      <c r="F114" s="1809">
        <v>0</v>
      </c>
      <c r="G114" s="1805">
        <v>0</v>
      </c>
      <c r="H114" s="1808">
        <v>0</v>
      </c>
      <c r="I114" s="1877">
        <v>0</v>
      </c>
      <c r="J114" s="1809">
        <v>0</v>
      </c>
      <c r="K114" s="1805">
        <v>0</v>
      </c>
      <c r="L114" s="1808">
        <v>0</v>
      </c>
      <c r="M114" s="1077"/>
      <c r="N114" s="1077"/>
      <c r="O114" s="1077"/>
      <c r="P114" s="1077"/>
    </row>
    <row r="115" spans="1:16" s="693" customFormat="1" ht="11.25" customHeight="1">
      <c r="A115" s="179" t="s">
        <v>2069</v>
      </c>
      <c r="B115" s="1562"/>
      <c r="C115" s="1809">
        <v>0</v>
      </c>
      <c r="D115" s="1805">
        <v>0</v>
      </c>
      <c r="E115" s="1808">
        <v>0</v>
      </c>
      <c r="F115" s="1809">
        <v>0</v>
      </c>
      <c r="G115" s="1805">
        <v>0</v>
      </c>
      <c r="H115" s="1808">
        <v>0</v>
      </c>
      <c r="I115" s="1877">
        <v>0</v>
      </c>
      <c r="J115" s="1809">
        <v>0</v>
      </c>
      <c r="K115" s="1805">
        <v>0</v>
      </c>
      <c r="L115" s="1808">
        <v>0</v>
      </c>
      <c r="M115" s="1077"/>
      <c r="N115" s="1077"/>
      <c r="O115" s="1077"/>
      <c r="P115" s="1077"/>
    </row>
    <row r="116" spans="1:16" s="693" customFormat="1" ht="11.25" customHeight="1">
      <c r="A116" s="179" t="s">
        <v>2070</v>
      </c>
      <c r="B116" s="1562"/>
      <c r="C116" s="1878">
        <v>0</v>
      </c>
      <c r="D116" s="1839">
        <v>0</v>
      </c>
      <c r="E116" s="1844">
        <v>0</v>
      </c>
      <c r="F116" s="1878">
        <v>0</v>
      </c>
      <c r="G116" s="1839">
        <v>0</v>
      </c>
      <c r="H116" s="1844">
        <v>0</v>
      </c>
      <c r="I116" s="1879">
        <v>0</v>
      </c>
      <c r="J116" s="1878">
        <v>0</v>
      </c>
      <c r="K116" s="1839">
        <v>0</v>
      </c>
      <c r="L116" s="1844">
        <v>0</v>
      </c>
      <c r="M116" s="1077"/>
      <c r="N116" s="1077"/>
      <c r="O116" s="1077"/>
      <c r="P116" s="1077"/>
    </row>
    <row r="117" spans="1:16" s="693" customFormat="1" ht="11.25" customHeight="1">
      <c r="A117" s="320" t="s">
        <v>1300</v>
      </c>
      <c r="B117" s="1688">
        <v>9</v>
      </c>
      <c r="C117" s="1671">
        <f>SUM(C113:C116)</f>
        <v>0</v>
      </c>
      <c r="D117" s="408">
        <f t="shared" ref="D117:L117" si="14">SUM(D113:D116)</f>
        <v>0</v>
      </c>
      <c r="E117" s="1670">
        <f t="shared" si="14"/>
        <v>0</v>
      </c>
      <c r="F117" s="1671">
        <f t="shared" si="14"/>
        <v>0</v>
      </c>
      <c r="G117" s="408">
        <f t="shared" si="14"/>
        <v>0</v>
      </c>
      <c r="H117" s="1670">
        <f t="shared" si="14"/>
        <v>0</v>
      </c>
      <c r="I117" s="1672">
        <f t="shared" si="14"/>
        <v>0</v>
      </c>
      <c r="J117" s="1671">
        <f t="shared" si="14"/>
        <v>0</v>
      </c>
      <c r="K117" s="408">
        <f t="shared" si="14"/>
        <v>0</v>
      </c>
      <c r="L117" s="1670">
        <f t="shared" si="14"/>
        <v>0</v>
      </c>
      <c r="M117" s="1077"/>
      <c r="N117" s="1077"/>
      <c r="O117" s="1077"/>
      <c r="P117" s="1077"/>
    </row>
    <row r="118" spans="1:16" s="693" customFormat="1" ht="6.75" customHeight="1">
      <c r="A118" s="226"/>
      <c r="B118" s="232"/>
      <c r="C118" s="188"/>
      <c r="D118" s="188"/>
      <c r="E118" s="188"/>
      <c r="F118" s="188"/>
      <c r="G118" s="188"/>
      <c r="H118" s="188"/>
      <c r="I118" s="188"/>
      <c r="J118" s="188"/>
      <c r="K118" s="188"/>
      <c r="L118" s="188"/>
      <c r="M118" s="1077"/>
      <c r="N118" s="1077"/>
      <c r="O118" s="1077"/>
      <c r="P118" s="1077"/>
    </row>
    <row r="119" spans="1:16" s="693" customFormat="1" ht="11.25" customHeight="1">
      <c r="A119" s="301" t="s">
        <v>1624</v>
      </c>
      <c r="B119" s="150"/>
      <c r="C119" s="188">
        <f>SA34c!C77</f>
        <v>0</v>
      </c>
      <c r="D119" s="188">
        <f>SA34c!D77</f>
        <v>0</v>
      </c>
      <c r="E119" s="188">
        <f>SA34c!E77</f>
        <v>0</v>
      </c>
      <c r="F119" s="188">
        <f>SA34c!F77</f>
        <v>0</v>
      </c>
      <c r="G119" s="188">
        <f>SA34c!G77</f>
        <v>0</v>
      </c>
      <c r="H119" s="188">
        <f>SA34c!H77</f>
        <v>0</v>
      </c>
      <c r="I119" s="188"/>
      <c r="J119" s="188">
        <f>SA34c!I77</f>
        <v>0</v>
      </c>
      <c r="K119" s="188">
        <f>SA34c!J77</f>
        <v>0</v>
      </c>
      <c r="L119" s="188">
        <f>SA34c!K77</f>
        <v>0</v>
      </c>
    </row>
    <row r="120" spans="1:16" ht="6" customHeight="1">
      <c r="A120" s="226"/>
      <c r="B120" s="222"/>
      <c r="C120" s="203"/>
      <c r="D120" s="203"/>
      <c r="E120" s="203"/>
      <c r="F120" s="203"/>
      <c r="G120" s="203"/>
      <c r="H120" s="203"/>
      <c r="I120" s="203"/>
      <c r="J120" s="203"/>
      <c r="K120" s="203"/>
      <c r="L120" s="203"/>
    </row>
    <row r="121" spans="1:16" ht="15" customHeight="1">
      <c r="A121" s="226"/>
      <c r="B121" s="222"/>
      <c r="C121" s="203"/>
      <c r="D121" s="203"/>
      <c r="E121" s="203"/>
      <c r="F121" s="203"/>
      <c r="G121" s="203"/>
      <c r="H121" s="203"/>
      <c r="I121" s="203"/>
      <c r="J121" s="203"/>
      <c r="K121" s="203"/>
      <c r="L121" s="203"/>
    </row>
    <row r="122" spans="1:16" ht="12" hidden="1" customHeight="1">
      <c r="A122" s="1220" t="str">
        <f>head27a</f>
        <v>References</v>
      </c>
      <c r="B122" s="1033"/>
      <c r="C122" s="1037"/>
      <c r="D122" s="1037"/>
      <c r="E122" s="1037"/>
      <c r="F122" s="1037"/>
      <c r="G122" s="1037"/>
      <c r="H122" s="1037"/>
      <c r="I122" s="1037"/>
      <c r="J122" s="1037"/>
      <c r="K122" s="1037"/>
      <c r="L122" s="1037"/>
    </row>
    <row r="123" spans="1:16" hidden="1">
      <c r="A123" s="1201" t="s">
        <v>809</v>
      </c>
      <c r="B123" s="1033"/>
      <c r="C123" s="1036"/>
      <c r="D123" s="1036"/>
      <c r="E123" s="1037"/>
      <c r="F123" s="1037"/>
      <c r="G123" s="1037"/>
      <c r="H123" s="1037"/>
      <c r="I123" s="1037"/>
      <c r="J123" s="1037"/>
      <c r="K123" s="1037"/>
      <c r="L123" s="1037"/>
    </row>
    <row r="124" spans="1:16" hidden="1">
      <c r="A124" s="1201" t="s">
        <v>1138</v>
      </c>
      <c r="B124" s="1033"/>
      <c r="C124" s="1036"/>
      <c r="D124" s="1036"/>
      <c r="E124" s="1037"/>
      <c r="F124" s="1037"/>
      <c r="G124" s="1037"/>
      <c r="H124" s="1037"/>
      <c r="I124" s="1037"/>
      <c r="J124" s="1037"/>
      <c r="K124" s="1037"/>
      <c r="L124" s="1037"/>
    </row>
    <row r="125" spans="1:16" ht="11.25" hidden="1" customHeight="1">
      <c r="A125" s="1201" t="s">
        <v>811</v>
      </c>
      <c r="B125" s="1033"/>
      <c r="C125" s="1036"/>
      <c r="D125" s="1036"/>
      <c r="E125" s="1037"/>
      <c r="F125" s="1037"/>
      <c r="G125" s="1037"/>
      <c r="H125" s="1037"/>
      <c r="I125" s="1037"/>
      <c r="J125" s="1037"/>
      <c r="K125" s="1037"/>
      <c r="L125" s="1037"/>
    </row>
    <row r="126" spans="1:16" ht="11.25" hidden="1" customHeight="1">
      <c r="A126" s="1201" t="s">
        <v>810</v>
      </c>
      <c r="B126" s="1033"/>
      <c r="C126" s="1036"/>
      <c r="D126" s="1036"/>
      <c r="E126" s="1037"/>
      <c r="F126" s="1037"/>
      <c r="G126" s="1037"/>
      <c r="H126" s="1037"/>
      <c r="I126" s="1037"/>
      <c r="J126" s="1037"/>
      <c r="K126" s="1037"/>
      <c r="L126" s="1037"/>
    </row>
    <row r="127" spans="1:16" ht="11.25" hidden="1" customHeight="1">
      <c r="A127" s="1201" t="s">
        <v>1376</v>
      </c>
      <c r="B127" s="1033"/>
      <c r="C127" s="1036"/>
      <c r="D127" s="1036"/>
      <c r="E127" s="1037"/>
      <c r="F127" s="1037"/>
      <c r="G127" s="1037"/>
      <c r="H127" s="1037"/>
      <c r="I127" s="1037"/>
      <c r="J127" s="1037"/>
      <c r="K127" s="1037"/>
      <c r="L127" s="1037"/>
    </row>
    <row r="128" spans="1:16" ht="11.25" hidden="1" customHeight="1">
      <c r="A128" s="1201" t="s">
        <v>1808</v>
      </c>
      <c r="B128" s="1033"/>
      <c r="C128" s="1036"/>
      <c r="D128" s="1036"/>
      <c r="E128" s="1037"/>
      <c r="F128" s="1037"/>
      <c r="G128" s="1037"/>
      <c r="H128" s="1037"/>
      <c r="I128" s="1037"/>
      <c r="J128" s="1037"/>
      <c r="K128" s="1037"/>
      <c r="L128" s="1037"/>
    </row>
    <row r="129" spans="1:12" ht="11.25" hidden="1" customHeight="1">
      <c r="A129" s="1201" t="s">
        <v>122</v>
      </c>
      <c r="B129" s="1033"/>
      <c r="C129" s="1036"/>
      <c r="D129" s="1036"/>
      <c r="E129" s="1037"/>
      <c r="F129" s="1037"/>
      <c r="G129" s="1037"/>
      <c r="H129" s="1037"/>
      <c r="I129" s="1037"/>
      <c r="J129" s="1037"/>
      <c r="K129" s="1037"/>
      <c r="L129" s="1037"/>
    </row>
    <row r="130" spans="1:12" ht="11.25" hidden="1" customHeight="1">
      <c r="A130" s="1174" t="s">
        <v>2072</v>
      </c>
    </row>
    <row r="131" spans="1:12" ht="11.25" hidden="1" customHeight="1">
      <c r="A131" s="150" t="s">
        <v>2073</v>
      </c>
    </row>
    <row r="132" spans="1:12" ht="11.25" hidden="1" customHeight="1">
      <c r="B132" s="150"/>
    </row>
    <row r="133" spans="1:12" ht="11.25" hidden="1" customHeight="1">
      <c r="B133" s="150"/>
    </row>
    <row r="134" spans="1:12" ht="11.25" hidden="1" customHeight="1">
      <c r="B134" s="150"/>
    </row>
    <row r="135" spans="1:12" ht="11.25" hidden="1" customHeight="1">
      <c r="B135" s="150"/>
    </row>
    <row r="136" spans="1:12" ht="11.25" hidden="1" customHeight="1">
      <c r="B136" s="150"/>
    </row>
    <row r="137" spans="1:12" ht="11.25" hidden="1" customHeight="1">
      <c r="B137" s="150"/>
    </row>
    <row r="138" spans="1:12" ht="11.25" hidden="1" customHeight="1">
      <c r="B138" s="150"/>
    </row>
    <row r="139" spans="1:12" ht="11.25" hidden="1" customHeight="1">
      <c r="B139" s="150"/>
    </row>
    <row r="140" spans="1:12" ht="11.25" hidden="1" customHeight="1">
      <c r="B140" s="150"/>
    </row>
    <row r="141" spans="1:12" ht="11.25" hidden="1" customHeight="1">
      <c r="B141" s="150"/>
    </row>
    <row r="142" spans="1:12" ht="11.25" hidden="1" customHeight="1">
      <c r="B142" s="150"/>
    </row>
    <row r="143" spans="1:12" ht="11.25" customHeight="1">
      <c r="B143" s="150"/>
    </row>
    <row r="144" spans="1:12" ht="11.25" customHeight="1">
      <c r="B144" s="150"/>
    </row>
    <row r="145" spans="2:2" ht="11.25" customHeight="1">
      <c r="B145" s="150"/>
    </row>
    <row r="146" spans="2:2" ht="11.25" customHeight="1">
      <c r="B146" s="150"/>
    </row>
    <row r="147" spans="2:2" ht="11.25" customHeight="1">
      <c r="B147" s="150"/>
    </row>
    <row r="148" spans="2:2" ht="11.25" customHeight="1">
      <c r="B148" s="150"/>
    </row>
    <row r="149" spans="2:2" ht="11.25" customHeight="1">
      <c r="B149" s="150"/>
    </row>
    <row r="150" spans="2:2" ht="11.25" customHeight="1">
      <c r="B150" s="150"/>
    </row>
    <row r="151" spans="2:2" ht="11.25" customHeight="1">
      <c r="B151" s="150"/>
    </row>
    <row r="152" spans="2:2" ht="11.25" customHeight="1">
      <c r="B152" s="150"/>
    </row>
    <row r="153" spans="2:2" ht="11.25" customHeight="1">
      <c r="B153" s="150"/>
    </row>
    <row r="154" spans="2:2" ht="11.25" customHeight="1">
      <c r="B154" s="150"/>
    </row>
    <row r="155" spans="2:2" ht="11.25" customHeight="1">
      <c r="B155" s="150"/>
    </row>
    <row r="156" spans="2:2" ht="11.25" customHeight="1">
      <c r="B156" s="150"/>
    </row>
    <row r="157" spans="2:2" ht="11.25" customHeight="1">
      <c r="B157" s="150"/>
    </row>
    <row r="158" spans="2:2" ht="11.25" customHeight="1">
      <c r="B158" s="150"/>
    </row>
    <row r="159" spans="2:2" ht="11.25" customHeight="1">
      <c r="B159" s="150"/>
    </row>
    <row r="160" spans="2:2" ht="11.25" customHeight="1">
      <c r="B160" s="150"/>
    </row>
    <row r="161" spans="2:2" ht="11.25" customHeight="1">
      <c r="B161" s="150"/>
    </row>
    <row r="162" spans="2:2" ht="11.25" customHeight="1">
      <c r="B162" s="150"/>
    </row>
    <row r="163" spans="2:2" ht="11.25" customHeight="1">
      <c r="B163" s="150"/>
    </row>
    <row r="164" spans="2:2" ht="11.25" customHeight="1">
      <c r="B164" s="150"/>
    </row>
    <row r="165" spans="2:2" ht="11.25" customHeight="1">
      <c r="B165" s="150"/>
    </row>
    <row r="166" spans="2:2" ht="11.25" customHeight="1">
      <c r="B166" s="150"/>
    </row>
    <row r="167" spans="2:2" ht="11.25" customHeight="1">
      <c r="B167" s="150"/>
    </row>
    <row r="168" spans="2:2" ht="11.25" customHeight="1">
      <c r="B168" s="150"/>
    </row>
    <row r="169" spans="2:2" ht="11.25" customHeight="1">
      <c r="B169" s="150"/>
    </row>
    <row r="170" spans="2:2" ht="11.25" customHeight="1">
      <c r="B170" s="150"/>
    </row>
    <row r="171" spans="2:2" ht="11.25" customHeight="1">
      <c r="B171" s="150"/>
    </row>
    <row r="172" spans="2:2" ht="11.25" customHeight="1">
      <c r="B172" s="150"/>
    </row>
    <row r="173" spans="2:2" ht="11.25" customHeight="1">
      <c r="B173" s="150"/>
    </row>
    <row r="174" spans="2:2" ht="11.25" customHeight="1">
      <c r="B174" s="150"/>
    </row>
    <row r="175" spans="2:2" ht="11.25" customHeight="1">
      <c r="B175" s="150"/>
    </row>
    <row r="176" spans="2:2" ht="11.25" customHeight="1">
      <c r="B176" s="150"/>
    </row>
    <row r="177" spans="2:2" ht="11.25" customHeight="1">
      <c r="B177" s="150"/>
    </row>
    <row r="178" spans="2:2" ht="11.25" customHeight="1">
      <c r="B178" s="150"/>
    </row>
    <row r="179" spans="2:2" ht="11.25" customHeight="1">
      <c r="B179" s="150"/>
    </row>
    <row r="180" spans="2:2" ht="11.25" customHeight="1">
      <c r="B180" s="150"/>
    </row>
    <row r="181" spans="2:2" ht="11.25" customHeight="1">
      <c r="B181" s="150"/>
    </row>
    <row r="182" spans="2:2" ht="11.25" customHeight="1">
      <c r="B182" s="150"/>
    </row>
    <row r="183" spans="2:2" ht="11.25" customHeight="1">
      <c r="B183" s="150"/>
    </row>
    <row r="184" spans="2:2" ht="11.25" customHeight="1">
      <c r="B184" s="150"/>
    </row>
    <row r="185" spans="2:2" ht="11.25" customHeight="1">
      <c r="B185" s="150"/>
    </row>
    <row r="186" spans="2:2">
      <c r="B186" s="150"/>
    </row>
    <row r="187" spans="2:2">
      <c r="B187" s="150"/>
    </row>
    <row r="188" spans="2:2">
      <c r="B188" s="150"/>
    </row>
    <row r="189" spans="2:2">
      <c r="B189" s="150"/>
    </row>
    <row r="190" spans="2:2">
      <c r="B190" s="150"/>
    </row>
    <row r="191" spans="2:2">
      <c r="B191" s="150"/>
    </row>
    <row r="192" spans="2:2">
      <c r="B192" s="150"/>
    </row>
    <row r="193" spans="2:2">
      <c r="B193" s="150"/>
    </row>
    <row r="194" spans="2:2">
      <c r="B194" s="150"/>
    </row>
    <row r="195" spans="2:2">
      <c r="B195" s="150"/>
    </row>
    <row r="196" spans="2:2">
      <c r="B196" s="150"/>
    </row>
    <row r="197" spans="2:2">
      <c r="B197" s="150"/>
    </row>
    <row r="198" spans="2:2">
      <c r="B198" s="150"/>
    </row>
    <row r="199" spans="2:2">
      <c r="B199" s="150"/>
    </row>
    <row r="200" spans="2:2">
      <c r="B200" s="150"/>
    </row>
    <row r="201" spans="2:2">
      <c r="B201" s="150"/>
    </row>
    <row r="202" spans="2:2">
      <c r="B202" s="150"/>
    </row>
    <row r="203" spans="2:2">
      <c r="B203" s="150"/>
    </row>
    <row r="204" spans="2:2">
      <c r="B204" s="150"/>
    </row>
    <row r="205" spans="2:2">
      <c r="B205" s="150"/>
    </row>
    <row r="206" spans="2:2">
      <c r="B206" s="150"/>
    </row>
    <row r="207" spans="2:2">
      <c r="B207" s="150"/>
    </row>
    <row r="208" spans="2:2">
      <c r="B208" s="150"/>
    </row>
    <row r="209" spans="2:2">
      <c r="B209" s="150"/>
    </row>
    <row r="210" spans="2:2">
      <c r="B210" s="150"/>
    </row>
    <row r="211" spans="2:2">
      <c r="B211" s="150"/>
    </row>
    <row r="212" spans="2:2">
      <c r="B212" s="150"/>
    </row>
    <row r="213" spans="2:2">
      <c r="B213" s="150"/>
    </row>
    <row r="214" spans="2:2">
      <c r="B214" s="150"/>
    </row>
    <row r="215" spans="2:2">
      <c r="B215" s="150"/>
    </row>
    <row r="216" spans="2:2">
      <c r="B216" s="150"/>
    </row>
    <row r="217" spans="2:2">
      <c r="B217" s="150"/>
    </row>
    <row r="218" spans="2:2">
      <c r="B218" s="150"/>
    </row>
    <row r="219" spans="2:2">
      <c r="B219" s="150"/>
    </row>
    <row r="220" spans="2:2">
      <c r="B220" s="150"/>
    </row>
    <row r="221" spans="2:2">
      <c r="B221" s="150"/>
    </row>
    <row r="222" spans="2:2">
      <c r="B222" s="150"/>
    </row>
    <row r="223" spans="2:2">
      <c r="B223" s="150"/>
    </row>
    <row r="224" spans="2:2">
      <c r="B224" s="150"/>
    </row>
    <row r="225" spans="2:2">
      <c r="B225" s="150"/>
    </row>
    <row r="226" spans="2:2">
      <c r="B226" s="150"/>
    </row>
    <row r="227" spans="2:2">
      <c r="B227" s="150"/>
    </row>
    <row r="228" spans="2:2">
      <c r="B228" s="150"/>
    </row>
    <row r="229" spans="2:2">
      <c r="B229" s="150"/>
    </row>
    <row r="230" spans="2:2">
      <c r="B230" s="150"/>
    </row>
    <row r="231" spans="2:2">
      <c r="B231" s="150"/>
    </row>
    <row r="232" spans="2:2">
      <c r="B232" s="150"/>
    </row>
  </sheetData>
  <sheetProtection password="A35B" sheet="1" objects="1" scenarios="1"/>
  <mergeCells count="4">
    <mergeCell ref="J2:L2"/>
    <mergeCell ref="F2:I2"/>
    <mergeCell ref="A2:A3"/>
    <mergeCell ref="B2:B3"/>
  </mergeCells>
  <phoneticPr fontId="3" type="noConversion"/>
  <dataValidations count="1">
    <dataValidation type="decimal" allowBlank="1" showInputMessage="1" showErrorMessage="1" sqref="C113:L116 C80:L83 C12:L13 C17:L18 C22:L23 C27:L29 C40:L48 C63:L65 C50:L50 C54:L59 C69:L70 C7:L8 C74:L77 C87:L109 C33:L35">
      <formula1>-999999999999999</formula1>
      <formula2>99999999999999</formula2>
    </dataValidation>
  </dataValidations>
  <printOptions horizontalCentered="1"/>
  <pageMargins left="0" right="0" top="0.78740157480314965" bottom="0.59055118110236227" header="0.51181102362204722" footer="0.39370078740157483"/>
  <pageSetup paperSize="9" scale="55"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indexed="42"/>
    <pageSetUpPr fitToPage="1"/>
  </sheetPr>
  <dimension ref="A1:U83"/>
  <sheetViews>
    <sheetView showGridLines="0" workbookViewId="0">
      <pane xSplit="2" ySplit="3" topLeftCell="C4" activePane="bottomRight" state="frozen"/>
      <selection activeCell="O37" sqref="A1:IV65536"/>
      <selection pane="topRight" activeCell="O37" sqref="A1:IV65536"/>
      <selection pane="bottomLeft" activeCell="O37" sqref="A1:IV65536"/>
      <selection pane="bottomRight" activeCell="K7" sqref="K7"/>
    </sheetView>
  </sheetViews>
  <sheetFormatPr defaultRowHeight="12.75"/>
  <cols>
    <col min="1" max="1" width="30.7109375" style="150" customWidth="1"/>
    <col min="2" max="2" width="3" style="233" hidden="1" customWidth="1"/>
    <col min="3" max="18" width="9.28515625" style="150" customWidth="1"/>
    <col min="19" max="20" width="9.140625" style="150"/>
    <col min="21" max="21" width="9.85546875" style="150" customWidth="1"/>
    <col min="22" max="22" width="9.5703125" style="150" customWidth="1"/>
    <col min="23" max="23" width="9.85546875" style="150" customWidth="1"/>
    <col min="24" max="26" width="9.5703125" style="150" customWidth="1"/>
    <col min="27" max="27" width="9.85546875" style="150" customWidth="1"/>
    <col min="28" max="30" width="9.5703125" style="150" customWidth="1"/>
    <col min="31" max="32" width="9.85546875" style="150" customWidth="1"/>
    <col min="33" max="16384" width="9.140625" style="150"/>
  </cols>
  <sheetData>
    <row r="1" spans="1:19" s="168" customFormat="1">
      <c r="A1" s="148" t="str">
        <f>muni&amp;" - "&amp;TableA2</f>
        <v>NC071 Ubuntu - Supporting Table SA2 Matrix Financial Performance Budget (revenue source/expenditure type and dept.)</v>
      </c>
      <c r="B1" s="148"/>
      <c r="C1" s="148"/>
      <c r="D1" s="148"/>
      <c r="E1" s="148"/>
      <c r="F1" s="148"/>
      <c r="G1" s="148"/>
      <c r="H1" s="148"/>
      <c r="I1" s="148"/>
      <c r="J1" s="148"/>
      <c r="K1" s="148"/>
      <c r="L1" s="148"/>
      <c r="M1" s="148"/>
      <c r="N1" s="148"/>
      <c r="O1" s="148"/>
      <c r="P1" s="148"/>
      <c r="Q1" s="148"/>
      <c r="R1" s="148"/>
    </row>
    <row r="2" spans="1:19" s="345" customFormat="1" ht="43.5" customHeight="1">
      <c r="A2" s="143" t="str">
        <f>desc</f>
        <v>Description</v>
      </c>
      <c r="B2" s="394" t="str">
        <f>head27</f>
        <v>Ref</v>
      </c>
      <c r="C2" s="2800" t="str">
        <f>'Org structure'!B2</f>
        <v>Health</v>
      </c>
      <c r="D2" s="2800" t="str">
        <f>'Org structure'!B13</f>
        <v>Planning &amp; Development</v>
      </c>
      <c r="E2" s="2800" t="str">
        <f>'Org structure'!B24</f>
        <v>Budget &amp; Treasury</v>
      </c>
      <c r="F2" s="2800" t="str">
        <f>'Org structure'!B35</f>
        <v>Community &amp; Social Services</v>
      </c>
      <c r="G2" s="2800" t="str">
        <f>'Org structure'!B46</f>
        <v>Executive &amp; Council</v>
      </c>
      <c r="H2" s="2800" t="str">
        <f>'Org structure'!B57</f>
        <v>Public Safety</v>
      </c>
      <c r="I2" s="2800" t="str">
        <f>'Org structure'!B68</f>
        <v>Sport &amp; Recreation</v>
      </c>
      <c r="J2" s="2800" t="str">
        <f>'Org structure'!B79</f>
        <v>Waste Management</v>
      </c>
      <c r="K2" s="2800" t="str">
        <f>'Org structure'!B90</f>
        <v>Electricity</v>
      </c>
      <c r="L2" s="2800" t="str">
        <f>'Org structure'!B101</f>
        <v>Water</v>
      </c>
      <c r="M2" s="2800" t="str">
        <f>'Org structure'!B112</f>
        <v>Subvote example 10</v>
      </c>
      <c r="N2" s="2800" t="str">
        <f>'Org structure'!B123</f>
        <v>Subvote example 10</v>
      </c>
      <c r="O2" s="2800" t="str">
        <f>'Org structure'!B134</f>
        <v>Subvote example 10</v>
      </c>
      <c r="P2" s="2800" t="str">
        <f>'A3-FinPerf V'!A18</f>
        <v>Vote14 - Example 14</v>
      </c>
      <c r="Q2" s="2800" t="str">
        <f>'A3-FinPerf V'!A19</f>
        <v>Vote15 - Example 15</v>
      </c>
      <c r="R2" s="2802" t="s">
        <v>815</v>
      </c>
      <c r="S2" s="1521"/>
    </row>
    <row r="3" spans="1:19">
      <c r="A3" s="169" t="s">
        <v>697</v>
      </c>
      <c r="B3" s="275">
        <v>1</v>
      </c>
      <c r="C3" s="2801" t="s">
        <v>1084</v>
      </c>
      <c r="D3" s="2801" t="s">
        <v>1084</v>
      </c>
      <c r="E3" s="2801" t="s">
        <v>1084</v>
      </c>
      <c r="F3" s="2801" t="s">
        <v>1084</v>
      </c>
      <c r="G3" s="2801" t="s">
        <v>1084</v>
      </c>
      <c r="H3" s="2801" t="s">
        <v>1084</v>
      </c>
      <c r="I3" s="2801"/>
      <c r="J3" s="2801"/>
      <c r="K3" s="2801"/>
      <c r="L3" s="2801"/>
      <c r="M3" s="2801"/>
      <c r="N3" s="2801"/>
      <c r="O3" s="2801"/>
      <c r="P3" s="2801"/>
      <c r="Q3" s="2801" t="s">
        <v>1084</v>
      </c>
      <c r="R3" s="2803" t="s">
        <v>1084</v>
      </c>
    </row>
    <row r="4" spans="1:19" ht="11.25" customHeight="1">
      <c r="A4" s="170" t="str">
        <f>'A4-FinPerf RE'!A4</f>
        <v>Revenue By Source</v>
      </c>
      <c r="B4" s="278"/>
      <c r="C4" s="292"/>
      <c r="D4" s="292"/>
      <c r="E4" s="292"/>
      <c r="F4" s="292"/>
      <c r="G4" s="292"/>
      <c r="H4" s="292"/>
      <c r="I4" s="292"/>
      <c r="J4" s="292"/>
      <c r="K4" s="292"/>
      <c r="L4" s="292"/>
      <c r="M4" s="292"/>
      <c r="N4" s="292"/>
      <c r="O4" s="292"/>
      <c r="P4" s="292"/>
      <c r="Q4" s="292"/>
      <c r="R4" s="395"/>
    </row>
    <row r="5" spans="1:19" ht="11.25" customHeight="1">
      <c r="A5" s="304" t="str">
        <f>'A4-FinPerf RE'!A5</f>
        <v>Property rates</v>
      </c>
      <c r="B5" s="279"/>
      <c r="C5" s="1805">
        <f>-SUMIFS(TB!$U:$U,TB!$G:$G,'SA2'!C$2,TB!$K:$K,'SA2'!$A5)</f>
        <v>0</v>
      </c>
      <c r="D5" s="1805">
        <f>-SUMIFS(TB!$U:$U,TB!$G:$G,'SA2'!D$2,TB!$K:$K,'SA2'!$A5)</f>
        <v>0</v>
      </c>
      <c r="E5" s="1805">
        <f>-SUMIFS(TB!$U:$U,TB!$G:$G,'SA2'!E$2,TB!$K:$K,'SA2'!$A5)</f>
        <v>3880165.05</v>
      </c>
      <c r="F5" s="1805">
        <f>-SUMIFS(TB!$U:$U,TB!$G:$G,'SA2'!F$2,TB!$K:$K,'SA2'!$A5)</f>
        <v>0</v>
      </c>
      <c r="G5" s="1805">
        <f>-SUMIFS(TB!$U:$U,TB!$G:$G,'SA2'!G$2,TB!$K:$K,'SA2'!$A5)</f>
        <v>0</v>
      </c>
      <c r="H5" s="1805">
        <f>-SUMIFS(TB!$U:$U,TB!$G:$G,'SA2'!H$2,TB!$K:$K,'SA2'!$A5)</f>
        <v>0</v>
      </c>
      <c r="I5" s="1805">
        <f>-SUMIFS(TB!$U:$U,TB!$G:$G,'SA2'!I$2,TB!$K:$K,'SA2'!$A5)</f>
        <v>0</v>
      </c>
      <c r="J5" s="1805">
        <f>-SUMIFS(TB!$U:$U,TB!$G:$G,'SA2'!J$2,TB!$K:$K,'SA2'!$A5)</f>
        <v>0</v>
      </c>
      <c r="K5" s="1805">
        <f>-SUMIFS(TB!$U:$U,TB!$G:$G,'SA2'!K$2,TB!$K:$K,'SA2'!$A5)</f>
        <v>0</v>
      </c>
      <c r="L5" s="1805">
        <f>-SUMIFS(TB!$U:$U,TB!$G:$G,'SA2'!L$2,TB!$K:$K,'SA2'!$A5)</f>
        <v>0</v>
      </c>
      <c r="M5" s="1805">
        <f>-SUMIFS(TB!$U:$U,TB!$G:$G,'SA2'!M$2,TB!$K:$K,'SA2'!$A5)</f>
        <v>0</v>
      </c>
      <c r="N5" s="1805">
        <f>-SUMIFS(TB!$U:$U,TB!$G:$G,'SA2'!N$2,TB!$K:$K,'SA2'!$A5)</f>
        <v>0</v>
      </c>
      <c r="O5" s="1805">
        <f>-SUMIFS(TB!$U:$U,TB!$G:$G,'SA2'!O$2,TB!$K:$K,'SA2'!$A5)</f>
        <v>0</v>
      </c>
      <c r="P5" s="1805">
        <f>-SUMIFS(TB!$U:$U,TB!$G:$G,'SA2'!P$2,TB!$K:$K,'SA2'!$A5)</f>
        <v>0</v>
      </c>
      <c r="Q5" s="1805">
        <f>-SUMIFS(TB!$U:$U,TB!$G:$G,'SA2'!Q$2,TB!$K:$K,'SA2'!$A5)</f>
        <v>0</v>
      </c>
      <c r="R5" s="396">
        <f>SUM(C5:Q5)</f>
        <v>3880165.05</v>
      </c>
    </row>
    <row r="6" spans="1:19" ht="11.25" customHeight="1">
      <c r="A6" s="304" t="str">
        <f>'A4-FinPerf RE'!A6</f>
        <v>Property rates - penalties &amp; collection charges</v>
      </c>
      <c r="B6" s="279"/>
      <c r="C6" s="1805">
        <f>-SUMIFS(TB!$U:$U,TB!$G:$G,'SA2'!C$2,TB!$K:$K,'SA2'!$A6)</f>
        <v>0</v>
      </c>
      <c r="D6" s="1805">
        <f>-SUMIFS(TB!$U:$U,TB!$G:$G,'SA2'!D$2,TB!$K:$K,'SA2'!$A6)</f>
        <v>0</v>
      </c>
      <c r="E6" s="1805">
        <f>-SUMIFS(TB!$U:$U,TB!$G:$G,'SA2'!E$2,TB!$K:$K,'SA2'!$A6)</f>
        <v>0</v>
      </c>
      <c r="F6" s="1805">
        <f>-SUMIFS(TB!$U:$U,TB!$G:$G,'SA2'!F$2,TB!$K:$K,'SA2'!$A6)</f>
        <v>0</v>
      </c>
      <c r="G6" s="1805">
        <f>-SUMIFS(TB!$U:$U,TB!$G:$G,'SA2'!G$2,TB!$K:$K,'SA2'!$A6)</f>
        <v>0</v>
      </c>
      <c r="H6" s="1805">
        <f>-SUMIFS(TB!$U:$U,TB!$G:$G,'SA2'!H$2,TB!$K:$K,'SA2'!$A6)</f>
        <v>0</v>
      </c>
      <c r="I6" s="1805">
        <f>-SUMIFS(TB!$U:$U,TB!$G:$G,'SA2'!I$2,TB!$K:$K,'SA2'!$A6)</f>
        <v>0</v>
      </c>
      <c r="J6" s="1805">
        <f>-SUMIFS(TB!$U:$U,TB!$G:$G,'SA2'!J$2,TB!$K:$K,'SA2'!$A6)</f>
        <v>0</v>
      </c>
      <c r="K6" s="1805">
        <f>-SUMIFS(TB!$U:$U,TB!$G:$G,'SA2'!K$2,TB!$K:$K,'SA2'!$A6)</f>
        <v>0</v>
      </c>
      <c r="L6" s="1805">
        <f>-SUMIFS(TB!$U:$U,TB!$G:$G,'SA2'!L$2,TB!$K:$K,'SA2'!$A6)</f>
        <v>0</v>
      </c>
      <c r="M6" s="1805">
        <f>-SUMIFS(TB!$U:$U,TB!$G:$G,'SA2'!M$2,TB!$K:$K,'SA2'!$A6)</f>
        <v>0</v>
      </c>
      <c r="N6" s="1805">
        <f>-SUMIFS(TB!$U:$U,TB!$G:$G,'SA2'!N$2,TB!$K:$K,'SA2'!$A6)</f>
        <v>0</v>
      </c>
      <c r="O6" s="1805">
        <f>-SUMIFS(TB!$U:$U,TB!$G:$G,'SA2'!O$2,TB!$K:$K,'SA2'!$A6)</f>
        <v>0</v>
      </c>
      <c r="P6" s="1805">
        <f>-SUMIFS(TB!$U:$U,TB!$G:$G,'SA2'!P$2,TB!$K:$K,'SA2'!$A6)</f>
        <v>0</v>
      </c>
      <c r="Q6" s="1805">
        <f>-SUMIFS(TB!$U:$U,TB!$G:$G,'SA2'!Q$2,TB!$K:$K,'SA2'!$A6)</f>
        <v>0</v>
      </c>
      <c r="R6" s="396">
        <f t="shared" ref="R6:R21" si="0">SUM(C6:Q6)</f>
        <v>0</v>
      </c>
    </row>
    <row r="7" spans="1:19" ht="11.25" customHeight="1">
      <c r="A7" s="304" t="str">
        <f>'A4-FinPerf RE'!A7</f>
        <v>Service charges - electricity revenue</v>
      </c>
      <c r="B7" s="279"/>
      <c r="C7" s="1805">
        <f>-SUMIFS(TB!$U:$U,TB!$G:$G,'SA2'!C$2,TB!$K:$K,'SA2'!$A7)</f>
        <v>0</v>
      </c>
      <c r="D7" s="1805">
        <f>-SUMIFS(TB!$U:$U,TB!$G:$G,'SA2'!D$2,TB!$K:$K,'SA2'!$A7)</f>
        <v>0</v>
      </c>
      <c r="E7" s="1805">
        <f>-SUMIFS(TB!$U:$U,TB!$G:$G,'SA2'!E$2,TB!$K:$K,'SA2'!$A7)</f>
        <v>0</v>
      </c>
      <c r="F7" s="1805">
        <f>-SUMIFS(TB!$U:$U,TB!$G:$G,'SA2'!F$2,TB!$K:$K,'SA2'!$A7)</f>
        <v>0</v>
      </c>
      <c r="G7" s="1805">
        <f>-SUMIFS(TB!$U:$U,TB!$G:$G,'SA2'!G$2,TB!$K:$K,'SA2'!$A7)</f>
        <v>0</v>
      </c>
      <c r="H7" s="1805">
        <f>-SUMIFS(TB!$U:$U,TB!$G:$G,'SA2'!H$2,TB!$K:$K,'SA2'!$A7)</f>
        <v>0</v>
      </c>
      <c r="I7" s="1805">
        <f>-SUMIFS(TB!$U:$U,TB!$G:$G,'SA2'!I$2,TB!$K:$K,'SA2'!$A7)</f>
        <v>0</v>
      </c>
      <c r="J7" s="1805">
        <f>-SUMIFS(TB!$U:$U,TB!$G:$G,'SA2'!J$2,TB!$K:$K,'SA2'!$A7)</f>
        <v>0</v>
      </c>
      <c r="K7" s="1805">
        <f>-SUMIFS(TB!$U:$U,TB!$G:$G,'SA2'!K$2,TB!$K:$K,'SA2'!$A7)</f>
        <v>5289862.8486000011</v>
      </c>
      <c r="L7" s="1805">
        <f>-SUMIFS(TB!$U:$U,TB!$G:$G,'SA2'!L$2,TB!$K:$K,'SA2'!$A7)</f>
        <v>0</v>
      </c>
      <c r="M7" s="1805">
        <f>-SUMIFS(TB!$U:$U,TB!$G:$G,'SA2'!M$2,TB!$K:$K,'SA2'!$A7)</f>
        <v>0</v>
      </c>
      <c r="N7" s="1805">
        <f>-SUMIFS(TB!$U:$U,TB!$G:$G,'SA2'!N$2,TB!$K:$K,'SA2'!$A7)</f>
        <v>0</v>
      </c>
      <c r="O7" s="1805">
        <f>-SUMIFS(TB!$U:$U,TB!$G:$G,'SA2'!O$2,TB!$K:$K,'SA2'!$A7)</f>
        <v>0</v>
      </c>
      <c r="P7" s="1805">
        <f>-SUMIFS(TB!$U:$U,TB!$G:$G,'SA2'!P$2,TB!$K:$K,'SA2'!$A7)</f>
        <v>0</v>
      </c>
      <c r="Q7" s="1805">
        <f>-SUMIFS(TB!$U:$U,TB!$G:$G,'SA2'!Q$2,TB!$K:$K,'SA2'!$A7)</f>
        <v>0</v>
      </c>
      <c r="R7" s="396">
        <f t="shared" si="0"/>
        <v>5289862.8486000011</v>
      </c>
    </row>
    <row r="8" spans="1:19" ht="11.25" customHeight="1">
      <c r="A8" s="304" t="str">
        <f>'A4-FinPerf RE'!A8</f>
        <v>Service charges - water revenue</v>
      </c>
      <c r="B8" s="279"/>
      <c r="C8" s="1805">
        <f>-SUMIFS(TB!$U:$U,TB!$G:$G,'SA2'!C$2,TB!$K:$K,'SA2'!$A8)</f>
        <v>0</v>
      </c>
      <c r="D8" s="1805">
        <f>-SUMIFS(TB!$U:$U,TB!$G:$G,'SA2'!D$2,TB!$K:$K,'SA2'!$A8)</f>
        <v>0</v>
      </c>
      <c r="E8" s="1805">
        <f>-SUMIFS(TB!$U:$U,TB!$G:$G,'SA2'!E$2,TB!$K:$K,'SA2'!$A8)</f>
        <v>0</v>
      </c>
      <c r="F8" s="1805">
        <f>-SUMIFS(TB!$U:$U,TB!$G:$G,'SA2'!F$2,TB!$K:$K,'SA2'!$A8)</f>
        <v>0</v>
      </c>
      <c r="G8" s="1805">
        <f>-SUMIFS(TB!$U:$U,TB!$G:$G,'SA2'!G$2,TB!$K:$K,'SA2'!$A8)</f>
        <v>0</v>
      </c>
      <c r="H8" s="1805">
        <f>-SUMIFS(TB!$U:$U,TB!$G:$G,'SA2'!H$2,TB!$K:$K,'SA2'!$A8)</f>
        <v>0</v>
      </c>
      <c r="I8" s="1805">
        <f>-SUMIFS(TB!$U:$U,TB!$G:$G,'SA2'!I$2,TB!$K:$K,'SA2'!$A8)</f>
        <v>0</v>
      </c>
      <c r="J8" s="1805">
        <f>-SUMIFS(TB!$U:$U,TB!$G:$G,'SA2'!J$2,TB!$K:$K,'SA2'!$A8)</f>
        <v>0</v>
      </c>
      <c r="K8" s="1805">
        <f>-SUMIFS(TB!$U:$U,TB!$G:$G,'SA2'!K$2,TB!$K:$K,'SA2'!$A8)</f>
        <v>0</v>
      </c>
      <c r="L8" s="1805">
        <f>-SUMIFS(TB!$U:$U,TB!$G:$G,'SA2'!L$2,TB!$K:$K,'SA2'!$A8)</f>
        <v>2109020.77</v>
      </c>
      <c r="M8" s="1805">
        <f>-SUMIFS(TB!$U:$U,TB!$G:$G,'SA2'!M$2,TB!$K:$K,'SA2'!$A8)</f>
        <v>0</v>
      </c>
      <c r="N8" s="1805">
        <f>-SUMIFS(TB!$U:$U,TB!$G:$G,'SA2'!N$2,TB!$K:$K,'SA2'!$A8)</f>
        <v>0</v>
      </c>
      <c r="O8" s="1805">
        <f>-SUMIFS(TB!$U:$U,TB!$G:$G,'SA2'!O$2,TB!$K:$K,'SA2'!$A8)</f>
        <v>0</v>
      </c>
      <c r="P8" s="1805">
        <f>-SUMIFS(TB!$U:$U,TB!$G:$G,'SA2'!P$2,TB!$K:$K,'SA2'!$A8)</f>
        <v>0</v>
      </c>
      <c r="Q8" s="1805">
        <f>-SUMIFS(TB!$U:$U,TB!$G:$G,'SA2'!Q$2,TB!$K:$K,'SA2'!$A8)</f>
        <v>0</v>
      </c>
      <c r="R8" s="396">
        <f t="shared" si="0"/>
        <v>2109020.77</v>
      </c>
    </row>
    <row r="9" spans="1:19" ht="11.25" customHeight="1">
      <c r="A9" s="304" t="str">
        <f>'A4-FinPerf RE'!A9</f>
        <v>Service charges - sanitation revenue</v>
      </c>
      <c r="B9" s="279"/>
      <c r="C9" s="1805">
        <f>-SUMIFS(TB!$U:$U,TB!$G:$G,'SA2'!C$2,TB!$K:$K,'SA2'!$A9)</f>
        <v>0</v>
      </c>
      <c r="D9" s="1805">
        <f>-SUMIFS(TB!$U:$U,TB!$G:$G,'SA2'!D$2,TB!$K:$K,'SA2'!$A9)</f>
        <v>0</v>
      </c>
      <c r="E9" s="1805">
        <f>-SUMIFS(TB!$U:$U,TB!$G:$G,'SA2'!E$2,TB!$K:$K,'SA2'!$A9)</f>
        <v>0</v>
      </c>
      <c r="F9" s="1805">
        <f>-SUMIFS(TB!$U:$U,TB!$G:$G,'SA2'!F$2,TB!$K:$K,'SA2'!$A9)</f>
        <v>0</v>
      </c>
      <c r="G9" s="1805">
        <f>-SUMIFS(TB!$U:$U,TB!$G:$G,'SA2'!G$2,TB!$K:$K,'SA2'!$A9)</f>
        <v>0</v>
      </c>
      <c r="H9" s="1805">
        <f>-SUMIFS(TB!$U:$U,TB!$G:$G,'SA2'!H$2,TB!$K:$K,'SA2'!$A9)</f>
        <v>0</v>
      </c>
      <c r="I9" s="1805">
        <f>-SUMIFS(TB!$U:$U,TB!$G:$G,'SA2'!I$2,TB!$K:$K,'SA2'!$A9)</f>
        <v>0</v>
      </c>
      <c r="J9" s="1805">
        <f>-SUMIFS(TB!$U:$U,TB!$G:$G,'SA2'!J$2,TB!$K:$K,'SA2'!$A9)</f>
        <v>1603002.1949999998</v>
      </c>
      <c r="K9" s="1805">
        <f>-SUMIFS(TB!$U:$U,TB!$G:$G,'SA2'!K$2,TB!$K:$K,'SA2'!$A9)</f>
        <v>0</v>
      </c>
      <c r="L9" s="1805">
        <f>-SUMIFS(TB!$U:$U,TB!$G:$G,'SA2'!L$2,TB!$K:$K,'SA2'!$A9)</f>
        <v>0</v>
      </c>
      <c r="M9" s="1805">
        <f>-SUMIFS(TB!$U:$U,TB!$G:$G,'SA2'!M$2,TB!$K:$K,'SA2'!$A9)</f>
        <v>0</v>
      </c>
      <c r="N9" s="1805">
        <f>-SUMIFS(TB!$U:$U,TB!$G:$G,'SA2'!N$2,TB!$K:$K,'SA2'!$A9)</f>
        <v>0</v>
      </c>
      <c r="O9" s="1805">
        <f>-SUMIFS(TB!$U:$U,TB!$G:$G,'SA2'!O$2,TB!$K:$K,'SA2'!$A9)</f>
        <v>0</v>
      </c>
      <c r="P9" s="1805">
        <f>-SUMIFS(TB!$U:$U,TB!$G:$G,'SA2'!P$2,TB!$K:$K,'SA2'!$A9)</f>
        <v>0</v>
      </c>
      <c r="Q9" s="1805">
        <f>-SUMIFS(TB!$U:$U,TB!$G:$G,'SA2'!Q$2,TB!$K:$K,'SA2'!$A9)</f>
        <v>0</v>
      </c>
      <c r="R9" s="396">
        <f t="shared" si="0"/>
        <v>1603002.1949999998</v>
      </c>
    </row>
    <row r="10" spans="1:19" ht="11.25" customHeight="1">
      <c r="A10" s="304" t="str">
        <f>'A4-FinPerf RE'!A10</f>
        <v>Service charges - refuse revenue</v>
      </c>
      <c r="B10" s="279"/>
      <c r="C10" s="1805">
        <f>-SUMIFS(TB!$U:$U,TB!$G:$G,'SA2'!C$2,TB!$K:$K,'SA2'!$A10)</f>
        <v>0</v>
      </c>
      <c r="D10" s="1805">
        <f>-SUMIFS(TB!$U:$U,TB!$G:$G,'SA2'!D$2,TB!$K:$K,'SA2'!$A10)</f>
        <v>0</v>
      </c>
      <c r="E10" s="1805">
        <f>-SUMIFS(TB!$U:$U,TB!$G:$G,'SA2'!E$2,TB!$K:$K,'SA2'!$A10)</f>
        <v>0</v>
      </c>
      <c r="F10" s="1805">
        <f>-SUMIFS(TB!$U:$U,TB!$G:$G,'SA2'!F$2,TB!$K:$K,'SA2'!$A10)</f>
        <v>0</v>
      </c>
      <c r="G10" s="1805">
        <f>-SUMIFS(TB!$U:$U,TB!$G:$G,'SA2'!G$2,TB!$K:$K,'SA2'!$A10)</f>
        <v>0</v>
      </c>
      <c r="H10" s="1805">
        <f>-SUMIFS(TB!$U:$U,TB!$G:$G,'SA2'!H$2,TB!$K:$K,'SA2'!$A10)</f>
        <v>0</v>
      </c>
      <c r="I10" s="1805">
        <f>-SUMIFS(TB!$U:$U,TB!$G:$G,'SA2'!I$2,TB!$K:$K,'SA2'!$A10)</f>
        <v>0</v>
      </c>
      <c r="J10" s="1805">
        <f>-SUMIFS(TB!$U:$U,TB!$G:$G,'SA2'!J$2,TB!$K:$K,'SA2'!$A10)</f>
        <v>2592865.02</v>
      </c>
      <c r="K10" s="1805">
        <f>-SUMIFS(TB!$U:$U,TB!$G:$G,'SA2'!K$2,TB!$K:$K,'SA2'!$A10)</f>
        <v>0</v>
      </c>
      <c r="L10" s="1805">
        <f>-SUMIFS(TB!$U:$U,TB!$G:$G,'SA2'!L$2,TB!$K:$K,'SA2'!$A10)</f>
        <v>0</v>
      </c>
      <c r="M10" s="1805">
        <f>-SUMIFS(TB!$U:$U,TB!$G:$G,'SA2'!M$2,TB!$K:$K,'SA2'!$A10)</f>
        <v>0</v>
      </c>
      <c r="N10" s="1805">
        <f>-SUMIFS(TB!$U:$U,TB!$G:$G,'SA2'!N$2,TB!$K:$K,'SA2'!$A10)</f>
        <v>0</v>
      </c>
      <c r="O10" s="1805">
        <f>-SUMIFS(TB!$U:$U,TB!$G:$G,'SA2'!O$2,TB!$K:$K,'SA2'!$A10)</f>
        <v>0</v>
      </c>
      <c r="P10" s="1805">
        <f>-SUMIFS(TB!$U:$U,TB!$G:$G,'SA2'!P$2,TB!$K:$K,'SA2'!$A10)</f>
        <v>0</v>
      </c>
      <c r="Q10" s="1805">
        <f>-SUMIFS(TB!$U:$U,TB!$G:$G,'SA2'!Q$2,TB!$K:$K,'SA2'!$A10)</f>
        <v>0</v>
      </c>
      <c r="R10" s="396">
        <f t="shared" si="0"/>
        <v>2592865.02</v>
      </c>
    </row>
    <row r="11" spans="1:19" ht="11.25" customHeight="1">
      <c r="A11" s="304" t="str">
        <f>'A4-FinPerf RE'!A11</f>
        <v>Service charges - other</v>
      </c>
      <c r="B11" s="279"/>
      <c r="C11" s="1805">
        <f>-SUMIFS(TB!$U:$U,TB!$G:$G,'SA2'!C$2,TB!$K:$K,'SA2'!$A11)</f>
        <v>0</v>
      </c>
      <c r="D11" s="1805">
        <f>-SUMIFS(TB!$U:$U,TB!$G:$G,'SA2'!D$2,TB!$K:$K,'SA2'!$A11)</f>
        <v>0</v>
      </c>
      <c r="E11" s="1805">
        <f>-SUMIFS(TB!$U:$U,TB!$G:$G,'SA2'!E$2,TB!$K:$K,'SA2'!$A11)</f>
        <v>0</v>
      </c>
      <c r="F11" s="1805">
        <f>-SUMIFS(TB!$U:$U,TB!$G:$G,'SA2'!F$2,TB!$K:$K,'SA2'!$A11)</f>
        <v>0</v>
      </c>
      <c r="G11" s="1805">
        <f>-SUMIFS(TB!$U:$U,TB!$G:$G,'SA2'!G$2,TB!$K:$K,'SA2'!$A11)</f>
        <v>0</v>
      </c>
      <c r="H11" s="1805">
        <f>-SUMIFS(TB!$U:$U,TB!$G:$G,'SA2'!H$2,TB!$K:$K,'SA2'!$A11)</f>
        <v>0</v>
      </c>
      <c r="I11" s="1805">
        <f>-SUMIFS(TB!$U:$U,TB!$G:$G,'SA2'!I$2,TB!$K:$K,'SA2'!$A11)</f>
        <v>0</v>
      </c>
      <c r="J11" s="1805">
        <f>-SUMIFS(TB!$U:$U,TB!$G:$G,'SA2'!J$2,TB!$K:$K,'SA2'!$A11)</f>
        <v>0</v>
      </c>
      <c r="K11" s="1805">
        <f>-SUMIFS(TB!$U:$U,TB!$G:$G,'SA2'!K$2,TB!$K:$K,'SA2'!$A11)</f>
        <v>0</v>
      </c>
      <c r="L11" s="1805">
        <f>-SUMIFS(TB!$U:$U,TB!$G:$G,'SA2'!L$2,TB!$K:$K,'SA2'!$A11)</f>
        <v>0</v>
      </c>
      <c r="M11" s="1805">
        <f>-SUMIFS(TB!$U:$U,TB!$G:$G,'SA2'!M$2,TB!$K:$K,'SA2'!$A11)</f>
        <v>0</v>
      </c>
      <c r="N11" s="1805">
        <f>-SUMIFS(TB!$U:$U,TB!$G:$G,'SA2'!N$2,TB!$K:$K,'SA2'!$A11)</f>
        <v>0</v>
      </c>
      <c r="O11" s="1805">
        <f>-SUMIFS(TB!$U:$U,TB!$G:$G,'SA2'!O$2,TB!$K:$K,'SA2'!$A11)</f>
        <v>0</v>
      </c>
      <c r="P11" s="1805">
        <f>-SUMIFS(TB!$U:$U,TB!$G:$G,'SA2'!P$2,TB!$K:$K,'SA2'!$A11)</f>
        <v>0</v>
      </c>
      <c r="Q11" s="1805">
        <f>-SUMIFS(TB!$U:$U,TB!$G:$G,'SA2'!Q$2,TB!$K:$K,'SA2'!$A11)</f>
        <v>0</v>
      </c>
      <c r="R11" s="396">
        <f t="shared" si="0"/>
        <v>0</v>
      </c>
    </row>
    <row r="12" spans="1:19" ht="11.25" customHeight="1">
      <c r="A12" s="304" t="str">
        <f>'A4-FinPerf RE'!A12</f>
        <v>Rental of facilities and equipment</v>
      </c>
      <c r="B12" s="279"/>
      <c r="C12" s="1805">
        <f>-SUMIFS(TB!$U:$U,TB!$G:$G,'SA2'!C$2,TB!$K:$K,'SA2'!$A12)</f>
        <v>9600</v>
      </c>
      <c r="D12" s="1805">
        <f>-SUMIFS(TB!$U:$U,TB!$G:$G,'SA2'!D$2,TB!$K:$K,'SA2'!$A12)</f>
        <v>6000</v>
      </c>
      <c r="E12" s="1805">
        <f>-SUMIFS(TB!$U:$U,TB!$G:$G,'SA2'!E$2,TB!$K:$K,'SA2'!$A12)</f>
        <v>331310</v>
      </c>
      <c r="F12" s="1805">
        <f>-SUMIFS(TB!$U:$U,TB!$G:$G,'SA2'!F$2,TB!$K:$K,'SA2'!$A12)</f>
        <v>152000</v>
      </c>
      <c r="G12" s="1805">
        <f>-SUMIFS(TB!$U:$U,TB!$G:$G,'SA2'!G$2,TB!$K:$K,'SA2'!$A12)</f>
        <v>0</v>
      </c>
      <c r="H12" s="1805">
        <f>-SUMIFS(TB!$U:$U,TB!$G:$G,'SA2'!H$2,TB!$K:$K,'SA2'!$A12)</f>
        <v>0</v>
      </c>
      <c r="I12" s="1805">
        <f>-SUMIFS(TB!$U:$U,TB!$G:$G,'SA2'!I$2,TB!$K:$K,'SA2'!$A12)</f>
        <v>0</v>
      </c>
      <c r="J12" s="1805">
        <f>-SUMIFS(TB!$U:$U,TB!$G:$G,'SA2'!J$2,TB!$K:$K,'SA2'!$A12)</f>
        <v>0</v>
      </c>
      <c r="K12" s="1805">
        <f>-SUMIFS(TB!$U:$U,TB!$G:$G,'SA2'!K$2,TB!$K:$K,'SA2'!$A12)</f>
        <v>0</v>
      </c>
      <c r="L12" s="1805">
        <f>-SUMIFS(TB!$U:$U,TB!$G:$G,'SA2'!L$2,TB!$K:$K,'SA2'!$A12)</f>
        <v>0</v>
      </c>
      <c r="M12" s="1805">
        <f>-SUMIFS(TB!$U:$U,TB!$G:$G,'SA2'!M$2,TB!$K:$K,'SA2'!$A12)</f>
        <v>0</v>
      </c>
      <c r="N12" s="1805">
        <f>-SUMIFS(TB!$U:$U,TB!$G:$G,'SA2'!N$2,TB!$K:$K,'SA2'!$A12)</f>
        <v>0</v>
      </c>
      <c r="O12" s="1805">
        <f>-SUMIFS(TB!$U:$U,TB!$G:$G,'SA2'!O$2,TB!$K:$K,'SA2'!$A12)</f>
        <v>0</v>
      </c>
      <c r="P12" s="1805">
        <f>-SUMIFS(TB!$U:$U,TB!$G:$G,'SA2'!P$2,TB!$K:$K,'SA2'!$A12)</f>
        <v>0</v>
      </c>
      <c r="Q12" s="1805">
        <f>-SUMIFS(TB!$U:$U,TB!$G:$G,'SA2'!Q$2,TB!$K:$K,'SA2'!$A12)</f>
        <v>0</v>
      </c>
      <c r="R12" s="396">
        <f t="shared" si="0"/>
        <v>498910</v>
      </c>
    </row>
    <row r="13" spans="1:19" ht="11.25" customHeight="1">
      <c r="A13" s="304" t="str">
        <f>'A4-FinPerf RE'!A13</f>
        <v>Interest earned - external investments</v>
      </c>
      <c r="B13" s="279"/>
      <c r="C13" s="1805">
        <f>-SUMIFS(TB!$U:$U,TB!$G:$G,'SA2'!C$2,TB!$K:$K,'SA2'!$A13)</f>
        <v>0</v>
      </c>
      <c r="D13" s="1805">
        <f>-SUMIFS(TB!$U:$U,TB!$G:$G,'SA2'!D$2,TB!$K:$K,'SA2'!$A13)</f>
        <v>0</v>
      </c>
      <c r="E13" s="1805">
        <f>-SUMIFS(TB!$U:$U,TB!$G:$G,'SA2'!E$2,TB!$K:$K,'SA2'!$A13)</f>
        <v>250000</v>
      </c>
      <c r="F13" s="1805">
        <f>-SUMIFS(TB!$U:$U,TB!$G:$G,'SA2'!F$2,TB!$K:$K,'SA2'!$A13)</f>
        <v>0</v>
      </c>
      <c r="G13" s="1805">
        <f>-SUMIFS(TB!$U:$U,TB!$G:$G,'SA2'!G$2,TB!$K:$K,'SA2'!$A13)</f>
        <v>0</v>
      </c>
      <c r="H13" s="1805">
        <f>-SUMIFS(TB!$U:$U,TB!$G:$G,'SA2'!H$2,TB!$K:$K,'SA2'!$A13)</f>
        <v>0</v>
      </c>
      <c r="I13" s="1805">
        <f>-SUMIFS(TB!$U:$U,TB!$G:$G,'SA2'!I$2,TB!$K:$K,'SA2'!$A13)</f>
        <v>0</v>
      </c>
      <c r="J13" s="1805">
        <f>-SUMIFS(TB!$U:$U,TB!$G:$G,'SA2'!J$2,TB!$K:$K,'SA2'!$A13)</f>
        <v>0</v>
      </c>
      <c r="K13" s="1805">
        <f>-SUMIFS(TB!$U:$U,TB!$G:$G,'SA2'!K$2,TB!$K:$K,'SA2'!$A13)</f>
        <v>0</v>
      </c>
      <c r="L13" s="1805">
        <f>-SUMIFS(TB!$U:$U,TB!$G:$G,'SA2'!L$2,TB!$K:$K,'SA2'!$A13)</f>
        <v>0</v>
      </c>
      <c r="M13" s="1805">
        <f>-SUMIFS(TB!$U:$U,TB!$G:$G,'SA2'!M$2,TB!$K:$K,'SA2'!$A13)</f>
        <v>0</v>
      </c>
      <c r="N13" s="1805">
        <f>-SUMIFS(TB!$U:$U,TB!$G:$G,'SA2'!N$2,TB!$K:$K,'SA2'!$A13)</f>
        <v>0</v>
      </c>
      <c r="O13" s="1805">
        <f>-SUMIFS(TB!$U:$U,TB!$G:$G,'SA2'!O$2,TB!$K:$K,'SA2'!$A13)</f>
        <v>0</v>
      </c>
      <c r="P13" s="1805">
        <f>-SUMIFS(TB!$U:$U,TB!$G:$G,'SA2'!P$2,TB!$K:$K,'SA2'!$A13)</f>
        <v>0</v>
      </c>
      <c r="Q13" s="1805">
        <f>-SUMIFS(TB!$U:$U,TB!$G:$G,'SA2'!Q$2,TB!$K:$K,'SA2'!$A13)</f>
        <v>0</v>
      </c>
      <c r="R13" s="396">
        <f t="shared" si="0"/>
        <v>250000</v>
      </c>
    </row>
    <row r="14" spans="1:19" ht="11.25" customHeight="1">
      <c r="A14" s="304" t="str">
        <f>'A4-FinPerf RE'!A14</f>
        <v>Interest earned - outstanding debtors</v>
      </c>
      <c r="B14" s="279"/>
      <c r="C14" s="1805">
        <f>-SUMIFS(TB!$U:$U,TB!$G:$G,'SA2'!C$2,TB!$K:$K,'SA2'!$A14)</f>
        <v>0</v>
      </c>
      <c r="D14" s="1805">
        <f>-SUMIFS(TB!$U:$U,TB!$G:$G,'SA2'!D$2,TB!$K:$K,'SA2'!$A14)</f>
        <v>0</v>
      </c>
      <c r="E14" s="1805">
        <f>-SUMIFS(TB!$U:$U,TB!$G:$G,'SA2'!E$2,TB!$K:$K,'SA2'!$A14)</f>
        <v>1800000</v>
      </c>
      <c r="F14" s="1805">
        <f>-SUMIFS(TB!$U:$U,TB!$G:$G,'SA2'!F$2,TB!$K:$K,'SA2'!$A14)</f>
        <v>0</v>
      </c>
      <c r="G14" s="1805">
        <f>-SUMIFS(TB!$U:$U,TB!$G:$G,'SA2'!G$2,TB!$K:$K,'SA2'!$A14)</f>
        <v>0</v>
      </c>
      <c r="H14" s="1805">
        <f>-SUMIFS(TB!$U:$U,TB!$G:$G,'SA2'!H$2,TB!$K:$K,'SA2'!$A14)</f>
        <v>0</v>
      </c>
      <c r="I14" s="1805">
        <f>-SUMIFS(TB!$U:$U,TB!$G:$G,'SA2'!I$2,TB!$K:$K,'SA2'!$A14)</f>
        <v>0</v>
      </c>
      <c r="J14" s="1805">
        <f>-SUMIFS(TB!$U:$U,TB!$G:$G,'SA2'!J$2,TB!$K:$K,'SA2'!$A14)</f>
        <v>0</v>
      </c>
      <c r="K14" s="1805">
        <f>-SUMIFS(TB!$U:$U,TB!$G:$G,'SA2'!K$2,TB!$K:$K,'SA2'!$A14)</f>
        <v>0</v>
      </c>
      <c r="L14" s="1805">
        <f>-SUMIFS(TB!$U:$U,TB!$G:$G,'SA2'!L$2,TB!$K:$K,'SA2'!$A14)</f>
        <v>0</v>
      </c>
      <c r="M14" s="1805">
        <f>-SUMIFS(TB!$U:$U,TB!$G:$G,'SA2'!M$2,TB!$K:$K,'SA2'!$A14)</f>
        <v>0</v>
      </c>
      <c r="N14" s="1805">
        <f>-SUMIFS(TB!$U:$U,TB!$G:$G,'SA2'!N$2,TB!$K:$K,'SA2'!$A14)</f>
        <v>0</v>
      </c>
      <c r="O14" s="1805">
        <f>-SUMIFS(TB!$U:$U,TB!$G:$G,'SA2'!O$2,TB!$K:$K,'SA2'!$A14)</f>
        <v>0</v>
      </c>
      <c r="P14" s="1805">
        <f>-SUMIFS(TB!$U:$U,TB!$G:$G,'SA2'!P$2,TB!$K:$K,'SA2'!$A14)</f>
        <v>0</v>
      </c>
      <c r="Q14" s="1805">
        <f>-SUMIFS(TB!$U:$U,TB!$G:$G,'SA2'!Q$2,TB!$K:$K,'SA2'!$A14)</f>
        <v>0</v>
      </c>
      <c r="R14" s="396">
        <f t="shared" si="0"/>
        <v>1800000</v>
      </c>
    </row>
    <row r="15" spans="1:19" ht="11.25" customHeight="1">
      <c r="A15" s="304" t="str">
        <f>'A4-FinPerf RE'!A15</f>
        <v>Dividends received</v>
      </c>
      <c r="B15" s="279"/>
      <c r="C15" s="1805">
        <f>-SUMIFS(TB!$U:$U,TB!$G:$G,'SA2'!C$2,TB!$K:$K,'SA2'!$A15)</f>
        <v>0</v>
      </c>
      <c r="D15" s="1805">
        <f>-SUMIFS(TB!$U:$U,TB!$G:$G,'SA2'!D$2,TB!$K:$K,'SA2'!$A15)</f>
        <v>0</v>
      </c>
      <c r="E15" s="1805">
        <f>-SUMIFS(TB!$U:$U,TB!$G:$G,'SA2'!E$2,TB!$K:$K,'SA2'!$A15)</f>
        <v>0</v>
      </c>
      <c r="F15" s="1805">
        <f>-SUMIFS(TB!$U:$U,TB!$G:$G,'SA2'!F$2,TB!$K:$K,'SA2'!$A15)</f>
        <v>0</v>
      </c>
      <c r="G15" s="1805">
        <f>-SUMIFS(TB!$U:$U,TB!$G:$G,'SA2'!G$2,TB!$K:$K,'SA2'!$A15)</f>
        <v>0</v>
      </c>
      <c r="H15" s="1805">
        <f>-SUMIFS(TB!$U:$U,TB!$G:$G,'SA2'!H$2,TB!$K:$K,'SA2'!$A15)</f>
        <v>0</v>
      </c>
      <c r="I15" s="1805">
        <f>-SUMIFS(TB!$U:$U,TB!$G:$G,'SA2'!I$2,TB!$K:$K,'SA2'!$A15)</f>
        <v>0</v>
      </c>
      <c r="J15" s="1805">
        <f>-SUMIFS(TB!$U:$U,TB!$G:$G,'SA2'!J$2,TB!$K:$K,'SA2'!$A15)</f>
        <v>0</v>
      </c>
      <c r="K15" s="1805">
        <f>-SUMIFS(TB!$U:$U,TB!$G:$G,'SA2'!K$2,TB!$K:$K,'SA2'!$A15)</f>
        <v>0</v>
      </c>
      <c r="L15" s="1805">
        <f>-SUMIFS(TB!$U:$U,TB!$G:$G,'SA2'!L$2,TB!$K:$K,'SA2'!$A15)</f>
        <v>0</v>
      </c>
      <c r="M15" s="1805">
        <f>-SUMIFS(TB!$U:$U,TB!$G:$G,'SA2'!M$2,TB!$K:$K,'SA2'!$A15)</f>
        <v>0</v>
      </c>
      <c r="N15" s="1805">
        <f>-SUMIFS(TB!$U:$U,TB!$G:$G,'SA2'!N$2,TB!$K:$K,'SA2'!$A15)</f>
        <v>0</v>
      </c>
      <c r="O15" s="1805">
        <f>-SUMIFS(TB!$U:$U,TB!$G:$G,'SA2'!O$2,TB!$K:$K,'SA2'!$A15)</f>
        <v>0</v>
      </c>
      <c r="P15" s="1805">
        <f>-SUMIFS(TB!$U:$U,TB!$G:$G,'SA2'!P$2,TB!$K:$K,'SA2'!$A15)</f>
        <v>0</v>
      </c>
      <c r="Q15" s="1805">
        <f>-SUMIFS(TB!$U:$U,TB!$G:$G,'SA2'!Q$2,TB!$K:$K,'SA2'!$A15)</f>
        <v>0</v>
      </c>
      <c r="R15" s="396">
        <f t="shared" si="0"/>
        <v>0</v>
      </c>
    </row>
    <row r="16" spans="1:19" ht="11.25" customHeight="1">
      <c r="A16" s="304" t="str">
        <f>'A4-FinPerf RE'!A16</f>
        <v>Fines</v>
      </c>
      <c r="B16" s="279"/>
      <c r="C16" s="1805">
        <f>-SUMIFS(TB!$U:$U,TB!$G:$G,'SA2'!C$2,TB!$K:$K,'SA2'!$A16)</f>
        <v>0</v>
      </c>
      <c r="D16" s="1805">
        <f>-SUMIFS(TB!$U:$U,TB!$G:$G,'SA2'!D$2,TB!$K:$K,'SA2'!$A16)</f>
        <v>0</v>
      </c>
      <c r="E16" s="1805">
        <f>-SUMIFS(TB!$U:$U,TB!$G:$G,'SA2'!E$2,TB!$K:$K,'SA2'!$A16)</f>
        <v>16105000</v>
      </c>
      <c r="F16" s="1805">
        <f>-SUMIFS(TB!$U:$U,TB!$G:$G,'SA2'!F$2,TB!$K:$K,'SA2'!$A16)</f>
        <v>3000</v>
      </c>
      <c r="G16" s="1805">
        <f>-SUMIFS(TB!$U:$U,TB!$G:$G,'SA2'!G$2,TB!$K:$K,'SA2'!$A16)</f>
        <v>0</v>
      </c>
      <c r="H16" s="1805">
        <f>-SUMIFS(TB!$U:$U,TB!$G:$G,'SA2'!H$2,TB!$K:$K,'SA2'!$A16)</f>
        <v>0</v>
      </c>
      <c r="I16" s="1805">
        <f>-SUMIFS(TB!$U:$U,TB!$G:$G,'SA2'!I$2,TB!$K:$K,'SA2'!$A16)</f>
        <v>0</v>
      </c>
      <c r="J16" s="1805">
        <f>-SUMIFS(TB!$U:$U,TB!$G:$G,'SA2'!J$2,TB!$K:$K,'SA2'!$A16)</f>
        <v>0</v>
      </c>
      <c r="K16" s="1805">
        <f>-SUMIFS(TB!$U:$U,TB!$G:$G,'SA2'!K$2,TB!$K:$K,'SA2'!$A16)</f>
        <v>0</v>
      </c>
      <c r="L16" s="1805">
        <f>-SUMIFS(TB!$U:$U,TB!$G:$G,'SA2'!L$2,TB!$K:$K,'SA2'!$A16)</f>
        <v>0</v>
      </c>
      <c r="M16" s="1805">
        <f>-SUMIFS(TB!$U:$U,TB!$G:$G,'SA2'!M$2,TB!$K:$K,'SA2'!$A16)</f>
        <v>0</v>
      </c>
      <c r="N16" s="1805">
        <f>-SUMIFS(TB!$U:$U,TB!$G:$G,'SA2'!N$2,TB!$K:$K,'SA2'!$A16)</f>
        <v>0</v>
      </c>
      <c r="O16" s="1805">
        <f>-SUMIFS(TB!$U:$U,TB!$G:$G,'SA2'!O$2,TB!$K:$K,'SA2'!$A16)</f>
        <v>0</v>
      </c>
      <c r="P16" s="1805">
        <f>-SUMIFS(TB!$U:$U,TB!$G:$G,'SA2'!P$2,TB!$K:$K,'SA2'!$A16)</f>
        <v>0</v>
      </c>
      <c r="Q16" s="1805">
        <f>-SUMIFS(TB!$U:$U,TB!$G:$G,'SA2'!Q$2,TB!$K:$K,'SA2'!$A16)</f>
        <v>0</v>
      </c>
      <c r="R16" s="396">
        <f t="shared" si="0"/>
        <v>16108000</v>
      </c>
    </row>
    <row r="17" spans="1:18" ht="11.25" customHeight="1">
      <c r="A17" s="304" t="str">
        <f>'A4-FinPerf RE'!A17</f>
        <v>Licences and permits</v>
      </c>
      <c r="B17" s="279"/>
      <c r="C17" s="1805">
        <f>-SUMIFS(TB!$U:$U,TB!$G:$G,'SA2'!C$2,TB!$K:$K,'SA2'!$A17)</f>
        <v>0</v>
      </c>
      <c r="D17" s="1805">
        <f>-SUMIFS(TB!$U:$U,TB!$G:$G,'SA2'!D$2,TB!$K:$K,'SA2'!$A17)</f>
        <v>0</v>
      </c>
      <c r="E17" s="1805">
        <f>-SUMIFS(TB!$U:$U,TB!$G:$G,'SA2'!E$2,TB!$K:$K,'SA2'!$A17)</f>
        <v>419800</v>
      </c>
      <c r="F17" s="1805">
        <f>-SUMIFS(TB!$U:$U,TB!$G:$G,'SA2'!F$2,TB!$K:$K,'SA2'!$A17)</f>
        <v>0</v>
      </c>
      <c r="G17" s="1805">
        <f>-SUMIFS(TB!$U:$U,TB!$G:$G,'SA2'!G$2,TB!$K:$K,'SA2'!$A17)</f>
        <v>0</v>
      </c>
      <c r="H17" s="1805">
        <f>-SUMIFS(TB!$U:$U,TB!$G:$G,'SA2'!H$2,TB!$K:$K,'SA2'!$A17)</f>
        <v>0</v>
      </c>
      <c r="I17" s="1805">
        <f>-SUMIFS(TB!$U:$U,TB!$G:$G,'SA2'!I$2,TB!$K:$K,'SA2'!$A17)</f>
        <v>0</v>
      </c>
      <c r="J17" s="1805">
        <f>-SUMIFS(TB!$U:$U,TB!$G:$G,'SA2'!J$2,TB!$K:$K,'SA2'!$A17)</f>
        <v>0</v>
      </c>
      <c r="K17" s="1805">
        <f>-SUMIFS(TB!$U:$U,TB!$G:$G,'SA2'!K$2,TB!$K:$K,'SA2'!$A17)</f>
        <v>0</v>
      </c>
      <c r="L17" s="1805">
        <f>-SUMIFS(TB!$U:$U,TB!$G:$G,'SA2'!L$2,TB!$K:$K,'SA2'!$A17)</f>
        <v>0</v>
      </c>
      <c r="M17" s="1805">
        <f>-SUMIFS(TB!$U:$U,TB!$G:$G,'SA2'!M$2,TB!$K:$K,'SA2'!$A17)</f>
        <v>0</v>
      </c>
      <c r="N17" s="1805">
        <f>-SUMIFS(TB!$U:$U,TB!$G:$G,'SA2'!N$2,TB!$K:$K,'SA2'!$A17)</f>
        <v>0</v>
      </c>
      <c r="O17" s="1805">
        <f>-SUMIFS(TB!$U:$U,TB!$G:$G,'SA2'!O$2,TB!$K:$K,'SA2'!$A17)</f>
        <v>0</v>
      </c>
      <c r="P17" s="1805">
        <f>-SUMIFS(TB!$U:$U,TB!$G:$G,'SA2'!P$2,TB!$K:$K,'SA2'!$A17)</f>
        <v>0</v>
      </c>
      <c r="Q17" s="1805">
        <f>-SUMIFS(TB!$U:$U,TB!$G:$G,'SA2'!Q$2,TB!$K:$K,'SA2'!$A17)</f>
        <v>0</v>
      </c>
      <c r="R17" s="396">
        <f t="shared" si="0"/>
        <v>419800</v>
      </c>
    </row>
    <row r="18" spans="1:18" ht="11.25" customHeight="1">
      <c r="A18" s="304" t="str">
        <f>'A4-FinPerf RE'!A18</f>
        <v>Agency services</v>
      </c>
      <c r="B18" s="279"/>
      <c r="C18" s="1805">
        <f>-SUMIFS(TB!$U:$U,TB!$G:$G,'SA2'!C$2,TB!$K:$K,'SA2'!$A18)</f>
        <v>0</v>
      </c>
      <c r="D18" s="1805">
        <f>-SUMIFS(TB!$U:$U,TB!$G:$G,'SA2'!D$2,TB!$K:$K,'SA2'!$A18)</f>
        <v>0</v>
      </c>
      <c r="E18" s="1805">
        <f>-SUMIFS(TB!$U:$U,TB!$G:$G,'SA2'!E$2,TB!$K:$K,'SA2'!$A18)</f>
        <v>20000</v>
      </c>
      <c r="F18" s="1805">
        <f>-SUMIFS(TB!$U:$U,TB!$G:$G,'SA2'!F$2,TB!$K:$K,'SA2'!$A18)</f>
        <v>0</v>
      </c>
      <c r="G18" s="1805">
        <f>-SUMIFS(TB!$U:$U,TB!$G:$G,'SA2'!G$2,TB!$K:$K,'SA2'!$A18)</f>
        <v>0</v>
      </c>
      <c r="H18" s="1805">
        <f>-SUMIFS(TB!$U:$U,TB!$G:$G,'SA2'!H$2,TB!$K:$K,'SA2'!$A18)</f>
        <v>0</v>
      </c>
      <c r="I18" s="1805">
        <f>-SUMIFS(TB!$U:$U,TB!$G:$G,'SA2'!I$2,TB!$K:$K,'SA2'!$A18)</f>
        <v>0</v>
      </c>
      <c r="J18" s="1805">
        <f>-SUMIFS(TB!$U:$U,TB!$G:$G,'SA2'!J$2,TB!$K:$K,'SA2'!$A18)</f>
        <v>0</v>
      </c>
      <c r="K18" s="1805">
        <f>-SUMIFS(TB!$U:$U,TB!$G:$G,'SA2'!K$2,TB!$K:$K,'SA2'!$A18)</f>
        <v>0</v>
      </c>
      <c r="L18" s="1805">
        <f>-SUMIFS(TB!$U:$U,TB!$G:$G,'SA2'!L$2,TB!$K:$K,'SA2'!$A18)</f>
        <v>0</v>
      </c>
      <c r="M18" s="1805">
        <f>-SUMIFS(TB!$U:$U,TB!$G:$G,'SA2'!M$2,TB!$K:$K,'SA2'!$A18)</f>
        <v>0</v>
      </c>
      <c r="N18" s="1805">
        <f>-SUMIFS(TB!$U:$U,TB!$G:$G,'SA2'!N$2,TB!$K:$K,'SA2'!$A18)</f>
        <v>0</v>
      </c>
      <c r="O18" s="1805">
        <f>-SUMIFS(TB!$U:$U,TB!$G:$G,'SA2'!O$2,TB!$K:$K,'SA2'!$A18)</f>
        <v>0</v>
      </c>
      <c r="P18" s="1805">
        <f>-SUMIFS(TB!$U:$U,TB!$G:$G,'SA2'!P$2,TB!$K:$K,'SA2'!$A18)</f>
        <v>0</v>
      </c>
      <c r="Q18" s="1805">
        <f>-SUMIFS(TB!$U:$U,TB!$G:$G,'SA2'!Q$2,TB!$K:$K,'SA2'!$A18)</f>
        <v>0</v>
      </c>
      <c r="R18" s="396">
        <f t="shared" si="0"/>
        <v>20000</v>
      </c>
    </row>
    <row r="19" spans="1:18" ht="11.25" customHeight="1">
      <c r="A19" s="179" t="str">
        <f>'A4-FinPerf RE'!A20</f>
        <v>Other revenue</v>
      </c>
      <c r="B19" s="278"/>
      <c r="C19" s="1805">
        <f>-SUMIFS(TB!$U:$U,TB!$G:$G,'SA2'!C$2,TB!$K:$K,'SA2'!$A19)</f>
        <v>0</v>
      </c>
      <c r="D19" s="1805">
        <f>-SUMIFS(TB!$U:$U,TB!$G:$G,'SA2'!D$2,TB!$K:$K,'SA2'!$A19)</f>
        <v>33300</v>
      </c>
      <c r="E19" s="1805">
        <f>-SUMIFS(TB!$U:$U,TB!$G:$G,'SA2'!E$2,TB!$K:$K,'SA2'!$A19)</f>
        <v>106250</v>
      </c>
      <c r="F19" s="1805">
        <f>-SUMIFS(TB!$U:$U,TB!$G:$G,'SA2'!F$2,TB!$K:$K,'SA2'!$A19)</f>
        <v>20000</v>
      </c>
      <c r="G19" s="1805">
        <f>-SUMIFS(TB!$U:$U,TB!$G:$G,'SA2'!G$2,TB!$K:$K,'SA2'!$A19)</f>
        <v>310000</v>
      </c>
      <c r="H19" s="1805">
        <f>-SUMIFS(TB!$U:$U,TB!$G:$G,'SA2'!H$2,TB!$K:$K,'SA2'!$A19)</f>
        <v>2000</v>
      </c>
      <c r="I19" s="1805">
        <f>-SUMIFS(TB!$U:$U,TB!$G:$G,'SA2'!I$2,TB!$K:$K,'SA2'!$A19)</f>
        <v>12000</v>
      </c>
      <c r="J19" s="1805">
        <f>-SUMIFS(TB!$U:$U,TB!$G:$G,'SA2'!J$2,TB!$K:$K,'SA2'!$A19)</f>
        <v>0</v>
      </c>
      <c r="K19" s="1805">
        <f>-SUMIFS(TB!$U:$U,TB!$G:$G,'SA2'!K$2,TB!$K:$K,'SA2'!$A19)</f>
        <v>25200</v>
      </c>
      <c r="L19" s="1805">
        <f>-SUMIFS(TB!$U:$U,TB!$G:$G,'SA2'!L$2,TB!$K:$K,'SA2'!$A19)</f>
        <v>7500</v>
      </c>
      <c r="M19" s="1805">
        <f>-SUMIFS(TB!$U:$U,TB!$G:$G,'SA2'!M$2,TB!$K:$K,'SA2'!$A19)</f>
        <v>0</v>
      </c>
      <c r="N19" s="1805">
        <f>-SUMIFS(TB!$U:$U,TB!$G:$G,'SA2'!N$2,TB!$K:$K,'SA2'!$A19)</f>
        <v>0</v>
      </c>
      <c r="O19" s="1805">
        <f>-SUMIFS(TB!$U:$U,TB!$G:$G,'SA2'!O$2,TB!$K:$K,'SA2'!$A19)</f>
        <v>0</v>
      </c>
      <c r="P19" s="1805">
        <f>-SUMIFS(TB!$U:$U,TB!$G:$G,'SA2'!P$2,TB!$K:$K,'SA2'!$A19)</f>
        <v>0</v>
      </c>
      <c r="Q19" s="1805">
        <f>-SUMIFS(TB!$U:$U,TB!$G:$G,'SA2'!Q$2,TB!$K:$K,'SA2'!$A19)</f>
        <v>0</v>
      </c>
      <c r="R19" s="396">
        <f t="shared" si="0"/>
        <v>516250</v>
      </c>
    </row>
    <row r="20" spans="1:18" ht="11.25" customHeight="1">
      <c r="A20" s="304" t="str">
        <f>'A4-FinPerf RE'!A19</f>
        <v>Transfers recognised - operational</v>
      </c>
      <c r="B20" s="279"/>
      <c r="C20" s="1805">
        <f>-SUMIFS(TB!$U:$U,TB!$G:$G,'SA2'!C$2,TB!$K:$K,'SA2'!$A20)</f>
        <v>140000</v>
      </c>
      <c r="D20" s="1805">
        <f>-SUMIFS(TB!$U:$U,TB!$G:$G,'SA2'!D$2,TB!$K:$K,'SA2'!$A20)</f>
        <v>0</v>
      </c>
      <c r="E20" s="1805">
        <f>-SUMIFS(TB!$U:$U,TB!$G:$G,'SA2'!E$2,TB!$K:$K,'SA2'!$A20)</f>
        <v>16818000</v>
      </c>
      <c r="F20" s="1805">
        <f>-SUMIFS(TB!$U:$U,TB!$G:$G,'SA2'!F$2,TB!$K:$K,'SA2'!$A20)</f>
        <v>540000</v>
      </c>
      <c r="G20" s="1805">
        <f>-SUMIFS(TB!$U:$U,TB!$G:$G,'SA2'!G$2,TB!$K:$K,'SA2'!$A20)</f>
        <v>563000</v>
      </c>
      <c r="H20" s="1805">
        <f>-SUMIFS(TB!$U:$U,TB!$G:$G,'SA2'!H$2,TB!$K:$K,'SA2'!$A20)</f>
        <v>0</v>
      </c>
      <c r="I20" s="1805">
        <f>-SUMIFS(TB!$U:$U,TB!$G:$G,'SA2'!I$2,TB!$K:$K,'SA2'!$A20)</f>
        <v>0</v>
      </c>
      <c r="J20" s="1805">
        <f>-SUMIFS(TB!$U:$U,TB!$G:$G,'SA2'!J$2,TB!$K:$K,'SA2'!$A20)</f>
        <v>0</v>
      </c>
      <c r="K20" s="1805">
        <f>-SUMIFS(TB!$U:$U,TB!$G:$G,'SA2'!K$2,TB!$K:$K,'SA2'!$A20)</f>
        <v>0</v>
      </c>
      <c r="L20" s="1805">
        <f>-SUMIFS(TB!$U:$U,TB!$G:$G,'SA2'!L$2,TB!$K:$K,'SA2'!$A20)</f>
        <v>0</v>
      </c>
      <c r="M20" s="1805">
        <f>-SUMIFS(TB!$U:$U,TB!$G:$G,'SA2'!M$2,TB!$K:$K,'SA2'!$A20)</f>
        <v>0</v>
      </c>
      <c r="N20" s="1805">
        <f>-SUMIFS(TB!$U:$U,TB!$G:$G,'SA2'!N$2,TB!$K:$K,'SA2'!$A20)</f>
        <v>0</v>
      </c>
      <c r="O20" s="1805">
        <f>-SUMIFS(TB!$U:$U,TB!$G:$G,'SA2'!O$2,TB!$K:$K,'SA2'!$A20)</f>
        <v>0</v>
      </c>
      <c r="P20" s="1805">
        <f>-SUMIFS(TB!$U:$U,TB!$G:$G,'SA2'!P$2,TB!$K:$K,'SA2'!$A20)</f>
        <v>0</v>
      </c>
      <c r="Q20" s="1805">
        <f>-SUMIFS(TB!$U:$U,TB!$G:$G,'SA2'!Q$2,TB!$K:$K,'SA2'!$A20)</f>
        <v>0</v>
      </c>
      <c r="R20" s="396">
        <f t="shared" si="0"/>
        <v>18061000</v>
      </c>
    </row>
    <row r="21" spans="1:18" ht="11.25" customHeight="1">
      <c r="A21" s="179" t="str">
        <f>'A4-FinPerf RE'!A21</f>
        <v>Gains on disposal of PPE</v>
      </c>
      <c r="B21" s="278"/>
      <c r="C21" s="1805">
        <f>-SUMIFS(TB!$U:$U,TB!$G:$G,'SA2'!C$2,TB!$K:$K,'SA2'!$A21)</f>
        <v>0</v>
      </c>
      <c r="D21" s="1805">
        <f>-SUMIFS(TB!$U:$U,TB!$G:$G,'SA2'!D$2,TB!$K:$K,'SA2'!$A21)</f>
        <v>56100</v>
      </c>
      <c r="E21" s="1805">
        <f>-SUMIFS(TB!$U:$U,TB!$G:$G,'SA2'!E$2,TB!$K:$K,'SA2'!$A21)</f>
        <v>0</v>
      </c>
      <c r="F21" s="1805">
        <f>-SUMIFS(TB!$U:$U,TB!$G:$G,'SA2'!F$2,TB!$K:$K,'SA2'!$A21)</f>
        <v>0</v>
      </c>
      <c r="G21" s="1805">
        <f>-SUMIFS(TB!$U:$U,TB!$G:$G,'SA2'!G$2,TB!$K:$K,'SA2'!$A21)</f>
        <v>0</v>
      </c>
      <c r="H21" s="1805">
        <f>-SUMIFS(TB!$U:$U,TB!$G:$G,'SA2'!H$2,TB!$K:$K,'SA2'!$A21)</f>
        <v>0</v>
      </c>
      <c r="I21" s="1805">
        <f>-SUMIFS(TB!$U:$U,TB!$G:$G,'SA2'!I$2,TB!$K:$K,'SA2'!$A21)</f>
        <v>0</v>
      </c>
      <c r="J21" s="1805">
        <f>-SUMIFS(TB!$U:$U,TB!$G:$G,'SA2'!J$2,TB!$K:$K,'SA2'!$A21)</f>
        <v>0</v>
      </c>
      <c r="K21" s="1805">
        <f>-SUMIFS(TB!$U:$U,TB!$G:$G,'SA2'!K$2,TB!$K:$K,'SA2'!$A21)</f>
        <v>0</v>
      </c>
      <c r="L21" s="1805">
        <f>-SUMIFS(TB!$U:$U,TB!$G:$G,'SA2'!L$2,TB!$K:$K,'SA2'!$A21)</f>
        <v>0</v>
      </c>
      <c r="M21" s="1805">
        <f>-SUMIFS(TB!$U:$U,TB!$G:$G,'SA2'!M$2,TB!$K:$K,'SA2'!$A21)</f>
        <v>0</v>
      </c>
      <c r="N21" s="1805">
        <f>-SUMIFS(TB!$U:$U,TB!$G:$G,'SA2'!N$2,TB!$K:$K,'SA2'!$A21)</f>
        <v>0</v>
      </c>
      <c r="O21" s="1805">
        <f>-SUMIFS(TB!$U:$U,TB!$G:$G,'SA2'!O$2,TB!$K:$K,'SA2'!$A21)</f>
        <v>0</v>
      </c>
      <c r="P21" s="1805">
        <f>-SUMIFS(TB!$U:$U,TB!$G:$G,'SA2'!P$2,TB!$K:$K,'SA2'!$A21)</f>
        <v>0</v>
      </c>
      <c r="Q21" s="1805">
        <f>-SUMIFS(TB!$U:$U,TB!$G:$G,'SA2'!Q$2,TB!$K:$K,'SA2'!$A21)</f>
        <v>0</v>
      </c>
      <c r="R21" s="396">
        <f t="shared" si="0"/>
        <v>56100</v>
      </c>
    </row>
    <row r="22" spans="1:18" ht="11.25" customHeight="1">
      <c r="A22" s="305" t="str">
        <f>'A4-FinPerf RE'!A22</f>
        <v>Total Revenue (excluding capital transfers and contributions)</v>
      </c>
      <c r="B22" s="278"/>
      <c r="C22" s="199">
        <f t="shared" ref="C22:R22" si="1">SUM(C5:C21)</f>
        <v>149600</v>
      </c>
      <c r="D22" s="199">
        <f t="shared" si="1"/>
        <v>95400</v>
      </c>
      <c r="E22" s="199">
        <f t="shared" si="1"/>
        <v>39730525.049999997</v>
      </c>
      <c r="F22" s="199">
        <f t="shared" si="1"/>
        <v>715000</v>
      </c>
      <c r="G22" s="199">
        <f t="shared" si="1"/>
        <v>873000</v>
      </c>
      <c r="H22" s="199">
        <f t="shared" si="1"/>
        <v>2000</v>
      </c>
      <c r="I22" s="199">
        <f t="shared" si="1"/>
        <v>12000</v>
      </c>
      <c r="J22" s="199">
        <f t="shared" si="1"/>
        <v>4195867.2149999999</v>
      </c>
      <c r="K22" s="199">
        <f t="shared" si="1"/>
        <v>5315062.8486000011</v>
      </c>
      <c r="L22" s="199">
        <f t="shared" si="1"/>
        <v>2116520.77</v>
      </c>
      <c r="M22" s="199">
        <f t="shared" si="1"/>
        <v>0</v>
      </c>
      <c r="N22" s="199">
        <f t="shared" si="1"/>
        <v>0</v>
      </c>
      <c r="O22" s="199">
        <f t="shared" si="1"/>
        <v>0</v>
      </c>
      <c r="P22" s="199">
        <f t="shared" si="1"/>
        <v>0</v>
      </c>
      <c r="Q22" s="199">
        <f t="shared" si="1"/>
        <v>0</v>
      </c>
      <c r="R22" s="397">
        <f t="shared" si="1"/>
        <v>53204975.883599997</v>
      </c>
    </row>
    <row r="23" spans="1:18" ht="5.0999999999999996" customHeight="1">
      <c r="A23" s="187"/>
      <c r="B23" s="278"/>
      <c r="C23" s="189"/>
      <c r="D23" s="189"/>
      <c r="E23" s="189"/>
      <c r="F23" s="189"/>
      <c r="G23" s="189"/>
      <c r="H23" s="189"/>
      <c r="I23" s="189"/>
      <c r="J23" s="189"/>
      <c r="K23" s="189"/>
      <c r="L23" s="189"/>
      <c r="M23" s="189"/>
      <c r="N23" s="189"/>
      <c r="O23" s="189"/>
      <c r="P23" s="189"/>
      <c r="Q23" s="189"/>
      <c r="R23" s="396"/>
    </row>
    <row r="24" spans="1:18" ht="11.25" customHeight="1">
      <c r="A24" s="170" t="str">
        <f>'A4-FinPerf RE'!A24</f>
        <v>Expenditure By Type</v>
      </c>
      <c r="B24" s="280"/>
      <c r="C24" s="189"/>
      <c r="D24" s="189"/>
      <c r="E24" s="189"/>
      <c r="F24" s="189"/>
      <c r="G24" s="189"/>
      <c r="H24" s="189"/>
      <c r="I24" s="189"/>
      <c r="J24" s="189"/>
      <c r="K24" s="189"/>
      <c r="L24" s="189"/>
      <c r="M24" s="189"/>
      <c r="N24" s="189"/>
      <c r="O24" s="189"/>
      <c r="P24" s="189"/>
      <c r="Q24" s="189"/>
      <c r="R24" s="396"/>
    </row>
    <row r="25" spans="1:18" ht="11.25" customHeight="1">
      <c r="A25" s="304" t="str">
        <f>'A4-FinPerf RE'!A25</f>
        <v>Employee related costs</v>
      </c>
      <c r="B25" s="279"/>
      <c r="C25" s="1805">
        <f>SUMIFS(TB!$U:$U,TB!$G:$G,'SA2'!C$2,TB!$K:$K,'SA2'!$A25)</f>
        <v>286915.06088630401</v>
      </c>
      <c r="D25" s="1805">
        <f>SUMIFS(TB!$U:$U,TB!$G:$G,'SA2'!D$2,TB!$K:$K,'SA2'!$A25)</f>
        <v>5304261.272832159</v>
      </c>
      <c r="E25" s="1805">
        <f>SUMIFS(TB!$U:$U,TB!$G:$G,'SA2'!E$2,TB!$K:$K,'SA2'!$A25)</f>
        <v>10957810.498093696</v>
      </c>
      <c r="F25" s="1805">
        <f>SUMIFS(TB!$U:$U,TB!$G:$G,'SA2'!F$2,TB!$K:$K,'SA2'!$A25)</f>
        <v>953572.84209475201</v>
      </c>
      <c r="G25" s="1805">
        <f>SUMIFS(TB!$U:$U,TB!$G:$G,'SA2'!G$2,TB!$K:$K,'SA2'!$A25)</f>
        <v>600000</v>
      </c>
      <c r="H25" s="1805">
        <f>SUMIFS(TB!$U:$U,TB!$G:$G,'SA2'!H$2,TB!$K:$K,'SA2'!$A25)</f>
        <v>0</v>
      </c>
      <c r="I25" s="1805">
        <f>SUMIFS(TB!$U:$U,TB!$G:$G,'SA2'!I$2,TB!$K:$K,'SA2'!$A25)</f>
        <v>0</v>
      </c>
      <c r="J25" s="1805">
        <f>SUMIFS(TB!$U:$U,TB!$G:$G,'SA2'!J$2,TB!$K:$K,'SA2'!$A25)</f>
        <v>3041287.0835329606</v>
      </c>
      <c r="K25" s="1805">
        <f>SUMIFS(TB!$U:$U,TB!$G:$G,'SA2'!K$2,TB!$K:$K,'SA2'!$A25)</f>
        <v>1250781.7741751359</v>
      </c>
      <c r="L25" s="1805">
        <f>SUMIFS(TB!$U:$U,TB!$G:$G,'SA2'!L$2,TB!$K:$K,'SA2'!$A25)</f>
        <v>884217.00520799984</v>
      </c>
      <c r="M25" s="1805">
        <f>SUMIFS(TB!$U:$U,TB!$G:$G,'SA2'!M$2,TB!$K:$K,'SA2'!$A25)</f>
        <v>0</v>
      </c>
      <c r="N25" s="1805">
        <f>SUMIFS(TB!$U:$U,TB!$G:$G,'SA2'!N$2,TB!$K:$K,'SA2'!$A25)</f>
        <v>0</v>
      </c>
      <c r="O25" s="1805">
        <f>SUMIFS(TB!$U:$U,TB!$G:$G,'SA2'!O$2,TB!$K:$K,'SA2'!$A25)</f>
        <v>0</v>
      </c>
      <c r="P25" s="1805">
        <f>SUMIFS(TB!$U:$U,TB!$G:$G,'SA2'!P$2,TB!$K:$K,'SA2'!$A25)</f>
        <v>0</v>
      </c>
      <c r="Q25" s="1805">
        <f>SUMIFS(TB!$U:$U,TB!$G:$G,'SA2'!Q$2,TB!$K:$K,'SA2'!$A25)</f>
        <v>0</v>
      </c>
      <c r="R25" s="396">
        <f>SUM(C25:Q25)</f>
        <v>23278845.536823008</v>
      </c>
    </row>
    <row r="26" spans="1:18" ht="11.25" customHeight="1">
      <c r="A26" s="304" t="str">
        <f>'A4-FinPerf RE'!A26</f>
        <v>Remuneration of councillors</v>
      </c>
      <c r="B26" s="279"/>
      <c r="C26" s="1805">
        <f>SUMIFS(TB!$U:$U,TB!$G:$G,'SA2'!C$2,TB!$K:$K,'SA2'!$A26)</f>
        <v>0</v>
      </c>
      <c r="D26" s="1805">
        <f>SUMIFS(TB!$U:$U,TB!$G:$G,'SA2'!D$2,TB!$K:$K,'SA2'!$A26)</f>
        <v>0</v>
      </c>
      <c r="E26" s="1805">
        <f>SUMIFS(TB!$U:$U,TB!$G:$G,'SA2'!E$2,TB!$K:$K,'SA2'!$A26)</f>
        <v>0</v>
      </c>
      <c r="F26" s="1805">
        <f>SUMIFS(TB!$U:$U,TB!$G:$G,'SA2'!F$2,TB!$K:$K,'SA2'!$A26)</f>
        <v>0</v>
      </c>
      <c r="G26" s="1805">
        <f>SUMIFS(TB!$U:$U,TB!$G:$G,'SA2'!G$2,TB!$K:$K,'SA2'!$A26)</f>
        <v>1850000</v>
      </c>
      <c r="H26" s="1805">
        <f>SUMIFS(TB!$U:$U,TB!$G:$G,'SA2'!H$2,TB!$K:$K,'SA2'!$A26)</f>
        <v>0</v>
      </c>
      <c r="I26" s="1805">
        <f>SUMIFS(TB!$U:$U,TB!$G:$G,'SA2'!I$2,TB!$K:$K,'SA2'!$A26)</f>
        <v>0</v>
      </c>
      <c r="J26" s="1805">
        <f>SUMIFS(TB!$U:$U,TB!$G:$G,'SA2'!J$2,TB!$K:$K,'SA2'!$A26)</f>
        <v>0</v>
      </c>
      <c r="K26" s="1805">
        <f>SUMIFS(TB!$U:$U,TB!$G:$G,'SA2'!K$2,TB!$K:$K,'SA2'!$A26)</f>
        <v>0</v>
      </c>
      <c r="L26" s="1805">
        <f>SUMIFS(TB!$U:$U,TB!$G:$G,'SA2'!L$2,TB!$K:$K,'SA2'!$A26)</f>
        <v>0</v>
      </c>
      <c r="M26" s="1805">
        <f>SUMIFS(TB!$U:$U,TB!$G:$G,'SA2'!M$2,TB!$K:$K,'SA2'!$A26)</f>
        <v>0</v>
      </c>
      <c r="N26" s="1805">
        <f>SUMIFS(TB!$U:$U,TB!$G:$G,'SA2'!N$2,TB!$K:$K,'SA2'!$A26)</f>
        <v>0</v>
      </c>
      <c r="O26" s="1805">
        <f>SUMIFS(TB!$U:$U,TB!$G:$G,'SA2'!O$2,TB!$K:$K,'SA2'!$A26)</f>
        <v>0</v>
      </c>
      <c r="P26" s="1805">
        <f>SUMIFS(TB!$U:$U,TB!$G:$G,'SA2'!P$2,TB!$K:$K,'SA2'!$A26)</f>
        <v>0</v>
      </c>
      <c r="Q26" s="1805">
        <f>SUMIFS(TB!$U:$U,TB!$G:$G,'SA2'!Q$2,TB!$K:$K,'SA2'!$A26)</f>
        <v>0</v>
      </c>
      <c r="R26" s="396">
        <f t="shared" ref="R26:R35" si="2">SUM(C26:Q26)</f>
        <v>1850000</v>
      </c>
    </row>
    <row r="27" spans="1:18" ht="11.25" customHeight="1">
      <c r="A27" s="304" t="str">
        <f>'A4-FinPerf RE'!A27</f>
        <v>Debt impairment</v>
      </c>
      <c r="B27" s="279"/>
      <c r="C27" s="1805">
        <f>SUMIFS(TB!$U:$U,TB!$G:$G,'SA2'!C$2,TB!$K:$K,'SA2'!$A27)</f>
        <v>0</v>
      </c>
      <c r="D27" s="1805">
        <f>SUMIFS(TB!$U:$U,TB!$G:$G,'SA2'!D$2,TB!$K:$K,'SA2'!$A27)</f>
        <v>0</v>
      </c>
      <c r="E27" s="1805">
        <f>SUMIFS(TB!$U:$U,TB!$G:$G,'SA2'!E$2,TB!$K:$K,'SA2'!$A27)</f>
        <v>8899166.4600000437</v>
      </c>
      <c r="F27" s="1805">
        <f>SUMIFS(TB!$U:$U,TB!$G:$G,'SA2'!F$2,TB!$K:$K,'SA2'!$A27)</f>
        <v>0</v>
      </c>
      <c r="G27" s="1805">
        <f>SUMIFS(TB!$U:$U,TB!$G:$G,'SA2'!G$2,TB!$K:$K,'SA2'!$A27)</f>
        <v>0</v>
      </c>
      <c r="H27" s="1805">
        <f>SUMIFS(TB!$U:$U,TB!$G:$G,'SA2'!H$2,TB!$K:$K,'SA2'!$A27)</f>
        <v>0</v>
      </c>
      <c r="I27" s="1805">
        <f>SUMIFS(TB!$U:$U,TB!$G:$G,'SA2'!I$2,TB!$K:$K,'SA2'!$A27)</f>
        <v>0</v>
      </c>
      <c r="J27" s="1805">
        <f>SUMIFS(TB!$U:$U,TB!$G:$G,'SA2'!J$2,TB!$K:$K,'SA2'!$A27)</f>
        <v>0</v>
      </c>
      <c r="K27" s="1805">
        <f>SUMIFS(TB!$U:$U,TB!$G:$G,'SA2'!K$2,TB!$K:$K,'SA2'!$A27)</f>
        <v>0</v>
      </c>
      <c r="L27" s="1805">
        <f>SUMIFS(TB!$U:$U,TB!$G:$G,'SA2'!L$2,TB!$K:$K,'SA2'!$A27)</f>
        <v>0</v>
      </c>
      <c r="M27" s="1805">
        <f>SUMIFS(TB!$U:$U,TB!$G:$G,'SA2'!M$2,TB!$K:$K,'SA2'!$A27)</f>
        <v>0</v>
      </c>
      <c r="N27" s="1805">
        <f>SUMIFS(TB!$U:$U,TB!$G:$G,'SA2'!N$2,TB!$K:$K,'SA2'!$A27)</f>
        <v>0</v>
      </c>
      <c r="O27" s="1805">
        <f>SUMIFS(TB!$U:$U,TB!$G:$G,'SA2'!O$2,TB!$K:$K,'SA2'!$A27)</f>
        <v>0</v>
      </c>
      <c r="P27" s="1805">
        <f>SUMIFS(TB!$U:$U,TB!$G:$G,'SA2'!P$2,TB!$K:$K,'SA2'!$A27)</f>
        <v>0</v>
      </c>
      <c r="Q27" s="1805">
        <f>SUMIFS(TB!$U:$U,TB!$G:$G,'SA2'!Q$2,TB!$K:$K,'SA2'!$A27)</f>
        <v>0</v>
      </c>
      <c r="R27" s="396">
        <f t="shared" si="2"/>
        <v>8899166.4600000437</v>
      </c>
    </row>
    <row r="28" spans="1:18" ht="11.25" customHeight="1">
      <c r="A28" s="304" t="str">
        <f>'A4-FinPerf RE'!A28</f>
        <v>Depreciation &amp; asset impairment</v>
      </c>
      <c r="B28" s="279"/>
      <c r="C28" s="1805">
        <f>SUMIFS(TB!$U:$U,TB!$G:$G,'SA2'!C$2,TB!$K:$K,'SA2'!$A28)</f>
        <v>4000</v>
      </c>
      <c r="D28" s="1805">
        <f>SUMIFS(TB!$U:$U,TB!$G:$G,'SA2'!D$2,TB!$K:$K,'SA2'!$A28)</f>
        <v>20000</v>
      </c>
      <c r="E28" s="1805">
        <f>SUMIFS(TB!$U:$U,TB!$G:$G,'SA2'!E$2,TB!$K:$K,'SA2'!$A28)</f>
        <v>5293933.0649144258</v>
      </c>
      <c r="F28" s="1805">
        <f>SUMIFS(TB!$U:$U,TB!$G:$G,'SA2'!F$2,TB!$K:$K,'SA2'!$A28)</f>
        <v>30600</v>
      </c>
      <c r="G28" s="1805">
        <f>SUMIFS(TB!$U:$U,TB!$G:$G,'SA2'!G$2,TB!$K:$K,'SA2'!$A28)</f>
        <v>5000</v>
      </c>
      <c r="H28" s="1805">
        <f>SUMIFS(TB!$U:$U,TB!$G:$G,'SA2'!H$2,TB!$K:$K,'SA2'!$A28)</f>
        <v>0</v>
      </c>
      <c r="I28" s="1805">
        <f>SUMIFS(TB!$U:$U,TB!$G:$G,'SA2'!I$2,TB!$K:$K,'SA2'!$A28)</f>
        <v>0</v>
      </c>
      <c r="J28" s="1805">
        <f>SUMIFS(TB!$U:$U,TB!$G:$G,'SA2'!J$2,TB!$K:$K,'SA2'!$A28)</f>
        <v>4000</v>
      </c>
      <c r="K28" s="1805">
        <f>SUMIFS(TB!$U:$U,TB!$G:$G,'SA2'!K$2,TB!$K:$K,'SA2'!$A28)</f>
        <v>0</v>
      </c>
      <c r="L28" s="1805">
        <f>SUMIFS(TB!$U:$U,TB!$G:$G,'SA2'!L$2,TB!$K:$K,'SA2'!$A28)</f>
        <v>0</v>
      </c>
      <c r="M28" s="1805">
        <f>SUMIFS(TB!$U:$U,TB!$G:$G,'SA2'!M$2,TB!$K:$K,'SA2'!$A28)</f>
        <v>0</v>
      </c>
      <c r="N28" s="1805">
        <f>SUMIFS(TB!$U:$U,TB!$G:$G,'SA2'!N$2,TB!$K:$K,'SA2'!$A28)</f>
        <v>0</v>
      </c>
      <c r="O28" s="1805">
        <f>SUMIFS(TB!$U:$U,TB!$G:$G,'SA2'!O$2,TB!$K:$K,'SA2'!$A28)</f>
        <v>0</v>
      </c>
      <c r="P28" s="1805">
        <f>SUMIFS(TB!$U:$U,TB!$G:$G,'SA2'!P$2,TB!$K:$K,'SA2'!$A28)</f>
        <v>0</v>
      </c>
      <c r="Q28" s="1805">
        <f>SUMIFS(TB!$U:$U,TB!$G:$G,'SA2'!Q$2,TB!$K:$K,'SA2'!$A28)</f>
        <v>0</v>
      </c>
      <c r="R28" s="396">
        <f t="shared" si="2"/>
        <v>5357533.0649144258</v>
      </c>
    </row>
    <row r="29" spans="1:18" ht="11.25" customHeight="1">
      <c r="A29" s="304" t="str">
        <f>'A4-FinPerf RE'!A29</f>
        <v>Finance charges</v>
      </c>
      <c r="B29" s="279"/>
      <c r="C29" s="1805">
        <f>SUMIFS(TB!$U:$U,TB!$G:$G,'SA2'!C$2,TB!$K:$K,'SA2'!$A29)</f>
        <v>0</v>
      </c>
      <c r="D29" s="1805">
        <f>SUMIFS(TB!$U:$U,TB!$G:$G,'SA2'!D$2,TB!$K:$K,'SA2'!$A29)</f>
        <v>0</v>
      </c>
      <c r="E29" s="1805">
        <f>SUMIFS(TB!$U:$U,TB!$G:$G,'SA2'!E$2,TB!$K:$K,'SA2'!$A29)</f>
        <v>105000</v>
      </c>
      <c r="F29" s="1805">
        <f>SUMIFS(TB!$U:$U,TB!$G:$G,'SA2'!F$2,TB!$K:$K,'SA2'!$A29)</f>
        <v>0</v>
      </c>
      <c r="G29" s="1805">
        <f>SUMIFS(TB!$U:$U,TB!$G:$G,'SA2'!G$2,TB!$K:$K,'SA2'!$A29)</f>
        <v>0</v>
      </c>
      <c r="H29" s="1805">
        <f>SUMIFS(TB!$U:$U,TB!$G:$G,'SA2'!H$2,TB!$K:$K,'SA2'!$A29)</f>
        <v>0</v>
      </c>
      <c r="I29" s="1805">
        <f>SUMIFS(TB!$U:$U,TB!$G:$G,'SA2'!I$2,TB!$K:$K,'SA2'!$A29)</f>
        <v>0</v>
      </c>
      <c r="J29" s="1805">
        <f>SUMIFS(TB!$U:$U,TB!$G:$G,'SA2'!J$2,TB!$K:$K,'SA2'!$A29)</f>
        <v>348000</v>
      </c>
      <c r="K29" s="1805">
        <f>SUMIFS(TB!$U:$U,TB!$G:$G,'SA2'!K$2,TB!$K:$K,'SA2'!$A29)</f>
        <v>0</v>
      </c>
      <c r="L29" s="1805">
        <f>SUMIFS(TB!$U:$U,TB!$G:$G,'SA2'!L$2,TB!$K:$K,'SA2'!$A29)</f>
        <v>0</v>
      </c>
      <c r="M29" s="1805">
        <f>SUMIFS(TB!$U:$U,TB!$G:$G,'SA2'!M$2,TB!$K:$K,'SA2'!$A29)</f>
        <v>0</v>
      </c>
      <c r="N29" s="1805">
        <f>SUMIFS(TB!$U:$U,TB!$G:$G,'SA2'!N$2,TB!$K:$K,'SA2'!$A29)</f>
        <v>0</v>
      </c>
      <c r="O29" s="1805">
        <f>SUMIFS(TB!$U:$U,TB!$G:$G,'SA2'!O$2,TB!$K:$K,'SA2'!$A29)</f>
        <v>0</v>
      </c>
      <c r="P29" s="1805">
        <f>SUMIFS(TB!$U:$U,TB!$G:$G,'SA2'!P$2,TB!$K:$K,'SA2'!$A29)</f>
        <v>0</v>
      </c>
      <c r="Q29" s="1805">
        <f>SUMIFS(TB!$U:$U,TB!$G:$G,'SA2'!Q$2,TB!$K:$K,'SA2'!$A29)</f>
        <v>0</v>
      </c>
      <c r="R29" s="396">
        <f t="shared" si="2"/>
        <v>453000</v>
      </c>
    </row>
    <row r="30" spans="1:18" ht="11.25" customHeight="1">
      <c r="A30" s="304" t="str">
        <f>'A4-FinPerf RE'!A30</f>
        <v>Bulk purchases</v>
      </c>
      <c r="B30" s="279"/>
      <c r="C30" s="1805">
        <f>SUMIFS(TB!$U:$U,TB!$G:$G,'SA2'!C$2,TB!$K:$K,'SA2'!$A30)</f>
        <v>0</v>
      </c>
      <c r="D30" s="1805">
        <f>SUMIFS(TB!$U:$U,TB!$G:$G,'SA2'!D$2,TB!$K:$K,'SA2'!$A30)</f>
        <v>0</v>
      </c>
      <c r="E30" s="1805">
        <f>SUMIFS(TB!$U:$U,TB!$G:$G,'SA2'!E$2,TB!$K:$K,'SA2'!$A30)</f>
        <v>0</v>
      </c>
      <c r="F30" s="1805">
        <f>SUMIFS(TB!$U:$U,TB!$G:$G,'SA2'!F$2,TB!$K:$K,'SA2'!$A30)</f>
        <v>0</v>
      </c>
      <c r="G30" s="1805">
        <f>SUMIFS(TB!$U:$U,TB!$G:$G,'SA2'!G$2,TB!$K:$K,'SA2'!$A30)</f>
        <v>0</v>
      </c>
      <c r="H30" s="1805">
        <f>SUMIFS(TB!$U:$U,TB!$G:$G,'SA2'!H$2,TB!$K:$K,'SA2'!$A30)</f>
        <v>0</v>
      </c>
      <c r="I30" s="1805">
        <f>SUMIFS(TB!$U:$U,TB!$G:$G,'SA2'!I$2,TB!$K:$K,'SA2'!$A30)</f>
        <v>0</v>
      </c>
      <c r="J30" s="1805">
        <f>SUMIFS(TB!$U:$U,TB!$G:$G,'SA2'!J$2,TB!$K:$K,'SA2'!$A30)</f>
        <v>0</v>
      </c>
      <c r="K30" s="1805">
        <f>SUMIFS(TB!$U:$U,TB!$G:$G,'SA2'!K$2,TB!$K:$K,'SA2'!$A30)</f>
        <v>8000000</v>
      </c>
      <c r="L30" s="1805">
        <f>SUMIFS(TB!$U:$U,TB!$G:$G,'SA2'!L$2,TB!$K:$K,'SA2'!$A30)</f>
        <v>450000</v>
      </c>
      <c r="M30" s="1805">
        <f>SUMIFS(TB!$U:$U,TB!$G:$G,'SA2'!M$2,TB!$K:$K,'SA2'!$A30)</f>
        <v>0</v>
      </c>
      <c r="N30" s="1805">
        <f>SUMIFS(TB!$U:$U,TB!$G:$G,'SA2'!N$2,TB!$K:$K,'SA2'!$A30)</f>
        <v>0</v>
      </c>
      <c r="O30" s="1805">
        <f>SUMIFS(TB!$U:$U,TB!$G:$G,'SA2'!O$2,TB!$K:$K,'SA2'!$A30)</f>
        <v>0</v>
      </c>
      <c r="P30" s="1805">
        <f>SUMIFS(TB!$U:$U,TB!$G:$G,'SA2'!P$2,TB!$K:$K,'SA2'!$A30)</f>
        <v>0</v>
      </c>
      <c r="Q30" s="1805">
        <f>SUMIFS(TB!$U:$U,TB!$G:$G,'SA2'!Q$2,TB!$K:$K,'SA2'!$A30)</f>
        <v>0</v>
      </c>
      <c r="R30" s="396">
        <f t="shared" si="2"/>
        <v>8450000</v>
      </c>
    </row>
    <row r="31" spans="1:18" ht="11.25" customHeight="1">
      <c r="A31" s="304" t="str">
        <f>'A4-FinPerf RE'!A31</f>
        <v>Other materials</v>
      </c>
      <c r="B31" s="279"/>
      <c r="C31" s="1805">
        <f>SUMIFS(TB!$U:$U,TB!$G:$G,'SA2'!C$2,TB!$K:$K,'SA2'!$A31)</f>
        <v>0</v>
      </c>
      <c r="D31" s="1805">
        <f>SUMIFS(TB!$U:$U,TB!$G:$G,'SA2'!D$2,TB!$K:$K,'SA2'!$A31)</f>
        <v>0</v>
      </c>
      <c r="E31" s="1805">
        <f>SUMIFS(TB!$U:$U,TB!$G:$G,'SA2'!E$2,TB!$K:$K,'SA2'!$A31)</f>
        <v>0</v>
      </c>
      <c r="F31" s="1805">
        <f>SUMIFS(TB!$U:$U,TB!$G:$G,'SA2'!F$2,TB!$K:$K,'SA2'!$A31)</f>
        <v>0</v>
      </c>
      <c r="G31" s="1805">
        <f>SUMIFS(TB!$U:$U,TB!$G:$G,'SA2'!G$2,TB!$K:$K,'SA2'!$A31)</f>
        <v>0</v>
      </c>
      <c r="H31" s="1805">
        <f>SUMIFS(TB!$U:$U,TB!$G:$G,'SA2'!H$2,TB!$K:$K,'SA2'!$A31)</f>
        <v>0</v>
      </c>
      <c r="I31" s="1805">
        <f>SUMIFS(TB!$U:$U,TB!$G:$G,'SA2'!I$2,TB!$K:$K,'SA2'!$A31)</f>
        <v>0</v>
      </c>
      <c r="J31" s="1805">
        <f>SUMIFS(TB!$U:$U,TB!$G:$G,'SA2'!J$2,TB!$K:$K,'SA2'!$A31)</f>
        <v>0</v>
      </c>
      <c r="K31" s="1805">
        <f>SUMIFS(TB!$U:$U,TB!$G:$G,'SA2'!K$2,TB!$K:$K,'SA2'!$A31)</f>
        <v>0</v>
      </c>
      <c r="L31" s="1805">
        <f>SUMIFS(TB!$U:$U,TB!$G:$G,'SA2'!L$2,TB!$K:$K,'SA2'!$A31)</f>
        <v>0</v>
      </c>
      <c r="M31" s="1805">
        <f>SUMIFS(TB!$U:$U,TB!$G:$G,'SA2'!M$2,TB!$K:$K,'SA2'!$A31)</f>
        <v>0</v>
      </c>
      <c r="N31" s="1805">
        <f>SUMIFS(TB!$U:$U,TB!$G:$G,'SA2'!N$2,TB!$K:$K,'SA2'!$A31)</f>
        <v>0</v>
      </c>
      <c r="O31" s="1805">
        <f>SUMIFS(TB!$U:$U,TB!$G:$G,'SA2'!O$2,TB!$K:$K,'SA2'!$A31)</f>
        <v>0</v>
      </c>
      <c r="P31" s="1805">
        <f>SUMIFS(TB!$U:$U,TB!$G:$G,'SA2'!P$2,TB!$K:$K,'SA2'!$A31)</f>
        <v>0</v>
      </c>
      <c r="Q31" s="1805">
        <f>SUMIFS(TB!$U:$U,TB!$G:$G,'SA2'!Q$2,TB!$K:$K,'SA2'!$A31)</f>
        <v>0</v>
      </c>
      <c r="R31" s="396">
        <f t="shared" si="2"/>
        <v>0</v>
      </c>
    </row>
    <row r="32" spans="1:18" ht="11.25" customHeight="1">
      <c r="A32" s="304" t="str">
        <f>'A4-FinPerf RE'!A32</f>
        <v>Contracted services</v>
      </c>
      <c r="B32" s="279"/>
      <c r="C32" s="1805">
        <f>SUMIFS(TB!$U:$U,TB!$G:$G,'SA2'!C$2,TB!$K:$K,'SA2'!$A32)</f>
        <v>0</v>
      </c>
      <c r="D32" s="1805">
        <f>SUMIFS(TB!$U:$U,TB!$G:$G,'SA2'!D$2,TB!$K:$K,'SA2'!$A32)</f>
        <v>0</v>
      </c>
      <c r="E32" s="1805">
        <f>SUMIFS(TB!$U:$U,TB!$G:$G,'SA2'!E$2,TB!$K:$K,'SA2'!$A32)</f>
        <v>5000</v>
      </c>
      <c r="F32" s="1805">
        <f>SUMIFS(TB!$U:$U,TB!$G:$G,'SA2'!F$2,TB!$K:$K,'SA2'!$A32)</f>
        <v>0</v>
      </c>
      <c r="G32" s="1805">
        <f>SUMIFS(TB!$U:$U,TB!$G:$G,'SA2'!G$2,TB!$K:$K,'SA2'!$A32)</f>
        <v>0</v>
      </c>
      <c r="H32" s="1805">
        <f>SUMIFS(TB!$U:$U,TB!$G:$G,'SA2'!H$2,TB!$K:$K,'SA2'!$A32)</f>
        <v>0</v>
      </c>
      <c r="I32" s="1805">
        <f>SUMIFS(TB!$U:$U,TB!$G:$G,'SA2'!I$2,TB!$K:$K,'SA2'!$A32)</f>
        <v>0</v>
      </c>
      <c r="J32" s="1805">
        <f>SUMIFS(TB!$U:$U,TB!$G:$G,'SA2'!J$2,TB!$K:$K,'SA2'!$A32)</f>
        <v>0</v>
      </c>
      <c r="K32" s="1805">
        <f>SUMIFS(TB!$U:$U,TB!$G:$G,'SA2'!K$2,TB!$K:$K,'SA2'!$A32)</f>
        <v>0</v>
      </c>
      <c r="L32" s="1805">
        <f>SUMIFS(TB!$U:$U,TB!$G:$G,'SA2'!L$2,TB!$K:$K,'SA2'!$A32)</f>
        <v>0</v>
      </c>
      <c r="M32" s="1805">
        <f>SUMIFS(TB!$U:$U,TB!$G:$G,'SA2'!M$2,TB!$K:$K,'SA2'!$A32)</f>
        <v>0</v>
      </c>
      <c r="N32" s="1805">
        <f>SUMIFS(TB!$U:$U,TB!$G:$G,'SA2'!N$2,TB!$K:$K,'SA2'!$A32)</f>
        <v>0</v>
      </c>
      <c r="O32" s="1805">
        <f>SUMIFS(TB!$U:$U,TB!$G:$G,'SA2'!O$2,TB!$K:$K,'SA2'!$A32)</f>
        <v>0</v>
      </c>
      <c r="P32" s="1805">
        <f>SUMIFS(TB!$U:$U,TB!$G:$G,'SA2'!P$2,TB!$K:$K,'SA2'!$A32)</f>
        <v>0</v>
      </c>
      <c r="Q32" s="1805">
        <f>SUMIFS(TB!$U:$U,TB!$G:$G,'SA2'!Q$2,TB!$K:$K,'SA2'!$A32)</f>
        <v>0</v>
      </c>
      <c r="R32" s="396">
        <f t="shared" si="2"/>
        <v>5000</v>
      </c>
    </row>
    <row r="33" spans="1:21" ht="11.25" customHeight="1">
      <c r="A33" s="304" t="str">
        <f>'A4-FinPerf RE'!A33</f>
        <v>Transfers and grants</v>
      </c>
      <c r="B33" s="279"/>
      <c r="C33" s="1805">
        <f>SUMIFS(TB!$U:$U,TB!$G:$G,'SA2'!C$2,TB!$K:$K,'SA2'!$A33)</f>
        <v>0</v>
      </c>
      <c r="D33" s="1805">
        <f>SUMIFS(TB!$U:$U,TB!$G:$G,'SA2'!D$2,TB!$K:$K,'SA2'!$A33)</f>
        <v>0</v>
      </c>
      <c r="E33" s="1805">
        <f>SUMIFS(TB!$U:$U,TB!$G:$G,'SA2'!E$2,TB!$K:$K,'SA2'!$A33)</f>
        <v>152629.82999999999</v>
      </c>
      <c r="F33" s="1805">
        <f>SUMIFS(TB!$U:$U,TB!$G:$G,'SA2'!F$2,TB!$K:$K,'SA2'!$A33)</f>
        <v>0</v>
      </c>
      <c r="G33" s="1805">
        <f>SUMIFS(TB!$U:$U,TB!$G:$G,'SA2'!G$2,TB!$K:$K,'SA2'!$A33)</f>
        <v>0</v>
      </c>
      <c r="H33" s="1805">
        <f>SUMIFS(TB!$U:$U,TB!$G:$G,'SA2'!H$2,TB!$K:$K,'SA2'!$A33)</f>
        <v>0</v>
      </c>
      <c r="I33" s="1805">
        <f>SUMIFS(TB!$U:$U,TB!$G:$G,'SA2'!I$2,TB!$K:$K,'SA2'!$A33)</f>
        <v>0</v>
      </c>
      <c r="J33" s="1805">
        <f>SUMIFS(TB!$U:$U,TB!$G:$G,'SA2'!J$2,TB!$K:$K,'SA2'!$A33)</f>
        <v>2738985.3360000001</v>
      </c>
      <c r="K33" s="1805">
        <f>SUMIFS(TB!$U:$U,TB!$G:$G,'SA2'!K$2,TB!$K:$K,'SA2'!$A33)</f>
        <v>475820.22</v>
      </c>
      <c r="L33" s="1805">
        <f>SUMIFS(TB!$U:$U,TB!$G:$G,'SA2'!L$2,TB!$K:$K,'SA2'!$A33)</f>
        <v>115643.24400000001</v>
      </c>
      <c r="M33" s="1805">
        <f>SUMIFS(TB!$U:$U,TB!$G:$G,'SA2'!M$2,TB!$K:$K,'SA2'!$A33)</f>
        <v>0</v>
      </c>
      <c r="N33" s="1805">
        <f>SUMIFS(TB!$U:$U,TB!$G:$G,'SA2'!N$2,TB!$K:$K,'SA2'!$A33)</f>
        <v>0</v>
      </c>
      <c r="O33" s="1805">
        <f>SUMIFS(TB!$U:$U,TB!$G:$G,'SA2'!O$2,TB!$K:$K,'SA2'!$A33)</f>
        <v>0</v>
      </c>
      <c r="P33" s="1805">
        <f>SUMIFS(TB!$U:$U,TB!$G:$G,'SA2'!P$2,TB!$K:$K,'SA2'!$A33)</f>
        <v>0</v>
      </c>
      <c r="Q33" s="1805">
        <f>SUMIFS(TB!$U:$U,TB!$G:$G,'SA2'!Q$2,TB!$K:$K,'SA2'!$A33)</f>
        <v>0</v>
      </c>
      <c r="R33" s="396">
        <f t="shared" si="2"/>
        <v>3483078.63</v>
      </c>
    </row>
    <row r="34" spans="1:21" ht="11.25" customHeight="1">
      <c r="A34" s="304" t="str">
        <f>'SA1'!A89</f>
        <v>General expenses</v>
      </c>
      <c r="B34" s="279"/>
      <c r="C34" s="1805">
        <f>SUMIFS(TB!$U:$U,TB!$G:$G,'SA2'!C$2,TB!$K:$K,'SA2'!$A34)</f>
        <v>32000</v>
      </c>
      <c r="D34" s="1805">
        <f>SUMIFS(TB!$U:$U,TB!$G:$G,'SA2'!D$2,TB!$K:$K,'SA2'!$A34)</f>
        <v>1732900</v>
      </c>
      <c r="E34" s="1805">
        <f>SUMIFS(TB!$U:$U,TB!$G:$G,'SA2'!E$2,TB!$K:$K,'SA2'!$A34)</f>
        <v>7081300</v>
      </c>
      <c r="F34" s="1805">
        <f>SUMIFS(TB!$U:$U,TB!$G:$G,'SA2'!F$2,TB!$K:$K,'SA2'!$A34)</f>
        <v>710750</v>
      </c>
      <c r="G34" s="1805">
        <f>SUMIFS(TB!$U:$U,TB!$G:$G,'SA2'!G$2,TB!$K:$K,'SA2'!$A34)</f>
        <v>1822883.5493879998</v>
      </c>
      <c r="H34" s="1805">
        <f>SUMIFS(TB!$U:$U,TB!$G:$G,'SA2'!H$2,TB!$K:$K,'SA2'!$A34)</f>
        <v>181500</v>
      </c>
      <c r="I34" s="1805">
        <f>SUMIFS(TB!$U:$U,TB!$G:$G,'SA2'!I$2,TB!$K:$K,'SA2'!$A34)</f>
        <v>169000</v>
      </c>
      <c r="J34" s="1805">
        <f>SUMIFS(TB!$U:$U,TB!$G:$G,'SA2'!J$2,TB!$K:$K,'SA2'!$A34)</f>
        <v>1512200</v>
      </c>
      <c r="K34" s="1805">
        <f>SUMIFS(TB!$U:$U,TB!$G:$G,'SA2'!K$2,TB!$K:$K,'SA2'!$A34)</f>
        <v>2585450</v>
      </c>
      <c r="L34" s="1805">
        <f>SUMIFS(TB!$U:$U,TB!$G:$G,'SA2'!L$2,TB!$K:$K,'SA2'!$A34)</f>
        <v>2270000</v>
      </c>
      <c r="M34" s="1805">
        <f>SUMIFS(TB!$U:$U,TB!$G:$G,'SA2'!M$2,TB!$K:$K,'SA2'!$A34)</f>
        <v>0</v>
      </c>
      <c r="N34" s="1805">
        <f>SUMIFS(TB!$U:$U,TB!$G:$G,'SA2'!N$2,TB!$K:$K,'SA2'!$A34)</f>
        <v>0</v>
      </c>
      <c r="O34" s="1805">
        <f>SUMIFS(TB!$U:$U,TB!$G:$G,'SA2'!O$2,TB!$K:$K,'SA2'!$A34)</f>
        <v>0</v>
      </c>
      <c r="P34" s="1805">
        <f>SUMIFS(TB!$U:$U,TB!$G:$G,'SA2'!P$2,TB!$K:$K,'SA2'!$A34)</f>
        <v>0</v>
      </c>
      <c r="Q34" s="1805">
        <f>SUMIFS(TB!$U:$U,TB!$G:$G,'SA2'!Q$2,TB!$K:$K,'SA2'!$A34)</f>
        <v>0</v>
      </c>
      <c r="R34" s="396">
        <f t="shared" si="2"/>
        <v>18097983.549387999</v>
      </c>
    </row>
    <row r="35" spans="1:21" ht="11.25" customHeight="1">
      <c r="A35" s="304" t="str">
        <f>'A4-FinPerf RE'!A35</f>
        <v>Loss on disposal of PPE</v>
      </c>
      <c r="B35" s="279"/>
      <c r="C35" s="1805">
        <f>SUMIFS(TB!$U:$U,TB!$G:$G,'SA2'!C$2,TB!$K:$K,'SA2'!$A35)</f>
        <v>0</v>
      </c>
      <c r="D35" s="1805">
        <f>SUMIFS(TB!$U:$U,TB!$G:$G,'SA2'!D$2,TB!$K:$K,'SA2'!$A35)</f>
        <v>2000</v>
      </c>
      <c r="E35" s="1805">
        <f>SUMIFS(TB!$U:$U,TB!$G:$G,'SA2'!E$2,TB!$K:$K,'SA2'!$A35)</f>
        <v>0</v>
      </c>
      <c r="F35" s="1805">
        <f>SUMIFS(TB!$U:$U,TB!$G:$G,'SA2'!F$2,TB!$K:$K,'SA2'!$A35)</f>
        <v>0</v>
      </c>
      <c r="G35" s="1805">
        <f>SUMIFS(TB!$U:$U,TB!$G:$G,'SA2'!G$2,TB!$K:$K,'SA2'!$A35)</f>
        <v>0</v>
      </c>
      <c r="H35" s="1805">
        <f>SUMIFS(TB!$U:$U,TB!$G:$G,'SA2'!H$2,TB!$K:$K,'SA2'!$A35)</f>
        <v>0</v>
      </c>
      <c r="I35" s="1805">
        <f>SUMIFS(TB!$U:$U,TB!$G:$G,'SA2'!I$2,TB!$K:$K,'SA2'!$A35)</f>
        <v>0</v>
      </c>
      <c r="J35" s="1805">
        <f>SUMIFS(TB!$U:$U,TB!$G:$G,'SA2'!J$2,TB!$K:$K,'SA2'!$A35)</f>
        <v>1000</v>
      </c>
      <c r="K35" s="1805">
        <f>SUMIFS(TB!$U:$U,TB!$G:$G,'SA2'!K$2,TB!$K:$K,'SA2'!$A35)</f>
        <v>0</v>
      </c>
      <c r="L35" s="1805">
        <f>SUMIFS(TB!$U:$U,TB!$G:$G,'SA2'!L$2,TB!$K:$K,'SA2'!$A35)</f>
        <v>0</v>
      </c>
      <c r="M35" s="1805">
        <f>SUMIFS(TB!$U:$U,TB!$G:$G,'SA2'!M$2,TB!$K:$K,'SA2'!$A35)</f>
        <v>0</v>
      </c>
      <c r="N35" s="1805">
        <f>SUMIFS(TB!$U:$U,TB!$G:$G,'SA2'!N$2,TB!$K:$K,'SA2'!$A35)</f>
        <v>0</v>
      </c>
      <c r="O35" s="1805">
        <f>SUMIFS(TB!$U:$U,TB!$G:$G,'SA2'!O$2,TB!$K:$K,'SA2'!$A35)</f>
        <v>0</v>
      </c>
      <c r="P35" s="1805">
        <f>SUMIFS(TB!$U:$U,TB!$G:$G,'SA2'!P$2,TB!$K:$K,'SA2'!$A35)</f>
        <v>0</v>
      </c>
      <c r="Q35" s="1805">
        <f>SUMIFS(TB!$U:$U,TB!$G:$G,'SA2'!Q$2,TB!$K:$K,'SA2'!$A35)</f>
        <v>0</v>
      </c>
      <c r="R35" s="396">
        <f t="shared" si="2"/>
        <v>3000</v>
      </c>
    </row>
    <row r="36" spans="1:21" ht="11.25" customHeight="1">
      <c r="A36" s="305" t="s">
        <v>1760</v>
      </c>
      <c r="B36" s="278"/>
      <c r="C36" s="199">
        <f t="shared" ref="C36:R36" si="3">SUM(C25:C35)</f>
        <v>322915.06088630401</v>
      </c>
      <c r="D36" s="199">
        <f t="shared" si="3"/>
        <v>7059161.272832159</v>
      </c>
      <c r="E36" s="199">
        <f t="shared" si="3"/>
        <v>32494839.853008166</v>
      </c>
      <c r="F36" s="199">
        <f t="shared" si="3"/>
        <v>1694922.842094752</v>
      </c>
      <c r="G36" s="199">
        <f t="shared" si="3"/>
        <v>4277883.5493879998</v>
      </c>
      <c r="H36" s="199">
        <f t="shared" si="3"/>
        <v>181500</v>
      </c>
      <c r="I36" s="199">
        <f t="shared" si="3"/>
        <v>169000</v>
      </c>
      <c r="J36" s="199">
        <f t="shared" si="3"/>
        <v>7645472.4195329603</v>
      </c>
      <c r="K36" s="199">
        <f t="shared" si="3"/>
        <v>12312051.994175136</v>
      </c>
      <c r="L36" s="199">
        <f t="shared" si="3"/>
        <v>3719860.2492079996</v>
      </c>
      <c r="M36" s="199">
        <f t="shared" si="3"/>
        <v>0</v>
      </c>
      <c r="N36" s="199">
        <f t="shared" si="3"/>
        <v>0</v>
      </c>
      <c r="O36" s="199">
        <f t="shared" si="3"/>
        <v>0</v>
      </c>
      <c r="P36" s="199">
        <f t="shared" si="3"/>
        <v>0</v>
      </c>
      <c r="Q36" s="199">
        <f t="shared" si="3"/>
        <v>0</v>
      </c>
      <c r="R36" s="397">
        <f t="shared" si="3"/>
        <v>69877607.241125479</v>
      </c>
    </row>
    <row r="37" spans="1:21" ht="5.0999999999999996" customHeight="1">
      <c r="A37" s="187"/>
      <c r="B37" s="278"/>
      <c r="C37" s="204"/>
      <c r="D37" s="204"/>
      <c r="E37" s="204"/>
      <c r="F37" s="204"/>
      <c r="G37" s="204"/>
      <c r="H37" s="204"/>
      <c r="I37" s="204"/>
      <c r="J37" s="204"/>
      <c r="K37" s="204"/>
      <c r="L37" s="204"/>
      <c r="M37" s="204"/>
      <c r="N37" s="204"/>
      <c r="O37" s="204"/>
      <c r="P37" s="204"/>
      <c r="Q37" s="204"/>
      <c r="R37" s="396"/>
    </row>
    <row r="38" spans="1:21" ht="11.25" customHeight="1">
      <c r="A38" s="305" t="str">
        <f>'A4-FinPerf RE'!A38</f>
        <v>Surplus/(Deficit)</v>
      </c>
      <c r="B38" s="278"/>
      <c r="C38" s="199">
        <f t="shared" ref="C38:H38" si="4">C22-C36</f>
        <v>-173315.06088630401</v>
      </c>
      <c r="D38" s="199">
        <f t="shared" si="4"/>
        <v>-6963761.272832159</v>
      </c>
      <c r="E38" s="199">
        <f t="shared" si="4"/>
        <v>7235685.1969918311</v>
      </c>
      <c r="F38" s="199">
        <f t="shared" si="4"/>
        <v>-979922.84209475201</v>
      </c>
      <c r="G38" s="199">
        <f t="shared" si="4"/>
        <v>-3404883.5493879998</v>
      </c>
      <c r="H38" s="199">
        <f t="shared" si="4"/>
        <v>-179500</v>
      </c>
      <c r="I38" s="199">
        <f t="shared" ref="I38:Q38" si="5">I22-I36</f>
        <v>-157000</v>
      </c>
      <c r="J38" s="199">
        <f t="shared" si="5"/>
        <v>-3449605.2045329604</v>
      </c>
      <c r="K38" s="199">
        <f t="shared" si="5"/>
        <v>-6996989.145575135</v>
      </c>
      <c r="L38" s="199">
        <f t="shared" si="5"/>
        <v>-1603339.4792079995</v>
      </c>
      <c r="M38" s="199">
        <f t="shared" si="5"/>
        <v>0</v>
      </c>
      <c r="N38" s="199">
        <f t="shared" si="5"/>
        <v>0</v>
      </c>
      <c r="O38" s="199">
        <f t="shared" si="5"/>
        <v>0</v>
      </c>
      <c r="P38" s="199">
        <f t="shared" si="5"/>
        <v>0</v>
      </c>
      <c r="Q38" s="199">
        <f t="shared" si="5"/>
        <v>0</v>
      </c>
      <c r="R38" s="397">
        <f>R22-R36</f>
        <v>-16672631.357525483</v>
      </c>
    </row>
    <row r="39" spans="1:21" ht="11.25" customHeight="1">
      <c r="A39" s="179" t="str">
        <f>'A4-FinPerf RE'!A39</f>
        <v>Transfers recognised - capital</v>
      </c>
      <c r="B39" s="278"/>
      <c r="C39" s="1805">
        <f>-SUMIFS(TB!$U:$U,TB!$G:$G,'SA2'!C$2,TB!$K:$K,'SA2'!$A39)</f>
        <v>0</v>
      </c>
      <c r="D39" s="1805">
        <f>-SUMIFS(TB!$U:$U,TB!$G:$G,'SA2'!D$2,TB!$K:$K,'SA2'!$A39)</f>
        <v>0</v>
      </c>
      <c r="E39" s="1805">
        <f>-SUMIFS(TB!$U:$U,TB!$G:$G,'SA2'!E$2,TB!$K:$K,'SA2'!$A39)</f>
        <v>0</v>
      </c>
      <c r="F39" s="1805">
        <f>-SUMIFS(TB!$U:$U,TB!$G:$G,'SA2'!F$2,TB!$K:$K,'SA2'!$A39)</f>
        <v>0</v>
      </c>
      <c r="G39" s="1805">
        <f>-SUMIFS(TB!$U:$U,TB!$G:$G,'SA2'!G$2,TB!$K:$K,'SA2'!$A39)</f>
        <v>0</v>
      </c>
      <c r="H39" s="1805">
        <f>-SUMIFS(TB!$U:$U,TB!$G:$G,'SA2'!H$2,TB!$K:$K,'SA2'!$A39)</f>
        <v>0</v>
      </c>
      <c r="I39" s="1805">
        <f>-SUMIFS(TB!$U:$U,TB!$G:$G,'SA2'!I$2,TB!$K:$K,'SA2'!$A39)</f>
        <v>0</v>
      </c>
      <c r="J39" s="1805">
        <f>-SUMIFS(TB!$U:$U,TB!$G:$G,'SA2'!J$2,TB!$K:$K,'SA2'!$A39)</f>
        <v>0</v>
      </c>
      <c r="K39" s="1805">
        <f>-SUMIFS(TB!$U:$U,TB!$G:$G,'SA2'!K$2,TB!$K:$K,'SA2'!$A39)</f>
        <v>0</v>
      </c>
      <c r="L39" s="1805">
        <f>-SUMIFS(TB!$U:$U,TB!$G:$G,'SA2'!L$2,TB!$K:$K,'SA2'!$A39)</f>
        <v>0</v>
      </c>
      <c r="M39" s="1805">
        <f>-SUMIFS(TB!$U:$U,TB!$G:$G,'SA2'!M$2,TB!$K:$K,'SA2'!$A39)</f>
        <v>0</v>
      </c>
      <c r="N39" s="1805">
        <f>-SUMIFS(TB!$U:$U,TB!$G:$G,'SA2'!N$2,TB!$K:$K,'SA2'!$A39)</f>
        <v>0</v>
      </c>
      <c r="O39" s="1805">
        <f>-SUMIFS(TB!$U:$U,TB!$G:$G,'SA2'!O$2,TB!$K:$K,'SA2'!$A39)</f>
        <v>0</v>
      </c>
      <c r="P39" s="1805">
        <f>-SUMIFS(TB!$U:$U,TB!$G:$G,'SA2'!P$2,TB!$K:$K,'SA2'!$A39)</f>
        <v>0</v>
      </c>
      <c r="Q39" s="1805">
        <f>-SUMIFS(TB!$U:$U,TB!$G:$G,'SA2'!Q$2,TB!$K:$K,'SA2'!$A39)</f>
        <v>0</v>
      </c>
      <c r="R39" s="396">
        <f>SUM(C39:Q39)</f>
        <v>0</v>
      </c>
    </row>
    <row r="40" spans="1:21">
      <c r="A40" s="398" t="str">
        <f>'A4-FinPerf RE'!A40</f>
        <v>Contributions recognised - capital</v>
      </c>
      <c r="B40" s="278"/>
      <c r="C40" s="1805">
        <f>-SUMIFS(TB!$U:$U,TB!$G:$G,'SA2'!C$2,TB!$K:$K,'SA2'!$A40)</f>
        <v>0</v>
      </c>
      <c r="D40" s="1805">
        <f>-SUMIFS(TB!$U:$U,TB!$G:$G,'SA2'!D$2,TB!$K:$K,'SA2'!$A40)</f>
        <v>0</v>
      </c>
      <c r="E40" s="1805">
        <f>-SUMIFS(TB!$U:$U,TB!$G:$G,'SA2'!E$2,TB!$K:$K,'SA2'!$A40)</f>
        <v>0</v>
      </c>
      <c r="F40" s="1805">
        <f>-SUMIFS(TB!$U:$U,TB!$G:$G,'SA2'!F$2,TB!$K:$K,'SA2'!$A40)</f>
        <v>0</v>
      </c>
      <c r="G40" s="1805">
        <f>-SUMIFS(TB!$U:$U,TB!$G:$G,'SA2'!G$2,TB!$K:$K,'SA2'!$A40)</f>
        <v>0</v>
      </c>
      <c r="H40" s="1805">
        <f>-SUMIFS(TB!$U:$U,TB!$G:$G,'SA2'!H$2,TB!$K:$K,'SA2'!$A40)</f>
        <v>0</v>
      </c>
      <c r="I40" s="1805">
        <f>-SUMIFS(TB!$U:$U,TB!$G:$G,'SA2'!I$2,TB!$K:$K,'SA2'!$A40)</f>
        <v>0</v>
      </c>
      <c r="J40" s="1805">
        <f>-SUMIFS(TB!$U:$U,TB!$G:$G,'SA2'!J$2,TB!$K:$K,'SA2'!$A40)</f>
        <v>0</v>
      </c>
      <c r="K40" s="1805">
        <f>-SUMIFS(TB!$U:$U,TB!$G:$G,'SA2'!K$2,TB!$K:$K,'SA2'!$A40)</f>
        <v>0</v>
      </c>
      <c r="L40" s="1805">
        <f>-SUMIFS(TB!$U:$U,TB!$G:$G,'SA2'!L$2,TB!$K:$K,'SA2'!$A40)</f>
        <v>0</v>
      </c>
      <c r="M40" s="1805">
        <f>-SUMIFS(TB!$U:$U,TB!$G:$G,'SA2'!M$2,TB!$K:$K,'SA2'!$A40)</f>
        <v>0</v>
      </c>
      <c r="N40" s="1805">
        <f>-SUMIFS(TB!$U:$U,TB!$G:$G,'SA2'!N$2,TB!$K:$K,'SA2'!$A40)</f>
        <v>0</v>
      </c>
      <c r="O40" s="1805">
        <f>-SUMIFS(TB!$U:$U,TB!$G:$G,'SA2'!O$2,TB!$K:$K,'SA2'!$A40)</f>
        <v>0</v>
      </c>
      <c r="P40" s="1805">
        <f>-SUMIFS(TB!$U:$U,TB!$G:$G,'SA2'!P$2,TB!$K:$K,'SA2'!$A40)</f>
        <v>0</v>
      </c>
      <c r="Q40" s="1805">
        <f>-SUMIFS(TB!$U:$U,TB!$G:$G,'SA2'!Q$2,TB!$K:$K,'SA2'!$A40)</f>
        <v>0</v>
      </c>
      <c r="R40" s="396">
        <f>SUM(C40:Q40)</f>
        <v>0</v>
      </c>
    </row>
    <row r="41" spans="1:21" ht="11.25" customHeight="1">
      <c r="A41" s="179" t="str">
        <f>'A4-FinPerf RE'!A41</f>
        <v>Contributed assets</v>
      </c>
      <c r="B41" s="278"/>
      <c r="C41" s="1805">
        <f>-SUMIFS(TB!$U:$U,TB!$G:$G,'SA2'!C$2,TB!$K:$K,'SA2'!$A41)</f>
        <v>0</v>
      </c>
      <c r="D41" s="1805">
        <f>-SUMIFS(TB!$U:$U,TB!$G:$G,'SA2'!D$2,TB!$K:$K,'SA2'!$A41)</f>
        <v>0</v>
      </c>
      <c r="E41" s="1805">
        <f>-SUMIFS(TB!$U:$U,TB!$G:$G,'SA2'!E$2,TB!$K:$K,'SA2'!$A41)</f>
        <v>0</v>
      </c>
      <c r="F41" s="1805">
        <f>-SUMIFS(TB!$U:$U,TB!$G:$G,'SA2'!F$2,TB!$K:$K,'SA2'!$A41)</f>
        <v>0</v>
      </c>
      <c r="G41" s="1805">
        <f>-SUMIFS(TB!$U:$U,TB!$G:$G,'SA2'!G$2,TB!$K:$K,'SA2'!$A41)</f>
        <v>0</v>
      </c>
      <c r="H41" s="1805">
        <f>-SUMIFS(TB!$U:$U,TB!$G:$G,'SA2'!H$2,TB!$K:$K,'SA2'!$A41)</f>
        <v>0</v>
      </c>
      <c r="I41" s="1805">
        <f>-SUMIFS(TB!$U:$U,TB!$G:$G,'SA2'!I$2,TB!$K:$K,'SA2'!$A41)</f>
        <v>0</v>
      </c>
      <c r="J41" s="1805">
        <f>-SUMIFS(TB!$U:$U,TB!$G:$G,'SA2'!J$2,TB!$K:$K,'SA2'!$A41)</f>
        <v>0</v>
      </c>
      <c r="K41" s="1805">
        <f>-SUMIFS(TB!$U:$U,TB!$G:$G,'SA2'!K$2,TB!$K:$K,'SA2'!$A41)</f>
        <v>0</v>
      </c>
      <c r="L41" s="1805">
        <f>-SUMIFS(TB!$U:$U,TB!$G:$G,'SA2'!L$2,TB!$K:$K,'SA2'!$A41)</f>
        <v>0</v>
      </c>
      <c r="M41" s="1805">
        <f>-SUMIFS(TB!$U:$U,TB!$G:$G,'SA2'!M$2,TB!$K:$K,'SA2'!$A41)</f>
        <v>0</v>
      </c>
      <c r="N41" s="1805">
        <f>-SUMIFS(TB!$U:$U,TB!$G:$G,'SA2'!N$2,TB!$K:$K,'SA2'!$A41)</f>
        <v>0</v>
      </c>
      <c r="O41" s="1805">
        <f>-SUMIFS(TB!$U:$U,TB!$G:$G,'SA2'!O$2,TB!$K:$K,'SA2'!$A41)</f>
        <v>0</v>
      </c>
      <c r="P41" s="1805">
        <f>-SUMIFS(TB!$U:$U,TB!$G:$G,'SA2'!P$2,TB!$K:$K,'SA2'!$A41)</f>
        <v>0</v>
      </c>
      <c r="Q41" s="1805">
        <f>-SUMIFS(TB!$U:$U,TB!$G:$G,'SA2'!Q$2,TB!$K:$K,'SA2'!$A41)</f>
        <v>0</v>
      </c>
      <c r="R41" s="396">
        <f>SUM(C41:Q41)</f>
        <v>0</v>
      </c>
    </row>
    <row r="42" spans="1:21" ht="25.5">
      <c r="A42" s="399" t="str">
        <f>'A4-FinPerf RE'!A42</f>
        <v>Surplus/(Deficit) after capital transfers &amp; contributions</v>
      </c>
      <c r="B42" s="287"/>
      <c r="C42" s="1252">
        <f t="shared" ref="C42:P42" si="6">SUM(C38:C41)</f>
        <v>-173315.06088630401</v>
      </c>
      <c r="D42" s="1252">
        <f t="shared" si="6"/>
        <v>-6963761.272832159</v>
      </c>
      <c r="E42" s="1252">
        <f t="shared" si="6"/>
        <v>7235685.1969918311</v>
      </c>
      <c r="F42" s="1252">
        <f t="shared" si="6"/>
        <v>-979922.84209475201</v>
      </c>
      <c r="G42" s="1252">
        <f t="shared" si="6"/>
        <v>-3404883.5493879998</v>
      </c>
      <c r="H42" s="1252">
        <f t="shared" si="6"/>
        <v>-179500</v>
      </c>
      <c r="I42" s="1252">
        <f t="shared" si="6"/>
        <v>-157000</v>
      </c>
      <c r="J42" s="1252">
        <f t="shared" si="6"/>
        <v>-3449605.2045329604</v>
      </c>
      <c r="K42" s="1252">
        <f t="shared" si="6"/>
        <v>-6996989.145575135</v>
      </c>
      <c r="L42" s="1252">
        <f t="shared" si="6"/>
        <v>-1603339.4792079995</v>
      </c>
      <c r="M42" s="1252">
        <f t="shared" si="6"/>
        <v>0</v>
      </c>
      <c r="N42" s="1252">
        <f t="shared" si="6"/>
        <v>0</v>
      </c>
      <c r="O42" s="1252">
        <f t="shared" si="6"/>
        <v>0</v>
      </c>
      <c r="P42" s="1252">
        <f t="shared" si="6"/>
        <v>0</v>
      </c>
      <c r="Q42" s="1252">
        <f>SUM(Q38:Q41)</f>
        <v>0</v>
      </c>
      <c r="R42" s="1253">
        <f>SUM(R38:R41)</f>
        <v>-16672631.357525483</v>
      </c>
    </row>
    <row r="43" spans="1:21" s="693" customFormat="1" hidden="1">
      <c r="A43" s="1220" t="str">
        <f>head27a</f>
        <v>References</v>
      </c>
      <c r="B43" s="1033"/>
      <c r="C43" s="1037"/>
      <c r="D43" s="1037"/>
      <c r="E43" s="1037"/>
      <c r="F43" s="1037"/>
      <c r="G43" s="1037"/>
      <c r="H43" s="1037"/>
      <c r="I43" s="1037"/>
      <c r="J43" s="1037"/>
      <c r="K43" s="1037"/>
      <c r="L43" s="1037"/>
      <c r="M43" s="1037"/>
      <c r="N43" s="1037"/>
      <c r="O43" s="1037"/>
      <c r="P43" s="1037"/>
      <c r="Q43" s="1037"/>
      <c r="R43" s="1037"/>
    </row>
    <row r="44" spans="1:21" s="693" customFormat="1" ht="11.25" hidden="1" customHeight="1">
      <c r="A44" s="1204" t="s">
        <v>1807</v>
      </c>
      <c r="B44" s="1033"/>
      <c r="C44" s="1037"/>
      <c r="D44" s="1036"/>
      <c r="E44" s="1037"/>
      <c r="F44" s="1037"/>
      <c r="G44" s="1037"/>
      <c r="H44" s="1037"/>
      <c r="I44" s="1037"/>
      <c r="J44" s="1037"/>
      <c r="K44" s="1037"/>
      <c r="L44" s="1037"/>
      <c r="M44" s="1037"/>
      <c r="N44" s="1037"/>
      <c r="O44" s="1037"/>
      <c r="P44" s="1037"/>
      <c r="Q44" s="1037"/>
      <c r="R44" s="1037"/>
    </row>
    <row r="45" spans="1:21" ht="11.25" hidden="1" customHeight="1">
      <c r="A45" s="273" t="s">
        <v>300</v>
      </c>
      <c r="B45" s="229"/>
      <c r="C45" s="231"/>
      <c r="D45" s="231"/>
      <c r="E45" s="231"/>
      <c r="F45" s="231"/>
      <c r="G45" s="231"/>
      <c r="H45" s="231"/>
      <c r="I45" s="231"/>
      <c r="J45" s="231"/>
      <c r="K45" s="231"/>
      <c r="L45" s="231"/>
      <c r="M45" s="231"/>
      <c r="N45" s="231"/>
      <c r="O45" s="231"/>
      <c r="P45" s="231"/>
      <c r="Q45" s="231"/>
      <c r="R45" s="983">
        <f>R42-'A4-FinPerf RE'!J48</f>
        <v>-9493000</v>
      </c>
    </row>
    <row r="46" spans="1:21" ht="11.25" hidden="1" customHeight="1">
      <c r="A46" s="230"/>
      <c r="B46" s="229"/>
      <c r="C46" s="231"/>
      <c r="D46" s="231"/>
      <c r="E46" s="231"/>
      <c r="F46" s="231"/>
      <c r="G46" s="231"/>
      <c r="H46" s="231"/>
      <c r="I46" s="231"/>
      <c r="J46" s="231"/>
      <c r="K46" s="231"/>
      <c r="L46" s="231"/>
      <c r="M46" s="231"/>
      <c r="N46" s="231"/>
      <c r="O46" s="231"/>
      <c r="P46" s="231"/>
      <c r="Q46" s="231"/>
      <c r="R46" s="231"/>
    </row>
    <row r="47" spans="1:21" ht="11.25" hidden="1" customHeight="1">
      <c r="B47" s="150"/>
      <c r="U47" s="400"/>
    </row>
    <row r="48" spans="1:21" ht="11.25" hidden="1" customHeight="1">
      <c r="B48" s="150"/>
      <c r="G48" s="290"/>
      <c r="H48" s="290"/>
      <c r="I48" s="290"/>
      <c r="J48" s="290"/>
      <c r="K48" s="290"/>
      <c r="L48" s="290"/>
      <c r="M48" s="290"/>
      <c r="N48" s="290"/>
      <c r="O48" s="290"/>
      <c r="P48" s="290"/>
      <c r="Q48" s="290"/>
      <c r="R48" s="290"/>
    </row>
    <row r="49" spans="2:21" ht="11.25" hidden="1" customHeight="1">
      <c r="B49" s="150"/>
      <c r="G49" s="290"/>
      <c r="H49" s="290"/>
      <c r="I49" s="290"/>
      <c r="J49" s="290"/>
      <c r="K49" s="290"/>
      <c r="L49" s="290"/>
      <c r="M49" s="290"/>
      <c r="N49" s="290"/>
      <c r="O49" s="290"/>
      <c r="P49" s="290"/>
      <c r="Q49" s="290"/>
      <c r="R49" s="290"/>
    </row>
    <row r="50" spans="2:21" ht="11.25" hidden="1" customHeight="1">
      <c r="B50" s="150"/>
      <c r="G50" s="290"/>
      <c r="H50" s="290"/>
      <c r="I50" s="290"/>
      <c r="J50" s="290"/>
      <c r="K50" s="290"/>
      <c r="L50" s="290"/>
      <c r="M50" s="290"/>
      <c r="N50" s="290"/>
      <c r="O50" s="290"/>
      <c r="P50" s="290"/>
      <c r="Q50" s="290"/>
      <c r="R50" s="290"/>
    </row>
    <row r="51" spans="2:21" ht="11.25" hidden="1" customHeight="1">
      <c r="B51" s="150"/>
      <c r="U51" s="291"/>
    </row>
    <row r="52" spans="2:21" ht="11.25" hidden="1" customHeight="1">
      <c r="B52" s="150"/>
      <c r="U52" s="291"/>
    </row>
    <row r="53" spans="2:21" ht="11.25" hidden="1" customHeight="1">
      <c r="B53" s="150"/>
      <c r="U53" s="291"/>
    </row>
    <row r="54" spans="2:21" ht="11.25" hidden="1" customHeight="1">
      <c r="B54" s="150"/>
    </row>
    <row r="55" spans="2:21" ht="11.25" hidden="1" customHeight="1">
      <c r="B55" s="150"/>
    </row>
    <row r="56" spans="2:21" ht="11.25" hidden="1" customHeight="1">
      <c r="B56" s="150"/>
    </row>
    <row r="57" spans="2:21" ht="11.25" hidden="1" customHeight="1">
      <c r="B57" s="150"/>
    </row>
    <row r="58" spans="2:21" ht="11.25" hidden="1" customHeight="1">
      <c r="B58" s="150"/>
    </row>
    <row r="59" spans="2:21" ht="11.25" hidden="1" customHeight="1">
      <c r="B59" s="150"/>
    </row>
    <row r="60" spans="2:21" ht="11.25" hidden="1" customHeight="1">
      <c r="B60" s="150"/>
    </row>
    <row r="61" spans="2:21" ht="11.25" hidden="1" customHeight="1">
      <c r="B61" s="150"/>
    </row>
    <row r="62" spans="2:21" ht="11.25" hidden="1" customHeight="1">
      <c r="B62" s="150"/>
    </row>
    <row r="63" spans="2:21" ht="11.25" hidden="1" customHeight="1">
      <c r="B63" s="150"/>
    </row>
    <row r="64" spans="2:21" ht="11.25" customHeight="1">
      <c r="B64" s="150"/>
    </row>
    <row r="65" spans="2:2" ht="11.25" customHeight="1">
      <c r="B65" s="150"/>
    </row>
    <row r="66" spans="2:2" ht="11.25" customHeight="1">
      <c r="B66" s="150"/>
    </row>
    <row r="67" spans="2:2" ht="11.25" customHeight="1">
      <c r="B67" s="150"/>
    </row>
    <row r="68" spans="2:2" ht="11.25" customHeight="1">
      <c r="B68" s="150"/>
    </row>
    <row r="69" spans="2:2" ht="11.25" customHeight="1">
      <c r="B69" s="150"/>
    </row>
    <row r="70" spans="2:2" ht="11.25" customHeight="1">
      <c r="B70" s="150"/>
    </row>
    <row r="71" spans="2:2" ht="11.25" customHeight="1">
      <c r="B71" s="150"/>
    </row>
    <row r="72" spans="2:2" ht="11.25" customHeight="1">
      <c r="B72" s="150"/>
    </row>
    <row r="73" spans="2:2" ht="11.25" customHeight="1">
      <c r="B73" s="150"/>
    </row>
    <row r="74" spans="2:2" ht="11.25" customHeight="1">
      <c r="B74" s="150"/>
    </row>
    <row r="75" spans="2:2" ht="11.25" customHeight="1"/>
    <row r="76" spans="2:2" ht="11.25" customHeight="1"/>
    <row r="77" spans="2:2" ht="11.25" customHeight="1"/>
    <row r="78" spans="2:2" ht="11.25" customHeight="1"/>
    <row r="79" spans="2:2" ht="11.25" customHeight="1"/>
    <row r="80" spans="2:2" ht="11.25" customHeight="1"/>
    <row r="81" ht="11.25" customHeight="1"/>
    <row r="82" ht="11.25" customHeight="1"/>
    <row r="83" ht="11.25" customHeight="1"/>
  </sheetData>
  <sheetProtection sheet="1" objects="1" scenarios="1"/>
  <mergeCells count="16">
    <mergeCell ref="G2:G3"/>
    <mergeCell ref="H2:H3"/>
    <mergeCell ref="C2:C3"/>
    <mergeCell ref="D2:D3"/>
    <mergeCell ref="E2:E3"/>
    <mergeCell ref="F2:F3"/>
    <mergeCell ref="Q2:Q3"/>
    <mergeCell ref="R2:R3"/>
    <mergeCell ref="I2:I3"/>
    <mergeCell ref="J2:J3"/>
    <mergeCell ref="K2:K3"/>
    <mergeCell ref="L2:L3"/>
    <mergeCell ref="M2:M3"/>
    <mergeCell ref="N2:N3"/>
    <mergeCell ref="O2:O3"/>
    <mergeCell ref="P2:P3"/>
  </mergeCells>
  <phoneticPr fontId="3" type="noConversion"/>
  <printOptions horizontalCentered="1"/>
  <pageMargins left="0" right="0" top="0.78740157480314965" bottom="0.59055118110236227" header="0.51181102362204722" footer="0.43307086614173229"/>
  <pageSetup paperSize="9" scale="57"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theme="3"/>
    <pageSetUpPr fitToPage="1"/>
  </sheetPr>
  <dimension ref="A1:N99"/>
  <sheetViews>
    <sheetView showGridLines="0" workbookViewId="0">
      <pane xSplit="2" ySplit="4" topLeftCell="C58" activePane="bottomRight" state="frozen"/>
      <selection activeCell="O37" sqref="A1:IV65536"/>
      <selection pane="topRight" activeCell="O37" sqref="A1:IV65536"/>
      <selection pane="bottomLeft" activeCell="O37" sqref="A1:IV65536"/>
      <selection pane="bottomRight" activeCell="K103" sqref="K103"/>
    </sheetView>
  </sheetViews>
  <sheetFormatPr defaultRowHeight="12.75"/>
  <cols>
    <col min="1" max="1" width="30.7109375" style="150" customWidth="1"/>
    <col min="2" max="2" width="3" style="233" hidden="1" customWidth="1"/>
    <col min="3" max="8" width="9.28515625" style="150" customWidth="1"/>
    <col min="9" max="9" width="9.140625" style="150" hidden="1" customWidth="1"/>
    <col min="10" max="12" width="9.28515625" style="150" customWidth="1"/>
    <col min="13" max="13" width="9.85546875" style="150" customWidth="1"/>
    <col min="14" max="14" width="9.5703125" style="150" customWidth="1"/>
    <col min="15" max="15" width="9.85546875" style="150" customWidth="1"/>
    <col min="16" max="18" width="9.5703125" style="150" customWidth="1"/>
    <col min="19" max="19" width="9.85546875" style="150" customWidth="1"/>
    <col min="20" max="22" width="9.5703125" style="150" customWidth="1"/>
    <col min="23" max="24" width="9.85546875" style="150" customWidth="1"/>
    <col min="25" max="16384" width="9.140625" style="150"/>
  </cols>
  <sheetData>
    <row r="1" spans="1:12" s="168" customFormat="1">
      <c r="A1" s="148" t="str">
        <f>muni&amp;" - "&amp;TableA3</f>
        <v>NC071 Ubuntu - Supporting Table SA3 Supportinging detail to 'Budgeted Financial Position'</v>
      </c>
      <c r="B1" s="148"/>
      <c r="C1" s="148"/>
      <c r="D1" s="148"/>
      <c r="E1" s="148"/>
      <c r="F1" s="148"/>
      <c r="G1" s="148"/>
      <c r="H1" s="148"/>
      <c r="I1" s="148"/>
      <c r="J1" s="148"/>
      <c r="K1" s="148"/>
      <c r="L1" s="148"/>
    </row>
    <row r="2" spans="1:12" ht="28.5" customHeight="1">
      <c r="A2" s="2796" t="str">
        <f>desc</f>
        <v>Description</v>
      </c>
      <c r="B2" s="2798" t="str">
        <f>head27</f>
        <v>Ref</v>
      </c>
      <c r="C2" s="151" t="str">
        <f>head1b</f>
        <v>2007/8</v>
      </c>
      <c r="D2" s="151" t="str">
        <f>head1A</f>
        <v>2008/9</v>
      </c>
      <c r="E2" s="147" t="str">
        <f>Head1</f>
        <v>2009/10</v>
      </c>
      <c r="F2" s="2772" t="str">
        <f>Head2</f>
        <v>Current Year 2010/11</v>
      </c>
      <c r="G2" s="2773"/>
      <c r="H2" s="2773"/>
      <c r="I2" s="2773"/>
      <c r="J2" s="2769" t="str">
        <f>Head3</f>
        <v>2011/12 Medium Term Revenue &amp; Expenditure Framework</v>
      </c>
      <c r="K2" s="2770"/>
      <c r="L2" s="2771"/>
    </row>
    <row r="3" spans="1:12" ht="33.75" customHeight="1">
      <c r="A3" s="2797"/>
      <c r="B3" s="2799"/>
      <c r="C3" s="153" t="str">
        <f>Head5</f>
        <v>Audited Outcome</v>
      </c>
      <c r="D3" s="153" t="str">
        <f>Head5</f>
        <v>Audited Outcome</v>
      </c>
      <c r="E3" s="154" t="str">
        <f>Head5</f>
        <v>Audited Outcome</v>
      </c>
      <c r="F3" s="152" t="str">
        <f>Head6</f>
        <v>Original Budget</v>
      </c>
      <c r="G3" s="153" t="str">
        <f>Head7</f>
        <v>Adjusted Budget</v>
      </c>
      <c r="H3" s="154" t="str">
        <f>Head8</f>
        <v>Full Year Forecast</v>
      </c>
      <c r="I3" s="155" t="str">
        <f>Head5b</f>
        <v>Pre-audit outcome</v>
      </c>
      <c r="J3" s="152" t="str">
        <f>Head9</f>
        <v>Budget Year 2011/12</v>
      </c>
      <c r="K3" s="153" t="str">
        <f>Head10</f>
        <v>Budget Year +1 2012/13</v>
      </c>
      <c r="L3" s="154" t="str">
        <f>Head11</f>
        <v>Budget Year +2 2013/14</v>
      </c>
    </row>
    <row r="4" spans="1:12" ht="11.25" customHeight="1">
      <c r="A4" s="169" t="s">
        <v>697</v>
      </c>
      <c r="B4" s="275"/>
      <c r="C4" s="138"/>
      <c r="D4" s="138"/>
      <c r="E4" s="157"/>
      <c r="F4" s="156"/>
      <c r="G4" s="138"/>
      <c r="H4" s="157"/>
      <c r="I4" s="158"/>
      <c r="J4" s="156"/>
      <c r="K4" s="138"/>
      <c r="L4" s="157"/>
    </row>
    <row r="5" spans="1:12" ht="11.25" customHeight="1">
      <c r="A5" s="305" t="s">
        <v>1085</v>
      </c>
      <c r="B5" s="276"/>
      <c r="C5" s="401"/>
      <c r="D5" s="401"/>
      <c r="E5" s="190"/>
      <c r="F5" s="191"/>
      <c r="G5" s="401"/>
      <c r="H5" s="190"/>
      <c r="I5" s="188"/>
      <c r="J5" s="402"/>
      <c r="K5" s="401"/>
      <c r="L5" s="190"/>
    </row>
    <row r="6" spans="1:12" ht="11.25" customHeight="1">
      <c r="A6" s="170" t="str">
        <f>'A6-FinPos'!A7</f>
        <v>Call investment deposits</v>
      </c>
      <c r="B6" s="278"/>
      <c r="C6" s="189"/>
      <c r="D6" s="189"/>
      <c r="E6" s="190"/>
      <c r="F6" s="191"/>
      <c r="G6" s="189"/>
      <c r="H6" s="190"/>
      <c r="I6" s="188"/>
      <c r="J6" s="192"/>
      <c r="K6" s="189"/>
      <c r="L6" s="190"/>
    </row>
    <row r="7" spans="1:12" ht="11.25" customHeight="1">
      <c r="A7" s="179" t="s">
        <v>871</v>
      </c>
      <c r="B7" s="278"/>
      <c r="C7" s="1805">
        <v>0</v>
      </c>
      <c r="D7" s="1805">
        <f>[6]SA3!$E$7</f>
        <v>141546</v>
      </c>
      <c r="E7" s="1820">
        <v>4219398</v>
      </c>
      <c r="F7" s="1821">
        <f>[6]SA3!$J$7</f>
        <v>150000</v>
      </c>
      <c r="G7" s="1805">
        <f>'[7]opsomming 2011'!$I$32-G8</f>
        <v>9072380.5500000045</v>
      </c>
      <c r="H7" s="1805">
        <f>'[7]opsomming 2011'!$I$32-H8</f>
        <v>9072380.5500000045</v>
      </c>
      <c r="I7" s="1822">
        <v>0</v>
      </c>
      <c r="J7" s="1807">
        <f>H7-1250000</f>
        <v>7822380.5500000045</v>
      </c>
      <c r="K7" s="1805">
        <v>8324000</v>
      </c>
      <c r="L7" s="1820">
        <v>8625000</v>
      </c>
    </row>
    <row r="8" spans="1:12" ht="11.25" customHeight="1">
      <c r="A8" s="179" t="s">
        <v>1672</v>
      </c>
      <c r="B8" s="278"/>
      <c r="C8" s="1805">
        <v>0</v>
      </c>
      <c r="D8" s="1805">
        <f>[6]SA3!$E$8</f>
        <v>2394434</v>
      </c>
      <c r="E8" s="1820">
        <v>1400772</v>
      </c>
      <c r="F8" s="1821">
        <f>[6]SA3!$J$8</f>
        <v>1970000</v>
      </c>
      <c r="G8" s="1805">
        <f>'[7]opsomming 2011'!$I$12</f>
        <v>1344218.8130000001</v>
      </c>
      <c r="H8" s="1805">
        <f>'[7]opsomming 2011'!$I$12</f>
        <v>1344218.8130000001</v>
      </c>
      <c r="I8" s="1822">
        <v>0</v>
      </c>
      <c r="J8" s="1807">
        <f>G8</f>
        <v>1344218.8130000001</v>
      </c>
      <c r="K8" s="1805">
        <v>1203000</v>
      </c>
      <c r="L8" s="1820">
        <v>1401000</v>
      </c>
    </row>
    <row r="9" spans="1:12" ht="11.25" customHeight="1">
      <c r="A9" s="305" t="str">
        <f>"Total "&amp;A6</f>
        <v>Total Call investment deposits</v>
      </c>
      <c r="B9" s="278">
        <v>2</v>
      </c>
      <c r="C9" s="199">
        <f>SUM(C7:C8)</f>
        <v>0</v>
      </c>
      <c r="D9" s="199">
        <f t="shared" ref="D9:L9" si="0">SUM(D7:D8)</f>
        <v>2535980</v>
      </c>
      <c r="E9" s="200">
        <f t="shared" si="0"/>
        <v>5620170</v>
      </c>
      <c r="F9" s="201">
        <f t="shared" si="0"/>
        <v>2120000</v>
      </c>
      <c r="G9" s="199">
        <f t="shared" si="0"/>
        <v>10416599.363000005</v>
      </c>
      <c r="H9" s="200">
        <f t="shared" si="0"/>
        <v>10416599.363000005</v>
      </c>
      <c r="I9" s="198">
        <f t="shared" si="0"/>
        <v>0</v>
      </c>
      <c r="J9" s="202">
        <f t="shared" si="0"/>
        <v>9166599.3630000055</v>
      </c>
      <c r="K9" s="199">
        <f t="shared" si="0"/>
        <v>9527000</v>
      </c>
      <c r="L9" s="200">
        <f t="shared" si="0"/>
        <v>10026000</v>
      </c>
    </row>
    <row r="10" spans="1:12" ht="5.0999999999999996" customHeight="1">
      <c r="A10" s="187"/>
      <c r="B10" s="278"/>
      <c r="C10" s="189"/>
      <c r="D10" s="189"/>
      <c r="E10" s="190"/>
      <c r="F10" s="191"/>
      <c r="G10" s="189"/>
      <c r="H10" s="190"/>
      <c r="I10" s="188"/>
      <c r="J10" s="192"/>
      <c r="K10" s="189"/>
      <c r="L10" s="190"/>
    </row>
    <row r="11" spans="1:12" ht="11.25" customHeight="1">
      <c r="A11" s="170" t="str">
        <f>'A6-FinPos'!A8</f>
        <v>Consumer debtors</v>
      </c>
      <c r="B11" s="278"/>
      <c r="C11" s="189"/>
      <c r="D11" s="189"/>
      <c r="E11" s="190"/>
      <c r="F11" s="191"/>
      <c r="G11" s="189"/>
      <c r="H11" s="190"/>
      <c r="I11" s="188"/>
      <c r="J11" s="192"/>
      <c r="K11" s="189"/>
      <c r="L11" s="190"/>
    </row>
    <row r="12" spans="1:12" ht="11.25" customHeight="1">
      <c r="A12" s="179" t="str">
        <f>A11</f>
        <v>Consumer debtors</v>
      </c>
      <c r="B12" s="278"/>
      <c r="C12" s="1805"/>
      <c r="D12" s="1805">
        <f>[6]SA3!$E$12</f>
        <v>19620735</v>
      </c>
      <c r="E12" s="1820">
        <v>12910625</v>
      </c>
      <c r="F12" s="1821">
        <f>[6]SA3!$J$12</f>
        <v>24500000</v>
      </c>
      <c r="G12" s="1805">
        <f>[8]Sheet1!$N$22</f>
        <v>20575239</v>
      </c>
      <c r="H12" s="1805">
        <f>[8]Sheet1!$N$22</f>
        <v>20575239</v>
      </c>
      <c r="I12" s="1822"/>
      <c r="J12" s="1807">
        <f>H12*106%</f>
        <v>21809753.34</v>
      </c>
      <c r="K12" s="1807">
        <f>J12*106%</f>
        <v>23118338.540400002</v>
      </c>
      <c r="L12" s="1820">
        <f>J12*105.23%</f>
        <v>22950403.439681999</v>
      </c>
    </row>
    <row r="13" spans="1:12" ht="11.25" customHeight="1">
      <c r="A13" s="390" t="s">
        <v>390</v>
      </c>
      <c r="B13" s="278"/>
      <c r="C13" s="1805"/>
      <c r="D13" s="1805">
        <f>[6]SA3!$E$13</f>
        <v>-14000000</v>
      </c>
      <c r="E13" s="1820">
        <v>-8635096</v>
      </c>
      <c r="F13" s="1821">
        <f>[6]SA3!$J$13</f>
        <v>-10000000</v>
      </c>
      <c r="G13" s="1805">
        <v>-11360000</v>
      </c>
      <c r="H13" s="1805">
        <v>-11360000</v>
      </c>
      <c r="I13" s="1822"/>
      <c r="J13" s="1807">
        <v>-12100000</v>
      </c>
      <c r="K13" s="1805">
        <f>J13*109%</f>
        <v>-13189000.000000002</v>
      </c>
      <c r="L13" s="1820">
        <f>K13*106%</f>
        <v>-13980340.000000002</v>
      </c>
    </row>
    <row r="14" spans="1:12" ht="11.25" customHeight="1">
      <c r="A14" s="305" t="str">
        <f>"Total "&amp;A11</f>
        <v>Total Consumer debtors</v>
      </c>
      <c r="B14" s="278">
        <v>2</v>
      </c>
      <c r="C14" s="199">
        <f>SUM(C12:C13)</f>
        <v>0</v>
      </c>
      <c r="D14" s="199">
        <f t="shared" ref="D14:L14" si="1">SUM(D12:D13)</f>
        <v>5620735</v>
      </c>
      <c r="E14" s="200">
        <f t="shared" si="1"/>
        <v>4275529</v>
      </c>
      <c r="F14" s="201">
        <f>SUM(F12:F13)</f>
        <v>14500000</v>
      </c>
      <c r="G14" s="199">
        <f t="shared" si="1"/>
        <v>9215239</v>
      </c>
      <c r="H14" s="200">
        <f t="shared" si="1"/>
        <v>9215239</v>
      </c>
      <c r="I14" s="198">
        <f t="shared" si="1"/>
        <v>0</v>
      </c>
      <c r="J14" s="202">
        <f t="shared" si="1"/>
        <v>9709753.3399999999</v>
      </c>
      <c r="K14" s="199">
        <f t="shared" si="1"/>
        <v>9929338.5404000003</v>
      </c>
      <c r="L14" s="200">
        <f t="shared" si="1"/>
        <v>8970063.4396819975</v>
      </c>
    </row>
    <row r="15" spans="1:12" ht="5.0999999999999996" customHeight="1">
      <c r="A15" s="187"/>
      <c r="B15" s="278"/>
      <c r="C15" s="189"/>
      <c r="D15" s="189"/>
      <c r="E15" s="190"/>
      <c r="F15" s="191"/>
      <c r="G15" s="189"/>
      <c r="H15" s="190"/>
      <c r="I15" s="188"/>
      <c r="J15" s="192"/>
      <c r="K15" s="189"/>
      <c r="L15" s="190"/>
    </row>
    <row r="16" spans="1:12" ht="11.25" customHeight="1">
      <c r="A16" s="1193" t="s">
        <v>3</v>
      </c>
      <c r="B16" s="278"/>
      <c r="C16" s="189"/>
      <c r="D16" s="189"/>
      <c r="E16" s="190"/>
      <c r="F16" s="191"/>
      <c r="G16" s="189"/>
      <c r="H16" s="190"/>
      <c r="I16" s="188"/>
      <c r="J16" s="192"/>
      <c r="K16" s="189"/>
      <c r="L16" s="190"/>
    </row>
    <row r="17" spans="1:12" ht="11.25" customHeight="1">
      <c r="A17" s="393" t="s">
        <v>4</v>
      </c>
      <c r="B17" s="278"/>
      <c r="C17" s="1805"/>
      <c r="D17" s="1805">
        <v>9825200</v>
      </c>
      <c r="E17" s="1820">
        <v>9709481</v>
      </c>
      <c r="F17" s="1821"/>
      <c r="G17" s="1805">
        <f>E20</f>
        <v>8635096</v>
      </c>
      <c r="H17" s="1805">
        <f>F20</f>
        <v>0</v>
      </c>
      <c r="I17" s="1822"/>
      <c r="J17" s="1807">
        <f>G20</f>
        <v>9215096</v>
      </c>
      <c r="K17" s="1805">
        <v>9710000</v>
      </c>
      <c r="L17" s="1820">
        <v>9929000</v>
      </c>
    </row>
    <row r="18" spans="1:12" ht="11.25" customHeight="1">
      <c r="A18" s="393" t="s">
        <v>5</v>
      </c>
      <c r="B18" s="278"/>
      <c r="C18" s="1805"/>
      <c r="D18" s="1805">
        <v>-115719</v>
      </c>
      <c r="E18" s="1820">
        <v>2290114</v>
      </c>
      <c r="F18" s="1821"/>
      <c r="G18" s="1805">
        <v>3100000</v>
      </c>
      <c r="H18" s="1805">
        <v>3100000</v>
      </c>
      <c r="I18" s="1822"/>
      <c r="J18" s="1807">
        <v>3400000</v>
      </c>
      <c r="K18" s="1805">
        <v>3600000</v>
      </c>
      <c r="L18" s="1820">
        <v>3700000</v>
      </c>
    </row>
    <row r="19" spans="1:12" ht="11.25" customHeight="1">
      <c r="A19" s="393" t="s">
        <v>6</v>
      </c>
      <c r="B19" s="278"/>
      <c r="C19" s="1805"/>
      <c r="D19" s="1805">
        <v>0</v>
      </c>
      <c r="E19" s="1820">
        <v>-3364499</v>
      </c>
      <c r="F19" s="1821"/>
      <c r="G19" s="1805">
        <f>-(11735000-9215000)</f>
        <v>-2520000</v>
      </c>
      <c r="H19" s="1805">
        <f>-(11735000-9215000)</f>
        <v>-2520000</v>
      </c>
      <c r="I19" s="1822"/>
      <c r="J19" s="1807">
        <f>-(12615000-9710000)</f>
        <v>-2905000</v>
      </c>
      <c r="K19" s="1805">
        <f>-(13310000-9929000)</f>
        <v>-3381000</v>
      </c>
      <c r="L19" s="1820">
        <f>-(13629000-8970000)</f>
        <v>-4659000</v>
      </c>
    </row>
    <row r="20" spans="1:12" ht="11.25" customHeight="1">
      <c r="A20" s="1192" t="s">
        <v>7</v>
      </c>
      <c r="B20" s="278"/>
      <c r="C20" s="199">
        <f>SUM(C17:C19)</f>
        <v>0</v>
      </c>
      <c r="D20" s="199">
        <f t="shared" ref="D20:L20" si="2">SUM(D17:D19)</f>
        <v>9709481</v>
      </c>
      <c r="E20" s="200">
        <f t="shared" si="2"/>
        <v>8635096</v>
      </c>
      <c r="F20" s="201">
        <f t="shared" si="2"/>
        <v>0</v>
      </c>
      <c r="G20" s="199">
        <f t="shared" si="2"/>
        <v>9215096</v>
      </c>
      <c r="H20" s="200">
        <f t="shared" si="2"/>
        <v>580000</v>
      </c>
      <c r="I20" s="198">
        <f t="shared" si="2"/>
        <v>0</v>
      </c>
      <c r="J20" s="202">
        <f t="shared" si="2"/>
        <v>9710096</v>
      </c>
      <c r="K20" s="199">
        <f t="shared" si="2"/>
        <v>9929000</v>
      </c>
      <c r="L20" s="200">
        <f t="shared" si="2"/>
        <v>8970000</v>
      </c>
    </row>
    <row r="21" spans="1:12" ht="5.0999999999999996" customHeight="1">
      <c r="A21" s="187"/>
      <c r="B21" s="278"/>
      <c r="C21" s="189"/>
      <c r="D21" s="189"/>
      <c r="E21" s="190"/>
      <c r="F21" s="191"/>
      <c r="G21" s="189"/>
      <c r="H21" s="190"/>
      <c r="I21" s="188"/>
      <c r="J21" s="192"/>
      <c r="K21" s="189"/>
      <c r="L21" s="190"/>
    </row>
    <row r="22" spans="1:12" ht="11.25" customHeight="1">
      <c r="A22" s="170" t="str">
        <f>'A6-FinPos'!A19&amp;" (PPE)"</f>
        <v>Property, plant and equipment (PPE)</v>
      </c>
      <c r="B22" s="278"/>
      <c r="C22" s="189"/>
      <c r="D22" s="189"/>
      <c r="E22" s="190"/>
      <c r="F22" s="191"/>
      <c r="G22" s="189"/>
      <c r="H22" s="190"/>
      <c r="I22" s="188"/>
      <c r="J22" s="192"/>
      <c r="K22" s="189"/>
      <c r="L22" s="190"/>
    </row>
    <row r="23" spans="1:12" ht="11.25" customHeight="1">
      <c r="A23" s="304" t="s">
        <v>1780</v>
      </c>
      <c r="B23" s="278"/>
      <c r="C23" s="1805"/>
      <c r="D23" s="1805">
        <f>[5]SA3!$E$23</f>
        <v>92609993</v>
      </c>
      <c r="E23" s="1820">
        <f>93125651+15002287-E24</f>
        <v>107819850</v>
      </c>
      <c r="F23" s="1821">
        <f>[6]SA3!$J$23</f>
        <v>105000000</v>
      </c>
      <c r="G23" s="1805"/>
      <c r="H23" s="1820"/>
      <c r="I23" s="1822"/>
      <c r="J23" s="1807">
        <f>'[9]BATEREGISTER 30  06  2010'!$W$3172</f>
        <v>108510467.66192767</v>
      </c>
      <c r="K23" s="1805">
        <f>J23*106%</f>
        <v>115021095.72164334</v>
      </c>
      <c r="L23" s="1820">
        <f>K23*107%</f>
        <v>123072572.42215839</v>
      </c>
    </row>
    <row r="24" spans="1:12" ht="11.25" customHeight="1">
      <c r="A24" s="304" t="s">
        <v>1122</v>
      </c>
      <c r="B24" s="278">
        <v>3</v>
      </c>
      <c r="C24" s="1805"/>
      <c r="D24" s="1805">
        <f>[5]SA3!$E$24</f>
        <v>16634242</v>
      </c>
      <c r="E24" s="1820">
        <f>131015+177073</f>
        <v>308088</v>
      </c>
      <c r="F24" s="1821">
        <f>[6]SA3!$J$24</f>
        <v>10789000</v>
      </c>
      <c r="G24" s="1805"/>
      <c r="H24" s="1820"/>
      <c r="I24" s="1822"/>
      <c r="J24" s="1807"/>
      <c r="K24" s="1805"/>
      <c r="L24" s="1820"/>
    </row>
    <row r="25" spans="1:12" ht="11.25" customHeight="1">
      <c r="A25" s="1502" t="s">
        <v>872</v>
      </c>
      <c r="B25" s="278"/>
      <c r="C25" s="1805"/>
      <c r="D25" s="1805">
        <f>[5]SA3!$E$25</f>
        <v>-97852</v>
      </c>
      <c r="E25" s="1820">
        <v>12790406</v>
      </c>
      <c r="F25" s="1821">
        <f>[6]SA3!$J$25</f>
        <v>-4870000</v>
      </c>
      <c r="G25" s="1805"/>
      <c r="H25" s="1820"/>
      <c r="I25" s="1822"/>
      <c r="J25" s="1807">
        <f>-'[9]BATEREGISTER 30  06  2010'!$AD$3172</f>
        <v>-5292733.0649144258</v>
      </c>
      <c r="K25" s="1805">
        <f>J25*106%</f>
        <v>-5610297.0488092918</v>
      </c>
      <c r="L25" s="1820">
        <f>K25*103.45%</f>
        <v>-5803852.2969932118</v>
      </c>
    </row>
    <row r="26" spans="1:12" ht="11.25" customHeight="1">
      <c r="A26" s="305" t="str">
        <f>"Total "&amp;A22</f>
        <v>Total Property, plant and equipment (PPE)</v>
      </c>
      <c r="B26" s="278">
        <v>2</v>
      </c>
      <c r="C26" s="199">
        <f>SUM(C23:C24)-C25</f>
        <v>0</v>
      </c>
      <c r="D26" s="199">
        <f t="shared" ref="D26:L26" si="3">SUM(D23:D24)-D25</f>
        <v>109342087</v>
      </c>
      <c r="E26" s="200">
        <f t="shared" si="3"/>
        <v>95337532</v>
      </c>
      <c r="F26" s="201">
        <f t="shared" si="3"/>
        <v>120659000</v>
      </c>
      <c r="G26" s="199">
        <f t="shared" si="3"/>
        <v>0</v>
      </c>
      <c r="H26" s="200">
        <f t="shared" si="3"/>
        <v>0</v>
      </c>
      <c r="I26" s="198">
        <f t="shared" si="3"/>
        <v>0</v>
      </c>
      <c r="J26" s="202">
        <f t="shared" si="3"/>
        <v>113803200.72684209</v>
      </c>
      <c r="K26" s="199">
        <f t="shared" si="3"/>
        <v>120631392.77045263</v>
      </c>
      <c r="L26" s="200">
        <f t="shared" si="3"/>
        <v>128876424.7191516</v>
      </c>
    </row>
    <row r="27" spans="1:12" ht="5.0999999999999996" customHeight="1">
      <c r="A27" s="187"/>
      <c r="B27" s="278"/>
      <c r="C27" s="189"/>
      <c r="D27" s="189"/>
      <c r="E27" s="190"/>
      <c r="F27" s="191"/>
      <c r="G27" s="189"/>
      <c r="H27" s="190"/>
      <c r="I27" s="188"/>
      <c r="J27" s="192"/>
      <c r="K27" s="189"/>
      <c r="L27" s="190"/>
    </row>
    <row r="28" spans="1:12" ht="15.75" customHeight="1">
      <c r="A28" s="382" t="s">
        <v>597</v>
      </c>
      <c r="B28" s="383"/>
      <c r="C28" s="384"/>
      <c r="D28" s="384"/>
      <c r="E28" s="385"/>
      <c r="F28" s="386"/>
      <c r="G28" s="384"/>
      <c r="H28" s="385"/>
      <c r="I28" s="387"/>
      <c r="J28" s="388"/>
      <c r="K28" s="384"/>
      <c r="L28" s="385"/>
    </row>
    <row r="29" spans="1:12" ht="11.25" customHeight="1">
      <c r="A29" s="170" t="str">
        <f>'A6-FinPos'!A28&amp;" - "&amp;'A6-FinPos'!A30</f>
        <v>Current liabilities - Borrowing</v>
      </c>
      <c r="B29" s="278"/>
      <c r="C29" s="189"/>
      <c r="D29" s="189"/>
      <c r="E29" s="190"/>
      <c r="F29" s="191"/>
      <c r="G29" s="189"/>
      <c r="H29" s="190"/>
      <c r="I29" s="188"/>
      <c r="J29" s="192"/>
      <c r="K29" s="189"/>
      <c r="L29" s="190"/>
    </row>
    <row r="30" spans="1:12" ht="11.25" customHeight="1">
      <c r="A30" s="179" t="s">
        <v>736</v>
      </c>
      <c r="B30" s="278"/>
      <c r="C30" s="1805"/>
      <c r="D30" s="1805"/>
      <c r="E30" s="1820">
        <v>0</v>
      </c>
      <c r="F30" s="1821"/>
      <c r="G30" s="1805"/>
      <c r="H30" s="1820"/>
      <c r="I30" s="1822"/>
      <c r="J30" s="1807"/>
      <c r="K30" s="1805"/>
      <c r="L30" s="1820"/>
    </row>
    <row r="31" spans="1:12" ht="11.25" customHeight="1">
      <c r="A31" s="179" t="s">
        <v>1616</v>
      </c>
      <c r="B31" s="278"/>
      <c r="C31" s="1805"/>
      <c r="D31" s="1805">
        <f>[6]SA3!$E$31</f>
        <v>99382</v>
      </c>
      <c r="E31" s="1820">
        <v>197567</v>
      </c>
      <c r="F31" s="1821">
        <f>[6]SA3!$J$31</f>
        <v>99382</v>
      </c>
      <c r="G31" s="1805">
        <f>27000*12</f>
        <v>324000</v>
      </c>
      <c r="H31" s="1820"/>
      <c r="I31" s="1822"/>
      <c r="J31" s="1807">
        <f>'A4-FinPerf RE'!J29</f>
        <v>453000</v>
      </c>
      <c r="K31" s="1805">
        <f>J31*106.324%</f>
        <v>481647.72</v>
      </c>
      <c r="L31" s="1820">
        <f>K31*106%</f>
        <v>510546.58319999999</v>
      </c>
    </row>
    <row r="32" spans="1:12" ht="11.25" customHeight="1">
      <c r="A32" s="305" t="str">
        <f>"Total "&amp;A29</f>
        <v>Total Current liabilities - Borrowing</v>
      </c>
      <c r="B32" s="278"/>
      <c r="C32" s="199">
        <f>SUM(C30:C31)</f>
        <v>0</v>
      </c>
      <c r="D32" s="199">
        <f t="shared" ref="D32:L32" si="4">SUM(D30:D31)</f>
        <v>99382</v>
      </c>
      <c r="E32" s="200">
        <f t="shared" si="4"/>
        <v>197567</v>
      </c>
      <c r="F32" s="201">
        <f t="shared" si="4"/>
        <v>99382</v>
      </c>
      <c r="G32" s="199">
        <f t="shared" si="4"/>
        <v>324000</v>
      </c>
      <c r="H32" s="200">
        <f t="shared" si="4"/>
        <v>0</v>
      </c>
      <c r="I32" s="198">
        <f t="shared" si="4"/>
        <v>0</v>
      </c>
      <c r="J32" s="202">
        <f t="shared" si="4"/>
        <v>453000</v>
      </c>
      <c r="K32" s="199">
        <f t="shared" si="4"/>
        <v>481647.72</v>
      </c>
      <c r="L32" s="200">
        <f t="shared" si="4"/>
        <v>510546.58319999999</v>
      </c>
    </row>
    <row r="33" spans="1:14" ht="5.0999999999999996" customHeight="1">
      <c r="A33" s="187"/>
      <c r="B33" s="278"/>
      <c r="C33" s="189"/>
      <c r="D33" s="189"/>
      <c r="E33" s="190"/>
      <c r="F33" s="191"/>
      <c r="G33" s="189"/>
      <c r="H33" s="190"/>
      <c r="I33" s="188"/>
      <c r="J33" s="192"/>
      <c r="K33" s="189"/>
      <c r="L33" s="190"/>
    </row>
    <row r="34" spans="1:14" ht="11.25" customHeight="1">
      <c r="A34" s="170" t="str">
        <f>'A6-FinPos'!A32</f>
        <v>Trade and other payables</v>
      </c>
      <c r="B34" s="278"/>
      <c r="C34" s="296"/>
      <c r="D34" s="296"/>
      <c r="E34" s="299"/>
      <c r="F34" s="298"/>
      <c r="G34" s="296"/>
      <c r="H34" s="299"/>
      <c r="I34" s="297"/>
      <c r="J34" s="381"/>
      <c r="K34" s="296"/>
      <c r="L34" s="299"/>
    </row>
    <row r="35" spans="1:14" ht="11.25" customHeight="1">
      <c r="A35" s="304" t="s">
        <v>1022</v>
      </c>
      <c r="B35" s="278"/>
      <c r="C35" s="1805"/>
      <c r="D35" s="1805">
        <f>[6]SA3!$E$35</f>
        <v>1301197</v>
      </c>
      <c r="E35" s="1820">
        <v>6972613</v>
      </c>
      <c r="F35" s="1821">
        <f>[6]SA3!$J$35</f>
        <v>1305000</v>
      </c>
      <c r="G35" s="1805">
        <f>[10]Sheet1!$N$28</f>
        <v>2095753</v>
      </c>
      <c r="H35" s="1820"/>
      <c r="I35" s="1822"/>
      <c r="J35" s="1807">
        <f>E35*106%</f>
        <v>7390969.7800000003</v>
      </c>
      <c r="K35" s="1805">
        <v>6231000</v>
      </c>
      <c r="L35" s="1820">
        <v>4311000</v>
      </c>
    </row>
    <row r="36" spans="1:14" ht="11.25" customHeight="1">
      <c r="A36" s="304" t="s">
        <v>1136</v>
      </c>
      <c r="B36" s="278"/>
      <c r="C36" s="1805"/>
      <c r="D36" s="1805">
        <f>[6]SA3!$E$36</f>
        <v>1390173</v>
      </c>
      <c r="E36" s="1820">
        <v>4424756</v>
      </c>
      <c r="F36" s="1821"/>
      <c r="G36" s="1805">
        <f>'[7]opsomming 2011'!$I$6+'[7]opsomming 2011'!$I$9+'[7]opsomming 2011'!$I$10+'[7]opsomming 2011'!$I$31</f>
        <v>1883094.3500000003</v>
      </c>
      <c r="H36" s="1820"/>
      <c r="I36" s="1822"/>
      <c r="J36" s="1807">
        <v>0</v>
      </c>
      <c r="K36" s="1805">
        <v>0</v>
      </c>
      <c r="L36" s="1820">
        <v>0</v>
      </c>
    </row>
    <row r="37" spans="1:14" ht="11.25" customHeight="1">
      <c r="A37" s="304" t="s">
        <v>1615</v>
      </c>
      <c r="B37" s="278"/>
      <c r="C37" s="1805"/>
      <c r="D37" s="1805">
        <f>[6]SA3!$E$37</f>
        <v>0</v>
      </c>
      <c r="E37" s="1820">
        <v>0</v>
      </c>
      <c r="F37" s="1821"/>
      <c r="G37" s="1805">
        <v>0</v>
      </c>
      <c r="H37" s="1820"/>
      <c r="I37" s="1822"/>
      <c r="J37" s="1807">
        <v>0</v>
      </c>
      <c r="K37" s="1805">
        <v>0</v>
      </c>
      <c r="L37" s="1820">
        <v>0</v>
      </c>
    </row>
    <row r="38" spans="1:14" ht="11.25" customHeight="1">
      <c r="A38" s="305" t="str">
        <f>"Total "&amp;A34</f>
        <v>Total Trade and other payables</v>
      </c>
      <c r="B38" s="278">
        <v>2</v>
      </c>
      <c r="C38" s="199">
        <f t="shared" ref="C38:K38" si="5">SUM(C35:C37)</f>
        <v>0</v>
      </c>
      <c r="D38" s="199">
        <f t="shared" si="5"/>
        <v>2691370</v>
      </c>
      <c r="E38" s="200">
        <f t="shared" si="5"/>
        <v>11397369</v>
      </c>
      <c r="F38" s="201">
        <f t="shared" si="5"/>
        <v>1305000</v>
      </c>
      <c r="G38" s="199">
        <f t="shared" si="5"/>
        <v>3978847.3500000006</v>
      </c>
      <c r="H38" s="200">
        <f t="shared" si="5"/>
        <v>0</v>
      </c>
      <c r="I38" s="198">
        <f t="shared" si="5"/>
        <v>0</v>
      </c>
      <c r="J38" s="202">
        <f t="shared" si="5"/>
        <v>7390969.7800000003</v>
      </c>
      <c r="K38" s="199">
        <f t="shared" si="5"/>
        <v>6231000</v>
      </c>
      <c r="L38" s="200">
        <f>SUM(L35:L37)</f>
        <v>4311000</v>
      </c>
    </row>
    <row r="39" spans="1:14" ht="5.0999999999999996" customHeight="1">
      <c r="A39" s="187"/>
      <c r="B39" s="278"/>
      <c r="C39" s="189"/>
      <c r="D39" s="189"/>
      <c r="E39" s="190"/>
      <c r="F39" s="191"/>
      <c r="G39" s="189"/>
      <c r="H39" s="190"/>
      <c r="I39" s="188"/>
      <c r="J39" s="192"/>
      <c r="K39" s="189"/>
      <c r="L39" s="190"/>
    </row>
    <row r="40" spans="1:14" ht="11.25" customHeight="1">
      <c r="A40" s="170" t="str">
        <f>'A6-FinPos'!A36&amp;" - "&amp;'A6-FinPos'!A37</f>
        <v>Non current liabilities - Borrowing</v>
      </c>
      <c r="B40" s="278"/>
      <c r="C40" s="189"/>
      <c r="D40" s="189"/>
      <c r="E40" s="190"/>
      <c r="F40" s="191"/>
      <c r="G40" s="189"/>
      <c r="H40" s="190"/>
      <c r="I40" s="188"/>
      <c r="J40" s="192"/>
      <c r="K40" s="189"/>
      <c r="L40" s="190"/>
      <c r="N40" s="150">
        <v>588899.75</v>
      </c>
    </row>
    <row r="41" spans="1:14" ht="11.25" customHeight="1">
      <c r="A41" s="179" t="s">
        <v>1374</v>
      </c>
      <c r="B41" s="278">
        <v>4</v>
      </c>
      <c r="C41" s="1805"/>
      <c r="D41" s="1805">
        <f>[6]SA3!$E$41</f>
        <v>1436000</v>
      </c>
      <c r="E41" s="1820">
        <v>1436000</v>
      </c>
      <c r="F41" s="1821">
        <f>[6]SA3!$J$41</f>
        <v>1436000</v>
      </c>
      <c r="G41" s="1805">
        <v>1436000</v>
      </c>
      <c r="H41" s="1820"/>
      <c r="I41" s="1822"/>
      <c r="J41" s="1807">
        <v>1436000</v>
      </c>
      <c r="K41" s="1805">
        <v>1436000</v>
      </c>
      <c r="L41" s="1820">
        <v>1436000</v>
      </c>
      <c r="N41" s="150">
        <v>292908</v>
      </c>
    </row>
    <row r="42" spans="1:14" ht="11.25" customHeight="1">
      <c r="A42" s="179" t="s">
        <v>1112</v>
      </c>
      <c r="B42" s="278"/>
      <c r="C42" s="1805"/>
      <c r="D42" s="1805"/>
      <c r="E42" s="1820"/>
      <c r="F42" s="1821"/>
      <c r="G42" s="1805"/>
      <c r="H42" s="1820"/>
      <c r="I42" s="1822"/>
      <c r="J42" s="1807"/>
      <c r="K42" s="1805"/>
      <c r="L42" s="1820"/>
      <c r="N42" s="150">
        <v>22977.09</v>
      </c>
    </row>
    <row r="43" spans="1:14" ht="11.25" customHeight="1">
      <c r="A43" s="305" t="str">
        <f>"Total "&amp;A40</f>
        <v>Total Non current liabilities - Borrowing</v>
      </c>
      <c r="B43" s="278"/>
      <c r="C43" s="199">
        <f>SUM(C41:C42)</f>
        <v>0</v>
      </c>
      <c r="D43" s="199">
        <f t="shared" ref="D43:L43" si="6">SUM(D41:D42)</f>
        <v>1436000</v>
      </c>
      <c r="E43" s="200">
        <f t="shared" si="6"/>
        <v>1436000</v>
      </c>
      <c r="F43" s="201">
        <f t="shared" si="6"/>
        <v>1436000</v>
      </c>
      <c r="G43" s="199">
        <f t="shared" si="6"/>
        <v>1436000</v>
      </c>
      <c r="H43" s="200">
        <f t="shared" si="6"/>
        <v>0</v>
      </c>
      <c r="I43" s="198">
        <f t="shared" si="6"/>
        <v>0</v>
      </c>
      <c r="J43" s="202">
        <f t="shared" si="6"/>
        <v>1436000</v>
      </c>
      <c r="K43" s="199">
        <f t="shared" si="6"/>
        <v>1436000</v>
      </c>
      <c r="L43" s="200">
        <f t="shared" si="6"/>
        <v>1436000</v>
      </c>
    </row>
    <row r="44" spans="1:14" ht="5.0999999999999996" customHeight="1">
      <c r="A44" s="187"/>
      <c r="B44" s="278"/>
      <c r="C44" s="189"/>
      <c r="D44" s="189"/>
      <c r="E44" s="190"/>
      <c r="F44" s="191"/>
      <c r="G44" s="189"/>
      <c r="H44" s="190"/>
      <c r="I44" s="188"/>
      <c r="J44" s="192"/>
      <c r="K44" s="189"/>
      <c r="L44" s="190"/>
    </row>
    <row r="45" spans="1:14" ht="11.25" customHeight="1">
      <c r="A45" s="170" t="str">
        <f>'A6-FinPos'!A38&amp;" - non-current"</f>
        <v>Provisions - non-current</v>
      </c>
      <c r="B45" s="278"/>
      <c r="C45" s="189"/>
      <c r="D45" s="189"/>
      <c r="E45" s="190"/>
      <c r="F45" s="191"/>
      <c r="G45" s="189"/>
      <c r="H45" s="190"/>
      <c r="I45" s="188"/>
      <c r="J45" s="192"/>
      <c r="K45" s="189"/>
      <c r="L45" s="190"/>
    </row>
    <row r="46" spans="1:14" ht="11.25" customHeight="1">
      <c r="A46" s="179" t="s">
        <v>1448</v>
      </c>
      <c r="B46" s="278"/>
      <c r="C46" s="1805"/>
      <c r="D46" s="1805"/>
      <c r="E46" s="1820"/>
      <c r="F46" s="1821"/>
      <c r="G46" s="1805"/>
      <c r="H46" s="1820"/>
      <c r="I46" s="1822"/>
      <c r="J46" s="1807"/>
      <c r="K46" s="1805"/>
      <c r="L46" s="1820"/>
    </row>
    <row r="47" spans="1:14" ht="11.25" customHeight="1">
      <c r="A47" s="391" t="s">
        <v>1450</v>
      </c>
      <c r="B47" s="278"/>
      <c r="C47" s="189"/>
      <c r="D47" s="189"/>
      <c r="E47" s="190"/>
      <c r="F47" s="191"/>
      <c r="G47" s="189"/>
      <c r="H47" s="190"/>
      <c r="I47" s="188"/>
      <c r="J47" s="192"/>
      <c r="K47" s="189"/>
      <c r="L47" s="190"/>
    </row>
    <row r="48" spans="1:14" ht="11.25" customHeight="1">
      <c r="A48" s="1817" t="s">
        <v>285</v>
      </c>
      <c r="B48" s="278"/>
      <c r="C48" s="1805"/>
      <c r="D48" s="1805"/>
      <c r="E48" s="1820"/>
      <c r="F48" s="1821"/>
      <c r="G48" s="1805"/>
      <c r="H48" s="1820"/>
      <c r="I48" s="1822"/>
      <c r="J48" s="1807"/>
      <c r="K48" s="1805"/>
      <c r="L48" s="1820"/>
    </row>
    <row r="49" spans="1:12" ht="11.25" customHeight="1">
      <c r="A49" s="1817" t="s">
        <v>2191</v>
      </c>
      <c r="B49" s="278"/>
      <c r="C49" s="1805"/>
      <c r="D49" s="1805"/>
      <c r="E49" s="1820"/>
      <c r="F49" s="1821"/>
      <c r="G49" s="1805"/>
      <c r="H49" s="1820"/>
      <c r="I49" s="1822"/>
      <c r="J49" s="1807"/>
      <c r="K49" s="1805"/>
      <c r="L49" s="1820"/>
    </row>
    <row r="50" spans="1:12" ht="11.25" customHeight="1">
      <c r="A50" s="305" t="str">
        <f>"Total "&amp;A45</f>
        <v>Total Provisions - non-current</v>
      </c>
      <c r="B50" s="278"/>
      <c r="C50" s="199">
        <f t="shared" ref="C50:L50" si="7">SUM(C46:C49)</f>
        <v>0</v>
      </c>
      <c r="D50" s="199">
        <f t="shared" si="7"/>
        <v>0</v>
      </c>
      <c r="E50" s="200">
        <f t="shared" si="7"/>
        <v>0</v>
      </c>
      <c r="F50" s="201">
        <f t="shared" si="7"/>
        <v>0</v>
      </c>
      <c r="G50" s="199">
        <f t="shared" si="7"/>
        <v>0</v>
      </c>
      <c r="H50" s="200">
        <f t="shared" si="7"/>
        <v>0</v>
      </c>
      <c r="I50" s="198">
        <f t="shared" si="7"/>
        <v>0</v>
      </c>
      <c r="J50" s="202">
        <f t="shared" si="7"/>
        <v>0</v>
      </c>
      <c r="K50" s="199">
        <f t="shared" si="7"/>
        <v>0</v>
      </c>
      <c r="L50" s="200">
        <f t="shared" si="7"/>
        <v>0</v>
      </c>
    </row>
    <row r="51" spans="1:12" ht="5.0999999999999996" customHeight="1">
      <c r="A51" s="187"/>
      <c r="B51" s="278"/>
      <c r="C51" s="189"/>
      <c r="D51" s="189"/>
      <c r="E51" s="190"/>
      <c r="F51" s="191"/>
      <c r="G51" s="189"/>
      <c r="H51" s="190"/>
      <c r="I51" s="188"/>
      <c r="J51" s="192"/>
      <c r="K51" s="189"/>
      <c r="L51" s="190"/>
    </row>
    <row r="52" spans="1:12" ht="15.75" customHeight="1">
      <c r="A52" s="403" t="s">
        <v>1135</v>
      </c>
      <c r="B52" s="383"/>
      <c r="C52" s="384"/>
      <c r="D52" s="384"/>
      <c r="E52" s="385"/>
      <c r="F52" s="386"/>
      <c r="G52" s="384"/>
      <c r="H52" s="385"/>
      <c r="I52" s="387"/>
      <c r="J52" s="388"/>
      <c r="K52" s="384"/>
      <c r="L52" s="385"/>
    </row>
    <row r="53" spans="1:12" ht="11.25" customHeight="1">
      <c r="A53" s="377" t="str">
        <f>'A6-FinPos'!A45</f>
        <v>Accumulated Surplus/(Deficit)</v>
      </c>
      <c r="B53" s="278"/>
      <c r="C53" s="189"/>
      <c r="D53" s="189"/>
      <c r="E53" s="190"/>
      <c r="F53" s="191"/>
      <c r="G53" s="189"/>
      <c r="H53" s="190"/>
      <c r="I53" s="188"/>
      <c r="J53" s="192"/>
      <c r="K53" s="189"/>
      <c r="L53" s="190"/>
    </row>
    <row r="54" spans="1:12" ht="11.25" customHeight="1">
      <c r="A54" s="179" t="str">
        <f>A53&amp;" - opening balance"</f>
        <v>Accumulated Surplus/(Deficit) - opening balance</v>
      </c>
      <c r="B54" s="278"/>
      <c r="C54" s="1805"/>
      <c r="D54" s="1805">
        <f>[5]SA3!$E$54</f>
        <v>5072892</v>
      </c>
      <c r="E54" s="1820">
        <v>108892395</v>
      </c>
      <c r="F54" s="1821">
        <f>[6]SA3!$J$54</f>
        <v>5000000</v>
      </c>
      <c r="G54" s="1805"/>
      <c r="H54" s="1820"/>
      <c r="I54" s="1822"/>
      <c r="J54" s="1807"/>
      <c r="K54" s="1805"/>
      <c r="L54" s="1820"/>
    </row>
    <row r="55" spans="1:12" ht="11.25" customHeight="1">
      <c r="A55" s="179" t="s">
        <v>1812</v>
      </c>
      <c r="B55" s="278"/>
      <c r="C55" s="1805"/>
      <c r="D55" s="1805"/>
      <c r="E55" s="1820">
        <v>0</v>
      </c>
      <c r="F55" s="1821"/>
      <c r="G55" s="1805"/>
      <c r="H55" s="1820"/>
      <c r="I55" s="1822"/>
      <c r="J55" s="1807"/>
      <c r="K55" s="1805"/>
      <c r="L55" s="1820"/>
    </row>
    <row r="56" spans="1:12" ht="11.25" customHeight="1">
      <c r="A56" s="179" t="s">
        <v>1814</v>
      </c>
      <c r="B56" s="278"/>
      <c r="C56" s="189">
        <f>SUM(C54:C55)</f>
        <v>0</v>
      </c>
      <c r="D56" s="189">
        <f>SUM(D54:D55)</f>
        <v>5072892</v>
      </c>
      <c r="E56" s="190">
        <f>SUM(E54:E55)</f>
        <v>108892395</v>
      </c>
      <c r="F56" s="191">
        <f t="shared" ref="F56:L56" si="8">SUM(F54:F55)</f>
        <v>5000000</v>
      </c>
      <c r="G56" s="189">
        <f t="shared" si="8"/>
        <v>0</v>
      </c>
      <c r="H56" s="190">
        <f t="shared" si="8"/>
        <v>0</v>
      </c>
      <c r="I56" s="188">
        <f t="shared" si="8"/>
        <v>0</v>
      </c>
      <c r="J56" s="192">
        <f t="shared" si="8"/>
        <v>0</v>
      </c>
      <c r="K56" s="189">
        <f t="shared" si="8"/>
        <v>0</v>
      </c>
      <c r="L56" s="190">
        <f t="shared" si="8"/>
        <v>0</v>
      </c>
    </row>
    <row r="57" spans="1:12" ht="11.25" customHeight="1">
      <c r="A57" s="179" t="str">
        <f>'A4-FinPerf RE'!A38</f>
        <v>Surplus/(Deficit)</v>
      </c>
      <c r="B57" s="278"/>
      <c r="C57" s="193">
        <f>'A4-FinPerf RE'!C46</f>
        <v>1233944.2399999984</v>
      </c>
      <c r="D57" s="193">
        <f>'A4-FinPerf RE'!D46</f>
        <v>19406328.434558831</v>
      </c>
      <c r="E57" s="250">
        <f>'A4-FinPerf RE'!E46</f>
        <v>11121676.835485183</v>
      </c>
      <c r="F57" s="237">
        <f>'A4-FinPerf RE'!F46</f>
        <v>-60</v>
      </c>
      <c r="G57" s="189">
        <f>'A4-FinPerf RE'!G46</f>
        <v>1916035</v>
      </c>
      <c r="H57" s="190">
        <f>'A4-FinPerf RE'!H46</f>
        <v>90237</v>
      </c>
      <c r="I57" s="188">
        <f>'A4-FinPerf RE'!I46</f>
        <v>90237</v>
      </c>
      <c r="J57" s="197">
        <f>'A4-FinPerf RE'!J46</f>
        <v>-7179631.3575254828</v>
      </c>
      <c r="K57" s="193">
        <f>'A4-FinPerf RE'!K46</f>
        <v>5887458.7685180008</v>
      </c>
      <c r="L57" s="190">
        <f>'A4-FinPerf RE'!L46</f>
        <v>5931942.8055805266</v>
      </c>
    </row>
    <row r="58" spans="1:12" ht="11.25" customHeight="1">
      <c r="A58" s="179" t="s">
        <v>1810</v>
      </c>
      <c r="B58" s="278"/>
      <c r="C58" s="1805"/>
      <c r="D58" s="1805"/>
      <c r="E58" s="1820"/>
      <c r="F58" s="1821"/>
      <c r="G58" s="1805"/>
      <c r="H58" s="1820"/>
      <c r="I58" s="1822"/>
      <c r="J58" s="1807"/>
      <c r="K58" s="1805"/>
      <c r="L58" s="1820"/>
    </row>
    <row r="59" spans="1:12" ht="11.25" customHeight="1">
      <c r="A59" s="179" t="s">
        <v>1811</v>
      </c>
      <c r="B59" s="278"/>
      <c r="C59" s="1805"/>
      <c r="D59" s="1805">
        <v>-1561250</v>
      </c>
      <c r="E59" s="1820"/>
      <c r="F59" s="1821"/>
      <c r="G59" s="1805"/>
      <c r="H59" s="1820"/>
      <c r="I59" s="1822"/>
      <c r="J59" s="1807"/>
      <c r="K59" s="1805"/>
      <c r="L59" s="1820"/>
    </row>
    <row r="60" spans="1:12" ht="11.25" customHeight="1">
      <c r="A60" s="179" t="s">
        <v>1440</v>
      </c>
      <c r="B60" s="278"/>
      <c r="C60" s="1805"/>
      <c r="D60" s="1805"/>
      <c r="E60" s="1820"/>
      <c r="F60" s="1821"/>
      <c r="G60" s="1805"/>
      <c r="H60" s="1820"/>
      <c r="I60" s="1822"/>
      <c r="J60" s="1807"/>
      <c r="K60" s="1805"/>
      <c r="L60" s="1820"/>
    </row>
    <row r="61" spans="1:12" ht="11.25" customHeight="1">
      <c r="A61" s="179" t="s">
        <v>1813</v>
      </c>
      <c r="B61" s="278"/>
      <c r="C61" s="1805"/>
      <c r="D61" s="1805"/>
      <c r="E61" s="1820"/>
      <c r="F61" s="1821"/>
      <c r="G61" s="1805"/>
      <c r="H61" s="1820"/>
      <c r="I61" s="1822"/>
      <c r="J61" s="1807"/>
      <c r="K61" s="1805"/>
      <c r="L61" s="1820"/>
    </row>
    <row r="62" spans="1:12" ht="11.25" customHeight="1">
      <c r="A62" s="1259" t="s">
        <v>442</v>
      </c>
      <c r="B62" s="278">
        <v>1</v>
      </c>
      <c r="C62" s="199">
        <f>SUM(C56:C61)</f>
        <v>1233944.2399999984</v>
      </c>
      <c r="D62" s="199">
        <f>SUM(D56:D61)</f>
        <v>22917970.434558831</v>
      </c>
      <c r="E62" s="200">
        <f t="shared" ref="E62:L62" si="9">SUM(E56:E61)</f>
        <v>120014071.83548519</v>
      </c>
      <c r="F62" s="201">
        <f t="shared" si="9"/>
        <v>4999940</v>
      </c>
      <c r="G62" s="199">
        <f t="shared" si="9"/>
        <v>1916035</v>
      </c>
      <c r="H62" s="200">
        <f t="shared" si="9"/>
        <v>90237</v>
      </c>
      <c r="I62" s="198">
        <f t="shared" si="9"/>
        <v>90237</v>
      </c>
      <c r="J62" s="202">
        <f t="shared" si="9"/>
        <v>-7179631.3575254828</v>
      </c>
      <c r="K62" s="199">
        <f t="shared" si="9"/>
        <v>5887458.7685180008</v>
      </c>
      <c r="L62" s="200">
        <f t="shared" si="9"/>
        <v>5931942.8055805266</v>
      </c>
    </row>
    <row r="63" spans="1:12" ht="11.25" customHeight="1">
      <c r="A63" s="170" t="s">
        <v>788</v>
      </c>
      <c r="B63" s="280"/>
      <c r="C63" s="189"/>
      <c r="D63" s="189"/>
      <c r="E63" s="190"/>
      <c r="F63" s="191"/>
      <c r="G63" s="189"/>
      <c r="H63" s="190"/>
      <c r="I63" s="188"/>
      <c r="J63" s="192"/>
      <c r="K63" s="189"/>
      <c r="L63" s="190"/>
    </row>
    <row r="64" spans="1:12" ht="11.25" customHeight="1">
      <c r="A64" s="304" t="s">
        <v>105</v>
      </c>
      <c r="B64" s="278"/>
      <c r="C64" s="1805"/>
      <c r="D64" s="1805"/>
      <c r="E64" s="1820"/>
      <c r="F64" s="1821"/>
      <c r="G64" s="1805"/>
      <c r="H64" s="1820"/>
      <c r="I64" s="1822"/>
      <c r="J64" s="1807"/>
      <c r="K64" s="1805"/>
      <c r="L64" s="1820"/>
    </row>
    <row r="65" spans="1:12" ht="11.25" customHeight="1">
      <c r="A65" s="304" t="s">
        <v>1605</v>
      </c>
      <c r="B65" s="278"/>
      <c r="C65" s="1805"/>
      <c r="D65" s="1805">
        <f>[6]SA3!$E$65</f>
        <v>1170094</v>
      </c>
      <c r="E65" s="1820">
        <v>1059287</v>
      </c>
      <c r="F65" s="1821">
        <f>[6]SA3!$J$65</f>
        <v>1170000</v>
      </c>
      <c r="G65" s="1805">
        <f>'[7]opsomming 2011'!$I$12</f>
        <v>1344218.8130000001</v>
      </c>
      <c r="H65" s="1820">
        <f>G65</f>
        <v>1344218.8130000001</v>
      </c>
      <c r="I65" s="1822">
        <f>H65</f>
        <v>1344218.8130000001</v>
      </c>
      <c r="J65" s="1807">
        <f>I65*106%</f>
        <v>1424871.9417800002</v>
      </c>
      <c r="K65" s="1805">
        <f>J65*106%</f>
        <v>1510364.2582868002</v>
      </c>
      <c r="L65" s="1820">
        <f>K65*106%</f>
        <v>1600986.1137840084</v>
      </c>
    </row>
    <row r="66" spans="1:12" ht="11.25" customHeight="1">
      <c r="A66" s="304" t="s">
        <v>1606</v>
      </c>
      <c r="B66" s="278"/>
      <c r="C66" s="1805"/>
      <c r="D66" s="1805">
        <f>[6]SA3!$E$66</f>
        <v>74926630</v>
      </c>
      <c r="E66" s="1820"/>
      <c r="F66" s="1821">
        <f>[6]SA3!$J$66</f>
        <v>74927000</v>
      </c>
      <c r="G66" s="1805"/>
      <c r="H66" s="1820"/>
      <c r="I66" s="1822"/>
      <c r="J66" s="1807"/>
      <c r="K66" s="1805"/>
      <c r="L66" s="1820"/>
    </row>
    <row r="67" spans="1:12" ht="11.25" customHeight="1">
      <c r="A67" s="304" t="s">
        <v>1607</v>
      </c>
      <c r="B67" s="278"/>
      <c r="C67" s="1805"/>
      <c r="D67" s="1805">
        <f>[6]SA3!$E$67</f>
        <v>34416376</v>
      </c>
      <c r="E67" s="1820"/>
      <c r="F67" s="1821">
        <f>[6]SA3!$J$67</f>
        <v>24242000</v>
      </c>
      <c r="G67" s="1805"/>
      <c r="H67" s="1820"/>
      <c r="I67" s="1822"/>
      <c r="J67" s="1807"/>
      <c r="K67" s="1805"/>
      <c r="L67" s="1820"/>
    </row>
    <row r="68" spans="1:12" ht="11.25" customHeight="1">
      <c r="A68" s="304" t="s">
        <v>1608</v>
      </c>
      <c r="B68" s="278"/>
      <c r="C68" s="1805"/>
      <c r="D68" s="1805"/>
      <c r="E68" s="1820"/>
      <c r="F68" s="1821"/>
      <c r="G68" s="1805"/>
      <c r="H68" s="1820"/>
      <c r="I68" s="1822"/>
      <c r="J68" s="1807"/>
      <c r="K68" s="1805"/>
      <c r="L68" s="1820"/>
    </row>
    <row r="69" spans="1:12" ht="11.25" customHeight="1">
      <c r="A69" s="304" t="s">
        <v>1609</v>
      </c>
      <c r="B69" s="278"/>
      <c r="C69" s="1805"/>
      <c r="D69" s="1805"/>
      <c r="E69" s="1820"/>
      <c r="F69" s="1821"/>
      <c r="G69" s="1805"/>
      <c r="H69" s="1820"/>
      <c r="I69" s="1822"/>
      <c r="J69" s="1807"/>
      <c r="K69" s="1805"/>
      <c r="L69" s="1820"/>
    </row>
    <row r="70" spans="1:12" ht="11.25" customHeight="1">
      <c r="A70" s="1817" t="s">
        <v>2190</v>
      </c>
      <c r="B70" s="278"/>
      <c r="C70" s="1805"/>
      <c r="D70" s="1805"/>
      <c r="E70" s="1820"/>
      <c r="F70" s="1821"/>
      <c r="G70" s="1805"/>
      <c r="H70" s="1820"/>
      <c r="I70" s="1822"/>
      <c r="J70" s="1807"/>
      <c r="K70" s="1805"/>
      <c r="L70" s="1820"/>
    </row>
    <row r="71" spans="1:12" ht="11.25" customHeight="1">
      <c r="A71" s="304" t="s">
        <v>1604</v>
      </c>
      <c r="B71" s="278"/>
      <c r="C71" s="1805"/>
      <c r="D71" s="1805"/>
      <c r="E71" s="1820"/>
      <c r="F71" s="1821"/>
      <c r="G71" s="1805"/>
      <c r="H71" s="1820"/>
      <c r="I71" s="1822"/>
      <c r="J71" s="1807"/>
      <c r="K71" s="1805"/>
      <c r="L71" s="1820"/>
    </row>
    <row r="72" spans="1:12" ht="11.25" customHeight="1">
      <c r="A72" s="305" t="s">
        <v>1149</v>
      </c>
      <c r="B72" s="278">
        <v>2</v>
      </c>
      <c r="C72" s="199">
        <f t="shared" ref="C72:L72" si="10">SUM(C64:C71)</f>
        <v>0</v>
      </c>
      <c r="D72" s="199">
        <f t="shared" si="10"/>
        <v>110513100</v>
      </c>
      <c r="E72" s="200">
        <f t="shared" si="10"/>
        <v>1059287</v>
      </c>
      <c r="F72" s="201">
        <f t="shared" si="10"/>
        <v>100339000</v>
      </c>
      <c r="G72" s="199">
        <f t="shared" si="10"/>
        <v>1344218.8130000001</v>
      </c>
      <c r="H72" s="200">
        <f t="shared" si="10"/>
        <v>1344218.8130000001</v>
      </c>
      <c r="I72" s="198">
        <f t="shared" si="10"/>
        <v>1344218.8130000001</v>
      </c>
      <c r="J72" s="202">
        <f t="shared" si="10"/>
        <v>1424871.9417800002</v>
      </c>
      <c r="K72" s="199">
        <f t="shared" si="10"/>
        <v>1510364.2582868002</v>
      </c>
      <c r="L72" s="200">
        <f t="shared" si="10"/>
        <v>1600986.1137840084</v>
      </c>
    </row>
    <row r="73" spans="1:12">
      <c r="A73" s="404" t="str">
        <f>'A6-FinPos'!A48</f>
        <v>TOTAL COMMUNITY WEALTH/EQUITY</v>
      </c>
      <c r="B73" s="287">
        <v>2</v>
      </c>
      <c r="C73" s="216">
        <f t="shared" ref="C73:L73" si="11">C62+C72</f>
        <v>1233944.2399999984</v>
      </c>
      <c r="D73" s="216">
        <f t="shared" si="11"/>
        <v>133431070.43455884</v>
      </c>
      <c r="E73" s="214">
        <f t="shared" si="11"/>
        <v>121073358.83548519</v>
      </c>
      <c r="F73" s="215">
        <f t="shared" si="11"/>
        <v>105338940</v>
      </c>
      <c r="G73" s="216">
        <f t="shared" si="11"/>
        <v>3260253.8130000001</v>
      </c>
      <c r="H73" s="214">
        <f t="shared" si="11"/>
        <v>1434455.8130000001</v>
      </c>
      <c r="I73" s="217">
        <f t="shared" si="11"/>
        <v>1434455.8130000001</v>
      </c>
      <c r="J73" s="218">
        <f t="shared" si="11"/>
        <v>-5754759.4157454828</v>
      </c>
      <c r="K73" s="216">
        <f t="shared" si="11"/>
        <v>7397823.0268048011</v>
      </c>
      <c r="L73" s="214">
        <f t="shared" si="11"/>
        <v>7532928.9193645352</v>
      </c>
    </row>
    <row r="74" spans="1:12" ht="5.0999999999999996" customHeight="1">
      <c r="A74" s="223"/>
      <c r="B74" s="405"/>
      <c r="C74" s="224"/>
      <c r="D74" s="224"/>
      <c r="E74" s="224"/>
      <c r="F74" s="224"/>
      <c r="G74" s="224"/>
      <c r="H74" s="224"/>
      <c r="I74" s="224"/>
      <c r="J74" s="224"/>
      <c r="K74" s="224"/>
      <c r="L74" s="224"/>
    </row>
    <row r="75" spans="1:12" ht="13.5">
      <c r="A75" s="148" t="s">
        <v>1451</v>
      </c>
      <c r="B75" s="148"/>
      <c r="C75" s="148"/>
      <c r="D75" s="148"/>
      <c r="E75" s="148"/>
      <c r="F75" s="148"/>
      <c r="G75" s="148"/>
      <c r="H75" s="148"/>
      <c r="I75" s="148"/>
      <c r="J75" s="148"/>
      <c r="K75" s="148"/>
      <c r="L75" s="148"/>
    </row>
    <row r="76" spans="1:12">
      <c r="A76" s="406" t="s">
        <v>1565</v>
      </c>
      <c r="B76" s="407"/>
      <c r="C76" s="1881"/>
      <c r="D76" s="1881"/>
      <c r="E76" s="1882"/>
      <c r="F76" s="1883"/>
      <c r="G76" s="1881"/>
      <c r="H76" s="1882"/>
      <c r="I76" s="1884"/>
      <c r="J76" s="1885"/>
      <c r="K76" s="1881"/>
      <c r="L76" s="1882"/>
    </row>
    <row r="77" spans="1:12">
      <c r="A77" s="187" t="s">
        <v>1564</v>
      </c>
      <c r="B77" s="222"/>
      <c r="C77" s="1805"/>
      <c r="D77" s="1805"/>
      <c r="E77" s="1820"/>
      <c r="F77" s="1821"/>
      <c r="G77" s="1805"/>
      <c r="H77" s="1820"/>
      <c r="I77" s="1822"/>
      <c r="J77" s="1807"/>
      <c r="K77" s="1805"/>
      <c r="L77" s="1820"/>
    </row>
    <row r="78" spans="1:12">
      <c r="A78" s="1880"/>
      <c r="B78" s="311"/>
      <c r="C78" s="1886"/>
      <c r="D78" s="1886"/>
      <c r="E78" s="1887"/>
      <c r="F78" s="1888"/>
      <c r="G78" s="1886"/>
      <c r="H78" s="1887"/>
      <c r="I78" s="1889"/>
      <c r="J78" s="1890"/>
      <c r="K78" s="1886"/>
      <c r="L78" s="1887"/>
    </row>
    <row r="79" spans="1:12" ht="11.25" hidden="1" customHeight="1">
      <c r="A79" s="221" t="str">
        <f>head27a</f>
        <v>References</v>
      </c>
      <c r="B79" s="222"/>
      <c r="C79" s="227"/>
      <c r="D79" s="227"/>
      <c r="E79" s="227"/>
      <c r="F79" s="227"/>
      <c r="G79" s="227"/>
      <c r="H79" s="227"/>
      <c r="I79" s="227"/>
      <c r="J79" s="227"/>
      <c r="K79" s="227"/>
      <c r="L79" s="227"/>
    </row>
    <row r="80" spans="1:12" ht="11.25" hidden="1" customHeight="1">
      <c r="A80" s="272" t="str">
        <f>"1. Must reconcile with "&amp;'Template names'!F103</f>
        <v>1. Must reconcile with Table A4 Budgeted Financial Performance (revenue and expenditure)</v>
      </c>
      <c r="B80" s="222"/>
      <c r="C80" s="226"/>
      <c r="D80" s="226"/>
      <c r="E80" s="227"/>
      <c r="F80" s="227"/>
      <c r="G80" s="227"/>
      <c r="H80" s="227"/>
      <c r="I80" s="227"/>
      <c r="J80" s="227"/>
      <c r="K80" s="227"/>
      <c r="L80" s="227"/>
    </row>
    <row r="81" spans="1:12" ht="11.25" hidden="1" customHeight="1">
      <c r="A81" s="272" t="str">
        <f>"2. Must reconcile with "&amp;'Template names'!F105</f>
        <v>2. Must reconcile with Table A6 Budgeted Financial Position</v>
      </c>
      <c r="B81" s="222"/>
      <c r="C81" s="226"/>
      <c r="D81" s="226"/>
      <c r="E81" s="227"/>
      <c r="F81" s="227"/>
      <c r="G81" s="227"/>
      <c r="H81" s="227"/>
      <c r="I81" s="227"/>
      <c r="J81" s="227"/>
      <c r="K81" s="227"/>
      <c r="L81" s="227"/>
    </row>
    <row r="82" spans="1:12" ht="11.25" hidden="1" customHeight="1">
      <c r="A82" s="272" t="s">
        <v>1111</v>
      </c>
      <c r="B82" s="222"/>
      <c r="C82" s="226"/>
      <c r="D82" s="226"/>
      <c r="E82" s="227"/>
      <c r="F82" s="227"/>
      <c r="G82" s="227"/>
      <c r="H82" s="227"/>
      <c r="I82" s="227"/>
      <c r="J82" s="227"/>
      <c r="K82" s="227"/>
      <c r="L82" s="227"/>
    </row>
    <row r="83" spans="1:12" ht="11.25" hidden="1" customHeight="1">
      <c r="A83" s="272" t="s">
        <v>812</v>
      </c>
    </row>
    <row r="84" spans="1:12" ht="11.25" hidden="1" customHeight="1">
      <c r="A84" s="411" t="s">
        <v>1624</v>
      </c>
      <c r="C84" s="318">
        <f>C73-'A6-FinPos'!C48</f>
        <v>1233944.2399999984</v>
      </c>
      <c r="D84" s="318">
        <f>D73-'A6-FinPos'!D48</f>
        <v>-85974421.565441161</v>
      </c>
      <c r="E84" s="318">
        <f>E73-'A6-FinPos'!E48</f>
        <v>3077.8354851901531</v>
      </c>
      <c r="F84" s="318">
        <f>F73-'A6-FinPos'!F48</f>
        <v>0</v>
      </c>
      <c r="G84" s="412">
        <f>G73-'A6-FinPos'!G48</f>
        <v>1916035</v>
      </c>
      <c r="H84" s="412">
        <f>H73-'A6-FinPos'!H48</f>
        <v>90237</v>
      </c>
      <c r="I84" s="412">
        <f>I73-'A6-FinPos'!I48</f>
        <v>90237</v>
      </c>
      <c r="J84" s="412">
        <f>J73-'A6-FinPos'!J48</f>
        <v>-7179631.3575254828</v>
      </c>
      <c r="K84" s="412">
        <f>K73-'A6-FinPos'!K48</f>
        <v>5887458.7685180008</v>
      </c>
      <c r="L84" s="412">
        <f>L73-'A6-FinPos'!L48</f>
        <v>5931942.8055805266</v>
      </c>
    </row>
    <row r="85" spans="1:12" ht="11.25" hidden="1" customHeight="1">
      <c r="C85" s="291">
        <f>TREND(D85:H85)</f>
        <v>0</v>
      </c>
      <c r="D85" s="291">
        <f>TREND(E85:H85)</f>
        <v>0</v>
      </c>
      <c r="E85" s="291">
        <f>E76</f>
        <v>0</v>
      </c>
      <c r="F85" s="291">
        <f>H76</f>
        <v>0</v>
      </c>
      <c r="G85" s="291">
        <f>J76</f>
        <v>0</v>
      </c>
      <c r="H85" s="291">
        <f>K76</f>
        <v>0</v>
      </c>
      <c r="I85" s="291">
        <f>L76</f>
        <v>0</v>
      </c>
      <c r="J85" s="291"/>
      <c r="K85" s="291"/>
      <c r="L85" s="291"/>
    </row>
    <row r="86" spans="1:12" ht="11.25" hidden="1" customHeight="1"/>
    <row r="87" spans="1:12" ht="11.25" hidden="1" customHeight="1"/>
    <row r="88" spans="1:12" ht="11.25" hidden="1" customHeight="1"/>
    <row r="89" spans="1:12" ht="11.25" hidden="1" customHeight="1"/>
    <row r="90" spans="1:12" ht="11.25" hidden="1" customHeight="1"/>
    <row r="91" spans="1:12" ht="11.25" hidden="1" customHeight="1"/>
    <row r="92" spans="1:12" ht="11.25" hidden="1" customHeight="1"/>
    <row r="93" spans="1:12" ht="11.25" hidden="1" customHeight="1"/>
    <row r="94" spans="1:12" ht="11.25" hidden="1" customHeight="1"/>
    <row r="95" spans="1:12" ht="11.25" hidden="1" customHeight="1"/>
    <row r="96" spans="1:12" hidden="1"/>
    <row r="97" hidden="1"/>
    <row r="98" hidden="1"/>
    <row r="99" hidden="1"/>
  </sheetData>
  <sheetProtection password="A35B" sheet="1" objects="1" scenarios="1"/>
  <mergeCells count="4">
    <mergeCell ref="A2:A3"/>
    <mergeCell ref="B2:B3"/>
    <mergeCell ref="J2:L2"/>
    <mergeCell ref="F2:I2"/>
  </mergeCells>
  <phoneticPr fontId="3" type="noConversion"/>
  <dataValidations count="1">
    <dataValidation type="decimal" allowBlank="1" showInputMessage="1" showErrorMessage="1" sqref="C7:L8 C12:L13 C17:L19 C23:L25 C30:L31 C35:L37 C41:L42 C46:L46 C48:L49 C54:L55 C58:L61 C64:L71 C76:L78">
      <formula1>-99999999999999900000</formula1>
      <formula2>99999999999999900000</formula2>
    </dataValidation>
  </dataValidations>
  <printOptions horizontalCentered="1"/>
  <pageMargins left="0" right="0" top="0.78740157480314965" bottom="0.59055118110236227" header="0.51181102362204722" footer="0.39370078740157483"/>
  <pageSetup paperSize="9" scale="86"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indexed="42"/>
    <pageSetUpPr fitToPage="1"/>
  </sheetPr>
  <dimension ref="A1:U43"/>
  <sheetViews>
    <sheetView showGridLines="0" workbookViewId="0">
      <pane xSplit="3" ySplit="3" topLeftCell="D4" activePane="bottomRight" state="frozen"/>
      <selection activeCell="O37" sqref="A1:IV65536"/>
      <selection pane="topRight" activeCell="O37" sqref="A1:IV65536"/>
      <selection pane="bottomLeft" activeCell="O37" sqref="A1:IV65536"/>
      <selection pane="bottomRight" activeCell="D4" sqref="D4"/>
    </sheetView>
  </sheetViews>
  <sheetFormatPr defaultRowHeight="12.75"/>
  <cols>
    <col min="1" max="2" width="18.7109375" style="150" customWidth="1"/>
    <col min="3" max="3" width="3" style="233" hidden="1" customWidth="1"/>
    <col min="4" max="12" width="9.28515625" style="150" customWidth="1"/>
    <col min="13" max="13" width="32.7109375" style="150" bestFit="1" customWidth="1"/>
    <col min="14" max="14" width="1.5703125" style="150" customWidth="1"/>
    <col min="15" max="19" width="7.85546875" style="150" bestFit="1" customWidth="1"/>
    <col min="20" max="23" width="8.7109375" style="150" bestFit="1" customWidth="1"/>
    <col min="24" max="25" width="9.85546875" style="150" customWidth="1"/>
    <col min="26" max="16384" width="9.140625" style="150"/>
  </cols>
  <sheetData>
    <row r="1" spans="1:21" s="168" customFormat="1">
      <c r="A1" s="148" t="str">
        <f>muni&amp;" - "&amp;TableA4</f>
        <v>NC071 Ubuntu - Supporting Table SA4 Reconciliation of IDP strategic objectives and budget (revenue)</v>
      </c>
      <c r="B1" s="148"/>
      <c r="C1" s="148"/>
      <c r="D1" s="148"/>
      <c r="E1" s="148"/>
      <c r="F1" s="148"/>
      <c r="G1" s="148"/>
      <c r="H1" s="148"/>
      <c r="I1" s="148"/>
      <c r="J1" s="148"/>
      <c r="K1" s="148"/>
      <c r="L1" s="148"/>
    </row>
    <row r="2" spans="1:21" ht="28.5" customHeight="1">
      <c r="A2" s="972" t="s">
        <v>1039</v>
      </c>
      <c r="B2" s="978" t="s">
        <v>1452</v>
      </c>
      <c r="C2" s="2798" t="str">
        <f>head27</f>
        <v>Ref</v>
      </c>
      <c r="D2" s="146" t="str">
        <f>head1b</f>
        <v>2007/8</v>
      </c>
      <c r="E2" s="151" t="str">
        <f>head1A</f>
        <v>2008/9</v>
      </c>
      <c r="F2" s="147" t="str">
        <f>Head1</f>
        <v>2009/10</v>
      </c>
      <c r="G2" s="2772" t="str">
        <f>Head2</f>
        <v>Current Year 2010/11</v>
      </c>
      <c r="H2" s="2773"/>
      <c r="I2" s="2777"/>
      <c r="J2" s="2769" t="str">
        <f>Head3</f>
        <v>2011/12 Medium Term Revenue &amp; Expenditure Framework</v>
      </c>
      <c r="K2" s="2770"/>
      <c r="L2" s="2771"/>
    </row>
    <row r="3" spans="1:21" ht="25.5">
      <c r="A3" s="985" t="s">
        <v>697</v>
      </c>
      <c r="B3" s="984"/>
      <c r="C3" s="2804"/>
      <c r="D3" s="364" t="str">
        <f>Head5</f>
        <v>Audited Outcome</v>
      </c>
      <c r="E3" s="365" t="str">
        <f>Head5</f>
        <v>Audited Outcome</v>
      </c>
      <c r="F3" s="366" t="str">
        <f>Head5</f>
        <v>Audited Outcome</v>
      </c>
      <c r="G3" s="283" t="str">
        <f>Head6</f>
        <v>Original Budget</v>
      </c>
      <c r="H3" s="365" t="str">
        <f>Head7</f>
        <v>Adjusted Budget</v>
      </c>
      <c r="I3" s="366" t="str">
        <f>Head8</f>
        <v>Full Year Forecast</v>
      </c>
      <c r="J3" s="283" t="str">
        <f>Head9</f>
        <v>Budget Year 2011/12</v>
      </c>
      <c r="K3" s="365" t="str">
        <f>Head10</f>
        <v>Budget Year +1 2012/13</v>
      </c>
      <c r="L3" s="366" t="str">
        <f>Head11</f>
        <v>Budget Year +2 2013/14</v>
      </c>
    </row>
    <row r="4" spans="1:21">
      <c r="A4" s="1891"/>
      <c r="B4" s="1892"/>
      <c r="C4" s="415"/>
      <c r="D4" s="1893"/>
      <c r="E4" s="1893"/>
      <c r="F4" s="1894"/>
      <c r="G4" s="1895"/>
      <c r="H4" s="1893"/>
      <c r="I4" s="1896"/>
      <c r="J4" s="1897"/>
      <c r="K4" s="1893"/>
      <c r="L4" s="1894"/>
      <c r="M4" s="231"/>
      <c r="N4" s="231"/>
      <c r="O4" s="231"/>
      <c r="P4" s="231"/>
      <c r="Q4" s="231"/>
      <c r="R4" s="231"/>
      <c r="S4" s="231"/>
      <c r="T4" s="231"/>
      <c r="U4" s="414"/>
    </row>
    <row r="5" spans="1:21">
      <c r="A5" s="1891"/>
      <c r="B5" s="1892"/>
      <c r="C5" s="415"/>
      <c r="D5" s="1893"/>
      <c r="E5" s="1893"/>
      <c r="F5" s="1894"/>
      <c r="G5" s="1895"/>
      <c r="H5" s="1893"/>
      <c r="I5" s="1896"/>
      <c r="J5" s="1897"/>
      <c r="K5" s="1893"/>
      <c r="L5" s="1894"/>
      <c r="M5" s="231"/>
      <c r="N5" s="231"/>
      <c r="O5" s="231"/>
      <c r="P5" s="231"/>
      <c r="Q5" s="231"/>
      <c r="R5" s="231"/>
      <c r="S5" s="231"/>
      <c r="T5" s="231"/>
    </row>
    <row r="6" spans="1:21">
      <c r="A6" s="1891"/>
      <c r="B6" s="1892"/>
      <c r="C6" s="415"/>
      <c r="D6" s="1893"/>
      <c r="E6" s="1893"/>
      <c r="F6" s="1894"/>
      <c r="G6" s="1895"/>
      <c r="H6" s="1893"/>
      <c r="I6" s="1896"/>
      <c r="J6" s="1897"/>
      <c r="K6" s="1893"/>
      <c r="L6" s="1894"/>
      <c r="M6" s="231"/>
      <c r="N6" s="231"/>
      <c r="O6" s="231"/>
      <c r="P6" s="231"/>
      <c r="Q6" s="231"/>
      <c r="R6" s="231"/>
      <c r="S6" s="231"/>
      <c r="T6" s="231"/>
    </row>
    <row r="7" spans="1:21">
      <c r="A7" s="1891"/>
      <c r="B7" s="1892"/>
      <c r="C7" s="415"/>
      <c r="D7" s="1893"/>
      <c r="E7" s="1893"/>
      <c r="F7" s="1894"/>
      <c r="G7" s="1895"/>
      <c r="H7" s="1893"/>
      <c r="I7" s="1896"/>
      <c r="J7" s="1897"/>
      <c r="K7" s="1893"/>
      <c r="L7" s="1894"/>
      <c r="M7" s="231"/>
      <c r="N7" s="231"/>
      <c r="O7" s="231"/>
      <c r="P7" s="231"/>
      <c r="Q7" s="231"/>
      <c r="R7" s="231"/>
      <c r="S7" s="231"/>
      <c r="T7" s="231"/>
    </row>
    <row r="8" spans="1:21">
      <c r="A8" s="1891"/>
      <c r="B8" s="1892"/>
      <c r="C8" s="415"/>
      <c r="D8" s="1893"/>
      <c r="E8" s="1893"/>
      <c r="F8" s="1894"/>
      <c r="G8" s="1895"/>
      <c r="H8" s="1893"/>
      <c r="I8" s="1896"/>
      <c r="J8" s="1897"/>
      <c r="K8" s="1893"/>
      <c r="L8" s="1894"/>
      <c r="M8" s="231"/>
      <c r="N8" s="231"/>
      <c r="O8" s="231"/>
      <c r="P8" s="231"/>
      <c r="Q8" s="231"/>
      <c r="R8" s="231"/>
      <c r="S8" s="231"/>
      <c r="T8" s="231"/>
    </row>
    <row r="9" spans="1:21">
      <c r="A9" s="1891"/>
      <c r="B9" s="1892"/>
      <c r="C9" s="415"/>
      <c r="D9" s="1893"/>
      <c r="E9" s="1893"/>
      <c r="F9" s="1894"/>
      <c r="G9" s="1895"/>
      <c r="H9" s="1893"/>
      <c r="I9" s="1896"/>
      <c r="J9" s="1897"/>
      <c r="K9" s="1893"/>
      <c r="L9" s="1894"/>
      <c r="M9" s="231"/>
      <c r="N9" s="231"/>
      <c r="O9" s="231"/>
      <c r="P9" s="231"/>
      <c r="Q9" s="231"/>
      <c r="R9" s="231"/>
      <c r="S9" s="231"/>
      <c r="T9" s="231"/>
    </row>
    <row r="10" spans="1:21">
      <c r="A10" s="1891"/>
      <c r="B10" s="1892"/>
      <c r="C10" s="415"/>
      <c r="D10" s="1893"/>
      <c r="E10" s="1893"/>
      <c r="F10" s="1894"/>
      <c r="G10" s="1895"/>
      <c r="H10" s="1893"/>
      <c r="I10" s="1896"/>
      <c r="J10" s="1897"/>
      <c r="K10" s="1893"/>
      <c r="L10" s="1894"/>
      <c r="M10" s="231"/>
      <c r="N10" s="231"/>
      <c r="O10" s="231"/>
      <c r="P10" s="231"/>
      <c r="Q10" s="231"/>
      <c r="R10" s="231"/>
      <c r="S10" s="231"/>
      <c r="T10" s="231"/>
    </row>
    <row r="11" spans="1:21">
      <c r="A11" s="1891"/>
      <c r="B11" s="1892"/>
      <c r="C11" s="415"/>
      <c r="D11" s="1893"/>
      <c r="E11" s="1893"/>
      <c r="F11" s="1894"/>
      <c r="G11" s="1895"/>
      <c r="H11" s="1893"/>
      <c r="I11" s="1896"/>
      <c r="J11" s="1897"/>
      <c r="K11" s="1893"/>
      <c r="L11" s="1894"/>
      <c r="M11" s="231"/>
      <c r="N11" s="231"/>
      <c r="O11" s="231"/>
      <c r="P11" s="231"/>
      <c r="Q11" s="231"/>
      <c r="R11" s="231"/>
      <c r="S11" s="231"/>
      <c r="T11" s="231"/>
    </row>
    <row r="12" spans="1:21">
      <c r="A12" s="1891"/>
      <c r="B12" s="1892"/>
      <c r="C12" s="415"/>
      <c r="D12" s="1893"/>
      <c r="E12" s="1893"/>
      <c r="F12" s="1894"/>
      <c r="G12" s="1895"/>
      <c r="H12" s="1893"/>
      <c r="I12" s="1896"/>
      <c r="J12" s="1897"/>
      <c r="K12" s="1893"/>
      <c r="L12" s="1894"/>
      <c r="M12" s="231"/>
      <c r="N12" s="231"/>
      <c r="O12" s="231"/>
      <c r="P12" s="231"/>
      <c r="Q12" s="231"/>
      <c r="R12" s="231"/>
      <c r="S12" s="231"/>
      <c r="T12" s="231"/>
    </row>
    <row r="13" spans="1:21" ht="53.25" customHeight="1">
      <c r="A13" s="1891"/>
      <c r="B13" s="1892"/>
      <c r="C13" s="415"/>
      <c r="D13" s="1893"/>
      <c r="E13" s="1893"/>
      <c r="F13" s="1894"/>
      <c r="G13" s="1895"/>
      <c r="H13" s="1893"/>
      <c r="I13" s="1896"/>
      <c r="J13" s="1897"/>
      <c r="K13" s="1893"/>
      <c r="L13" s="1894"/>
      <c r="M13" s="231"/>
      <c r="N13" s="231"/>
      <c r="O13" s="231"/>
      <c r="P13" s="231"/>
      <c r="Q13" s="231"/>
      <c r="R13" s="231"/>
      <c r="S13" s="231"/>
      <c r="T13" s="231"/>
    </row>
    <row r="14" spans="1:21">
      <c r="A14" s="1891"/>
      <c r="B14" s="1892"/>
      <c r="C14" s="415"/>
      <c r="D14" s="1893"/>
      <c r="E14" s="1893"/>
      <c r="F14" s="1894"/>
      <c r="G14" s="1895"/>
      <c r="H14" s="1893"/>
      <c r="I14" s="1896"/>
      <c r="J14" s="1897"/>
      <c r="K14" s="1893"/>
      <c r="L14" s="1894"/>
      <c r="M14" s="231"/>
      <c r="N14" s="231"/>
      <c r="O14" s="231"/>
      <c r="P14" s="231"/>
      <c r="Q14" s="231"/>
      <c r="R14" s="231"/>
      <c r="S14" s="231"/>
      <c r="T14" s="231"/>
    </row>
    <row r="15" spans="1:21">
      <c r="A15" s="1891"/>
      <c r="B15" s="1892"/>
      <c r="C15" s="415"/>
      <c r="D15" s="1893"/>
      <c r="E15" s="1893"/>
      <c r="F15" s="1894"/>
      <c r="G15" s="1895"/>
      <c r="H15" s="1893"/>
      <c r="I15" s="1896"/>
      <c r="J15" s="1897"/>
      <c r="K15" s="1893"/>
      <c r="L15" s="1894"/>
      <c r="M15" s="231"/>
      <c r="N15" s="231"/>
      <c r="O15" s="231"/>
      <c r="P15" s="231"/>
      <c r="Q15" s="231"/>
      <c r="R15" s="231"/>
      <c r="S15" s="231"/>
      <c r="T15" s="231"/>
    </row>
    <row r="16" spans="1:21">
      <c r="A16" s="1891"/>
      <c r="B16" s="1892"/>
      <c r="C16" s="415"/>
      <c r="D16" s="1893"/>
      <c r="E16" s="1893"/>
      <c r="F16" s="1894"/>
      <c r="G16" s="1895"/>
      <c r="H16" s="1893"/>
      <c r="I16" s="1896"/>
      <c r="J16" s="1897"/>
      <c r="K16" s="1893"/>
      <c r="L16" s="1894"/>
      <c r="M16" s="231"/>
      <c r="N16" s="231"/>
      <c r="O16" s="231"/>
      <c r="P16" s="231"/>
      <c r="Q16" s="231"/>
      <c r="R16" s="231"/>
      <c r="S16" s="231"/>
      <c r="T16" s="231"/>
    </row>
    <row r="17" spans="1:20">
      <c r="A17" s="1891"/>
      <c r="B17" s="1892"/>
      <c r="C17" s="415"/>
      <c r="D17" s="1893"/>
      <c r="E17" s="1893"/>
      <c r="F17" s="1894"/>
      <c r="G17" s="1895"/>
      <c r="H17" s="1893"/>
      <c r="I17" s="1896"/>
      <c r="J17" s="1897"/>
      <c r="K17" s="1893"/>
      <c r="L17" s="1894"/>
      <c r="M17" s="231"/>
      <c r="N17" s="231"/>
      <c r="O17" s="231"/>
      <c r="P17" s="231"/>
      <c r="Q17" s="231"/>
      <c r="R17" s="231"/>
      <c r="S17" s="231"/>
      <c r="T17" s="231"/>
    </row>
    <row r="18" spans="1:20">
      <c r="A18" s="1891"/>
      <c r="B18" s="1892"/>
      <c r="C18" s="415"/>
      <c r="D18" s="1893"/>
      <c r="E18" s="1893"/>
      <c r="F18" s="1894"/>
      <c r="G18" s="1895"/>
      <c r="H18" s="1893"/>
      <c r="I18" s="1896"/>
      <c r="J18" s="1897"/>
      <c r="K18" s="1893"/>
      <c r="L18" s="1894"/>
      <c r="M18" s="231"/>
      <c r="N18" s="231"/>
      <c r="O18" s="231"/>
      <c r="P18" s="231"/>
      <c r="Q18" s="231"/>
      <c r="R18" s="231"/>
      <c r="S18" s="231"/>
      <c r="T18" s="231"/>
    </row>
    <row r="19" spans="1:20">
      <c r="A19" s="1891"/>
      <c r="B19" s="1892"/>
      <c r="C19" s="415"/>
      <c r="D19" s="1893"/>
      <c r="E19" s="1893"/>
      <c r="F19" s="1894"/>
      <c r="G19" s="1895"/>
      <c r="H19" s="1893"/>
      <c r="I19" s="1896"/>
      <c r="J19" s="1897"/>
      <c r="K19" s="1893"/>
      <c r="L19" s="1894"/>
      <c r="M19" s="231"/>
      <c r="N19" s="231"/>
      <c r="O19" s="231"/>
      <c r="P19" s="231"/>
      <c r="Q19" s="231"/>
      <c r="R19" s="231"/>
      <c r="S19" s="231"/>
      <c r="T19" s="231"/>
    </row>
    <row r="20" spans="1:20">
      <c r="A20" s="1891"/>
      <c r="B20" s="1892"/>
      <c r="C20" s="415"/>
      <c r="D20" s="1893"/>
      <c r="E20" s="1893"/>
      <c r="F20" s="1894"/>
      <c r="G20" s="1895"/>
      <c r="H20" s="1893"/>
      <c r="I20" s="1896"/>
      <c r="J20" s="1897"/>
      <c r="K20" s="1893"/>
      <c r="L20" s="1894"/>
      <c r="M20" s="231"/>
      <c r="N20" s="231"/>
      <c r="O20" s="231"/>
      <c r="P20" s="231"/>
      <c r="Q20" s="231"/>
      <c r="R20" s="231"/>
      <c r="S20" s="231"/>
      <c r="T20" s="231"/>
    </row>
    <row r="21" spans="1:20">
      <c r="A21" s="1891"/>
      <c r="B21" s="1892"/>
      <c r="C21" s="415"/>
      <c r="D21" s="1893"/>
      <c r="E21" s="1893"/>
      <c r="F21" s="1894"/>
      <c r="G21" s="1895"/>
      <c r="H21" s="1893"/>
      <c r="I21" s="1896"/>
      <c r="J21" s="1897"/>
      <c r="K21" s="1893"/>
      <c r="L21" s="1894"/>
      <c r="M21" s="231"/>
      <c r="N21" s="231"/>
      <c r="O21" s="231"/>
      <c r="P21" s="231"/>
      <c r="Q21" s="231"/>
      <c r="R21" s="231"/>
      <c r="S21" s="231"/>
      <c r="T21" s="231"/>
    </row>
    <row r="22" spans="1:20" ht="12.75" customHeight="1">
      <c r="A22" s="320" t="str">
        <f>'A4-FinPerf RE'!A22</f>
        <v>Total Revenue (excluding capital transfers and contributions)</v>
      </c>
      <c r="B22" s="416"/>
      <c r="C22" s="321">
        <v>1</v>
      </c>
      <c r="D22" s="216">
        <f t="shared" ref="D22:L22" si="0">SUM(D4:D21)</f>
        <v>0</v>
      </c>
      <c r="E22" s="216">
        <f t="shared" si="0"/>
        <v>0</v>
      </c>
      <c r="F22" s="214">
        <f t="shared" si="0"/>
        <v>0</v>
      </c>
      <c r="G22" s="215">
        <f t="shared" si="0"/>
        <v>0</v>
      </c>
      <c r="H22" s="216">
        <f t="shared" si="0"/>
        <v>0</v>
      </c>
      <c r="I22" s="217">
        <f t="shared" si="0"/>
        <v>0</v>
      </c>
      <c r="J22" s="218">
        <f t="shared" si="0"/>
        <v>0</v>
      </c>
      <c r="K22" s="216">
        <f t="shared" si="0"/>
        <v>0</v>
      </c>
      <c r="L22" s="214">
        <f t="shared" si="0"/>
        <v>0</v>
      </c>
    </row>
    <row r="23" spans="1:20" s="693" customFormat="1" hidden="1">
      <c r="A23" s="1220" t="str">
        <f>head27a</f>
        <v>References</v>
      </c>
      <c r="B23" s="1036"/>
      <c r="C23" s="1033"/>
      <c r="D23" s="1037"/>
      <c r="E23" s="1037"/>
      <c r="F23" s="1037"/>
      <c r="G23" s="1037"/>
      <c r="H23" s="1037"/>
      <c r="I23" s="1037"/>
      <c r="J23" s="1037"/>
      <c r="K23" s="1037"/>
      <c r="L23" s="1037"/>
    </row>
    <row r="24" spans="1:20" s="693" customFormat="1" hidden="1">
      <c r="A24" s="1201" t="str">
        <f>"1. Total revenue must reconcile to "&amp;'Template names'!F103</f>
        <v>1. Total revenue must reconcile to Table A4 Budgeted Financial Performance (revenue and expenditure)</v>
      </c>
      <c r="B24" s="1052"/>
      <c r="C24" s="1033"/>
      <c r="D24" s="1037"/>
      <c r="E24" s="1036"/>
      <c r="F24" s="1037"/>
      <c r="G24" s="1037"/>
      <c r="H24" s="1037"/>
      <c r="I24" s="1037"/>
      <c r="J24" s="1037"/>
      <c r="K24" s="1037"/>
      <c r="L24" s="1037"/>
    </row>
    <row r="25" spans="1:20" hidden="1">
      <c r="A25" s="273" t="s">
        <v>1042</v>
      </c>
      <c r="B25" s="232"/>
      <c r="C25" s="222"/>
      <c r="D25" s="188">
        <f>D22-'A4-FinPerf RE'!C60</f>
        <v>-27160977.57</v>
      </c>
      <c r="E25" s="188">
        <f>E22-'A4-FinPerf RE'!D60</f>
        <v>-69978558.301141277</v>
      </c>
      <c r="F25" s="241">
        <f>F22-'A4-FinPerf RE'!E60</f>
        <v>-53367043.982112944</v>
      </c>
      <c r="G25" s="241">
        <f>G22-'A4-FinPerf RE'!F60</f>
        <v>-50316615</v>
      </c>
      <c r="H25" s="241">
        <f>H22-'A4-FinPerf RE'!G60</f>
        <v>-51005190</v>
      </c>
      <c r="I25" s="241">
        <f>I22-'A4-FinPerf RE'!H60</f>
        <v>-41845907</v>
      </c>
      <c r="J25" s="241">
        <f>J22-'A4-FinPerf RE'!J60</f>
        <v>-62692975.883599997</v>
      </c>
      <c r="K25" s="241">
        <f>K22-'A4-FinPerf RE'!K60</f>
        <v>-71823500.738376006</v>
      </c>
      <c r="L25" s="241">
        <f>L22-'A4-FinPerf RE'!L60</f>
        <v>-76699312.555370003</v>
      </c>
    </row>
    <row r="26" spans="1:20" hidden="1">
      <c r="D26" s="423"/>
      <c r="F26" s="336"/>
    </row>
    <row r="27" spans="1:20" hidden="1">
      <c r="D27" s="423"/>
    </row>
    <row r="28" spans="1:20" hidden="1">
      <c r="D28" s="423"/>
    </row>
    <row r="29" spans="1:20" hidden="1"/>
    <row r="30" spans="1:20" hidden="1"/>
    <row r="31" spans="1:20" hidden="1"/>
    <row r="32" spans="1:20" hidden="1"/>
    <row r="33" hidden="1"/>
    <row r="34" hidden="1"/>
    <row r="35" hidden="1"/>
    <row r="36" hidden="1"/>
    <row r="37" hidden="1"/>
    <row r="38" hidden="1"/>
    <row r="39" hidden="1"/>
    <row r="40" hidden="1"/>
    <row r="41" hidden="1"/>
    <row r="42" hidden="1"/>
    <row r="43" hidden="1"/>
  </sheetData>
  <sheetProtection sheet="1" objects="1" scenarios="1"/>
  <mergeCells count="3">
    <mergeCell ref="G2:I2"/>
    <mergeCell ref="J2:L2"/>
    <mergeCell ref="C2:C3"/>
  </mergeCells>
  <phoneticPr fontId="3" type="noConversion"/>
  <printOptions horizontalCentered="1"/>
  <pageMargins left="0" right="0" top="0.78740157480314965" bottom="0.59055118110236227" header="0.51181102362204722" footer="0.39370078740157483"/>
  <pageSetup paperSize="9" scale="84"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indexed="42"/>
    <pageSetUpPr fitToPage="1"/>
  </sheetPr>
  <dimension ref="A1:X44"/>
  <sheetViews>
    <sheetView showGridLines="0" workbookViewId="0">
      <pane xSplit="3" ySplit="3" topLeftCell="D4" activePane="bottomRight" state="frozen"/>
      <selection activeCell="O37" sqref="A1:IV65536"/>
      <selection pane="topRight" activeCell="O37" sqref="A1:IV65536"/>
      <selection pane="bottomLeft" activeCell="O37" sqref="A1:IV65536"/>
      <selection pane="bottomRight" activeCell="A17" sqref="A17"/>
    </sheetView>
  </sheetViews>
  <sheetFormatPr defaultRowHeight="12.75"/>
  <cols>
    <col min="1" max="2" width="18.7109375" style="150" customWidth="1"/>
    <col min="3" max="3" width="3" style="233" hidden="1" customWidth="1"/>
    <col min="4" max="12" width="9.28515625" style="150" customWidth="1"/>
    <col min="13" max="13" width="32.7109375" style="150" bestFit="1" customWidth="1"/>
    <col min="14" max="14" width="1.5703125" style="150" customWidth="1"/>
    <col min="15" max="16" width="8" style="150" bestFit="1" customWidth="1"/>
    <col min="17" max="17" width="8.42578125" style="150" bestFit="1" customWidth="1"/>
    <col min="18" max="19" width="8" style="150" bestFit="1" customWidth="1"/>
    <col min="20" max="23" width="8.85546875" style="150" bestFit="1" customWidth="1"/>
    <col min="24" max="25" width="9.85546875" style="150" customWidth="1"/>
    <col min="26" max="16384" width="9.140625" style="150"/>
  </cols>
  <sheetData>
    <row r="1" spans="1:24" ht="13.5">
      <c r="A1" s="148" t="str">
        <f>muni&amp;" - "&amp;TableA5</f>
        <v>NC071 Ubuntu - Supporting Table SA5 Reconciliation of IDP strategic objectives and budget (operating expenditure)</v>
      </c>
      <c r="B1" s="148"/>
      <c r="C1" s="148"/>
      <c r="D1" s="148"/>
      <c r="E1" s="148"/>
      <c r="F1" s="148"/>
      <c r="G1" s="148"/>
      <c r="H1" s="148"/>
      <c r="I1" s="148"/>
      <c r="J1" s="148"/>
      <c r="K1" s="148"/>
      <c r="L1" s="148"/>
      <c r="M1" s="232"/>
      <c r="N1" s="232"/>
      <c r="O1" s="232"/>
      <c r="P1" s="232"/>
    </row>
    <row r="2" spans="1:24" ht="28.5" customHeight="1">
      <c r="A2" s="972" t="s">
        <v>1039</v>
      </c>
      <c r="B2" s="978" t="s">
        <v>1452</v>
      </c>
      <c r="C2" s="2798" t="str">
        <f>head27</f>
        <v>Ref</v>
      </c>
      <c r="D2" s="146" t="str">
        <f>head1b</f>
        <v>2007/8</v>
      </c>
      <c r="E2" s="151" t="str">
        <f>head1A</f>
        <v>2008/9</v>
      </c>
      <c r="F2" s="147" t="str">
        <f>Head1</f>
        <v>2009/10</v>
      </c>
      <c r="G2" s="2772" t="str">
        <f>Head2</f>
        <v>Current Year 2010/11</v>
      </c>
      <c r="H2" s="2773"/>
      <c r="I2" s="2777"/>
      <c r="J2" s="2769" t="str">
        <f>Head3</f>
        <v>2011/12 Medium Term Revenue &amp; Expenditure Framework</v>
      </c>
      <c r="K2" s="2770"/>
      <c r="L2" s="2771"/>
      <c r="M2" s="232"/>
      <c r="N2" s="232"/>
      <c r="O2" s="232"/>
      <c r="P2" s="232"/>
    </row>
    <row r="3" spans="1:24" ht="25.5">
      <c r="A3" s="985" t="s">
        <v>697</v>
      </c>
      <c r="B3" s="984"/>
      <c r="C3" s="2804"/>
      <c r="D3" s="364" t="str">
        <f>Head5</f>
        <v>Audited Outcome</v>
      </c>
      <c r="E3" s="365" t="str">
        <f>Head5</f>
        <v>Audited Outcome</v>
      </c>
      <c r="F3" s="366" t="str">
        <f>Head5</f>
        <v>Audited Outcome</v>
      </c>
      <c r="G3" s="283" t="str">
        <f>Head6</f>
        <v>Original Budget</v>
      </c>
      <c r="H3" s="365" t="str">
        <f>Head7</f>
        <v>Adjusted Budget</v>
      </c>
      <c r="I3" s="366" t="str">
        <f>Head8</f>
        <v>Full Year Forecast</v>
      </c>
      <c r="J3" s="283" t="str">
        <f>Head9</f>
        <v>Budget Year 2011/12</v>
      </c>
      <c r="K3" s="365" t="str">
        <f>Head10</f>
        <v>Budget Year +1 2012/13</v>
      </c>
      <c r="L3" s="366" t="str">
        <f>Head11</f>
        <v>Budget Year +2 2013/14</v>
      </c>
      <c r="M3" s="232"/>
      <c r="N3" s="232"/>
      <c r="O3" s="232"/>
      <c r="P3" s="232"/>
    </row>
    <row r="4" spans="1:24" ht="42.75" customHeight="1">
      <c r="A4" s="1891"/>
      <c r="B4" s="1892"/>
      <c r="C4" s="415"/>
      <c r="D4" s="1893"/>
      <c r="E4" s="1893"/>
      <c r="F4" s="1894"/>
      <c r="G4" s="1895"/>
      <c r="H4" s="1893"/>
      <c r="I4" s="1896"/>
      <c r="J4" s="1897"/>
      <c r="K4" s="1893"/>
      <c r="L4" s="1894"/>
      <c r="M4" s="418"/>
      <c r="N4" s="418"/>
      <c r="O4" s="241"/>
      <c r="P4" s="241"/>
      <c r="Q4" s="241"/>
      <c r="R4" s="241"/>
      <c r="S4" s="241"/>
      <c r="T4" s="241"/>
      <c r="U4" s="241"/>
      <c r="V4" s="241"/>
      <c r="W4" s="241"/>
      <c r="X4" s="419"/>
    </row>
    <row r="5" spans="1:24">
      <c r="A5" s="1891"/>
      <c r="B5" s="1892"/>
      <c r="C5" s="415"/>
      <c r="D5" s="1893"/>
      <c r="E5" s="1893"/>
      <c r="F5" s="1894"/>
      <c r="G5" s="1895"/>
      <c r="H5" s="1893"/>
      <c r="I5" s="1896"/>
      <c r="J5" s="1897"/>
      <c r="K5" s="1893"/>
      <c r="L5" s="1894"/>
      <c r="M5" s="420"/>
      <c r="N5" s="420"/>
      <c r="O5" s="241"/>
      <c r="P5" s="241"/>
      <c r="Q5" s="241"/>
      <c r="R5" s="241"/>
      <c r="S5" s="241"/>
      <c r="T5" s="241"/>
      <c r="U5" s="241"/>
      <c r="V5" s="241"/>
      <c r="W5" s="241"/>
    </row>
    <row r="6" spans="1:24">
      <c r="A6" s="1891"/>
      <c r="B6" s="1892"/>
      <c r="C6" s="415"/>
      <c r="D6" s="1893"/>
      <c r="E6" s="1893"/>
      <c r="F6" s="1894"/>
      <c r="G6" s="1895"/>
      <c r="H6" s="1893"/>
      <c r="I6" s="1896"/>
      <c r="J6" s="1897"/>
      <c r="K6" s="1893"/>
      <c r="L6" s="1894"/>
      <c r="M6" s="420"/>
      <c r="N6" s="420"/>
      <c r="O6" s="241"/>
      <c r="P6" s="241"/>
      <c r="Q6" s="241"/>
      <c r="R6" s="241"/>
      <c r="S6" s="241"/>
      <c r="T6" s="241"/>
      <c r="U6" s="241"/>
      <c r="V6" s="241"/>
      <c r="W6" s="241"/>
    </row>
    <row r="7" spans="1:24">
      <c r="A7" s="1891"/>
      <c r="B7" s="1892"/>
      <c r="C7" s="415"/>
      <c r="D7" s="1893"/>
      <c r="E7" s="1893"/>
      <c r="F7" s="1894"/>
      <c r="G7" s="1895"/>
      <c r="H7" s="1893"/>
      <c r="I7" s="1896"/>
      <c r="J7" s="1897"/>
      <c r="K7" s="1893"/>
      <c r="L7" s="1894"/>
      <c r="M7" s="421"/>
      <c r="N7" s="421"/>
      <c r="O7" s="241"/>
      <c r="P7" s="241"/>
      <c r="Q7" s="241"/>
      <c r="R7" s="241"/>
      <c r="S7" s="241"/>
      <c r="T7" s="241"/>
      <c r="U7" s="241"/>
      <c r="V7" s="241"/>
      <c r="W7" s="241"/>
    </row>
    <row r="8" spans="1:24">
      <c r="A8" s="1891"/>
      <c r="B8" s="1892"/>
      <c r="C8" s="415"/>
      <c r="D8" s="1893"/>
      <c r="E8" s="1893"/>
      <c r="F8" s="1894"/>
      <c r="G8" s="1895"/>
      <c r="H8" s="1893"/>
      <c r="I8" s="1896"/>
      <c r="J8" s="1897"/>
      <c r="K8" s="1893"/>
      <c r="L8" s="1894"/>
      <c r="M8" s="421"/>
      <c r="N8" s="421"/>
      <c r="O8" s="241"/>
      <c r="P8" s="241"/>
      <c r="Q8" s="241"/>
      <c r="R8" s="241"/>
      <c r="S8" s="241"/>
      <c r="T8" s="241"/>
      <c r="U8" s="241"/>
      <c r="V8" s="241"/>
      <c r="W8" s="241"/>
    </row>
    <row r="9" spans="1:24">
      <c r="A9" s="1891"/>
      <c r="B9" s="1892"/>
      <c r="C9" s="415"/>
      <c r="D9" s="1893"/>
      <c r="E9" s="1893"/>
      <c r="F9" s="1894"/>
      <c r="G9" s="1895"/>
      <c r="H9" s="1893"/>
      <c r="I9" s="1896"/>
      <c r="J9" s="1897"/>
      <c r="K9" s="1893"/>
      <c r="L9" s="1894"/>
      <c r="M9" s="421"/>
      <c r="N9" s="421"/>
      <c r="O9" s="241"/>
      <c r="P9" s="241"/>
      <c r="Q9" s="241"/>
      <c r="R9" s="241"/>
      <c r="S9" s="241"/>
      <c r="T9" s="241"/>
      <c r="U9" s="241"/>
      <c r="V9" s="241"/>
      <c r="W9" s="241"/>
    </row>
    <row r="10" spans="1:24">
      <c r="A10" s="1891"/>
      <c r="B10" s="1892"/>
      <c r="C10" s="415"/>
      <c r="D10" s="1893"/>
      <c r="E10" s="1893"/>
      <c r="F10" s="1894"/>
      <c r="G10" s="1895"/>
      <c r="H10" s="1893"/>
      <c r="I10" s="1896"/>
      <c r="J10" s="1897"/>
      <c r="K10" s="1893"/>
      <c r="L10" s="1894"/>
      <c r="M10" s="232"/>
      <c r="N10" s="232"/>
      <c r="O10" s="241"/>
      <c r="P10" s="241"/>
      <c r="Q10" s="241"/>
      <c r="R10" s="241"/>
      <c r="S10" s="241"/>
      <c r="T10" s="241"/>
      <c r="U10" s="241"/>
      <c r="V10" s="241"/>
      <c r="W10" s="241"/>
    </row>
    <row r="11" spans="1:24">
      <c r="A11" s="1891"/>
      <c r="B11" s="1892"/>
      <c r="C11" s="415"/>
      <c r="D11" s="1893"/>
      <c r="E11" s="1893"/>
      <c r="F11" s="1894"/>
      <c r="G11" s="1895"/>
      <c r="H11" s="1893"/>
      <c r="I11" s="1896"/>
      <c r="J11" s="1897"/>
      <c r="K11" s="1893"/>
      <c r="L11" s="1894"/>
      <c r="M11" s="232"/>
      <c r="N11" s="232"/>
      <c r="O11" s="241"/>
      <c r="P11" s="241"/>
      <c r="Q11" s="241"/>
      <c r="R11" s="241"/>
      <c r="S11" s="241"/>
      <c r="T11" s="241"/>
      <c r="U11" s="241"/>
      <c r="V11" s="241"/>
      <c r="W11" s="241"/>
    </row>
    <row r="12" spans="1:24">
      <c r="A12" s="1891"/>
      <c r="B12" s="1892"/>
      <c r="C12" s="415"/>
      <c r="D12" s="1893"/>
      <c r="E12" s="1893"/>
      <c r="F12" s="1894"/>
      <c r="G12" s="1895"/>
      <c r="H12" s="1893"/>
      <c r="I12" s="1896"/>
      <c r="J12" s="1897"/>
      <c r="K12" s="1893"/>
      <c r="L12" s="1894"/>
      <c r="M12" s="232"/>
      <c r="N12" s="232"/>
      <c r="O12" s="241"/>
      <c r="P12" s="241"/>
      <c r="Q12" s="241"/>
      <c r="R12" s="241"/>
      <c r="S12" s="241"/>
      <c r="T12" s="241"/>
      <c r="U12" s="241"/>
      <c r="V12" s="241"/>
      <c r="W12" s="241"/>
    </row>
    <row r="13" spans="1:24">
      <c r="A13" s="1891"/>
      <c r="B13" s="1892"/>
      <c r="C13" s="415"/>
      <c r="D13" s="1893"/>
      <c r="E13" s="1893"/>
      <c r="F13" s="1894"/>
      <c r="G13" s="1895"/>
      <c r="H13" s="1893"/>
      <c r="I13" s="1896"/>
      <c r="J13" s="1897"/>
      <c r="K13" s="1893"/>
      <c r="L13" s="1894"/>
      <c r="M13" s="232"/>
      <c r="N13" s="232"/>
      <c r="O13" s="188"/>
      <c r="P13" s="188"/>
      <c r="Q13" s="188"/>
      <c r="R13" s="188"/>
      <c r="S13" s="188"/>
      <c r="T13" s="188"/>
      <c r="U13" s="188"/>
      <c r="V13" s="188"/>
      <c r="W13" s="188"/>
    </row>
    <row r="14" spans="1:24">
      <c r="A14" s="1891"/>
      <c r="B14" s="1892"/>
      <c r="C14" s="415"/>
      <c r="D14" s="1893"/>
      <c r="E14" s="1893"/>
      <c r="F14" s="1894"/>
      <c r="G14" s="1895"/>
      <c r="H14" s="1893"/>
      <c r="I14" s="1896"/>
      <c r="J14" s="1897"/>
      <c r="K14" s="1893"/>
      <c r="L14" s="1894"/>
      <c r="M14" s="232"/>
      <c r="N14" s="232"/>
      <c r="O14" s="241"/>
      <c r="P14" s="241"/>
      <c r="Q14" s="241"/>
      <c r="R14" s="241"/>
      <c r="S14" s="241"/>
      <c r="T14" s="241"/>
      <c r="U14" s="241"/>
      <c r="V14" s="241"/>
      <c r="W14" s="241"/>
    </row>
    <row r="15" spans="1:24">
      <c r="A15" s="1891"/>
      <c r="B15" s="1892"/>
      <c r="C15" s="415"/>
      <c r="D15" s="1893"/>
      <c r="E15" s="1893"/>
      <c r="F15" s="1894"/>
      <c r="G15" s="1895"/>
      <c r="H15" s="1893"/>
      <c r="I15" s="1896"/>
      <c r="J15" s="1897"/>
      <c r="K15" s="1893"/>
      <c r="L15" s="1894"/>
      <c r="M15" s="232"/>
      <c r="N15" s="232"/>
      <c r="O15" s="232"/>
      <c r="P15" s="232"/>
    </row>
    <row r="16" spans="1:24">
      <c r="A16" s="1891"/>
      <c r="B16" s="1892"/>
      <c r="C16" s="415"/>
      <c r="D16" s="1893"/>
      <c r="E16" s="1893"/>
      <c r="F16" s="1894"/>
      <c r="G16" s="1895"/>
      <c r="H16" s="1893"/>
      <c r="I16" s="1896"/>
      <c r="J16" s="1897"/>
      <c r="K16" s="1893"/>
      <c r="L16" s="1894"/>
      <c r="M16" s="232"/>
      <c r="N16" s="232"/>
      <c r="O16" s="232"/>
      <c r="P16" s="232"/>
    </row>
    <row r="17" spans="1:16" ht="42.75" customHeight="1">
      <c r="A17" s="1891"/>
      <c r="B17" s="1892"/>
      <c r="C17" s="415"/>
      <c r="D17" s="1893"/>
      <c r="E17" s="1893"/>
      <c r="F17" s="1894"/>
      <c r="G17" s="1895"/>
      <c r="H17" s="1893"/>
      <c r="I17" s="1896"/>
      <c r="J17" s="1897"/>
      <c r="K17" s="1893"/>
      <c r="L17" s="1894"/>
      <c r="M17" s="232"/>
      <c r="N17" s="232"/>
      <c r="O17" s="232"/>
      <c r="P17" s="232"/>
    </row>
    <row r="18" spans="1:16" ht="42.75" customHeight="1">
      <c r="A18" s="1891"/>
      <c r="B18" s="1892"/>
      <c r="C18" s="415"/>
      <c r="D18" s="1893"/>
      <c r="E18" s="1893"/>
      <c r="F18" s="1894"/>
      <c r="G18" s="1895"/>
      <c r="H18" s="1893"/>
      <c r="I18" s="1896"/>
      <c r="J18" s="1897"/>
      <c r="K18" s="1893"/>
      <c r="L18" s="1894"/>
      <c r="M18" s="232"/>
      <c r="N18" s="232"/>
      <c r="O18" s="232"/>
      <c r="P18" s="232"/>
    </row>
    <row r="19" spans="1:16" ht="42.75" customHeight="1">
      <c r="A19" s="1891"/>
      <c r="B19" s="1892"/>
      <c r="C19" s="415"/>
      <c r="D19" s="1893"/>
      <c r="E19" s="1893"/>
      <c r="F19" s="1894"/>
      <c r="G19" s="1895"/>
      <c r="H19" s="1893"/>
      <c r="I19" s="1896"/>
      <c r="J19" s="1897"/>
      <c r="K19" s="1893"/>
      <c r="L19" s="1894"/>
      <c r="M19" s="232"/>
      <c r="N19" s="232"/>
      <c r="O19" s="232"/>
      <c r="P19" s="232"/>
    </row>
    <row r="20" spans="1:16" ht="42.75" customHeight="1">
      <c r="A20" s="1891"/>
      <c r="B20" s="1892"/>
      <c r="C20" s="415"/>
      <c r="D20" s="1893"/>
      <c r="E20" s="1893"/>
      <c r="F20" s="1894"/>
      <c r="G20" s="1895"/>
      <c r="H20" s="1893"/>
      <c r="I20" s="1896"/>
      <c r="J20" s="1897"/>
      <c r="K20" s="1893"/>
      <c r="L20" s="1894"/>
      <c r="M20" s="232"/>
      <c r="N20" s="232"/>
      <c r="O20" s="232"/>
      <c r="P20" s="232"/>
    </row>
    <row r="21" spans="1:16" ht="42.75" customHeight="1">
      <c r="A21" s="1891"/>
      <c r="B21" s="1892"/>
      <c r="C21" s="415"/>
      <c r="D21" s="1893"/>
      <c r="E21" s="1893"/>
      <c r="F21" s="1894"/>
      <c r="G21" s="1895"/>
      <c r="H21" s="1893"/>
      <c r="I21" s="1896"/>
      <c r="J21" s="1897"/>
      <c r="K21" s="1893"/>
      <c r="L21" s="1894"/>
      <c r="M21" s="232"/>
      <c r="N21" s="232"/>
      <c r="O21" s="232"/>
      <c r="P21" s="232"/>
    </row>
    <row r="22" spans="1:16" ht="42.75" customHeight="1">
      <c r="A22" s="1891"/>
      <c r="B22" s="1892"/>
      <c r="C22" s="415"/>
      <c r="D22" s="1893"/>
      <c r="E22" s="1893"/>
      <c r="F22" s="1894"/>
      <c r="G22" s="1895"/>
      <c r="H22" s="1893"/>
      <c r="I22" s="1896"/>
      <c r="J22" s="1897"/>
      <c r="K22" s="1893"/>
      <c r="L22" s="1894"/>
      <c r="M22" s="232"/>
      <c r="N22" s="232"/>
      <c r="O22" s="232"/>
      <c r="P22" s="232"/>
    </row>
    <row r="23" spans="1:16">
      <c r="A23" s="320"/>
      <c r="B23" s="416"/>
      <c r="C23" s="321">
        <v>1</v>
      </c>
      <c r="D23" s="216">
        <f t="shared" ref="D23:L23" si="0">SUM(D4:D22)</f>
        <v>0</v>
      </c>
      <c r="E23" s="216">
        <f t="shared" si="0"/>
        <v>0</v>
      </c>
      <c r="F23" s="214">
        <f t="shared" si="0"/>
        <v>0</v>
      </c>
      <c r="G23" s="215">
        <f t="shared" si="0"/>
        <v>0</v>
      </c>
      <c r="H23" s="216">
        <f t="shared" si="0"/>
        <v>0</v>
      </c>
      <c r="I23" s="217">
        <f t="shared" si="0"/>
        <v>0</v>
      </c>
      <c r="J23" s="218">
        <f t="shared" si="0"/>
        <v>0</v>
      </c>
      <c r="K23" s="216">
        <f t="shared" si="0"/>
        <v>0</v>
      </c>
      <c r="L23" s="214">
        <f t="shared" si="0"/>
        <v>0</v>
      </c>
      <c r="M23" s="232"/>
      <c r="N23" s="232"/>
      <c r="O23" s="232"/>
      <c r="P23" s="232"/>
    </row>
    <row r="24" spans="1:16" s="693" customFormat="1" hidden="1">
      <c r="A24" s="1220" t="str">
        <f>head27a</f>
        <v>References</v>
      </c>
      <c r="B24" s="1036"/>
      <c r="C24" s="1033"/>
      <c r="D24" s="1037"/>
      <c r="E24" s="1037"/>
      <c r="F24" s="1037"/>
      <c r="G24" s="1037"/>
      <c r="H24" s="1037"/>
      <c r="I24" s="1037"/>
      <c r="J24" s="1037"/>
      <c r="K24" s="1037"/>
      <c r="L24" s="1037"/>
    </row>
    <row r="25" spans="1:16" s="693" customFormat="1" hidden="1">
      <c r="A25" s="1201" t="str">
        <f>"1. Total expenditure must reconcile to "&amp;'Template names'!F103</f>
        <v>1. Total expenditure must reconcile to Table A4 Budgeted Financial Performance (revenue and expenditure)</v>
      </c>
      <c r="B25" s="1059"/>
      <c r="C25" s="1033"/>
      <c r="D25" s="1036"/>
      <c r="E25" s="1036"/>
      <c r="F25" s="1037"/>
      <c r="G25" s="1037"/>
      <c r="H25" s="1037"/>
      <c r="I25" s="1037"/>
      <c r="J25" s="1037"/>
      <c r="K25" s="1037"/>
      <c r="L25" s="1037"/>
    </row>
    <row r="26" spans="1:16" s="693" customFormat="1" hidden="1">
      <c r="A26" s="1236" t="s">
        <v>1043</v>
      </c>
      <c r="B26" s="1039"/>
      <c r="C26" s="1038"/>
      <c r="D26" s="1341">
        <f>D23-'A4-FinPerf RE'!C36</f>
        <v>-25927033.330000002</v>
      </c>
      <c r="E26" s="1341">
        <f>E23-'A4-FinPerf RE'!D36</f>
        <v>-50572229.866582446</v>
      </c>
      <c r="F26" s="1342">
        <f>F23-'A4-FinPerf RE'!E36</f>
        <v>-42245367.146627761</v>
      </c>
      <c r="G26" s="1342">
        <f>G23-'A4-FinPerf RE'!F36</f>
        <v>-50316675</v>
      </c>
      <c r="H26" s="1342">
        <f>H23-'A4-FinPerf RE'!G36</f>
        <v>-49089155</v>
      </c>
      <c r="I26" s="1342">
        <f>I23-'A4-FinPerf RE'!H36</f>
        <v>-41755670</v>
      </c>
      <c r="J26" s="1342">
        <f>J23-'A4-FinPerf RE'!J36</f>
        <v>-69872607.241125479</v>
      </c>
      <c r="K26" s="1342">
        <f>K23-'A4-FinPerf RE'!K36</f>
        <v>-65936041.969858006</v>
      </c>
      <c r="L26" s="1342">
        <f>L23-'A4-FinPerf RE'!L36</f>
        <v>-70767369.749789476</v>
      </c>
    </row>
    <row r="27" spans="1:16" hidden="1">
      <c r="D27" s="423"/>
      <c r="E27" s="423"/>
      <c r="F27" s="336"/>
    </row>
    <row r="28" spans="1:16" hidden="1">
      <c r="D28" s="423"/>
    </row>
    <row r="29" spans="1:16" hidden="1">
      <c r="D29" s="423"/>
    </row>
    <row r="30" spans="1:16" hidden="1"/>
    <row r="31" spans="1:16" hidden="1"/>
    <row r="32" spans="1:16" hidden="1"/>
    <row r="33" hidden="1"/>
    <row r="34" hidden="1"/>
    <row r="35" hidden="1"/>
    <row r="36" hidden="1"/>
    <row r="37" hidden="1"/>
    <row r="38" hidden="1"/>
    <row r="39" hidden="1"/>
    <row r="40" hidden="1"/>
    <row r="41" hidden="1"/>
    <row r="42" hidden="1"/>
    <row r="43" hidden="1"/>
    <row r="44" hidden="1"/>
  </sheetData>
  <sheetProtection sheet="1" objects="1" scenarios="1"/>
  <mergeCells count="3">
    <mergeCell ref="G2:I2"/>
    <mergeCell ref="J2:L2"/>
    <mergeCell ref="C2:C3"/>
  </mergeCells>
  <phoneticPr fontId="3" type="noConversion"/>
  <printOptions horizontalCentered="1"/>
  <pageMargins left="0" right="0" top="0.78740157480314965" bottom="0.59055118110236227" header="0.51181102362204722" footer="0.41"/>
  <pageSetup paperSize="9" scale="8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theme="3"/>
    <pageSetUpPr fitToPage="1"/>
  </sheetPr>
  <dimension ref="A1:X42"/>
  <sheetViews>
    <sheetView showGridLines="0" workbookViewId="0">
      <pane xSplit="4" ySplit="3" topLeftCell="E11" activePane="bottomRight" state="frozen"/>
      <selection activeCell="O37" sqref="A1:IV65536"/>
      <selection pane="topRight" activeCell="O37" sqref="A1:IV65536"/>
      <selection pane="bottomLeft" activeCell="O37" sqref="A1:IV65536"/>
      <selection pane="bottomRight" activeCell="K43" sqref="K43"/>
    </sheetView>
  </sheetViews>
  <sheetFormatPr defaultRowHeight="12.75"/>
  <cols>
    <col min="1" max="2" width="18.7109375" style="150" customWidth="1"/>
    <col min="3" max="3" width="4.42578125" style="150" customWidth="1"/>
    <col min="4" max="4" width="3" style="233" hidden="1" customWidth="1"/>
    <col min="5" max="13" width="9.28515625" style="150" customWidth="1"/>
    <col min="14" max="14" width="32.7109375" style="150" bestFit="1" customWidth="1"/>
    <col min="15" max="15" width="1.5703125" style="150" customWidth="1"/>
    <col min="16" max="20" width="7.85546875" style="150" bestFit="1" customWidth="1"/>
    <col min="21" max="24" width="8.7109375" style="150" bestFit="1" customWidth="1"/>
    <col min="25" max="26" width="9.85546875" style="150" customWidth="1"/>
    <col min="27" max="16384" width="9.140625" style="150"/>
  </cols>
  <sheetData>
    <row r="1" spans="1:24" ht="13.5">
      <c r="A1" s="148" t="str">
        <f>muni&amp;" - "&amp;TableA6</f>
        <v>NC071 Ubuntu - Supporting Table SA6 Reconciliation of IDP strategic objectives and budget (capital expenditure)</v>
      </c>
      <c r="B1" s="148"/>
      <c r="C1" s="148"/>
      <c r="D1" s="148"/>
      <c r="E1" s="148"/>
      <c r="F1" s="148"/>
      <c r="G1" s="148"/>
      <c r="H1" s="148"/>
      <c r="I1" s="148"/>
      <c r="J1" s="148"/>
      <c r="K1" s="148"/>
      <c r="L1" s="148"/>
      <c r="M1" s="148"/>
      <c r="N1" s="232"/>
      <c r="O1" s="232"/>
      <c r="P1" s="232"/>
      <c r="Q1" s="232"/>
    </row>
    <row r="2" spans="1:24" ht="28.5" customHeight="1">
      <c r="A2" s="972" t="s">
        <v>1039</v>
      </c>
      <c r="B2" s="978" t="s">
        <v>1452</v>
      </c>
      <c r="C2" s="616" t="s">
        <v>1005</v>
      </c>
      <c r="D2" s="2798" t="str">
        <f>head27</f>
        <v>Ref</v>
      </c>
      <c r="E2" s="146" t="str">
        <f>head1b</f>
        <v>2007/8</v>
      </c>
      <c r="F2" s="151" t="str">
        <f>head1A</f>
        <v>2008/9</v>
      </c>
      <c r="G2" s="147" t="str">
        <f>Head1</f>
        <v>2009/10</v>
      </c>
      <c r="H2" s="2772" t="str">
        <f>Head2</f>
        <v>Current Year 2010/11</v>
      </c>
      <c r="I2" s="2773"/>
      <c r="J2" s="2777"/>
      <c r="K2" s="2769" t="str">
        <f>Head3</f>
        <v>2011/12 Medium Term Revenue &amp; Expenditure Framework</v>
      </c>
      <c r="L2" s="2770"/>
      <c r="M2" s="2771"/>
      <c r="N2" s="232"/>
      <c r="O2" s="232"/>
      <c r="P2" s="232"/>
      <c r="Q2" s="232"/>
    </row>
    <row r="3" spans="1:24" ht="25.5">
      <c r="A3" s="985" t="s">
        <v>697</v>
      </c>
      <c r="B3" s="984"/>
      <c r="C3" s="984"/>
      <c r="D3" s="2804"/>
      <c r="E3" s="364" t="str">
        <f>Head5</f>
        <v>Audited Outcome</v>
      </c>
      <c r="F3" s="365" t="str">
        <f>Head5</f>
        <v>Audited Outcome</v>
      </c>
      <c r="G3" s="366" t="str">
        <f>Head5</f>
        <v>Audited Outcome</v>
      </c>
      <c r="H3" s="283" t="str">
        <f>Head6</f>
        <v>Original Budget</v>
      </c>
      <c r="I3" s="365" t="str">
        <f>Head7</f>
        <v>Adjusted Budget</v>
      </c>
      <c r="J3" s="366" t="str">
        <f>Head8</f>
        <v>Full Year Forecast</v>
      </c>
      <c r="K3" s="283" t="str">
        <f>Head9</f>
        <v>Budget Year 2011/12</v>
      </c>
      <c r="L3" s="365" t="str">
        <f>Head10</f>
        <v>Budget Year +1 2012/13</v>
      </c>
      <c r="M3" s="366" t="str">
        <f>Head11</f>
        <v>Budget Year +2 2013/14</v>
      </c>
      <c r="N3" s="232"/>
      <c r="O3" s="232"/>
      <c r="P3" s="232"/>
      <c r="Q3" s="232"/>
    </row>
    <row r="4" spans="1:24" ht="25.5">
      <c r="A4" s="1891" t="s">
        <v>3048</v>
      </c>
      <c r="B4" s="1892" t="s">
        <v>3056</v>
      </c>
      <c r="C4" s="1898"/>
      <c r="D4" s="415"/>
      <c r="E4" s="1893"/>
      <c r="F4" s="1893"/>
      <c r="G4" s="1894"/>
      <c r="H4" s="1895"/>
      <c r="I4" s="1893"/>
      <c r="J4" s="1896"/>
      <c r="K4" s="1897">
        <v>500000</v>
      </c>
      <c r="L4" s="1893"/>
      <c r="M4" s="1894"/>
      <c r="N4" s="420"/>
      <c r="O4" s="420"/>
      <c r="P4" s="241"/>
      <c r="Q4" s="241"/>
      <c r="R4" s="241"/>
      <c r="S4" s="241"/>
      <c r="T4" s="241"/>
      <c r="U4" s="241"/>
      <c r="V4" s="241"/>
      <c r="W4" s="241"/>
      <c r="X4" s="241"/>
    </row>
    <row r="5" spans="1:24">
      <c r="A5" s="1891" t="s">
        <v>3049</v>
      </c>
      <c r="B5" s="1892" t="s">
        <v>3057</v>
      </c>
      <c r="C5" s="1898"/>
      <c r="D5" s="415"/>
      <c r="E5" s="1893"/>
      <c r="F5" s="1893"/>
      <c r="G5" s="1894"/>
      <c r="H5" s="1895"/>
      <c r="I5" s="1893"/>
      <c r="J5" s="1896"/>
      <c r="K5" s="1897">
        <v>700000</v>
      </c>
      <c r="L5" s="1893"/>
      <c r="M5" s="1894"/>
      <c r="N5" s="420"/>
      <c r="O5" s="420"/>
      <c r="P5" s="241"/>
      <c r="Q5" s="241"/>
      <c r="R5" s="241"/>
      <c r="S5" s="241"/>
      <c r="T5" s="241"/>
      <c r="U5" s="241"/>
      <c r="V5" s="241"/>
      <c r="W5" s="241"/>
      <c r="X5" s="241"/>
    </row>
    <row r="6" spans="1:24" ht="25.5">
      <c r="A6" s="1891" t="s">
        <v>3050</v>
      </c>
      <c r="B6" s="1892" t="s">
        <v>3058</v>
      </c>
      <c r="C6" s="1898"/>
      <c r="D6" s="415"/>
      <c r="E6" s="1893"/>
      <c r="F6" s="1893"/>
      <c r="G6" s="1894"/>
      <c r="H6" s="1895"/>
      <c r="I6" s="1893"/>
      <c r="J6" s="1896"/>
      <c r="K6" s="1897">
        <v>200000</v>
      </c>
      <c r="L6" s="1893"/>
      <c r="M6" s="1894"/>
      <c r="N6" s="420"/>
      <c r="O6" s="420"/>
      <c r="P6" s="241"/>
      <c r="Q6" s="241"/>
      <c r="R6" s="241"/>
      <c r="S6" s="241"/>
      <c r="T6" s="241"/>
      <c r="U6" s="241"/>
      <c r="V6" s="241"/>
      <c r="W6" s="241"/>
      <c r="X6" s="241"/>
    </row>
    <row r="7" spans="1:24">
      <c r="A7" s="1891" t="s">
        <v>3051</v>
      </c>
      <c r="B7" s="1892" t="s">
        <v>3059</v>
      </c>
      <c r="C7" s="1898"/>
      <c r="D7" s="415"/>
      <c r="E7" s="1893"/>
      <c r="F7" s="1893"/>
      <c r="G7" s="1894"/>
      <c r="H7" s="1895"/>
      <c r="I7" s="1893"/>
      <c r="J7" s="1896"/>
      <c r="K7" s="1897">
        <v>1800000</v>
      </c>
      <c r="L7" s="1893"/>
      <c r="M7" s="1894"/>
      <c r="N7" s="420"/>
      <c r="O7" s="420"/>
      <c r="P7" s="241"/>
      <c r="Q7" s="241"/>
      <c r="R7" s="241"/>
      <c r="S7" s="241"/>
      <c r="T7" s="241"/>
      <c r="U7" s="241"/>
      <c r="V7" s="241"/>
      <c r="W7" s="241"/>
      <c r="X7" s="241"/>
    </row>
    <row r="8" spans="1:24">
      <c r="A8" s="1891" t="s">
        <v>3052</v>
      </c>
      <c r="B8" s="1892" t="s">
        <v>3060</v>
      </c>
      <c r="C8" s="1898"/>
      <c r="D8" s="415"/>
      <c r="E8" s="1893"/>
      <c r="F8" s="1893"/>
      <c r="G8" s="1894"/>
      <c r="H8" s="1895"/>
      <c r="I8" s="1893"/>
      <c r="J8" s="1896"/>
      <c r="K8" s="1897">
        <v>1550000</v>
      </c>
      <c r="L8" s="1893"/>
      <c r="M8" s="1894"/>
      <c r="N8" s="420"/>
      <c r="O8" s="420"/>
      <c r="P8" s="241"/>
      <c r="Q8" s="241"/>
      <c r="R8" s="241"/>
      <c r="S8" s="241"/>
      <c r="T8" s="241"/>
      <c r="U8" s="241"/>
      <c r="V8" s="241"/>
      <c r="W8" s="241"/>
      <c r="X8" s="241"/>
    </row>
    <row r="9" spans="1:24" ht="25.5">
      <c r="A9" s="1891" t="s">
        <v>3053</v>
      </c>
      <c r="B9" s="1892" t="s">
        <v>3061</v>
      </c>
      <c r="C9" s="1898"/>
      <c r="D9" s="415"/>
      <c r="E9" s="1893"/>
      <c r="F9" s="1893"/>
      <c r="G9" s="1894"/>
      <c r="H9" s="1895"/>
      <c r="I9" s="1893"/>
      <c r="J9" s="1896"/>
      <c r="K9" s="1897">
        <v>2950000</v>
      </c>
      <c r="L9" s="1893"/>
      <c r="M9" s="1894"/>
      <c r="N9" s="290"/>
      <c r="O9" s="290"/>
      <c r="P9" s="241"/>
      <c r="Q9" s="241"/>
      <c r="R9" s="241"/>
      <c r="S9" s="241"/>
      <c r="T9" s="241"/>
      <c r="U9" s="241"/>
      <c r="V9" s="241"/>
      <c r="W9" s="241"/>
      <c r="X9" s="241"/>
    </row>
    <row r="10" spans="1:24" ht="25.5">
      <c r="A10" s="1891" t="s">
        <v>3048</v>
      </c>
      <c r="B10" s="1892" t="s">
        <v>3062</v>
      </c>
      <c r="C10" s="1898"/>
      <c r="D10" s="415"/>
      <c r="E10" s="1893"/>
      <c r="F10" s="1893"/>
      <c r="G10" s="1894"/>
      <c r="H10" s="1895"/>
      <c r="I10" s="1893"/>
      <c r="J10" s="1896"/>
      <c r="K10" s="1897">
        <v>300000</v>
      </c>
      <c r="L10" s="1893"/>
      <c r="M10" s="1894"/>
      <c r="N10" s="232"/>
      <c r="O10" s="232"/>
      <c r="P10" s="241"/>
      <c r="Q10" s="241"/>
      <c r="R10" s="241"/>
      <c r="S10" s="241"/>
      <c r="T10" s="241"/>
      <c r="U10" s="241"/>
      <c r="V10" s="241"/>
      <c r="W10" s="241"/>
      <c r="X10" s="241"/>
    </row>
    <row r="11" spans="1:24" ht="25.5">
      <c r="A11" s="1891" t="s">
        <v>3055</v>
      </c>
      <c r="B11" s="1892" t="s">
        <v>3063</v>
      </c>
      <c r="C11" s="1898"/>
      <c r="D11" s="415"/>
      <c r="E11" s="1893"/>
      <c r="F11" s="1893"/>
      <c r="G11" s="1894"/>
      <c r="H11" s="1895"/>
      <c r="I11" s="1893"/>
      <c r="J11" s="1896"/>
      <c r="K11" s="1897">
        <v>1188000</v>
      </c>
      <c r="L11" s="1893"/>
      <c r="M11" s="1894"/>
      <c r="N11" s="232"/>
      <c r="O11" s="232"/>
      <c r="P11" s="241"/>
      <c r="Q11" s="241"/>
      <c r="R11" s="241"/>
      <c r="S11" s="241"/>
      <c r="T11" s="241"/>
      <c r="U11" s="241"/>
      <c r="V11" s="241"/>
      <c r="W11" s="241"/>
      <c r="X11" s="241"/>
    </row>
    <row r="12" spans="1:24" ht="25.5">
      <c r="A12" s="1891" t="s">
        <v>3054</v>
      </c>
      <c r="B12" s="1892" t="s">
        <v>3064</v>
      </c>
      <c r="C12" s="1898"/>
      <c r="D12" s="415"/>
      <c r="E12" s="1893"/>
      <c r="F12" s="1893"/>
      <c r="G12" s="1894"/>
      <c r="H12" s="1895"/>
      <c r="I12" s="1893"/>
      <c r="J12" s="1896"/>
      <c r="K12" s="1897">
        <v>300000</v>
      </c>
      <c r="L12" s="1893"/>
      <c r="M12" s="1894"/>
      <c r="N12" s="232"/>
      <c r="O12" s="232"/>
      <c r="P12" s="241"/>
      <c r="Q12" s="241"/>
      <c r="R12" s="241"/>
      <c r="S12" s="241"/>
      <c r="T12" s="241"/>
      <c r="U12" s="241"/>
      <c r="V12" s="241"/>
      <c r="W12" s="241"/>
      <c r="X12" s="241"/>
    </row>
    <row r="13" spans="1:24">
      <c r="A13" s="1891"/>
      <c r="B13" s="1892"/>
      <c r="C13" s="1898"/>
      <c r="D13" s="415"/>
      <c r="E13" s="1893"/>
      <c r="F13" s="1893"/>
      <c r="G13" s="1894"/>
      <c r="H13" s="1895"/>
      <c r="I13" s="1893"/>
      <c r="J13" s="1896"/>
      <c r="K13" s="1897"/>
      <c r="L13" s="1893"/>
      <c r="M13" s="1894"/>
      <c r="N13" s="232"/>
      <c r="O13" s="232"/>
      <c r="P13" s="188"/>
      <c r="Q13" s="188"/>
      <c r="R13" s="188"/>
      <c r="S13" s="188"/>
      <c r="T13" s="188"/>
      <c r="U13" s="188"/>
      <c r="V13" s="188"/>
      <c r="W13" s="188"/>
      <c r="X13" s="188"/>
    </row>
    <row r="14" spans="1:24">
      <c r="A14" s="1891"/>
      <c r="B14" s="1892"/>
      <c r="C14" s="1898"/>
      <c r="D14" s="415"/>
      <c r="E14" s="1893"/>
      <c r="F14" s="1893"/>
      <c r="G14" s="1894"/>
      <c r="H14" s="1895"/>
      <c r="I14" s="1893"/>
      <c r="J14" s="1896"/>
      <c r="K14" s="1897"/>
      <c r="L14" s="1893"/>
      <c r="M14" s="1894"/>
      <c r="N14" s="232"/>
      <c r="O14" s="232"/>
      <c r="P14" s="241"/>
      <c r="Q14" s="241"/>
      <c r="R14" s="241"/>
      <c r="S14" s="241"/>
      <c r="T14" s="241"/>
      <c r="U14" s="241"/>
      <c r="V14" s="241"/>
      <c r="W14" s="241"/>
      <c r="X14" s="241"/>
    </row>
    <row r="15" spans="1:24">
      <c r="A15" s="1891"/>
      <c r="B15" s="1892"/>
      <c r="C15" s="1898"/>
      <c r="D15" s="415"/>
      <c r="E15" s="1893"/>
      <c r="F15" s="1893"/>
      <c r="G15" s="1894"/>
      <c r="H15" s="1895"/>
      <c r="I15" s="1893"/>
      <c r="J15" s="1896"/>
      <c r="K15" s="1897"/>
      <c r="L15" s="1893"/>
      <c r="M15" s="1894"/>
      <c r="N15" s="232"/>
      <c r="O15" s="232"/>
      <c r="P15" s="232"/>
      <c r="Q15" s="232"/>
    </row>
    <row r="16" spans="1:24">
      <c r="A16" s="1891"/>
      <c r="B16" s="1892"/>
      <c r="C16" s="1898"/>
      <c r="D16" s="415"/>
      <c r="E16" s="1893"/>
      <c r="F16" s="1893"/>
      <c r="G16" s="1894"/>
      <c r="H16" s="1895"/>
      <c r="I16" s="1893"/>
      <c r="J16" s="1896"/>
      <c r="K16" s="1897"/>
      <c r="L16" s="1893"/>
      <c r="M16" s="1894"/>
      <c r="N16" s="232"/>
      <c r="O16" s="232"/>
      <c r="P16" s="232"/>
      <c r="Q16" s="232"/>
    </row>
    <row r="17" spans="1:13" ht="42.75" customHeight="1">
      <c r="A17" s="1891"/>
      <c r="B17" s="1892"/>
      <c r="C17" s="1898"/>
      <c r="D17" s="415"/>
      <c r="E17" s="1893"/>
      <c r="F17" s="1893"/>
      <c r="G17" s="1894"/>
      <c r="H17" s="1895"/>
      <c r="I17" s="1893"/>
      <c r="J17" s="1896"/>
      <c r="K17" s="1897"/>
      <c r="L17" s="1893"/>
      <c r="M17" s="1894"/>
    </row>
    <row r="18" spans="1:13" ht="42.75" customHeight="1">
      <c r="A18" s="1891"/>
      <c r="B18" s="1892"/>
      <c r="C18" s="1898"/>
      <c r="D18" s="415"/>
      <c r="E18" s="1893"/>
      <c r="F18" s="1893"/>
      <c r="G18" s="1894"/>
      <c r="H18" s="1895"/>
      <c r="I18" s="1893"/>
      <c r="J18" s="1896"/>
      <c r="K18" s="1897"/>
      <c r="L18" s="1893"/>
      <c r="M18" s="1894"/>
    </row>
    <row r="19" spans="1:13" ht="42.75" customHeight="1">
      <c r="A19" s="1891"/>
      <c r="B19" s="1892"/>
      <c r="C19" s="1898"/>
      <c r="D19" s="415"/>
      <c r="E19" s="1893"/>
      <c r="F19" s="1893"/>
      <c r="G19" s="1894"/>
      <c r="H19" s="1895"/>
      <c r="I19" s="1893"/>
      <c r="J19" s="1896"/>
      <c r="K19" s="1897"/>
      <c r="L19" s="1893"/>
      <c r="M19" s="1894"/>
    </row>
    <row r="20" spans="1:13" ht="42.75" customHeight="1">
      <c r="A20" s="1891"/>
      <c r="B20" s="1892"/>
      <c r="C20" s="1898"/>
      <c r="D20" s="415"/>
      <c r="E20" s="1893"/>
      <c r="F20" s="1893"/>
      <c r="G20" s="1894"/>
      <c r="H20" s="1895"/>
      <c r="I20" s="1893"/>
      <c r="J20" s="1896"/>
      <c r="K20" s="1897"/>
      <c r="L20" s="1893"/>
      <c r="M20" s="1894"/>
    </row>
    <row r="21" spans="1:13">
      <c r="A21" s="320"/>
      <c r="B21" s="416"/>
      <c r="C21" s="416"/>
      <c r="D21" s="321">
        <v>1</v>
      </c>
      <c r="E21" s="216">
        <f t="shared" ref="E21:M21" si="0">SUM(E4:E20)</f>
        <v>0</v>
      </c>
      <c r="F21" s="216">
        <f t="shared" si="0"/>
        <v>0</v>
      </c>
      <c r="G21" s="214">
        <f t="shared" si="0"/>
        <v>0</v>
      </c>
      <c r="H21" s="215">
        <f t="shared" si="0"/>
        <v>0</v>
      </c>
      <c r="I21" s="216">
        <f t="shared" si="0"/>
        <v>0</v>
      </c>
      <c r="J21" s="217">
        <f t="shared" si="0"/>
        <v>0</v>
      </c>
      <c r="K21" s="218">
        <f t="shared" si="0"/>
        <v>9488000</v>
      </c>
      <c r="L21" s="216">
        <f t="shared" si="0"/>
        <v>0</v>
      </c>
      <c r="M21" s="214">
        <f t="shared" si="0"/>
        <v>0</v>
      </c>
    </row>
    <row r="22" spans="1:13" s="693" customFormat="1" hidden="1">
      <c r="A22" s="1220" t="str">
        <f>head27a</f>
        <v>References</v>
      </c>
      <c r="B22" s="1036"/>
      <c r="C22" s="1036"/>
      <c r="D22" s="1033"/>
      <c r="E22" s="1037"/>
      <c r="F22" s="1037"/>
      <c r="G22" s="1037"/>
      <c r="H22" s="1037"/>
      <c r="I22" s="1037"/>
      <c r="J22" s="1037"/>
      <c r="K22" s="1037"/>
      <c r="L22" s="1037"/>
      <c r="M22" s="1037"/>
    </row>
    <row r="23" spans="1:13" s="693" customFormat="1" hidden="1">
      <c r="A23" s="1201" t="s">
        <v>1454</v>
      </c>
      <c r="B23" s="1036"/>
      <c r="C23" s="1036"/>
      <c r="D23" s="1033"/>
      <c r="E23" s="1037"/>
      <c r="F23" s="1037"/>
      <c r="G23" s="1037"/>
      <c r="H23" s="1037"/>
      <c r="I23" s="1037"/>
      <c r="J23" s="1037"/>
      <c r="K23" s="1037"/>
      <c r="L23" s="1037"/>
      <c r="M23" s="1037"/>
    </row>
    <row r="24" spans="1:13" s="693" customFormat="1" hidden="1">
      <c r="A24" s="1201" t="s">
        <v>1006</v>
      </c>
      <c r="B24" s="1052"/>
      <c r="C24" s="1052"/>
      <c r="D24" s="1033"/>
      <c r="E24" s="1036"/>
      <c r="F24" s="1036"/>
      <c r="G24" s="1037"/>
      <c r="H24" s="1037"/>
      <c r="I24" s="1037"/>
      <c r="J24" s="1037"/>
      <c r="K24" s="1037"/>
      <c r="L24" s="1037"/>
      <c r="M24" s="1037"/>
    </row>
    <row r="25" spans="1:13" hidden="1">
      <c r="A25" s="363" t="s">
        <v>441</v>
      </c>
      <c r="B25" s="363"/>
      <c r="C25" s="363"/>
      <c r="E25" s="422">
        <f>E21-'A5-Capex'!C40</f>
        <v>0</v>
      </c>
      <c r="F25" s="422">
        <f>F21-'A5-Capex'!D40</f>
        <v>0</v>
      </c>
      <c r="G25" s="422">
        <f>G21-'A5-Capex'!E40</f>
        <v>0</v>
      </c>
      <c r="H25" s="422">
        <f>H21-'A5-Capex'!F40</f>
        <v>0</v>
      </c>
      <c r="I25" s="422">
        <f>I21-'A5-Capex'!G40</f>
        <v>0</v>
      </c>
      <c r="J25" s="422">
        <f>J21-'A5-Capex'!H40</f>
        <v>0</v>
      </c>
      <c r="K25" s="422">
        <f>K21-'A5-Capex'!J40</f>
        <v>0</v>
      </c>
      <c r="L25" s="422">
        <f>L21-'A5-Capex'!K40</f>
        <v>0</v>
      </c>
      <c r="M25" s="422">
        <f>M21-'A5-Capex'!L40</f>
        <v>0</v>
      </c>
    </row>
    <row r="26" spans="1:13" hidden="1">
      <c r="E26" s="423"/>
      <c r="F26" s="336"/>
      <c r="G26" s="336"/>
    </row>
    <row r="27" spans="1:13" hidden="1">
      <c r="E27" s="423"/>
    </row>
    <row r="28" spans="1:13" hidden="1">
      <c r="E28" s="423"/>
    </row>
    <row r="29" spans="1:13" hidden="1"/>
    <row r="30" spans="1:13" hidden="1"/>
    <row r="31" spans="1:13" hidden="1"/>
    <row r="32" spans="1:13" hidden="1"/>
    <row r="33" hidden="1"/>
    <row r="34" hidden="1"/>
    <row r="35" hidden="1"/>
    <row r="36" hidden="1"/>
    <row r="37" hidden="1"/>
    <row r="38" hidden="1"/>
    <row r="39" hidden="1"/>
    <row r="40" hidden="1"/>
    <row r="41" hidden="1"/>
    <row r="42" hidden="1"/>
  </sheetData>
  <sheetProtection sheet="1" objects="1" scenarios="1"/>
  <mergeCells count="3">
    <mergeCell ref="H2:J2"/>
    <mergeCell ref="K2:M2"/>
    <mergeCell ref="D2:D3"/>
  </mergeCells>
  <phoneticPr fontId="3" type="noConversion"/>
  <printOptions horizontalCentered="1"/>
  <pageMargins left="0" right="0" top="0.78740157480314965" bottom="0.59055118110236227" header="0.51181102362204722" footer="0.39"/>
  <pageSetup paperSize="9" scale="81"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indexed="42"/>
    <pageSetUpPr fitToPage="1"/>
  </sheetPr>
  <dimension ref="A1:K63"/>
  <sheetViews>
    <sheetView showGridLines="0" workbookViewId="0">
      <pane xSplit="2" ySplit="3" topLeftCell="C4" activePane="bottomRight" state="frozen"/>
      <selection activeCell="O37" sqref="A1:IV65536"/>
      <selection pane="topRight" activeCell="O37" sqref="A1:IV65536"/>
      <selection pane="bottomLeft" activeCell="O37" sqref="A1:IV65536"/>
      <selection pane="bottomRight" activeCell="D8" sqref="D8"/>
    </sheetView>
  </sheetViews>
  <sheetFormatPr defaultRowHeight="11.25" customHeight="1"/>
  <cols>
    <col min="1" max="1" width="29.28515625" style="150" customWidth="1"/>
    <col min="2" max="2" width="15.7109375" style="150" customWidth="1"/>
    <col min="3" max="11" width="9.28515625" style="150" customWidth="1"/>
    <col min="12" max="16384" width="9.140625" style="150"/>
  </cols>
  <sheetData>
    <row r="1" spans="1:11" s="168" customFormat="1" ht="12.75">
      <c r="A1" s="148" t="str">
        <f>muni&amp;" - "&amp;TableA7</f>
        <v>NC071 Ubuntu - Supporting Table SA7 Measureable performance objectives</v>
      </c>
      <c r="B1" s="148"/>
      <c r="C1" s="148"/>
      <c r="D1" s="148"/>
      <c r="E1" s="148"/>
      <c r="F1" s="148"/>
      <c r="G1" s="148"/>
      <c r="H1" s="148"/>
      <c r="I1" s="148"/>
      <c r="J1" s="148"/>
      <c r="K1" s="148"/>
    </row>
    <row r="2" spans="1:11" ht="28.5" customHeight="1">
      <c r="A2" s="2807" t="s">
        <v>814</v>
      </c>
      <c r="B2" s="2805" t="s">
        <v>437</v>
      </c>
      <c r="C2" s="146" t="str">
        <f>head1b</f>
        <v>2007/8</v>
      </c>
      <c r="D2" s="151" t="str">
        <f>head1A</f>
        <v>2008/9</v>
      </c>
      <c r="E2" s="147" t="str">
        <f>Head1</f>
        <v>2009/10</v>
      </c>
      <c r="F2" s="2772" t="str">
        <f>Head2</f>
        <v>Current Year 2010/11</v>
      </c>
      <c r="G2" s="2773"/>
      <c r="H2" s="2777"/>
      <c r="I2" s="2769" t="str">
        <f>Head3</f>
        <v>2011/12 Medium Term Revenue &amp; Expenditure Framework</v>
      </c>
      <c r="J2" s="2770"/>
      <c r="K2" s="2771"/>
    </row>
    <row r="3" spans="1:11" ht="25.5">
      <c r="A3" s="2808"/>
      <c r="B3" s="2806"/>
      <c r="C3" s="364" t="str">
        <f>Head5</f>
        <v>Audited Outcome</v>
      </c>
      <c r="D3" s="365" t="str">
        <f>Head5</f>
        <v>Audited Outcome</v>
      </c>
      <c r="E3" s="366" t="str">
        <f>Head5</f>
        <v>Audited Outcome</v>
      </c>
      <c r="F3" s="283" t="str">
        <f>Head6</f>
        <v>Original Budget</v>
      </c>
      <c r="G3" s="365" t="str">
        <f>Head7</f>
        <v>Adjusted Budget</v>
      </c>
      <c r="H3" s="366" t="str">
        <f>Head8</f>
        <v>Full Year Forecast</v>
      </c>
      <c r="I3" s="283" t="str">
        <f>Head9</f>
        <v>Budget Year 2011/12</v>
      </c>
      <c r="J3" s="365" t="str">
        <f>Head10</f>
        <v>Budget Year +1 2012/13</v>
      </c>
      <c r="K3" s="366" t="str">
        <f>Head11</f>
        <v>Budget Year +2 2013/14</v>
      </c>
    </row>
    <row r="4" spans="1:11" ht="11.25" customHeight="1">
      <c r="A4" s="1486"/>
      <c r="B4" s="1899"/>
      <c r="C4" s="1900"/>
      <c r="D4" s="1901"/>
      <c r="E4" s="1901"/>
      <c r="F4" s="1901"/>
      <c r="G4" s="1901"/>
      <c r="H4" s="1902"/>
      <c r="I4" s="1902"/>
      <c r="J4" s="1901"/>
      <c r="K4" s="1901"/>
    </row>
    <row r="5" spans="1:11" ht="11.25" customHeight="1">
      <c r="A5" s="1493"/>
      <c r="B5" s="1903"/>
      <c r="C5" s="1900"/>
      <c r="D5" s="1901"/>
      <c r="E5" s="1901"/>
      <c r="F5" s="1901"/>
      <c r="G5" s="1901"/>
      <c r="H5" s="1901"/>
      <c r="I5" s="1901"/>
      <c r="J5" s="1901"/>
      <c r="K5" s="1901"/>
    </row>
    <row r="6" spans="1:11" ht="11.25" customHeight="1">
      <c r="A6" s="1494"/>
      <c r="B6" s="1904"/>
      <c r="C6" s="1900"/>
      <c r="D6" s="1901"/>
      <c r="E6" s="1901"/>
      <c r="F6" s="1901"/>
      <c r="G6" s="1901"/>
      <c r="H6" s="1901"/>
      <c r="I6" s="1901"/>
      <c r="J6" s="1901"/>
      <c r="K6" s="1901"/>
    </row>
    <row r="7" spans="1:11" ht="12.75">
      <c r="A7" s="1905"/>
      <c r="B7" s="1906"/>
      <c r="C7" s="1907"/>
      <c r="D7" s="1908"/>
      <c r="E7" s="1908"/>
      <c r="F7" s="1908"/>
      <c r="G7" s="1908"/>
      <c r="H7" s="1908"/>
      <c r="I7" s="1908"/>
      <c r="J7" s="1908"/>
      <c r="K7" s="1908"/>
    </row>
    <row r="8" spans="1:11" ht="11.25" customHeight="1">
      <c r="A8" s="1909"/>
      <c r="B8" s="1904"/>
      <c r="C8" s="1900"/>
      <c r="D8" s="1901"/>
      <c r="E8" s="1901"/>
      <c r="F8" s="1901"/>
      <c r="G8" s="1901"/>
      <c r="H8" s="1901"/>
      <c r="I8" s="1901"/>
      <c r="J8" s="1901"/>
      <c r="K8" s="1901"/>
    </row>
    <row r="9" spans="1:11" ht="11.25" customHeight="1">
      <c r="A9" s="1486"/>
      <c r="B9" s="1904"/>
      <c r="C9" s="1900"/>
      <c r="D9" s="1901"/>
      <c r="E9" s="1901"/>
      <c r="F9" s="1901"/>
      <c r="G9" s="1901"/>
      <c r="H9" s="1901"/>
      <c r="I9" s="1901"/>
      <c r="J9" s="1901"/>
      <c r="K9" s="1901"/>
    </row>
    <row r="10" spans="1:11" ht="11.25" customHeight="1">
      <c r="A10" s="1493"/>
      <c r="B10" s="1904"/>
      <c r="C10" s="1900"/>
      <c r="D10" s="1901"/>
      <c r="E10" s="1901"/>
      <c r="F10" s="1901"/>
      <c r="G10" s="1901"/>
      <c r="H10" s="1901"/>
      <c r="I10" s="1901"/>
      <c r="J10" s="1901"/>
      <c r="K10" s="1901"/>
    </row>
    <row r="11" spans="1:11" ht="11.25" customHeight="1">
      <c r="A11" s="1494"/>
      <c r="B11" s="1899"/>
      <c r="C11" s="1900"/>
      <c r="D11" s="1901"/>
      <c r="E11" s="1901"/>
      <c r="F11" s="1901"/>
      <c r="G11" s="1901"/>
      <c r="H11" s="1901"/>
      <c r="I11" s="1901"/>
      <c r="J11" s="1901"/>
      <c r="K11" s="1901"/>
    </row>
    <row r="12" spans="1:11" ht="12.75">
      <c r="A12" s="1905"/>
      <c r="B12" s="1904"/>
      <c r="C12" s="1907"/>
      <c r="D12" s="1908"/>
      <c r="E12" s="1908"/>
      <c r="F12" s="1908"/>
      <c r="G12" s="1908"/>
      <c r="H12" s="1908"/>
      <c r="I12" s="1908"/>
      <c r="J12" s="1908"/>
      <c r="K12" s="1908"/>
    </row>
    <row r="13" spans="1:11" ht="11.25" customHeight="1">
      <c r="A13" s="1909"/>
      <c r="B13" s="1904"/>
      <c r="C13" s="1900"/>
      <c r="D13" s="1901"/>
      <c r="E13" s="1901"/>
      <c r="F13" s="1901"/>
      <c r="G13" s="1901"/>
      <c r="H13" s="1901"/>
      <c r="I13" s="1901"/>
      <c r="J13" s="1901"/>
      <c r="K13" s="1901"/>
    </row>
    <row r="14" spans="1:11" ht="11.25" customHeight="1">
      <c r="A14" s="1494"/>
      <c r="B14" s="1910"/>
      <c r="C14" s="1911"/>
      <c r="D14" s="1912"/>
      <c r="E14" s="1912"/>
      <c r="F14" s="1912"/>
      <c r="G14" s="1912"/>
      <c r="H14" s="1912"/>
      <c r="I14" s="1912"/>
      <c r="J14" s="1912"/>
      <c r="K14" s="1912"/>
    </row>
    <row r="15" spans="1:11" ht="12.75">
      <c r="A15" s="1905"/>
      <c r="B15" s="1904"/>
      <c r="C15" s="1907"/>
      <c r="D15" s="1908"/>
      <c r="E15" s="1908"/>
      <c r="F15" s="1908"/>
      <c r="G15" s="1908"/>
      <c r="H15" s="1908"/>
      <c r="I15" s="1908"/>
      <c r="J15" s="1908"/>
      <c r="K15" s="1908"/>
    </row>
    <row r="16" spans="1:11" ht="11.25" customHeight="1">
      <c r="A16" s="1909"/>
      <c r="B16" s="1904"/>
      <c r="C16" s="1900"/>
      <c r="D16" s="1901"/>
      <c r="E16" s="1901"/>
      <c r="F16" s="1901"/>
      <c r="G16" s="1901"/>
      <c r="H16" s="1901"/>
      <c r="I16" s="1901"/>
      <c r="J16" s="1901"/>
      <c r="K16" s="1901"/>
    </row>
    <row r="17" spans="1:11" ht="11.25" customHeight="1">
      <c r="A17" s="1494"/>
      <c r="B17" s="1910"/>
      <c r="C17" s="1911"/>
      <c r="D17" s="1912"/>
      <c r="E17" s="1912"/>
      <c r="F17" s="1912"/>
      <c r="G17" s="1912"/>
      <c r="H17" s="1912"/>
      <c r="I17" s="1912"/>
      <c r="J17" s="1912"/>
      <c r="K17" s="1912"/>
    </row>
    <row r="18" spans="1:11" ht="29.25" customHeight="1">
      <c r="A18" s="1905"/>
      <c r="B18" s="1904"/>
      <c r="C18" s="1907"/>
      <c r="D18" s="1908"/>
      <c r="E18" s="1908"/>
      <c r="F18" s="1908"/>
      <c r="G18" s="1908"/>
      <c r="H18" s="1908"/>
      <c r="I18" s="1908"/>
      <c r="J18" s="1908"/>
      <c r="K18" s="1908"/>
    </row>
    <row r="19" spans="1:11" ht="11.25" customHeight="1">
      <c r="A19" s="1494"/>
      <c r="B19" s="1910"/>
      <c r="C19" s="1911"/>
      <c r="D19" s="1912"/>
      <c r="E19" s="1912"/>
      <c r="F19" s="1912"/>
      <c r="G19" s="1912"/>
      <c r="H19" s="1912"/>
      <c r="I19" s="1912"/>
      <c r="J19" s="1912"/>
      <c r="K19" s="1912"/>
    </row>
    <row r="20" spans="1:11" ht="12.75">
      <c r="A20" s="1905"/>
      <c r="B20" s="1904"/>
      <c r="C20" s="1907"/>
      <c r="D20" s="1908"/>
      <c r="E20" s="1908"/>
      <c r="F20" s="1908"/>
      <c r="G20" s="1908"/>
      <c r="H20" s="1908"/>
      <c r="I20" s="1908"/>
      <c r="J20" s="1908"/>
      <c r="K20" s="1908"/>
    </row>
    <row r="21" spans="1:11" ht="11.25" customHeight="1">
      <c r="A21" s="1909"/>
      <c r="B21" s="1899"/>
      <c r="C21" s="1900"/>
      <c r="D21" s="1901"/>
      <c r="E21" s="1901"/>
      <c r="F21" s="1901"/>
      <c r="G21" s="1901"/>
      <c r="H21" s="1901"/>
      <c r="I21" s="1901"/>
      <c r="J21" s="1901"/>
      <c r="K21" s="1901"/>
    </row>
    <row r="22" spans="1:11" ht="11.25" customHeight="1">
      <c r="A22" s="1486"/>
      <c r="B22" s="1904"/>
      <c r="C22" s="1900"/>
      <c r="D22" s="1901"/>
      <c r="E22" s="1901"/>
      <c r="F22" s="1901"/>
      <c r="G22" s="1901"/>
      <c r="H22" s="1901"/>
      <c r="I22" s="1901"/>
      <c r="J22" s="1901"/>
      <c r="K22" s="1901"/>
    </row>
    <row r="23" spans="1:11" ht="11.25" customHeight="1">
      <c r="A23" s="1493"/>
      <c r="B23" s="1904"/>
      <c r="C23" s="1900"/>
      <c r="D23" s="1901"/>
      <c r="E23" s="1901"/>
      <c r="F23" s="1901"/>
      <c r="G23" s="1901"/>
      <c r="H23" s="1901"/>
      <c r="I23" s="1901"/>
      <c r="J23" s="1901"/>
      <c r="K23" s="1901"/>
    </row>
    <row r="24" spans="1:11" ht="11.25" customHeight="1">
      <c r="A24" s="1494"/>
      <c r="B24" s="1904"/>
      <c r="C24" s="1900"/>
      <c r="D24" s="1901"/>
      <c r="E24" s="1901"/>
      <c r="F24" s="1901"/>
      <c r="G24" s="1901"/>
      <c r="H24" s="1901"/>
      <c r="I24" s="1901"/>
      <c r="J24" s="1901"/>
      <c r="K24" s="1901"/>
    </row>
    <row r="25" spans="1:11" ht="11.25" customHeight="1">
      <c r="A25" s="1905"/>
      <c r="B25" s="1904"/>
      <c r="C25" s="1907"/>
      <c r="D25" s="1908"/>
      <c r="E25" s="1908"/>
      <c r="F25" s="1908"/>
      <c r="G25" s="1908"/>
      <c r="H25" s="1908"/>
      <c r="I25" s="1908"/>
      <c r="J25" s="1908"/>
      <c r="K25" s="1908"/>
    </row>
    <row r="26" spans="1:11" ht="11.25" customHeight="1">
      <c r="A26" s="1909"/>
      <c r="B26" s="1904"/>
      <c r="C26" s="1900"/>
      <c r="D26" s="1901"/>
      <c r="E26" s="1901"/>
      <c r="F26" s="1901"/>
      <c r="G26" s="1901"/>
      <c r="H26" s="1901"/>
      <c r="I26" s="1901"/>
      <c r="J26" s="1901"/>
      <c r="K26" s="1901"/>
    </row>
    <row r="27" spans="1:11" ht="11.25" customHeight="1">
      <c r="A27" s="1486"/>
      <c r="B27" s="1904"/>
      <c r="C27" s="1900"/>
      <c r="D27" s="1901"/>
      <c r="E27" s="1901"/>
      <c r="F27" s="1901"/>
      <c r="G27" s="1901"/>
      <c r="H27" s="1901"/>
      <c r="I27" s="1901"/>
      <c r="J27" s="1901"/>
      <c r="K27" s="1901"/>
    </row>
    <row r="28" spans="1:11" ht="11.25" customHeight="1">
      <c r="A28" s="1493"/>
      <c r="B28" s="1904"/>
      <c r="C28" s="1900"/>
      <c r="D28" s="1901"/>
      <c r="E28" s="1901"/>
      <c r="F28" s="1901"/>
      <c r="G28" s="1901"/>
      <c r="H28" s="1901"/>
      <c r="I28" s="1901"/>
      <c r="J28" s="1901"/>
      <c r="K28" s="1901"/>
    </row>
    <row r="29" spans="1:11" ht="11.25" customHeight="1">
      <c r="A29" s="1494"/>
      <c r="B29" s="1904"/>
      <c r="C29" s="1900"/>
      <c r="D29" s="1901"/>
      <c r="E29" s="1901"/>
      <c r="F29" s="1901"/>
      <c r="G29" s="1901"/>
      <c r="H29" s="1901"/>
      <c r="I29" s="1901"/>
      <c r="J29" s="1901"/>
      <c r="K29" s="1901"/>
    </row>
    <row r="30" spans="1:11" ht="11.25" customHeight="1">
      <c r="A30" s="1905"/>
      <c r="B30" s="1904"/>
      <c r="C30" s="1907"/>
      <c r="D30" s="1908"/>
      <c r="E30" s="1908"/>
      <c r="F30" s="1908"/>
      <c r="G30" s="1908"/>
      <c r="H30" s="1908"/>
      <c r="I30" s="1908"/>
      <c r="J30" s="1908"/>
      <c r="K30" s="1908"/>
    </row>
    <row r="31" spans="1:11" ht="11.25" customHeight="1">
      <c r="A31" s="1909"/>
      <c r="B31" s="1899"/>
      <c r="C31" s="1900"/>
      <c r="D31" s="1901"/>
      <c r="E31" s="1901"/>
      <c r="F31" s="1901"/>
      <c r="G31" s="1901"/>
      <c r="H31" s="1901"/>
      <c r="I31" s="1901"/>
      <c r="J31" s="1901"/>
      <c r="K31" s="1901"/>
    </row>
    <row r="32" spans="1:11" ht="11.25" customHeight="1">
      <c r="A32" s="1486"/>
      <c r="B32" s="1904"/>
      <c r="C32" s="1900"/>
      <c r="D32" s="1901"/>
      <c r="E32" s="1901"/>
      <c r="F32" s="1901"/>
      <c r="G32" s="1901"/>
      <c r="H32" s="1901"/>
      <c r="I32" s="1901"/>
      <c r="J32" s="1901"/>
      <c r="K32" s="1901"/>
    </row>
    <row r="33" spans="1:11" ht="11.25" customHeight="1">
      <c r="A33" s="1493"/>
      <c r="B33" s="1904"/>
      <c r="C33" s="1900"/>
      <c r="D33" s="1901"/>
      <c r="E33" s="1901"/>
      <c r="F33" s="1901"/>
      <c r="G33" s="1901"/>
      <c r="H33" s="1901"/>
      <c r="I33" s="1901"/>
      <c r="J33" s="1901"/>
      <c r="K33" s="1901"/>
    </row>
    <row r="34" spans="1:11" ht="11.25" customHeight="1">
      <c r="A34" s="1494"/>
      <c r="B34" s="1904"/>
      <c r="C34" s="1900"/>
      <c r="D34" s="1901"/>
      <c r="E34" s="1901"/>
      <c r="F34" s="1901"/>
      <c r="G34" s="1901"/>
      <c r="H34" s="1901"/>
      <c r="I34" s="1901"/>
      <c r="J34" s="1901"/>
      <c r="K34" s="1901"/>
    </row>
    <row r="35" spans="1:11" ht="11.25" customHeight="1">
      <c r="A35" s="1905"/>
      <c r="B35" s="1904"/>
      <c r="C35" s="1907"/>
      <c r="D35" s="1908"/>
      <c r="E35" s="1908"/>
      <c r="F35" s="1908"/>
      <c r="G35" s="1908"/>
      <c r="H35" s="1908"/>
      <c r="I35" s="1908"/>
      <c r="J35" s="1908"/>
      <c r="K35" s="1908"/>
    </row>
    <row r="36" spans="1:11" ht="11.25" customHeight="1">
      <c r="A36" s="1909"/>
      <c r="B36" s="1904"/>
      <c r="C36" s="1900"/>
      <c r="D36" s="1901"/>
      <c r="E36" s="1901"/>
      <c r="F36" s="1901"/>
      <c r="G36" s="1901"/>
      <c r="H36" s="1901"/>
      <c r="I36" s="1901"/>
      <c r="J36" s="1901"/>
      <c r="K36" s="1901"/>
    </row>
    <row r="37" spans="1:11" ht="11.25" customHeight="1">
      <c r="A37" s="1494"/>
      <c r="B37" s="1910"/>
      <c r="C37" s="1911"/>
      <c r="D37" s="1912"/>
      <c r="E37" s="1912"/>
      <c r="F37" s="1912"/>
      <c r="G37" s="1912"/>
      <c r="H37" s="1912"/>
      <c r="I37" s="1912"/>
      <c r="J37" s="1912"/>
      <c r="K37" s="1912"/>
    </row>
    <row r="38" spans="1:11" ht="11.25" customHeight="1">
      <c r="A38" s="1905"/>
      <c r="B38" s="1904"/>
      <c r="C38" s="1907"/>
      <c r="D38" s="1908"/>
      <c r="E38" s="1908"/>
      <c r="F38" s="1908"/>
      <c r="G38" s="1908"/>
      <c r="H38" s="1908"/>
      <c r="I38" s="1908"/>
      <c r="J38" s="1908"/>
      <c r="K38" s="1908"/>
    </row>
    <row r="39" spans="1:11" ht="11.25" customHeight="1">
      <c r="A39" s="1905"/>
      <c r="B39" s="1904"/>
      <c r="C39" s="1900"/>
      <c r="D39" s="1901"/>
      <c r="E39" s="1901"/>
      <c r="F39" s="1901"/>
      <c r="G39" s="1901"/>
      <c r="H39" s="1901"/>
      <c r="I39" s="1901"/>
      <c r="J39" s="1901"/>
      <c r="K39" s="1901"/>
    </row>
    <row r="40" spans="1:11" ht="11.25" customHeight="1">
      <c r="A40" s="1909"/>
      <c r="B40" s="1904"/>
      <c r="C40" s="1900"/>
      <c r="D40" s="1901"/>
      <c r="E40" s="1901"/>
      <c r="F40" s="1901"/>
      <c r="G40" s="1901"/>
      <c r="H40" s="1901"/>
      <c r="I40" s="1901"/>
      <c r="J40" s="1901"/>
      <c r="K40" s="1901"/>
    </row>
    <row r="41" spans="1:11" ht="11.25" customHeight="1">
      <c r="A41" s="1913" t="s">
        <v>1486</v>
      </c>
      <c r="B41" s="1914"/>
      <c r="C41" s="1915"/>
      <c r="D41" s="1916"/>
      <c r="E41" s="1916"/>
      <c r="F41" s="1916"/>
      <c r="G41" s="1916"/>
      <c r="H41" s="1916"/>
      <c r="I41" s="1916"/>
      <c r="J41" s="1916"/>
      <c r="K41" s="1916"/>
    </row>
    <row r="42" spans="1:11" ht="11.25" customHeight="1">
      <c r="A42" s="2809" t="s">
        <v>174</v>
      </c>
      <c r="B42" s="2809"/>
      <c r="C42" s="2809"/>
      <c r="D42" s="2809"/>
      <c r="E42" s="2809"/>
      <c r="F42" s="2809"/>
      <c r="G42" s="2809"/>
      <c r="H42" s="2809"/>
      <c r="I42" s="2809"/>
      <c r="J42" s="2809"/>
      <c r="K42" s="2809"/>
    </row>
    <row r="43" spans="1:11" ht="11.25" customHeight="1">
      <c r="A43" s="436" t="s">
        <v>1485</v>
      </c>
      <c r="B43" s="144"/>
      <c r="C43" s="437"/>
      <c r="D43" s="437"/>
      <c r="E43" s="437"/>
      <c r="F43" s="438"/>
      <c r="G43" s="438"/>
      <c r="H43" s="438"/>
      <c r="I43" s="438"/>
      <c r="J43" s="438"/>
      <c r="K43" s="438"/>
    </row>
    <row r="44" spans="1:11" ht="11.25" customHeight="1">
      <c r="A44" s="436" t="s">
        <v>1455</v>
      </c>
      <c r="B44" s="144"/>
      <c r="C44" s="437"/>
      <c r="D44" s="437"/>
      <c r="E44" s="437"/>
      <c r="F44" s="438"/>
      <c r="G44" s="438"/>
      <c r="H44" s="438"/>
      <c r="I44" s="438"/>
      <c r="J44" s="438"/>
      <c r="K44" s="438"/>
    </row>
    <row r="45" spans="1:11" ht="12.75">
      <c r="B45" s="439"/>
    </row>
    <row r="46" spans="1:11" ht="12.75" customHeight="1">
      <c r="A46" s="148" t="str">
        <f>muni&amp;" - "&amp;"Entities measureable performance objectives"</f>
        <v>NC071 Ubuntu - Entities measureable performance objectives</v>
      </c>
      <c r="B46" s="148"/>
      <c r="C46" s="148"/>
      <c r="D46" s="148"/>
      <c r="E46" s="148"/>
      <c r="F46" s="148"/>
      <c r="G46" s="148"/>
      <c r="H46" s="148"/>
      <c r="I46" s="148"/>
      <c r="J46" s="148"/>
      <c r="K46" s="148"/>
    </row>
    <row r="47" spans="1:11" ht="28.5" customHeight="1">
      <c r="A47" s="2807" t="str">
        <f>A2</f>
        <v>Description</v>
      </c>
      <c r="B47" s="2805" t="s">
        <v>437</v>
      </c>
      <c r="C47" s="146" t="str">
        <f>head1b</f>
        <v>2007/8</v>
      </c>
      <c r="D47" s="151" t="str">
        <f>head1A</f>
        <v>2008/9</v>
      </c>
      <c r="E47" s="147" t="str">
        <f>Head1</f>
        <v>2009/10</v>
      </c>
      <c r="F47" s="2772" t="str">
        <f>Head2</f>
        <v>Current Year 2010/11</v>
      </c>
      <c r="G47" s="2773"/>
      <c r="H47" s="2777"/>
      <c r="I47" s="2769" t="str">
        <f>Head3</f>
        <v>2011/12 Medium Term Revenue &amp; Expenditure Framework</v>
      </c>
      <c r="J47" s="2770"/>
      <c r="K47" s="2771"/>
    </row>
    <row r="48" spans="1:11" ht="25.5">
      <c r="A48" s="2808"/>
      <c r="B48" s="2806"/>
      <c r="C48" s="364" t="str">
        <f>Head5</f>
        <v>Audited Outcome</v>
      </c>
      <c r="D48" s="365" t="str">
        <f>Head5</f>
        <v>Audited Outcome</v>
      </c>
      <c r="E48" s="366" t="str">
        <f>Head5</f>
        <v>Audited Outcome</v>
      </c>
      <c r="F48" s="283" t="str">
        <f>Head6</f>
        <v>Original Budget</v>
      </c>
      <c r="G48" s="365" t="str">
        <f>Head7</f>
        <v>Adjusted Budget</v>
      </c>
      <c r="H48" s="366" t="str">
        <f>Head8</f>
        <v>Full Year Forecast</v>
      </c>
      <c r="I48" s="283" t="str">
        <f>Head9</f>
        <v>Budget Year 2011/12</v>
      </c>
      <c r="J48" s="365" t="str">
        <f>Head10</f>
        <v>Budget Year +1 2012/13</v>
      </c>
      <c r="K48" s="366" t="str">
        <f>Head11</f>
        <v>Budget Year +2 2013/14</v>
      </c>
    </row>
    <row r="49" spans="1:11" ht="11.25" customHeight="1">
      <c r="A49" s="1492" t="s">
        <v>1487</v>
      </c>
      <c r="B49" s="1899"/>
      <c r="C49" s="1917"/>
      <c r="D49" s="1918"/>
      <c r="E49" s="1919"/>
      <c r="F49" s="1920"/>
      <c r="G49" s="1918"/>
      <c r="H49" s="1921"/>
      <c r="I49" s="1922"/>
      <c r="J49" s="1918"/>
      <c r="K49" s="1919"/>
    </row>
    <row r="50" spans="1:11" ht="11.25" customHeight="1">
      <c r="A50" s="1923" t="s">
        <v>1165</v>
      </c>
      <c r="B50" s="1904"/>
      <c r="C50" s="1917"/>
      <c r="D50" s="1918"/>
      <c r="E50" s="1919"/>
      <c r="F50" s="1920"/>
      <c r="G50" s="1918"/>
      <c r="H50" s="1921"/>
      <c r="I50" s="1924"/>
      <c r="J50" s="1918"/>
      <c r="K50" s="1919"/>
    </row>
    <row r="51" spans="1:11" ht="11.25" customHeight="1">
      <c r="A51" s="1923"/>
      <c r="B51" s="1904"/>
      <c r="C51" s="1917"/>
      <c r="D51" s="1918"/>
      <c r="E51" s="1919"/>
      <c r="F51" s="1920"/>
      <c r="G51" s="1918"/>
      <c r="H51" s="1921"/>
      <c r="I51" s="1924"/>
      <c r="J51" s="1918"/>
      <c r="K51" s="1919"/>
    </row>
    <row r="52" spans="1:11" ht="11.25" customHeight="1">
      <c r="A52" s="1925"/>
      <c r="B52" s="1904"/>
      <c r="C52" s="1917"/>
      <c r="D52" s="1918"/>
      <c r="E52" s="1919"/>
      <c r="F52" s="1920"/>
      <c r="G52" s="1918"/>
      <c r="H52" s="1921"/>
      <c r="I52" s="1924"/>
      <c r="J52" s="1918"/>
      <c r="K52" s="1919"/>
    </row>
    <row r="53" spans="1:11" ht="11.25" customHeight="1">
      <c r="A53" s="1492" t="s">
        <v>1488</v>
      </c>
      <c r="B53" s="1926"/>
      <c r="C53" s="1927"/>
      <c r="D53" s="1928"/>
      <c r="E53" s="1929"/>
      <c r="F53" s="1930"/>
      <c r="G53" s="1928"/>
      <c r="H53" s="1931"/>
      <c r="I53" s="1922"/>
      <c r="J53" s="1928"/>
      <c r="K53" s="1929"/>
    </row>
    <row r="54" spans="1:11" ht="11.25" customHeight="1">
      <c r="A54" s="1923" t="e">
        <f>#REF!</f>
        <v>#REF!</v>
      </c>
      <c r="B54" s="1904"/>
      <c r="C54" s="1917"/>
      <c r="D54" s="1918"/>
      <c r="E54" s="1919"/>
      <c r="F54" s="1920"/>
      <c r="G54" s="1918"/>
      <c r="H54" s="1921"/>
      <c r="I54" s="1924"/>
      <c r="J54" s="1918"/>
      <c r="K54" s="1919"/>
    </row>
    <row r="55" spans="1:11" ht="11.25" customHeight="1">
      <c r="A55" s="1923"/>
      <c r="B55" s="1904"/>
      <c r="C55" s="1917"/>
      <c r="D55" s="1918"/>
      <c r="E55" s="1919"/>
      <c r="F55" s="1920"/>
      <c r="G55" s="1918"/>
      <c r="H55" s="1921"/>
      <c r="I55" s="1924"/>
      <c r="J55" s="1918"/>
      <c r="K55" s="1919"/>
    </row>
    <row r="56" spans="1:11" ht="11.25" customHeight="1">
      <c r="A56" s="1923"/>
      <c r="B56" s="1932"/>
      <c r="C56" s="1933"/>
      <c r="D56" s="1934"/>
      <c r="E56" s="1935"/>
      <c r="F56" s="1936"/>
      <c r="G56" s="1934"/>
      <c r="H56" s="1937"/>
      <c r="I56" s="1938"/>
      <c r="J56" s="1934"/>
      <c r="K56" s="1935"/>
    </row>
    <row r="57" spans="1:11" ht="11.25" customHeight="1">
      <c r="A57" s="1492" t="s">
        <v>1489</v>
      </c>
      <c r="B57" s="1939"/>
      <c r="C57" s="1940"/>
      <c r="D57" s="1941"/>
      <c r="E57" s="1942"/>
      <c r="F57" s="1943"/>
      <c r="G57" s="1941"/>
      <c r="H57" s="1944"/>
      <c r="I57" s="1945"/>
      <c r="J57" s="1941"/>
      <c r="K57" s="1942"/>
    </row>
    <row r="58" spans="1:11" ht="11.25" customHeight="1">
      <c r="A58" s="1923" t="e">
        <f>#REF!</f>
        <v>#REF!</v>
      </c>
      <c r="B58" s="1904"/>
      <c r="C58" s="1946"/>
      <c r="D58" s="1947"/>
      <c r="E58" s="1948"/>
      <c r="F58" s="1949"/>
      <c r="G58" s="1947"/>
      <c r="H58" s="1950"/>
      <c r="I58" s="1951"/>
      <c r="J58" s="1947"/>
      <c r="K58" s="1948"/>
    </row>
    <row r="59" spans="1:11" ht="11.25" customHeight="1">
      <c r="A59" s="1923"/>
      <c r="B59" s="1932"/>
      <c r="C59" s="1933"/>
      <c r="D59" s="1934"/>
      <c r="E59" s="1935"/>
      <c r="F59" s="1936"/>
      <c r="G59" s="1934"/>
      <c r="H59" s="1937"/>
      <c r="I59" s="1938"/>
      <c r="J59" s="1934"/>
      <c r="K59" s="1935"/>
    </row>
    <row r="60" spans="1:11" ht="11.25" customHeight="1">
      <c r="A60" s="1923"/>
      <c r="B60" s="1932"/>
      <c r="C60" s="1933"/>
      <c r="D60" s="1934"/>
      <c r="E60" s="1935"/>
      <c r="F60" s="1936"/>
      <c r="G60" s="1934"/>
      <c r="H60" s="1937"/>
      <c r="I60" s="1938"/>
      <c r="J60" s="1934"/>
      <c r="K60" s="1935"/>
    </row>
    <row r="61" spans="1:11" ht="11.25" customHeight="1">
      <c r="A61" s="1913" t="s">
        <v>1490</v>
      </c>
      <c r="B61" s="1952"/>
      <c r="C61" s="1953"/>
      <c r="D61" s="1954"/>
      <c r="E61" s="1955"/>
      <c r="F61" s="1956"/>
      <c r="G61" s="1954"/>
      <c r="H61" s="1957"/>
      <c r="I61" s="1958"/>
      <c r="J61" s="1954"/>
      <c r="K61" s="1955"/>
    </row>
    <row r="62" spans="1:11" ht="11.25" customHeight="1">
      <c r="A62" s="2809" t="s">
        <v>175</v>
      </c>
      <c r="B62" s="2809"/>
      <c r="C62" s="2809"/>
      <c r="D62" s="2809"/>
      <c r="E62" s="2809"/>
      <c r="F62" s="2809"/>
      <c r="G62" s="2809"/>
      <c r="H62" s="2809"/>
      <c r="I62" s="2809"/>
      <c r="J62" s="2809"/>
      <c r="K62" s="2809"/>
    </row>
    <row r="63" spans="1:11" ht="11.25" customHeight="1">
      <c r="A63" s="436" t="s">
        <v>1456</v>
      </c>
      <c r="B63" s="144"/>
      <c r="C63" s="437"/>
      <c r="D63" s="437"/>
      <c r="E63" s="437"/>
      <c r="F63" s="438"/>
      <c r="G63" s="438"/>
      <c r="H63" s="438"/>
      <c r="I63" s="438"/>
      <c r="J63" s="438"/>
      <c r="K63" s="438"/>
    </row>
  </sheetData>
  <sheetProtection sheet="1" objects="1" scenarios="1"/>
  <mergeCells count="10">
    <mergeCell ref="B2:B3"/>
    <mergeCell ref="A2:A3"/>
    <mergeCell ref="F2:H2"/>
    <mergeCell ref="I2:K2"/>
    <mergeCell ref="A62:K62"/>
    <mergeCell ref="A42:K42"/>
    <mergeCell ref="A47:A48"/>
    <mergeCell ref="B47:B48"/>
    <mergeCell ref="F47:H47"/>
    <mergeCell ref="I47:K47"/>
  </mergeCells>
  <phoneticPr fontId="3" type="noConversion"/>
  <printOptions horizontalCentered="1"/>
  <pageMargins left="0" right="0" top="0.78740157480314965" bottom="0.59055118110236227" header="0.51181102362204722" footer="0.39370078740157483"/>
  <pageSetup paperSize="9" scale="80" fitToHeight="2"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enableFormatConditionsCalculation="0">
    <tabColor rgb="FFCCFFCC"/>
    <pageSetUpPr fitToPage="1"/>
  </sheetPr>
  <dimension ref="A1:M55"/>
  <sheetViews>
    <sheetView showGridLines="0" zoomScale="90" zoomScaleNormal="90" workbookViewId="0">
      <pane xSplit="2" ySplit="3" topLeftCell="C23" activePane="bottomRight" state="frozen"/>
      <selection activeCell="O37" sqref="A1:IV65536"/>
      <selection pane="topRight" activeCell="O37" sqref="A1:IV65536"/>
      <selection pane="bottomLeft" activeCell="O37" sqref="A1:IV65536"/>
      <selection pane="bottomRight" activeCell="A23" sqref="A23"/>
    </sheetView>
  </sheetViews>
  <sheetFormatPr defaultRowHeight="12.75"/>
  <cols>
    <col min="1" max="1" width="29.28515625" style="150" customWidth="1"/>
    <col min="2" max="2" width="25.140625" style="150" customWidth="1"/>
    <col min="3" max="8" width="8.7109375" style="150" customWidth="1"/>
    <col min="9" max="9" width="8.7109375" style="150" hidden="1" customWidth="1"/>
    <col min="10" max="12" width="8.7109375" style="150" customWidth="1"/>
    <col min="13" max="16384" width="9.140625" style="150"/>
  </cols>
  <sheetData>
    <row r="1" spans="1:12" s="168" customFormat="1">
      <c r="A1" s="148" t="str">
        <f>muni&amp;" - "&amp;TableA8</f>
        <v>NC071 Ubuntu - Supporting Table SA8 Performance indicators and benchmarks</v>
      </c>
      <c r="B1" s="148"/>
      <c r="C1" s="148"/>
      <c r="D1" s="148"/>
      <c r="E1" s="148"/>
      <c r="F1" s="148"/>
      <c r="G1" s="148"/>
      <c r="H1" s="148"/>
      <c r="I1" s="148"/>
      <c r="J1" s="148"/>
      <c r="K1" s="148"/>
      <c r="L1" s="148"/>
    </row>
    <row r="2" spans="1:12" ht="28.5" customHeight="1">
      <c r="A2" s="2807" t="s">
        <v>348</v>
      </c>
      <c r="B2" s="2805" t="s">
        <v>1153</v>
      </c>
      <c r="C2" s="146" t="str">
        <f>head1b</f>
        <v>2007/8</v>
      </c>
      <c r="D2" s="151" t="str">
        <f>head1A</f>
        <v>2008/9</v>
      </c>
      <c r="E2" s="147" t="str">
        <f>Head1</f>
        <v>2009/10</v>
      </c>
      <c r="F2" s="2772" t="str">
        <f>Head2</f>
        <v>Current Year 2010/11</v>
      </c>
      <c r="G2" s="2773"/>
      <c r="H2" s="2773"/>
      <c r="I2" s="2773"/>
      <c r="J2" s="2769" t="str">
        <f>Head3</f>
        <v>2011/12 Medium Term Revenue &amp; Expenditure Framework</v>
      </c>
      <c r="K2" s="2770"/>
      <c r="L2" s="2771"/>
    </row>
    <row r="3" spans="1:12" ht="38.25">
      <c r="A3" s="2808"/>
      <c r="B3" s="2806"/>
      <c r="C3" s="155" t="str">
        <f>Head5</f>
        <v>Audited Outcome</v>
      </c>
      <c r="D3" s="153" t="str">
        <f>Head5</f>
        <v>Audited Outcome</v>
      </c>
      <c r="E3" s="154" t="str">
        <f>Head5</f>
        <v>Audited Outcome</v>
      </c>
      <c r="F3" s="152" t="str">
        <f>Head6</f>
        <v>Original Budget</v>
      </c>
      <c r="G3" s="153" t="str">
        <f>Head7</f>
        <v>Adjusted Budget</v>
      </c>
      <c r="H3" s="154" t="str">
        <f>Head8</f>
        <v>Full Year Forecast</v>
      </c>
      <c r="I3" s="155" t="str">
        <f>Head5b</f>
        <v>Pre-audit outcome</v>
      </c>
      <c r="J3" s="152" t="str">
        <f>Head9</f>
        <v>Budget Year 2011/12</v>
      </c>
      <c r="K3" s="153" t="str">
        <f>Head10</f>
        <v>Budget Year +1 2012/13</v>
      </c>
      <c r="L3" s="154" t="str">
        <f>Head11</f>
        <v>Budget Year +2 2013/14</v>
      </c>
    </row>
    <row r="4" spans="1:12">
      <c r="A4" s="440" t="s">
        <v>844</v>
      </c>
      <c r="B4" s="441"/>
      <c r="C4" s="442"/>
      <c r="D4" s="413"/>
      <c r="E4" s="443"/>
      <c r="F4" s="444"/>
      <c r="G4" s="413"/>
      <c r="H4" s="443"/>
      <c r="I4" s="445"/>
      <c r="J4" s="442"/>
      <c r="K4" s="413"/>
      <c r="L4" s="443"/>
    </row>
    <row r="5" spans="1:12" ht="12.75" customHeight="1">
      <c r="A5" s="452" t="s">
        <v>615</v>
      </c>
      <c r="B5" s="446" t="s">
        <v>457</v>
      </c>
      <c r="C5" s="447">
        <f>IF(ISERROR(('A6-FinPos'!C37/'A6-FinPos'!C25)),0,('A6-FinPos'!C37/'A6-FinPos'!C25))</f>
        <v>0</v>
      </c>
      <c r="D5" s="448">
        <f>IF(ISERROR(('A6-FinPos'!D37/'A6-FinPos'!D25)),0,('A6-FinPos'!D37/'A6-FinPos'!D25))</f>
        <v>9.9247324463880085E-3</v>
      </c>
      <c r="E5" s="449">
        <f>IF(ISERROR(('A6-FinPos'!E37/'A6-FinPos'!E25)),0,('A6-FinPos'!E37/'A6-FinPos'!E25))</f>
        <v>1.090853934969563E-2</v>
      </c>
      <c r="F5" s="450">
        <f>IF(ISERROR(('A6-FinPos'!F37/'A6-FinPos'!F25)),0,('A6-FinPos'!F37/'A6-FinPos'!F25))</f>
        <v>1.011934038881989E-2</v>
      </c>
      <c r="G5" s="448">
        <f>IF(ISERROR(('A6-FinPos'!G37/'A6-FinPos'!G25)),0,('A6-FinPos'!G37/'A6-FinPos'!G25))</f>
        <v>7.0182852458126305E-2</v>
      </c>
      <c r="H5" s="449">
        <f>IF(ISERROR(('A6-FinPos'!H37/'A6-FinPos'!H25)),0,('A6-FinPos'!H37/'A6-FinPos'!H25))</f>
        <v>0</v>
      </c>
      <c r="I5" s="451">
        <f>IF(ISERROR(('A6-FinPos'!I37/'A6-FinPos'!I25)),0,('A6-FinPos'!I37/'A6-FinPos'!I25))</f>
        <v>0</v>
      </c>
      <c r="J5" s="447">
        <f>IF(ISERROR(('A6-FinPos'!J37/'A6-FinPos'!J25)),0,('A6-FinPos'!J37/'A6-FinPos'!J25))</f>
        <v>9.0253927779832179E-3</v>
      </c>
      <c r="K5" s="448">
        <f>IF(ISERROR(('A6-FinPos'!K37/'A6-FinPos'!K25)),0,('A6-FinPos'!K37/'A6-FinPos'!K25))</f>
        <v>1.009103365791943E-2</v>
      </c>
      <c r="L5" s="449">
        <f>IF(ISERROR(('A6-FinPos'!L37/'A6-FinPos'!L25)),0,('A6-FinPos'!L37/'A6-FinPos'!L25))</f>
        <v>9.0997579327506614E-3</v>
      </c>
    </row>
    <row r="6" spans="1:12">
      <c r="A6" s="452" t="s">
        <v>1016</v>
      </c>
      <c r="B6" s="446"/>
      <c r="C6" s="1959"/>
      <c r="D6" s="1960"/>
      <c r="E6" s="1961"/>
      <c r="F6" s="1962"/>
      <c r="G6" s="1960"/>
      <c r="H6" s="1961"/>
      <c r="I6" s="1963"/>
      <c r="J6" s="453"/>
      <c r="K6" s="454"/>
      <c r="L6" s="455"/>
    </row>
    <row r="7" spans="1:12" ht="25.5">
      <c r="A7" s="452" t="s">
        <v>616</v>
      </c>
      <c r="B7" s="446" t="s">
        <v>1543</v>
      </c>
      <c r="C7" s="447">
        <f>IF(ISERROR(('A4-FinPerf RE'!C29-'A7-CFlow'!C33)/'A4-FinPerf RE'!C36),0,(('A4-FinPerf RE'!C29-'A7-CFlow'!C33)/'A4-FinPerf RE'!C36))</f>
        <v>3.8148874860107256E-2</v>
      </c>
      <c r="D7" s="448">
        <f>IF(ISERROR(('A4-FinPerf RE'!D29-'A7-CFlow'!D33)/'A4-FinPerf RE'!D36),0,(('A4-FinPerf RE'!D29-'A7-CFlow'!D33)/'A4-FinPerf RE'!D36))</f>
        <v>1.2895871345213283E-2</v>
      </c>
      <c r="E7" s="449">
        <f>IF(ISERROR(('A4-FinPerf RE'!E29-'A7-CFlow'!E33)/'A4-FinPerf RE'!E36),0,(('A4-FinPerf RE'!E29-'A7-CFlow'!E33)/'A4-FinPerf RE'!E36))</f>
        <v>1.739299643082054E-2</v>
      </c>
      <c r="F7" s="450">
        <f>IF(ISERROR(('A4-FinPerf RE'!F29-'A7-CFlow'!F33)/'A4-FinPerf RE'!F36),0,(('A4-FinPerf RE'!F29-'A7-CFlow'!F33)/'A4-FinPerf RE'!F36))</f>
        <v>0.18099367654957327</v>
      </c>
      <c r="G7" s="448">
        <f>IF(ISERROR(('A4-FinPerf RE'!G29-'A7-CFlow'!G33)/'A4-FinPerf RE'!G36),0,(('A4-FinPerf RE'!G29-'A7-CFlow'!G33)/'A4-FinPerf RE'!G36))</f>
        <v>5.0927745649726507E-3</v>
      </c>
      <c r="H7" s="449">
        <f>IF(ISERROR(('A4-FinPerf RE'!H29-'A7-CFlow'!H33)/'A4-FinPerf RE'!H36),0,(('A4-FinPerf RE'!H29-'A7-CFlow'!H33)/'A4-FinPerf RE'!H36))</f>
        <v>8.2111722791180213E-3</v>
      </c>
      <c r="I7" s="451">
        <f>IF(ISERROR(('A4-FinPerf RE'!I29-'A7-CFlow'!I33)/'A4-FinPerf RE'!I36),0,(('A4-FinPerf RE'!I29-'A7-CFlow'!I33)/'A4-FinPerf RE'!I36))</f>
        <v>8.2111722791180213E-3</v>
      </c>
      <c r="J7" s="447">
        <f>IF(ISERROR(('A4-FinPerf RE'!J29-'A7-CFlow'!J33)/'A4-FinPerf RE'!J36),0,(('A4-FinPerf RE'!J29-'A7-CFlow'!J33)/'A4-FinPerf RE'!J36))</f>
        <v>3.3518142409054839E-2</v>
      </c>
      <c r="K7" s="448">
        <f>IF(ISERROR(('A4-FinPerf RE'!K29-'A7-CFlow'!K33)/'A4-FinPerf RE'!K36),0,(('A4-FinPerf RE'!K29-'A7-CFlow'!K33)/'A4-FinPerf RE'!K36))</f>
        <v>3.790036413077983E-2</v>
      </c>
      <c r="L7" s="449">
        <f>IF(ISERROR(('A4-FinPerf RE'!L29-'A7-CFlow'!L33)/'A4-FinPerf RE'!L36),0,(('A4-FinPerf RE'!L29-'A7-CFlow'!L33)/'A4-FinPerf RE'!L36))</f>
        <v>3.5454193208974874E-2</v>
      </c>
    </row>
    <row r="8" spans="1:12" ht="25.5">
      <c r="A8" s="452" t="s">
        <v>971</v>
      </c>
      <c r="B8" s="446" t="s">
        <v>387</v>
      </c>
      <c r="C8" s="447">
        <f>IF(ISERROR(C44/C43),0,(C44/C43))</f>
        <v>0</v>
      </c>
      <c r="D8" s="448">
        <f>IF(ISERROR(D44/D43),0,(D44/D43))</f>
        <v>0</v>
      </c>
      <c r="E8" s="449">
        <f t="shared" ref="E8:L8" si="0">IF(ISERROR(E44/E43),0,(E44/E43))</f>
        <v>0</v>
      </c>
      <c r="F8" s="450">
        <f t="shared" si="0"/>
        <v>0</v>
      </c>
      <c r="G8" s="448">
        <f t="shared" si="0"/>
        <v>0</v>
      </c>
      <c r="H8" s="449">
        <f t="shared" si="0"/>
        <v>0</v>
      </c>
      <c r="I8" s="451">
        <f t="shared" si="0"/>
        <v>0</v>
      </c>
      <c r="J8" s="447">
        <f t="shared" si="0"/>
        <v>0</v>
      </c>
      <c r="K8" s="448">
        <f t="shared" si="0"/>
        <v>0</v>
      </c>
      <c r="L8" s="449">
        <f t="shared" si="0"/>
        <v>0</v>
      </c>
    </row>
    <row r="9" spans="1:12">
      <c r="A9" s="456" t="s">
        <v>361</v>
      </c>
      <c r="B9" s="446"/>
      <c r="C9" s="457"/>
      <c r="D9" s="458"/>
      <c r="E9" s="459"/>
      <c r="F9" s="460"/>
      <c r="G9" s="458"/>
      <c r="H9" s="459"/>
      <c r="I9" s="461"/>
      <c r="J9" s="457"/>
      <c r="K9" s="458"/>
      <c r="L9" s="459"/>
    </row>
    <row r="10" spans="1:12" ht="25.5">
      <c r="A10" s="452" t="s">
        <v>588</v>
      </c>
      <c r="B10" s="446" t="s">
        <v>120</v>
      </c>
      <c r="C10" s="447">
        <f>IF(ISERROR('A6-FinPos'!C40/'A6-FinPos'!C48),0,('A6-FinPos'!C40/'A6-FinPos'!C48))</f>
        <v>0</v>
      </c>
      <c r="D10" s="448">
        <f>IF(ISERROR('A6-FinPos'!D40/'A6-FinPos'!D48),0,('A6-FinPos'!D40/'A6-FinPos'!D48))</f>
        <v>2.795032587424931E-2</v>
      </c>
      <c r="E10" s="449">
        <f>IF(ISERROR('A6-FinPos'!E40/'A6-FinPos'!E48),0,('A6-FinPos'!E40/'A6-FinPos'!E48))</f>
        <v>0.10911361476066947</v>
      </c>
      <c r="F10" s="450">
        <f>IF(ISERROR('A6-FinPos'!F40/'A6-FinPos'!F48),0,('A6-FinPos'!F40/'A6-FinPos'!F48))</f>
        <v>2.6964216651506081E-2</v>
      </c>
      <c r="G10" s="448">
        <f>IF(ISERROR('A6-FinPos'!G40/'A6-FinPos'!G48),0,('A6-FinPos'!G40/'A6-FinPos'!G48))</f>
        <v>4.269280636827391</v>
      </c>
      <c r="H10" s="449">
        <f>IF(ISERROR('A6-FinPos'!H40/'A6-FinPos'!H48),0,('A6-FinPos'!H40/'A6-FinPos'!H48))</f>
        <v>0</v>
      </c>
      <c r="I10" s="451">
        <f>IF(ISERROR('A6-FinPos'!I40/'A6-FinPos'!I48),0,('A6-FinPos'!I40/'A6-FinPos'!I48))</f>
        <v>0</v>
      </c>
      <c r="J10" s="447">
        <f>IF(ISERROR('A6-FinPos'!J40/'A6-FinPos'!J48),0,('A6-FinPos'!J40/'A6-FinPos'!J48))</f>
        <v>7.2160658642455981</v>
      </c>
      <c r="K10" s="448">
        <f>IF(ISERROR('A6-FinPos'!K40/'A6-FinPos'!K48),0,('A6-FinPos'!K40/'A6-FinPos'!K48))</f>
        <v>5.395153967191316</v>
      </c>
      <c r="L10" s="449">
        <f>IF(ISERROR('A6-FinPos'!L40/'A6-FinPos'!L48),0,('A6-FinPos'!L40/'A6-FinPos'!L48))</f>
        <v>3.9085576878677513</v>
      </c>
    </row>
    <row r="11" spans="1:12" ht="25.5">
      <c r="A11" s="452" t="s">
        <v>360</v>
      </c>
      <c r="B11" s="446" t="s">
        <v>299</v>
      </c>
      <c r="C11" s="447">
        <f>IF(ISERROR(('A6-FinPos'!C37/'A6-FinPos'!C46)),0,(('A6-FinPos'!C37/'A6-FinPos'!C46)))</f>
        <v>0</v>
      </c>
      <c r="D11" s="448">
        <f>IF(ISERROR(('A6-FinPos'!D37/'A6-FinPos'!D46)),0,(('A6-FinPos'!D37/'A6-FinPos'!D46)))</f>
        <v>1.29939346557105E-2</v>
      </c>
      <c r="E11" s="449">
        <f>IF(ISERROR(('A6-FinPos'!E37/'A6-FinPos'!E46)),0,(('A6-FinPos'!E37/'A6-FinPos'!E46)))</f>
        <v>1.3556288333567768</v>
      </c>
      <c r="F11" s="450">
        <f>IF(ISERROR(('A6-FinPos'!F37/'A6-FinPos'!F46)),0,(('A6-FinPos'!F37/'A6-FinPos'!F46)))</f>
        <v>1.4311484069006069E-2</v>
      </c>
      <c r="G11" s="448">
        <f>IF(ISERROR(('A6-FinPos'!G37/'A6-FinPos'!G46)),0,(('A6-FinPos'!G37/'A6-FinPos'!G46)))</f>
        <v>1.0682784574299808</v>
      </c>
      <c r="H11" s="449">
        <f>IF(ISERROR(('A6-FinPos'!H37/'A6-FinPos'!H46)),0,(('A6-FinPos'!H37/'A6-FinPos'!H46)))</f>
        <v>0</v>
      </c>
      <c r="I11" s="451">
        <f>IF(ISERROR(('A6-FinPos'!I37/'A6-FinPos'!I46)),0,(('A6-FinPos'!I37/'A6-FinPos'!I46)))</f>
        <v>0</v>
      </c>
      <c r="J11" s="447">
        <f>IF(ISERROR(('A6-FinPos'!J37/'A6-FinPos'!J46)),0,(('A6-FinPos'!J37/'A6-FinPos'!J46)))</f>
        <v>1.0078098654999819</v>
      </c>
      <c r="K11" s="448">
        <f>IF(ISERROR(('A6-FinPos'!K37/'A6-FinPos'!K46)),0,(('A6-FinPos'!K37/'A6-FinPos'!K46)))</f>
        <v>0.95076402405658667</v>
      </c>
      <c r="L11" s="449">
        <f>IF(ISERROR(('A6-FinPos'!L37/'A6-FinPos'!L46)),0,(('A6-FinPos'!L37/'A6-FinPos'!L46)))</f>
        <v>0.89694719250621369</v>
      </c>
    </row>
    <row r="12" spans="1:12">
      <c r="A12" s="456" t="s">
        <v>362</v>
      </c>
      <c r="B12" s="446"/>
      <c r="C12" s="457"/>
      <c r="D12" s="458"/>
      <c r="E12" s="459"/>
      <c r="F12" s="460"/>
      <c r="G12" s="458"/>
      <c r="H12" s="459"/>
      <c r="I12" s="461"/>
      <c r="J12" s="457"/>
      <c r="K12" s="458"/>
      <c r="L12" s="459"/>
    </row>
    <row r="13" spans="1:12">
      <c r="A13" s="452" t="s">
        <v>617</v>
      </c>
      <c r="B13" s="446" t="s">
        <v>1547</v>
      </c>
      <c r="C13" s="462">
        <f>IF(ISERROR('A6-FinPos'!C12/'A6-FinPos'!C34),0,('A6-FinPos'!C12/'A6-FinPos'!C34))</f>
        <v>0</v>
      </c>
      <c r="D13" s="463">
        <f>IF(ISERROR('A6-FinPos'!D12/'A6-FinPos'!D34),0,('A6-FinPos'!D12/'A6-FinPos'!D34))</f>
        <v>2.8375423590772191</v>
      </c>
      <c r="E13" s="464">
        <f>IF(ISERROR('A6-FinPos'!E12/'A6-FinPos'!E34),0,('A6-FinPos'!E12/'A6-FinPos'!E34))</f>
        <v>1.2461058790516659</v>
      </c>
      <c r="F13" s="465">
        <f>IF(ISERROR('A6-FinPos'!F12/'A6-FinPos'!F34),0,('A6-FinPos'!F12/'A6-FinPos'!F34))</f>
        <v>15.129418149762671</v>
      </c>
      <c r="G13" s="463">
        <f>IF(ISERROR('A6-FinPos'!G12/'A6-FinPos'!G34),0,('A6-FinPos'!G12/'A6-FinPos'!G34))</f>
        <v>4.755185740670071</v>
      </c>
      <c r="H13" s="464">
        <f>IF(ISERROR('A6-FinPos'!H12/'A6-FinPos'!H34),0,('A6-FinPos'!H12/'A6-FinPos'!H34))</f>
        <v>0</v>
      </c>
      <c r="I13" s="466">
        <f>IF(ISERROR('A6-FinPos'!I12/'A6-FinPos'!I34),0,('A6-FinPos'!I12/'A6-FinPos'!I34))</f>
        <v>0</v>
      </c>
      <c r="J13" s="462">
        <f>IF(ISERROR('A6-FinPos'!J12/'A6-FinPos'!J34),0,('A6-FinPos'!J12/'A6-FinPos'!J34))</f>
        <v>2.6744874571570154</v>
      </c>
      <c r="K13" s="463">
        <f>IF(ISERROR('A6-FinPos'!K12/'A6-FinPos'!K34),0,('A6-FinPos'!K12/'A6-FinPos'!K34))</f>
        <v>3.0075075264637898</v>
      </c>
      <c r="L13" s="464">
        <f>IF(ISERROR('A6-FinPos'!L12/'A6-FinPos'!L34),0,('A6-FinPos'!L12/'A6-FinPos'!L34))</f>
        <v>5.6737113222135713</v>
      </c>
    </row>
    <row r="14" spans="1:12" ht="25.5">
      <c r="A14" s="452" t="s">
        <v>1544</v>
      </c>
      <c r="B14" s="446" t="s">
        <v>1492</v>
      </c>
      <c r="C14" s="462">
        <f>IF(ISERROR(('A6-FinPos'!C12-'SA8'!C40)/'A6-FinPos'!C34),0,(('A6-FinPos'!C12-'SA8'!C40)/'A6-FinPos'!C34))</f>
        <v>0</v>
      </c>
      <c r="D14" s="463">
        <f>IF(ISERROR(('A6-FinPos'!D12-'SA8'!D40)/'A6-FinPos'!D34),0,(('A6-FinPos'!D12-'SA8'!D40)/'A6-FinPos'!D34))</f>
        <v>2.8375423590772191</v>
      </c>
      <c r="E14" s="464">
        <f>IF(ISERROR(('A6-FinPos'!E12-'SA8'!E40)/'A6-FinPos'!E34),0,(('A6-FinPos'!E12-'SA8'!E40)/'A6-FinPos'!E34))</f>
        <v>1.2461058790516659</v>
      </c>
      <c r="F14" s="465">
        <f>IF(ISERROR(('A6-FinPos'!F12-'SA8'!F40)/'A6-FinPos'!F34),0,(('A6-FinPos'!F12-'SA8'!F40)/'A6-FinPos'!F34))</f>
        <v>15.129418149762671</v>
      </c>
      <c r="G14" s="463">
        <f>IF(ISERROR(('A6-FinPos'!G12-'SA8'!G40)/'A6-FinPos'!G34),0,(('A6-FinPos'!G12-'SA8'!G40)/'A6-FinPos'!G34))</f>
        <v>4.755185740670071</v>
      </c>
      <c r="H14" s="464">
        <f>IF(ISERROR(('A6-FinPos'!H12-'SA8'!H40)/'A6-FinPos'!H34),0,(('A6-FinPos'!H12-'SA8'!H40)/'A6-FinPos'!H34))</f>
        <v>0</v>
      </c>
      <c r="I14" s="466">
        <f>IF(ISERROR(('A6-FinPos'!I12-'SA8'!I40)/'A6-FinPos'!I34),0,(('A6-FinPos'!I12-'SA8'!I40)/'A6-FinPos'!I34))</f>
        <v>0</v>
      </c>
      <c r="J14" s="462">
        <f>IF(ISERROR(('A6-FinPos'!J12-'SA8'!J40)/'A6-FinPos'!J34),0,(('A6-FinPos'!J12-'SA8'!J40)/'A6-FinPos'!J34))</f>
        <v>2.6744874571570154</v>
      </c>
      <c r="K14" s="463">
        <f>IF(ISERROR(('A6-FinPos'!K12-'SA8'!K40)/'A6-FinPos'!K34),0,(('A6-FinPos'!K12-'SA8'!K40)/'A6-FinPos'!K34))</f>
        <v>3.0075075264637898</v>
      </c>
      <c r="L14" s="464">
        <f>IF(ISERROR(('A6-FinPos'!L12-'SA8'!L40)/'A6-FinPos'!L34),0,(('A6-FinPos'!L12-'SA8'!L40)/'A6-FinPos'!L34))</f>
        <v>5.6737113222135713</v>
      </c>
    </row>
    <row r="15" spans="1:12">
      <c r="A15" s="452" t="s">
        <v>363</v>
      </c>
      <c r="B15" s="446" t="s">
        <v>957</v>
      </c>
      <c r="C15" s="462">
        <f>IF(ISERROR(('A6-FinPos'!C6+'A6-FinPos'!C7)/'A6-FinPos'!C34),0,(('A6-FinPos'!C6+'A6-FinPos'!C7)/'A6-FinPos'!C34))</f>
        <v>0</v>
      </c>
      <c r="D15" s="463">
        <f>IF(ISERROR(('A6-FinPos'!D6+'A6-FinPos'!D7)/'A6-FinPos'!D34),0,(('A6-FinPos'!D6+'A6-FinPos'!D7)/'A6-FinPos'!D34))</f>
        <v>0.58542539000160765</v>
      </c>
      <c r="E15" s="464">
        <f>IF(ISERROR(('A6-FinPos'!E6+'A6-FinPos'!E7)/'A6-FinPos'!E34),0,(('A6-FinPos'!E6+'A6-FinPos'!E7)/'A6-FinPos'!E34))</f>
        <v>0.53472749731281788</v>
      </c>
      <c r="F15" s="465">
        <f>IF(ISERROR(('A6-FinPos'!F6+'A6-FinPos'!F7)/'A6-FinPos'!F34),0,(('A6-FinPos'!F6+'A6-FinPos'!F7)/'A6-FinPos'!F34))</f>
        <v>1.8017889719463793</v>
      </c>
      <c r="G15" s="463">
        <f>IF(ISERROR(('A6-FinPos'!G6+'A6-FinPos'!G7)/'A6-FinPos'!G34),0,(('A6-FinPos'!G6+'A6-FinPos'!G7)/'A6-FinPos'!G34))</f>
        <v>2.6135250563792378</v>
      </c>
      <c r="H15" s="464">
        <f>IF(ISERROR(('A6-FinPos'!H6+'A6-FinPos'!H7)/'A6-FinPos'!H34),0,(('A6-FinPos'!H6+'A6-FinPos'!H7)/'A6-FinPos'!H34))</f>
        <v>0</v>
      </c>
      <c r="I15" s="466">
        <f>IF(ISERROR(('A6-FinPos'!I6+'A6-FinPos'!I7)/'A6-FinPos'!I34),0,(('A6-FinPos'!I6+'A6-FinPos'!I7)/'A6-FinPos'!I34))</f>
        <v>0</v>
      </c>
      <c r="J15" s="462">
        <f>IF(ISERROR(('A6-FinPos'!J6+'A6-FinPos'!J7)/'A6-FinPos'!J34),0,(('A6-FinPos'!J6+'A6-FinPos'!J7)/'A6-FinPos'!J34))</f>
        <v>1.1073516648391719</v>
      </c>
      <c r="K15" s="463">
        <f>IF(ISERROR(('A6-FinPos'!K6+'A6-FinPos'!K7)/'A6-FinPos'!K34),0,(('A6-FinPos'!K6+'A6-FinPos'!K7)/'A6-FinPos'!K34))</f>
        <v>1.5283090112764028</v>
      </c>
      <c r="L15" s="464">
        <f>IF(ISERROR(('A6-FinPos'!L6+'A6-FinPos'!L7)/'A6-FinPos'!L34),0,(('A6-FinPos'!L6+'A6-FinPos'!L7)/'A6-FinPos'!L34))</f>
        <v>3.8132992563140271</v>
      </c>
    </row>
    <row r="16" spans="1:12">
      <c r="A16" s="456" t="s">
        <v>958</v>
      </c>
      <c r="B16" s="446"/>
      <c r="C16" s="467"/>
      <c r="D16" s="468"/>
      <c r="E16" s="469"/>
      <c r="F16" s="470"/>
      <c r="G16" s="468"/>
      <c r="H16" s="469"/>
      <c r="I16" s="471"/>
      <c r="J16" s="467"/>
      <c r="K16" s="468"/>
      <c r="L16" s="469"/>
    </row>
    <row r="17" spans="1:13" ht="25.5">
      <c r="A17" s="452" t="s">
        <v>959</v>
      </c>
      <c r="B17" s="446" t="s">
        <v>1493</v>
      </c>
      <c r="C17" s="472"/>
      <c r="D17" s="473">
        <f>IF(ISERROR(('A7-CFlow'!C6+'A7-CFlow'!C20+'A7-CFlow'!C21)/(SUM('A4-FinPerf RE'!C5:C12)+SUM('A4-FinPerf RE'!C16:C18)+'A4-FinPerf RE'!C20)),0,(('A7-CFlow'!C6+'A7-CFlow'!C20+'A7-CFlow'!C21)/(SUM('A4-FinPerf RE'!C5:C12)+SUM('A4-FinPerf RE'!C16:C18)+'A4-FinPerf RE'!C20)))</f>
        <v>1.0689752389829132</v>
      </c>
      <c r="E17" s="473">
        <f>IF(ISERROR(('A7-CFlow'!D6+'A7-CFlow'!D20+'A7-CFlow'!D21)/(SUM('A4-FinPerf RE'!D5:D12)+SUM('A4-FinPerf RE'!D16:D18)+'A4-FinPerf RE'!D20)),0,(('A7-CFlow'!D6+'A7-CFlow'!D20+'A7-CFlow'!D21)/(SUM('A4-FinPerf RE'!D5:D12)+SUM('A4-FinPerf RE'!D16:D18)+'A4-FinPerf RE'!D20)))</f>
        <v>1.1074399646184343</v>
      </c>
      <c r="F17" s="475">
        <f>IF(ISERROR(('A7-CFlow'!E6+'A7-CFlow'!E20+'A7-CFlow'!E21)/(SUM('A4-FinPerf RE'!E5:E12)+SUM('A4-FinPerf RE'!E16:E18)+'A4-FinPerf RE'!E20)),0,(('A7-CFlow'!E6+'A7-CFlow'!E20+'A7-CFlow'!E21)/(SUM('A4-FinPerf RE'!E5:E12)+SUM('A4-FinPerf RE'!E16:E18)+'A4-FinPerf RE'!E20)))</f>
        <v>1.9329279226235743</v>
      </c>
      <c r="G17" s="473">
        <f>F17</f>
        <v>1.9329279226235743</v>
      </c>
      <c r="H17" s="474">
        <f>G17</f>
        <v>1.9329279226235743</v>
      </c>
      <c r="I17" s="476">
        <f>F17</f>
        <v>1.9329279226235743</v>
      </c>
      <c r="J17" s="472">
        <f>IF(ISERROR(('A7-CFlow'!H6+'A7-CFlow'!H20+'A7-CFlow'!H21)/(SUM('A4-FinPerf RE'!H5:H12)+SUM('A4-FinPerf RE'!H16:H18)+'A4-FinPerf RE'!H20)),0,(('A7-CFlow'!H6+'A7-CFlow'!H20+'A7-CFlow'!H21)/(SUM('A4-FinPerf RE'!H5:H12)+SUM('A4-FinPerf RE'!H16:H18)+'A4-FinPerf RE'!H20)))</f>
        <v>0</v>
      </c>
      <c r="K17" s="473">
        <f>IF(ISERROR(('A7-CFlow'!J6+'A7-CFlow'!J20+'A7-CFlow'!J21)/(SUM('A4-FinPerf RE'!J5:J12)+SUM('A4-FinPerf RE'!J16:J18)+'A4-FinPerf RE'!J20)),0,(('A7-CFlow'!J6+'A7-CFlow'!J20+'A7-CFlow'!J21)/(SUM('A4-FinPerf RE'!J5:J12)+SUM('A4-FinPerf RE'!J16:J18)+'A4-FinPerf RE'!J20)))</f>
        <v>0.60732232960654975</v>
      </c>
      <c r="L17" s="474">
        <f>IF(ISERROR(('A7-CFlow'!K6+'A7-CFlow'!K20+'A7-CFlow'!K21)/(SUM('A4-FinPerf RE'!K5:K12)+SUM('A4-FinPerf RE'!K16:K18)+'A4-FinPerf RE'!K20)),0,(('A7-CFlow'!K6+'A7-CFlow'!K20+'A7-CFlow'!K21)/(SUM('A4-FinPerf RE'!K5:K12)+SUM('A4-FinPerf RE'!K16:K18)+'A4-FinPerf RE'!K20)))</f>
        <v>0.57376984638246753</v>
      </c>
    </row>
    <row r="18" spans="1:13" ht="25.5">
      <c r="A18" s="452" t="s">
        <v>514</v>
      </c>
      <c r="B18" s="446" t="s">
        <v>1462</v>
      </c>
      <c r="C18" s="447">
        <f>IF(ISERROR(('A6-FinPos'!C8+'A6-FinPos'!C9+'A6-FinPos'!C10+'A6-FinPos'!C15)/'A4-FinPerf RE'!C22),0,(('A6-FinPos'!C8+'A6-FinPos'!C9+'A6-FinPos'!C10+'A6-FinPos'!C15)/'A4-FinPerf RE'!C22))</f>
        <v>0</v>
      </c>
      <c r="D18" s="448">
        <f>IF(ISERROR(('A6-FinPos'!D8+'A6-FinPos'!D9+'A6-FinPos'!D10+'A6-FinPos'!D15)/'A4-FinPerf RE'!D22),0,(('A6-FinPos'!D8+'A6-FinPos'!D9+'A6-FinPos'!D10+'A6-FinPos'!D15)/'A4-FinPerf RE'!D22))</f>
        <v>0.14720900587390343</v>
      </c>
      <c r="E18" s="449">
        <f>IF(ISERROR(('A6-FinPos'!E8+'A6-FinPos'!E9+'A6-FinPos'!E10+'A6-FinPos'!E15)/'A4-FinPerf RE'!E22),0,(('A6-FinPos'!E8+'A6-FinPos'!E9+'A6-FinPos'!E10+'A6-FinPos'!E15)/'A4-FinPerf RE'!E22))</f>
        <v>0.15615043251773644</v>
      </c>
      <c r="F18" s="450">
        <f>IF(ISERROR(('A6-FinPos'!F8+'A6-FinPos'!F9+'A6-FinPos'!F10+'A6-FinPos'!F15)/'A4-FinPerf RE'!F22),0,(('A6-FinPos'!F8+'A6-FinPos'!F9+'A6-FinPos'!F10+'A6-FinPos'!F15)/'A4-FinPerf RE'!F22))</f>
        <v>0.36848827211448942</v>
      </c>
      <c r="G18" s="448">
        <f>IF(ISERROR(('A6-FinPos'!G8+'A6-FinPos'!G9+'A6-FinPos'!G10+'A6-FinPos'!G15)/'A4-FinPerf RE'!G22),0,(('A6-FinPos'!G8+'A6-FinPos'!G9+'A6-FinPos'!G10+'A6-FinPos'!G15)/'A4-FinPerf RE'!G22))</f>
        <v>0.18067257469288911</v>
      </c>
      <c r="H18" s="449">
        <f>IF(ISERROR(('A6-FinPos'!H8+'A6-FinPos'!H9+'A6-FinPos'!H10+'A6-FinPos'!H15)/'A4-FinPerf RE'!H22),0,(('A6-FinPos'!H8+'A6-FinPos'!H9+'A6-FinPos'!H10+'A6-FinPos'!H15)/'A4-FinPerf RE'!H22))</f>
        <v>0.22021840750159866</v>
      </c>
      <c r="I18" s="451">
        <f>IF(ISERROR(('A6-FinPos'!I8+'A6-FinPos'!I9+'A6-FinPos'!I10+'A6-FinPos'!I15)/'A4-FinPerf RE'!I22),0,(('A6-FinPos'!I8+'A6-FinPos'!I9+'A6-FinPos'!I10+'A6-FinPos'!I15)/'A4-FinPerf RE'!I22))</f>
        <v>0</v>
      </c>
      <c r="J18" s="447">
        <f>IF(ISERROR(('A6-FinPos'!J8+'A6-FinPos'!J9+'A6-FinPos'!J10+'A6-FinPos'!J15)/'A4-FinPerf RE'!J22),0,(('A6-FinPos'!J8+'A6-FinPos'!J9+'A6-FinPos'!J10+'A6-FinPos'!J15)/'A4-FinPerf RE'!J22))</f>
        <v>0.26333959535387685</v>
      </c>
      <c r="K18" s="448">
        <f>IF(ISERROR(('A6-FinPos'!K8+'A6-FinPos'!K9+'A6-FinPos'!K10+'A6-FinPos'!K15)/'A4-FinPerf RE'!K22),0,(('A6-FinPos'!K8+'A6-FinPos'!K9+'A6-FinPos'!K10+'A6-FinPos'!K15)/'A4-FinPerf RE'!K22))</f>
        <v>0.16470251911767331</v>
      </c>
      <c r="L18" s="449">
        <f>IF(ISERROR(('A6-FinPos'!L8+'A6-FinPos'!L9+'A6-FinPos'!L10+'A6-FinPos'!L15)/'A4-FinPerf RE'!L22),0,(('A6-FinPos'!L8+'A6-FinPos'!L9+'A6-FinPos'!L10+'A6-FinPos'!L15)/'A4-FinPerf RE'!L22))</f>
        <v>0.13900973207667608</v>
      </c>
    </row>
    <row r="19" spans="1:13" ht="25.5">
      <c r="A19" s="452" t="s">
        <v>1836</v>
      </c>
      <c r="B19" s="446" t="s">
        <v>589</v>
      </c>
      <c r="C19" s="1964"/>
      <c r="D19" s="1965"/>
      <c r="E19" s="1900"/>
      <c r="F19" s="1966"/>
      <c r="G19" s="1965"/>
      <c r="H19" s="1900"/>
      <c r="I19" s="1967"/>
      <c r="J19" s="1964"/>
      <c r="K19" s="1965"/>
      <c r="L19" s="1900"/>
    </row>
    <row r="20" spans="1:13">
      <c r="A20" s="456" t="s">
        <v>840</v>
      </c>
      <c r="B20" s="446"/>
      <c r="C20" s="457"/>
      <c r="D20" s="458"/>
      <c r="E20" s="459"/>
      <c r="F20" s="460"/>
      <c r="G20" s="458"/>
      <c r="H20" s="459"/>
      <c r="I20" s="461"/>
      <c r="J20" s="457"/>
      <c r="K20" s="458"/>
      <c r="L20" s="459"/>
    </row>
    <row r="21" spans="1:13" ht="25.5">
      <c r="A21" s="452" t="s">
        <v>841</v>
      </c>
      <c r="B21" s="446" t="s">
        <v>346</v>
      </c>
      <c r="C21" s="1964"/>
      <c r="D21" s="1965"/>
      <c r="E21" s="1900"/>
      <c r="F21" s="1966"/>
      <c r="G21" s="1965"/>
      <c r="H21" s="1900"/>
      <c r="I21" s="1967"/>
      <c r="J21" s="1964"/>
      <c r="K21" s="1965"/>
      <c r="L21" s="1900"/>
    </row>
    <row r="22" spans="1:13">
      <c r="A22" s="456" t="s">
        <v>842</v>
      </c>
      <c r="B22" s="446"/>
      <c r="C22" s="457"/>
      <c r="D22" s="458"/>
      <c r="E22" s="459"/>
      <c r="F22" s="460"/>
      <c r="G22" s="458"/>
      <c r="H22" s="459"/>
      <c r="I22" s="461"/>
      <c r="J22" s="457"/>
      <c r="K22" s="458"/>
      <c r="L22" s="459"/>
      <c r="M22" s="345"/>
    </row>
    <row r="23" spans="1:13">
      <c r="A23" s="452" t="s">
        <v>737</v>
      </c>
      <c r="B23" s="446" t="s">
        <v>1835</v>
      </c>
      <c r="C23" s="1968"/>
      <c r="D23" s="1969"/>
      <c r="E23" s="1970"/>
      <c r="F23" s="1971"/>
      <c r="G23" s="1969"/>
      <c r="H23" s="1970"/>
      <c r="I23" s="1972"/>
      <c r="J23" s="1968"/>
      <c r="K23" s="1969"/>
      <c r="L23" s="1970"/>
      <c r="M23" s="345"/>
    </row>
    <row r="24" spans="1:13">
      <c r="A24" s="456" t="s">
        <v>843</v>
      </c>
      <c r="B24" s="446"/>
      <c r="C24" s="457"/>
      <c r="D24" s="458"/>
      <c r="E24" s="459"/>
      <c r="F24" s="460"/>
      <c r="G24" s="458"/>
      <c r="H24" s="459"/>
      <c r="I24" s="461"/>
      <c r="J24" s="457"/>
      <c r="K24" s="458"/>
      <c r="L24" s="459"/>
      <c r="M24" s="345"/>
    </row>
    <row r="25" spans="1:13" ht="38.25">
      <c r="A25" s="452" t="s">
        <v>349</v>
      </c>
      <c r="B25" s="1305" t="s">
        <v>388</v>
      </c>
      <c r="C25" s="1968"/>
      <c r="D25" s="1969"/>
      <c r="E25" s="1970"/>
      <c r="F25" s="1971"/>
      <c r="G25" s="1969"/>
      <c r="H25" s="1970"/>
      <c r="I25" s="1972"/>
      <c r="J25" s="1968"/>
      <c r="K25" s="1969"/>
      <c r="L25" s="1970"/>
    </row>
    <row r="26" spans="1:13" ht="38.25">
      <c r="A26" s="452" t="s">
        <v>1384</v>
      </c>
      <c r="B26" s="1305" t="s">
        <v>389</v>
      </c>
      <c r="C26" s="1968"/>
      <c r="D26" s="1969"/>
      <c r="E26" s="1970"/>
      <c r="F26" s="1971"/>
      <c r="G26" s="1969"/>
      <c r="H26" s="1970"/>
      <c r="I26" s="1972"/>
      <c r="J26" s="1968"/>
      <c r="K26" s="1969"/>
      <c r="L26" s="1970"/>
    </row>
    <row r="27" spans="1:13" ht="25.5">
      <c r="A27" s="452" t="s">
        <v>517</v>
      </c>
      <c r="B27" s="446" t="s">
        <v>1773</v>
      </c>
      <c r="C27" s="472">
        <f>IF(ISERROR('A4-FinPerf RE'!C25/'A4-FinPerf RE'!C22),0,('A4-FinPerf RE'!C25/'A4-FinPerf RE'!C22))</f>
        <v>0.38940645758207881</v>
      </c>
      <c r="D27" s="473">
        <f>IF(ISERROR('A4-FinPerf RE'!D25/'A4-FinPerf RE'!D22),0,('A4-FinPerf RE'!D25/'A4-FinPerf RE'!D22))</f>
        <v>0.16885191688505097</v>
      </c>
      <c r="E27" s="474">
        <f>IF(ISERROR('A4-FinPerf RE'!E25/'A4-FinPerf RE'!E22),0,('A4-FinPerf RE'!E25/'A4-FinPerf RE'!E22))</f>
        <v>0.25445473660769824</v>
      </c>
      <c r="F27" s="475">
        <f>IF(ISERROR('A4-FinPerf RE'!F25/'A4-FinPerf RE'!F22),0,('A4-FinPerf RE'!F25/'A4-FinPerf RE'!F22))</f>
        <v>0.37156136198748663</v>
      </c>
      <c r="G27" s="473">
        <f>IF(ISERROR('A4-FinPerf RE'!G25/'A4-FinPerf RE'!G22),0,('A4-FinPerf RE'!G25/'A4-FinPerf RE'!G22))</f>
        <v>0.37683704344597091</v>
      </c>
      <c r="H27" s="474">
        <f>IF(ISERROR('A4-FinPerf RE'!H25/'A4-FinPerf RE'!H22),0,('A4-FinPerf RE'!H25/'A4-FinPerf RE'!H22))</f>
        <v>0.40068487462824021</v>
      </c>
      <c r="I27" s="476">
        <f>IF(ISERROR('A4-FinPerf RE'!I25/'A4-FinPerf RE'!I22),0,('A4-FinPerf RE'!I25/'A4-FinPerf RE'!I22))</f>
        <v>0.40068487462824021</v>
      </c>
      <c r="J27" s="472">
        <f>IF(ISERROR('A4-FinPerf RE'!J25/'A4-FinPerf RE'!J22),0,('A4-FinPerf RE'!J25/'A4-FinPerf RE'!J22))</f>
        <v>0.43753136149806099</v>
      </c>
      <c r="K27" s="473">
        <f>IF(ISERROR('A4-FinPerf RE'!K25/'A4-FinPerf RE'!K22),0,('A4-FinPerf RE'!K25/'A4-FinPerf RE'!K22))</f>
        <v>0.4098028152677814</v>
      </c>
      <c r="L27" s="474">
        <f>IF(ISERROR('A4-FinPerf RE'!L25/'A4-FinPerf RE'!L22),0,('A4-FinPerf RE'!L25/'A4-FinPerf RE'!L22))</f>
        <v>0.40922085120850027</v>
      </c>
    </row>
    <row r="28" spans="1:13" ht="25.5">
      <c r="A28" s="452" t="s">
        <v>759</v>
      </c>
      <c r="B28" s="446" t="s">
        <v>760</v>
      </c>
      <c r="C28" s="472">
        <f>IF(ISERROR('SA22'!C89/'A4-FinPerf RE'!C22),0,('SA22'!C89/'A4-FinPerf RE'!C22))</f>
        <v>0</v>
      </c>
      <c r="D28" s="473">
        <f>IF(ISERROR('SA22'!D89/'A4-FinPerf RE'!D22),0,('SA22'!D89/'A4-FinPerf RE'!D22))</f>
        <v>0.21742464219574895</v>
      </c>
      <c r="E28" s="474">
        <f>IF(ISERROR('SA22'!E89/'A4-FinPerf RE'!E22),0,('SA22'!E89/'A4-FinPerf RE'!E22))</f>
        <v>2.8940613621351453E-2</v>
      </c>
      <c r="F28" s="475">
        <f>IF(ISERROR('SA22'!F89/'A4-FinPerf RE'!F22),0,('SA22'!F89/'A4-FinPerf RE'!F22))</f>
        <v>3.537598862721588E-2</v>
      </c>
      <c r="G28" s="473">
        <f>IF(ISERROR('SA22'!G89/'A4-FinPerf RE'!G22),0,('SA22'!G89/'A4-FinPerf RE'!G22))</f>
        <v>0</v>
      </c>
      <c r="H28" s="474">
        <f>IF(ISERROR('SA22'!H89/'A4-FinPerf RE'!H22),0,('SA22'!H89/'A4-FinPerf RE'!H22))</f>
        <v>0</v>
      </c>
      <c r="I28" s="476"/>
      <c r="J28" s="472">
        <f>IF(ISERROR('SA22'!I89/'A4-FinPerf RE'!J22),0,('SA22'!I89/'A4-FinPerf RE'!J22))</f>
        <v>0.39242668121264573</v>
      </c>
      <c r="K28" s="473">
        <f>IF(ISERROR('SA22'!J89/'A4-FinPerf RE'!K22),0,('SA22'!J89/'A4-FinPerf RE'!K22))</f>
        <v>0</v>
      </c>
      <c r="L28" s="474">
        <f>IF(ISERROR('SA22'!K89/'A4-FinPerf RE'!L22),0,('SA22'!K89/'A4-FinPerf RE'!L22))</f>
        <v>0</v>
      </c>
    </row>
    <row r="29" spans="1:13" ht="25.5">
      <c r="A29" s="452" t="s">
        <v>625</v>
      </c>
      <c r="B29" s="446" t="s">
        <v>626</v>
      </c>
      <c r="C29" s="472">
        <f>IF(ISERROR('A9-Asset'!#REF!/'A4-FinPerf RE'!C22),0,('A9-Asset'!#REF!/'A4-FinPerf RE'!C22))</f>
        <v>0</v>
      </c>
      <c r="D29" s="473">
        <f>IF(ISERROR('A9-Asset'!#REF!/'A4-FinPerf RE'!D22),0,('A9-Asset'!#REF!/'A4-FinPerf RE'!D22))</f>
        <v>0</v>
      </c>
      <c r="E29" s="474">
        <f>IF(ISERROR('A9-Asset'!#REF!/'A4-FinPerf RE'!E22),0,('A9-Asset'!#REF!/'A4-FinPerf RE'!E22))</f>
        <v>0</v>
      </c>
      <c r="F29" s="475">
        <f>IF(ISERROR('A9-Asset'!#REF!/'A4-FinPerf RE'!F22),0,('A9-Asset'!#REF!/'A4-FinPerf RE'!F22))</f>
        <v>0</v>
      </c>
      <c r="G29" s="473">
        <f>IF(ISERROR('A9-Asset'!#REF!/'A4-FinPerf RE'!G22),0,('A9-Asset'!#REF!/'A4-FinPerf RE'!G22))</f>
        <v>0</v>
      </c>
      <c r="H29" s="474">
        <f>IF(ISERROR('A9-Asset'!#REF!/'A4-FinPerf RE'!H22),0,('A9-Asset'!#REF!/'A4-FinPerf RE'!H22))</f>
        <v>0</v>
      </c>
      <c r="I29" s="476"/>
      <c r="J29" s="472">
        <f>IF(ISERROR('A9-Asset'!#REF!/'A4-FinPerf RE'!I22),0,('A9-Asset'!#REF!/'A4-FinPerf RE'!I22))</f>
        <v>0</v>
      </c>
      <c r="K29" s="473">
        <f>IF(ISERROR('A9-Asset'!#REF!/'A4-FinPerf RE'!J22),0,('A9-Asset'!#REF!/'A4-FinPerf RE'!J22))</f>
        <v>0</v>
      </c>
      <c r="L29" s="474">
        <f>IF(ISERROR('A9-Asset'!#REF!/'A4-FinPerf RE'!K22),0,('A9-Asset'!#REF!/'A4-FinPerf RE'!K22))</f>
        <v>0</v>
      </c>
    </row>
    <row r="30" spans="1:13" ht="25.5">
      <c r="A30" s="452" t="s">
        <v>1542</v>
      </c>
      <c r="B30" s="446" t="s">
        <v>627</v>
      </c>
      <c r="C30" s="472">
        <f>IF(ISERROR(('A4-FinPerf RE'!C29+'A4-FinPerf RE'!C28)/'A4-FinPerf RE'!C22),0,(('A4-FinPerf RE'!C29+'A4-FinPerf RE'!C28)/'A4-FinPerf RE'!C22))</f>
        <v>2.8140156149762612E-2</v>
      </c>
      <c r="D30" s="473">
        <f>IF(ISERROR(('A4-FinPerf RE'!D29+'A4-FinPerf RE'!D28)/'A4-FinPerf RE'!D22),0,(('A4-FinPerf RE'!D29+'A4-FinPerf RE'!D28)/'A4-FinPerf RE'!D22))</f>
        <v>6.6116494236183002E-2</v>
      </c>
      <c r="E30" s="474">
        <f>IF(ISERROR(('A4-FinPerf RE'!E29+'A4-FinPerf RE'!E28)/'A4-FinPerf RE'!E22),0,(('A4-FinPerf RE'!E29+'A4-FinPerf RE'!E28)/'A4-FinPerf RE'!E22))</f>
        <v>9.5390075499290031E-2</v>
      </c>
      <c r="F30" s="475">
        <f>IF(ISERROR(('A4-FinPerf RE'!F29+'A4-FinPerf RE'!F28)/'A4-FinPerf RE'!F22),0,(('A4-FinPerf RE'!F29+'A4-FinPerf RE'!F28)/'A4-FinPerf RE'!F22))</f>
        <v>0.1786248935863432</v>
      </c>
      <c r="G30" s="473">
        <f>IF(ISERROR(('A4-FinPerf RE'!G29+'A4-FinPerf RE'!G28)/'A4-FinPerf RE'!G22),0,(('A4-FinPerf RE'!G29+'A4-FinPerf RE'!G28)/'A4-FinPerf RE'!G22))</f>
        <v>9.2421967254704869E-3</v>
      </c>
      <c r="H30" s="474">
        <f>IF(ISERROR(('A4-FinPerf RE'!H29+'A4-FinPerf RE'!H28)/'A4-FinPerf RE'!H22),0,(('A4-FinPerf RE'!H29+'A4-FinPerf RE'!H28)/'A4-FinPerf RE'!H22))</f>
        <v>8.786068372230527E-3</v>
      </c>
      <c r="I30" s="476">
        <f>IF(ISERROR(('A4-FinPerf RE'!I29+'A4-FinPerf RE'!I28)/'A4-FinPerf RE'!I22),0,(('A4-FinPerf RE'!I29+'A4-FinPerf RE'!I28)/'A4-FinPerf RE'!I22))</f>
        <v>8.786068372230527E-3</v>
      </c>
      <c r="J30" s="472">
        <f>IF(ISERROR(('A4-FinPerf RE'!J29+'A4-FinPerf RE'!J28)/'A4-FinPerf RE'!J22),0,(('A4-FinPerf RE'!J29+'A4-FinPerf RE'!J28)/'A4-FinPerf RE'!J22))</f>
        <v>0.10921033171082549</v>
      </c>
      <c r="K30" s="473">
        <f>IF(ISERROR(('A4-FinPerf RE'!K29+'A4-FinPerf RE'!K28)/'A4-FinPerf RE'!K22),0,(('A4-FinPerf RE'!K29+'A4-FinPerf RE'!K28)/'A4-FinPerf RE'!K22))</f>
        <v>0.10637036434803757</v>
      </c>
      <c r="L30" s="474">
        <f>IF(ISERROR(('A4-FinPerf RE'!L29+'A4-FinPerf RE'!L28)/'A4-FinPerf RE'!L22),0,(('A4-FinPerf RE'!L29+'A4-FinPerf RE'!L28)/'A4-FinPerf RE'!L22))</f>
        <v>0.10476509618839026</v>
      </c>
    </row>
    <row r="31" spans="1:13" ht="25.5">
      <c r="A31" s="477" t="s">
        <v>1755</v>
      </c>
      <c r="B31" s="478"/>
      <c r="C31" s="479"/>
      <c r="D31" s="480"/>
      <c r="E31" s="481"/>
      <c r="F31" s="482"/>
      <c r="G31" s="480"/>
      <c r="H31" s="481"/>
      <c r="I31" s="483"/>
      <c r="J31" s="479"/>
      <c r="K31" s="480"/>
      <c r="L31" s="481"/>
    </row>
    <row r="32" spans="1:13" ht="38.25">
      <c r="A32" s="452" t="s">
        <v>1756</v>
      </c>
      <c r="B32" s="446" t="s">
        <v>1837</v>
      </c>
      <c r="C32" s="462">
        <f>IF(ISERROR(('A4-FinPerf RE'!C22-'A4-FinPerf RE'!C19)/('A7-CFlow'!D9-'A7-CFlow'!D33)),0,(('A4-FinPerf RE'!C22-'A4-FinPerf RE'!C19)/('A7-CFlow'!D9-'A7-CFlow'!D33)))</f>
        <v>12.545470405194468</v>
      </c>
      <c r="D32" s="463">
        <f>IF(ISERROR(('A4-FinPerf RE'!D22-'A4-FinPerf RE'!D19)/('A7-CFlow'!E9-'A7-CFlow'!E33)),0,(('A4-FinPerf RE'!D22-'A4-FinPerf RE'!D19)/('A7-CFlow'!E9-'A7-CFlow'!E33)))</f>
        <v>14.755937924369862</v>
      </c>
      <c r="E32" s="464">
        <f>IF(ISERROR(('A4-FinPerf RE'!E22-'A4-FinPerf RE'!E19)/('A7-CFlow'!F9-'A7-CFlow'!F33)),0,(('A4-FinPerf RE'!E22-'A4-FinPerf RE'!E19)/('A7-CFlow'!F9-'A7-CFlow'!F33)))</f>
        <v>42.984613726568313</v>
      </c>
      <c r="F32" s="465">
        <f>IF(ISERROR(('A4-FinPerf RE'!F22-'A4-FinPerf RE'!F19)/('A7-CFlow'!G9-'A7-CFlow'!G33)),0,(('A4-FinPerf RE'!F22-'A4-FinPerf RE'!F19)/('A7-CFlow'!G9-'A7-CFlow'!G33)))</f>
        <v>116.24694827586207</v>
      </c>
      <c r="G32" s="463">
        <f>F32</f>
        <v>116.24694827586207</v>
      </c>
      <c r="H32" s="464">
        <f>G32</f>
        <v>116.24694827586207</v>
      </c>
      <c r="I32" s="466">
        <f>IF(ISERROR(('A4-FinPerf RE'!I22-'A4-FinPerf RE'!I19)/('A7-CFlow'!J9-'A7-CFlow'!J33)),0,(('A4-FinPerf RE'!I22-'A4-FinPerf RE'!I19)/('A7-CFlow'!J9-'A7-CFlow'!J33)))</f>
        <v>11.127178120617112</v>
      </c>
      <c r="J32" s="462">
        <f>IF(ISERROR(('A4-FinPerf RE'!J22-'A4-FinPerf RE'!J19)/('A7-CFlow'!K9-'A7-CFlow'!K33)),0,(('A4-FinPerf RE'!J22-'A4-FinPerf RE'!J19)/('A7-CFlow'!K9-'A7-CFlow'!K33)))</f>
        <v>18.604539906617255</v>
      </c>
      <c r="K32" s="463">
        <f>IF(ISERROR(('A4-FinPerf RE'!K22-'A4-FinPerf RE'!K19)/('A7-CFlow'!L9-'A7-CFlow'!L33)),0,(('A4-FinPerf RE'!K22-'A4-FinPerf RE'!K19)/('A7-CFlow'!L9-'A7-CFlow'!L33)))</f>
        <v>21.430651529050294</v>
      </c>
      <c r="L32" s="464">
        <f>IF(ISERROR(('A4-FinPerf RE'!L22-'A4-FinPerf RE'!L19)/('A7-CFlow'!L9-'A7-CFlow'!L33)),0,(('A4-FinPerf RE'!L22-'A4-FinPerf RE'!L19)/('A7-CFlow'!L9-'A7-CFlow'!L33)))</f>
        <v>22.564485206654314</v>
      </c>
    </row>
    <row r="33" spans="1:13" ht="25.5">
      <c r="A33" s="452" t="s">
        <v>1757</v>
      </c>
      <c r="B33" s="446" t="s">
        <v>783</v>
      </c>
      <c r="C33" s="472">
        <f>IF(ISERROR(('A6-FinPos'!C8+'A6-FinPos'!C9+'A6-FinPos'!C10)/SUM('A4-FinPerf RE'!C5:C12)),0,(('A6-FinPos'!C8+'A6-FinPos'!C9+'A6-FinPos'!C10)/SUM('A4-FinPerf RE'!C5:C12)))</f>
        <v>0</v>
      </c>
      <c r="D33" s="473">
        <f>IF(ISERROR(('A6-FinPos'!D8+'A6-FinPos'!D9+'A6-FinPos'!D10)/SUM('A4-FinPerf RE'!D5:D12)),0,(('A6-FinPos'!D8+'A6-FinPos'!D9+'A6-FinPos'!D10)/SUM('A4-FinPerf RE'!D5:D12)))</f>
        <v>0.65980491633259331</v>
      </c>
      <c r="E33" s="474">
        <f>IF(ISERROR(('A6-FinPos'!E8+'A6-FinPos'!E9+'A6-FinPos'!E10)/SUM('A4-FinPerf RE'!E5:E12)),0,(('A6-FinPos'!E8+'A6-FinPos'!E9+'A6-FinPos'!E10)/SUM('A4-FinPerf RE'!E5:E12)))</f>
        <v>0.43417951219217771</v>
      </c>
      <c r="F33" s="475">
        <f>IF(ISERROR(('A6-FinPos'!F8+'A6-FinPos'!F9+'A6-FinPos'!F10)/SUM('A4-FinPerf RE'!F5:F12)),0,(('A6-FinPos'!F8+'A6-FinPos'!F9+'A6-FinPos'!F10)/SUM('A4-FinPerf RE'!F5:F12)))</f>
        <v>0.95414639734274931</v>
      </c>
      <c r="G33" s="473">
        <f>IF(ISERROR(('A6-FinPos'!G8+'A6-FinPos'!G9+'A6-FinPos'!G10)/SUM('A4-FinPerf RE'!G5:G12)),0,(('A6-FinPos'!G8+'A6-FinPos'!G9+'A6-FinPos'!G10)/SUM('A4-FinPerf RE'!G5:G12)))</f>
        <v>0.47390401931153792</v>
      </c>
      <c r="H33" s="474">
        <f>IF(ISERROR(('A6-FinPos'!H8+'A6-FinPos'!H9+'A6-FinPos'!H10)/SUM('A4-FinPerf RE'!H5:H12)),0,(('A6-FinPos'!H8+'A6-FinPos'!H9+'A6-FinPos'!H10)/SUM('A4-FinPerf RE'!H5:H12)))</f>
        <v>0.71817311162583397</v>
      </c>
      <c r="I33" s="476">
        <f>IF(ISERROR(('A6-FinPos'!I8+'A6-FinPos'!I9+'A6-FinPos'!I10)/SUM('A4-FinPerf RE'!I5:I12)),0,(('A6-FinPos'!I8+'A6-FinPos'!I9+'A6-FinPos'!I10)/SUM('A4-FinPerf RE'!I5:I12)))</f>
        <v>0</v>
      </c>
      <c r="J33" s="472">
        <f>IF(ISERROR(('A6-FinPos'!J8+'A6-FinPos'!J9+'A6-FinPos'!J10)/SUM('A4-FinPerf RE'!J5:J12)),0,(('A6-FinPos'!J8+'A6-FinPos'!J9+'A6-FinPos'!J10)/SUM('A4-FinPerf RE'!J5:J12)))</f>
        <v>0.86083546673171774</v>
      </c>
      <c r="K33" s="473">
        <f>IF(ISERROR(('A6-FinPos'!K8+'A6-FinPos'!K9+'A6-FinPos'!K10)/SUM('A4-FinPerf RE'!K5:K12)),0,(('A6-FinPos'!K8+'A6-FinPos'!K9+'A6-FinPos'!K10)/SUM('A4-FinPerf RE'!K5:K12)))</f>
        <v>0.48082402098193822</v>
      </c>
      <c r="L33" s="474">
        <f>IF(ISERROR(('A6-FinPos'!L8+'A6-FinPos'!L9+'A6-FinPos'!L10)/SUM('A4-FinPerf RE'!L5:L12)),0,(('A6-FinPos'!L8+'A6-FinPos'!L9+'A6-FinPos'!L10)/SUM('A4-FinPerf RE'!L5:L12)))</f>
        <v>0.40285781891200911</v>
      </c>
    </row>
    <row r="34" spans="1:13" ht="25.5">
      <c r="A34" s="484" t="s">
        <v>1758</v>
      </c>
      <c r="B34" s="485" t="s">
        <v>1662</v>
      </c>
      <c r="C34" s="486">
        <f>IF(ISERROR('A7-CFlow'!C38/'SA8'!C41),0,('A7-CFlow'!C38/'SA8'!C41))</f>
        <v>-0.27884050766358542</v>
      </c>
      <c r="D34" s="487">
        <f>IF(ISERROR('A7-CFlow'!D38/'SA8'!D41),0,('A7-CFlow'!D38/'SA8'!D41))</f>
        <v>-4.0282752181251569</v>
      </c>
      <c r="E34" s="488">
        <f>IF(ISERROR('A7-CFlow'!E38/'SA8'!E41),0,('A7-CFlow'!E38/'SA8'!E41))</f>
        <v>5.9544280354923131</v>
      </c>
      <c r="F34" s="489">
        <f>IF(ISERROR('A7-CFlow'!F38/'SA8'!F41),0,('A7-CFlow'!F38/'SA8'!F41))</f>
        <v>27.553960013605316</v>
      </c>
      <c r="G34" s="487">
        <f>IF(ISERROR('A7-CFlow'!G38/'SA8'!G41),0,('A7-CFlow'!G38/'SA8'!G41))</f>
        <v>5.1700855412803115</v>
      </c>
      <c r="H34" s="488">
        <f>IF(ISERROR('A7-CFlow'!H38/'SA8'!H41),0,('A7-CFlow'!H38/'SA8'!H41))</f>
        <v>5.6755636334149733</v>
      </c>
      <c r="I34" s="490">
        <f>IF(ISERROR('A7-CFlow'!I38/'SA8'!I41),0,('A7-CFlow'!I38/'SA8'!I41))</f>
        <v>5.3824325523413457</v>
      </c>
      <c r="J34" s="486">
        <f>IF(ISERROR('A7-CFlow'!J38/'SA8'!J41),0,('A7-CFlow'!J38/'SA8'!J41))</f>
        <v>4.2373987511305469</v>
      </c>
      <c r="K34" s="487">
        <f>IF(ISERROR('A7-CFlow'!K38/'SA8'!K41),0,('A7-CFlow'!K38/'SA8'!K41))</f>
        <v>-0.9021580302851161</v>
      </c>
      <c r="L34" s="488">
        <f>IF(ISERROR('A7-CFlow'!L38/'SA8'!L41),0,('A7-CFlow'!L38/'SA8'!L41))</f>
        <v>-5.8804623806389982</v>
      </c>
    </row>
    <row r="35" spans="1:13" hidden="1">
      <c r="A35" s="330" t="str">
        <f>head27a</f>
        <v>References</v>
      </c>
    </row>
    <row r="36" spans="1:13" hidden="1">
      <c r="A36" s="436" t="s">
        <v>1378</v>
      </c>
    </row>
    <row r="37" spans="1:13" hidden="1">
      <c r="A37" s="436" t="s">
        <v>1377</v>
      </c>
    </row>
    <row r="38" spans="1:13" hidden="1"/>
    <row r="39" spans="1:13" hidden="1">
      <c r="A39" s="439" t="s">
        <v>836</v>
      </c>
    </row>
    <row r="40" spans="1:13" hidden="1">
      <c r="A40" s="150" t="s">
        <v>1540</v>
      </c>
      <c r="C40" s="338"/>
      <c r="D40" s="338"/>
      <c r="E40" s="1863"/>
      <c r="F40" s="1863"/>
      <c r="G40" s="1863"/>
      <c r="H40" s="1863"/>
      <c r="I40" s="1863"/>
      <c r="J40" s="1863"/>
      <c r="K40" s="1863"/>
      <c r="L40" s="1863"/>
      <c r="M40" s="345"/>
    </row>
    <row r="41" spans="1:13" hidden="1">
      <c r="A41" s="150" t="s">
        <v>1545</v>
      </c>
      <c r="C41" s="290">
        <f>(('A4-FinPerf RE'!C25+'A4-FinPerf RE'!C26+'A4-FinPerf RE'!C27+'A4-FinPerf RE'!C29+'A4-FinPerf RE'!C30+'A4-FinPerf RE'!C32+'A4-FinPerf RE'!C33)+(('A4-FinPerf RE'!C31+'A4-FinPerf RE'!C34)*'SA8'!C42))/12</f>
        <v>1696561.2491666668</v>
      </c>
      <c r="D41" s="290">
        <f>(('A4-FinPerf RE'!D25+'A4-FinPerf RE'!D26+'A4-FinPerf RE'!D27+'A4-FinPerf RE'!D29+'A4-FinPerf RE'!D30+'A4-FinPerf RE'!D32+'A4-FinPerf RE'!D33)+(('A4-FinPerf RE'!D31+'A4-FinPerf RE'!D34)*'SA8'!D42))/12</f>
        <v>1793234.9725007208</v>
      </c>
      <c r="E41" s="290">
        <f>(('A4-FinPerf RE'!E25+'A4-FinPerf RE'!E26+'A4-FinPerf RE'!E27+'A4-FinPerf RE'!E29+'A4-FinPerf RE'!E30+'A4-FinPerf RE'!E32+'A4-FinPerf RE'!E33)+(('A4-FinPerf RE'!E31+'A4-FinPerf RE'!E34)*'SA8'!E42))/12</f>
        <v>2335418.4343333393</v>
      </c>
      <c r="F41" s="290">
        <f>(('A4-FinPerf RE'!F25+'A4-FinPerf RE'!F26+'A4-FinPerf RE'!F27+'A4-FinPerf RE'!F29+'A4-FinPerf RE'!F30+'A4-FinPerf RE'!F32+'A4-FinPerf RE'!F33)+(('A4-FinPerf RE'!F31+'A4-FinPerf RE'!F34)*'SA8'!F42))/12</f>
        <v>3399406.25</v>
      </c>
      <c r="G41" s="290">
        <f>(('A4-FinPerf RE'!G25+'A4-FinPerf RE'!G26+'A4-FinPerf RE'!G27+'A4-FinPerf RE'!G29+'A4-FinPerf RE'!G30+'A4-FinPerf RE'!G32+'A4-FinPerf RE'!G33)+(('A4-FinPerf RE'!G31+'A4-FinPerf RE'!G34)*'SA8'!G42))/12</f>
        <v>2836203.75</v>
      </c>
      <c r="H41" s="290">
        <f>(('A4-FinPerf RE'!H25+'A4-FinPerf RE'!H26+'A4-FinPerf RE'!H27+'A4-FinPerf RE'!H29+'A4-FinPerf RE'!H30+'A4-FinPerf RE'!H32+'A4-FinPerf RE'!H33)+(('A4-FinPerf RE'!H31+'A4-FinPerf RE'!H34)*'SA8'!H42))/12</f>
        <v>2583605.25</v>
      </c>
      <c r="I41" s="290">
        <f>(('A4-FinPerf RE'!I25+'A4-FinPerf RE'!I26+'A4-FinPerf RE'!I27+'A4-FinPerf RE'!I29+'A4-FinPerf RE'!I30+'A4-FinPerf RE'!I32+'A4-FinPerf RE'!I33)+(('A4-FinPerf RE'!I31+'A4-FinPerf RE'!I34)*'SA8'!I42))/12</f>
        <v>2583605.25</v>
      </c>
      <c r="J41" s="290">
        <f>(('A4-FinPerf RE'!J25+'A4-FinPerf RE'!J26+'A4-FinPerf RE'!J27+'A4-FinPerf RE'!J29+'A4-FinPerf RE'!J30+'A4-FinPerf RE'!J32+'A4-FinPerf RE'!J33)+(('A4-FinPerf RE'!J31+'A4-FinPerf RE'!J34)*'SA8'!J42))/12</f>
        <v>3867840.8855685876</v>
      </c>
      <c r="K41" s="290">
        <f>(('A4-FinPerf RE'!K25+'A4-FinPerf RE'!K26+'A4-FinPerf RE'!K27+'A4-FinPerf RE'!K29+'A4-FinPerf RE'!K30+'A4-FinPerf RE'!K32+'A4-FinPerf RE'!K33)+(('A4-FinPerf RE'!K31+'A4-FinPerf RE'!K34)*'SA8'!K42))/12</f>
        <v>3400393.165642472</v>
      </c>
      <c r="L41" s="290">
        <f>(('A4-FinPerf RE'!L25+'A4-FinPerf RE'!L26+'A4-FinPerf RE'!L27+'A4-FinPerf RE'!L29+'A4-FinPerf RE'!L30+'A4-FinPerf RE'!L32+'A4-FinPerf RE'!L33)+(('A4-FinPerf RE'!L31+'A4-FinPerf RE'!L34)*'SA8'!L42))/12</f>
        <v>3750671.9307654556</v>
      </c>
    </row>
    <row r="42" spans="1:13" hidden="1">
      <c r="A42" s="150" t="s">
        <v>1546</v>
      </c>
      <c r="C42" s="1973"/>
      <c r="D42" s="493">
        <f>$C$42</f>
        <v>0</v>
      </c>
      <c r="E42" s="493">
        <f t="shared" ref="E42:L42" si="1">$C$42</f>
        <v>0</v>
      </c>
      <c r="F42" s="493">
        <f t="shared" si="1"/>
        <v>0</v>
      </c>
      <c r="G42" s="493">
        <f t="shared" si="1"/>
        <v>0</v>
      </c>
      <c r="H42" s="493">
        <f t="shared" si="1"/>
        <v>0</v>
      </c>
      <c r="I42" s="493">
        <f t="shared" si="1"/>
        <v>0</v>
      </c>
      <c r="J42" s="493">
        <f t="shared" si="1"/>
        <v>0</v>
      </c>
      <c r="K42" s="493">
        <f t="shared" si="1"/>
        <v>0</v>
      </c>
      <c r="L42" s="493">
        <f t="shared" si="1"/>
        <v>0</v>
      </c>
    </row>
    <row r="43" spans="1:13" hidden="1">
      <c r="A43" s="150" t="s">
        <v>972</v>
      </c>
      <c r="C43" s="494">
        <f>'A5-Capex'!C21-'A5-Capex'!C70-'A5-Capex'!C71</f>
        <v>0</v>
      </c>
      <c r="D43" s="494">
        <f>'A5-Capex'!D21-'A5-Capex'!D70-'A5-Capex'!D71</f>
        <v>0</v>
      </c>
      <c r="E43" s="494">
        <f>'A5-Capex'!E21-'A5-Capex'!E70-'A5-Capex'!E71</f>
        <v>0</v>
      </c>
      <c r="F43" s="494">
        <f>'A5-Capex'!F21-'A5-Capex'!F70-'A5-Capex'!F71</f>
        <v>0</v>
      </c>
      <c r="G43" s="494">
        <f>'A5-Capex'!G21-'A5-Capex'!G70-'A5-Capex'!G71</f>
        <v>0</v>
      </c>
      <c r="H43" s="494">
        <f>'A5-Capex'!H21-'A5-Capex'!H70-'A5-Capex'!H71</f>
        <v>0</v>
      </c>
      <c r="I43" s="494">
        <f>'A5-Capex'!I21-'A5-Capex'!I70-'A5-Capex'!I71</f>
        <v>0</v>
      </c>
      <c r="J43" s="494">
        <f>'A5-Capex'!J21-'A5-Capex'!J70-'A5-Capex'!J71</f>
        <v>-9488000</v>
      </c>
      <c r="K43" s="494">
        <f>'A5-Capex'!K21-'A5-Capex'!K70-'A5-Capex'!K71</f>
        <v>-11537000</v>
      </c>
      <c r="L43" s="494">
        <f>'A5-Capex'!L21-'A5-Capex'!L70-'A5-Capex'!L71</f>
        <v>-12171000</v>
      </c>
    </row>
    <row r="44" spans="1:13" hidden="1">
      <c r="A44" s="150" t="s">
        <v>1374</v>
      </c>
      <c r="C44" s="494">
        <f>'A7-CFlow'!C29+'A7-CFlow'!C30</f>
        <v>0</v>
      </c>
      <c r="D44" s="494">
        <f>'A7-CFlow'!D29+'A7-CFlow'!D30</f>
        <v>0</v>
      </c>
      <c r="E44" s="494">
        <f>'A7-CFlow'!E29+'A7-CFlow'!E30</f>
        <v>177073</v>
      </c>
      <c r="F44" s="494">
        <f>'A7-CFlow'!F29+'A7-CFlow'!F30</f>
        <v>0</v>
      </c>
      <c r="G44" s="494">
        <f>'A7-CFlow'!G29+'A7-CFlow'!G30</f>
        <v>0</v>
      </c>
      <c r="H44" s="494">
        <f>'A7-CFlow'!H29+'A7-CFlow'!H30</f>
        <v>0</v>
      </c>
      <c r="I44" s="494">
        <f>'A7-CFlow'!I29+'A7-CFlow'!I30</f>
        <v>0</v>
      </c>
      <c r="J44" s="494">
        <f>'A7-CFlow'!J29+'A7-CFlow'!J30</f>
        <v>0</v>
      </c>
      <c r="K44" s="494">
        <f>'A7-CFlow'!K29+'A7-CFlow'!K30</f>
        <v>0</v>
      </c>
      <c r="L44" s="494">
        <f>'A7-CFlow'!L29+'A7-CFlow'!L30</f>
        <v>0</v>
      </c>
    </row>
    <row r="45" spans="1:13" hidden="1"/>
    <row r="46" spans="1:13" hidden="1"/>
    <row r="47" spans="1:13" hidden="1"/>
    <row r="48" spans="1:13" hidden="1"/>
    <row r="49" hidden="1"/>
    <row r="50" hidden="1"/>
    <row r="51" hidden="1"/>
    <row r="52" hidden="1"/>
    <row r="53" hidden="1"/>
    <row r="54" hidden="1"/>
    <row r="55" hidden="1"/>
  </sheetData>
  <sheetProtection password="A35B" sheet="1" objects="1" scenarios="1"/>
  <dataConsolidate/>
  <mergeCells count="4">
    <mergeCell ref="A2:A3"/>
    <mergeCell ref="J2:L2"/>
    <mergeCell ref="B2:B3"/>
    <mergeCell ref="F2:I2"/>
  </mergeCells>
  <phoneticPr fontId="3" type="noConversion"/>
  <dataValidations count="1">
    <dataValidation type="decimal" allowBlank="1" showInputMessage="1" showErrorMessage="1" sqref="C19:L19 C21:L21 C23:L23 C25:L26 E40:L40 C42">
      <formula1>-9999999999999990000</formula1>
      <formula2>99999999999999900000</formula2>
    </dataValidation>
  </dataValidations>
  <printOptions horizontalCentered="1"/>
  <pageMargins left="0.37" right="0.14000000000000001" top="0.78740157480314965" bottom="0.39370078740157483" header="0.51181102362204722" footer="0.59055118110236227"/>
  <pageSetup paperSize="9" scale="75"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enableFormatConditionsCalculation="0">
    <tabColor rgb="FFCCFFCC"/>
    <pageSetUpPr fitToPage="1"/>
  </sheetPr>
  <dimension ref="A1:L70"/>
  <sheetViews>
    <sheetView showGridLines="0" workbookViewId="0">
      <pane xSplit="2" ySplit="2" topLeftCell="G3" activePane="bottomRight" state="frozen"/>
      <selection activeCell="O37" sqref="A1:IV65536"/>
      <selection pane="topRight" activeCell="O37" sqref="A1:IV65536"/>
      <selection pane="bottomLeft" activeCell="O37" sqref="A1:IV65536"/>
      <selection pane="bottomRight" activeCell="J1" sqref="J1"/>
    </sheetView>
  </sheetViews>
  <sheetFormatPr defaultRowHeight="11.25" customHeight="1"/>
  <cols>
    <col min="1" max="1" width="29.7109375" style="150" customWidth="1"/>
    <col min="2" max="2" width="20.7109375" style="150" customWidth="1"/>
    <col min="3" max="3" width="8.7109375" style="150" customWidth="1"/>
    <col min="4" max="12" width="9.28515625" style="150" customWidth="1"/>
    <col min="13" max="16384" width="9.140625" style="150"/>
  </cols>
  <sheetData>
    <row r="1" spans="1:12" s="168" customFormat="1" ht="12.75">
      <c r="A1" s="148" t="str">
        <f>muni&amp;" - "&amp;TableA9</f>
        <v>NC071 Ubuntu - Supporting Table SA9 Social, economic and demographic statistics and assumptions</v>
      </c>
      <c r="B1" s="148"/>
      <c r="C1" s="148"/>
      <c r="D1" s="148"/>
      <c r="E1" s="148"/>
      <c r="F1" s="148"/>
      <c r="G1" s="148"/>
      <c r="H1" s="148"/>
      <c r="I1" s="148"/>
      <c r="J1" s="148"/>
      <c r="K1" s="148"/>
      <c r="L1" s="148"/>
    </row>
    <row r="2" spans="1:12" ht="33.75" customHeight="1">
      <c r="A2" s="495" t="s">
        <v>676</v>
      </c>
      <c r="B2" s="496" t="s">
        <v>1153</v>
      </c>
      <c r="C2" s="496" t="str">
        <f>Head44</f>
        <v>1996 Census</v>
      </c>
      <c r="D2" s="496" t="str">
        <f>Head45</f>
        <v>2001 Census</v>
      </c>
      <c r="E2" s="496" t="s">
        <v>204</v>
      </c>
      <c r="F2" s="497" t="str">
        <f>head1b</f>
        <v>2007/8</v>
      </c>
      <c r="G2" s="498" t="str">
        <f>head1A</f>
        <v>2008/9</v>
      </c>
      <c r="H2" s="499" t="str">
        <f>Head1</f>
        <v>2009/10</v>
      </c>
      <c r="I2" s="500" t="str">
        <f>Head2</f>
        <v>Current Year 2010/11</v>
      </c>
      <c r="J2" s="2810" t="str">
        <f>Head3</f>
        <v>2011/12 Medium Term Revenue &amp; Expenditure Framework</v>
      </c>
      <c r="K2" s="2810"/>
      <c r="L2" s="2811"/>
    </row>
    <row r="3" spans="1:12" ht="11.25" customHeight="1">
      <c r="A3" s="501" t="s">
        <v>681</v>
      </c>
      <c r="B3" s="502"/>
      <c r="C3" s="503"/>
      <c r="D3" s="503"/>
      <c r="E3" s="503"/>
      <c r="F3" s="444"/>
      <c r="G3" s="413"/>
      <c r="H3" s="504"/>
      <c r="I3" s="505"/>
      <c r="J3" s="445"/>
      <c r="K3" s="413"/>
      <c r="L3" s="443"/>
    </row>
    <row r="4" spans="1:12" ht="11.25" customHeight="1">
      <c r="A4" s="285" t="s">
        <v>1189</v>
      </c>
      <c r="B4" s="1974"/>
      <c r="C4" s="1975"/>
      <c r="D4" s="1975"/>
      <c r="E4" s="1975">
        <f>[5]SA9!$F$4</f>
        <v>16375000</v>
      </c>
      <c r="F4" s="1975">
        <f>[5]SA9!$G$4</f>
        <v>16912000</v>
      </c>
      <c r="G4" s="1976">
        <f>[5]SA9!$H$4</f>
        <v>16417000</v>
      </c>
      <c r="H4" s="1977">
        <f>[5]SA9!$I$4</f>
        <v>16375000</v>
      </c>
      <c r="I4" s="1978">
        <f>[5]SA9!$J$4</f>
        <v>16375000</v>
      </c>
      <c r="J4" s="1979">
        <v>16153000</v>
      </c>
      <c r="K4" s="1976"/>
      <c r="L4" s="1980"/>
    </row>
    <row r="5" spans="1:12" ht="11.25" customHeight="1">
      <c r="A5" s="507" t="s">
        <v>1188</v>
      </c>
      <c r="B5" s="1974"/>
      <c r="C5" s="1975"/>
      <c r="D5" s="1975"/>
      <c r="E5" s="1975"/>
      <c r="F5" s="1981"/>
      <c r="G5" s="1982"/>
      <c r="H5" s="1983">
        <f>[5]SA9!$I$5</f>
        <v>1890000</v>
      </c>
      <c r="I5" s="1984">
        <f>[5]SA9!$J$5</f>
        <v>1890000</v>
      </c>
      <c r="J5" s="1985">
        <v>1789000</v>
      </c>
      <c r="K5" s="1982"/>
      <c r="L5" s="1986"/>
    </row>
    <row r="6" spans="1:12" ht="11.25" customHeight="1">
      <c r="A6" s="507" t="s">
        <v>2206</v>
      </c>
      <c r="B6" s="1974"/>
      <c r="C6" s="1975"/>
      <c r="D6" s="1975"/>
      <c r="E6" s="1975"/>
      <c r="F6" s="1981"/>
      <c r="G6" s="1982"/>
      <c r="H6" s="1983">
        <f>[5]SA9!$I$6</f>
        <v>1778000</v>
      </c>
      <c r="I6" s="1984">
        <f>[5]SA9!$J$6</f>
        <v>1778000</v>
      </c>
      <c r="J6" s="1985">
        <v>7916000</v>
      </c>
      <c r="K6" s="1982"/>
      <c r="L6" s="1986"/>
    </row>
    <row r="7" spans="1:12" ht="11.25" customHeight="1">
      <c r="A7" s="507" t="s">
        <v>2207</v>
      </c>
      <c r="B7" s="1974"/>
      <c r="C7" s="1975"/>
      <c r="D7" s="1975"/>
      <c r="E7" s="1975"/>
      <c r="F7" s="1981"/>
      <c r="G7" s="1982"/>
      <c r="H7" s="1983">
        <f>[5]SA9!$I$7</f>
        <v>2619000</v>
      </c>
      <c r="I7" s="1984">
        <f>[5]SA9!$J$7</f>
        <v>2619000</v>
      </c>
      <c r="J7" s="1985">
        <v>8460000</v>
      </c>
      <c r="K7" s="1982"/>
      <c r="L7" s="1986"/>
    </row>
    <row r="8" spans="1:12" ht="11.25" customHeight="1">
      <c r="A8" s="507" t="s">
        <v>129</v>
      </c>
      <c r="B8" s="1974"/>
      <c r="C8" s="1975"/>
      <c r="D8" s="1975"/>
      <c r="E8" s="1975"/>
      <c r="F8" s="1981"/>
      <c r="G8" s="1982"/>
      <c r="H8" s="1983">
        <f>[5]SA9!$I$8</f>
        <v>2983000</v>
      </c>
      <c r="I8" s="1984">
        <f>[5]SA9!$J$8</f>
        <v>2983000</v>
      </c>
      <c r="J8" s="1985">
        <v>2708000</v>
      </c>
      <c r="K8" s="1982"/>
      <c r="L8" s="1986"/>
    </row>
    <row r="9" spans="1:12" ht="11.25" customHeight="1">
      <c r="A9" s="1112" t="s">
        <v>1190</v>
      </c>
      <c r="B9" s="1987"/>
      <c r="C9" s="1988"/>
      <c r="D9" s="1988"/>
      <c r="E9" s="1988"/>
      <c r="F9" s="1989"/>
      <c r="G9" s="1990"/>
      <c r="H9" s="1991">
        <f>[5]SA9!$I$9</f>
        <v>2061000</v>
      </c>
      <c r="I9" s="1992">
        <f>[5]SA9!$J$9</f>
        <v>2061000</v>
      </c>
      <c r="J9" s="1993">
        <v>2111000</v>
      </c>
      <c r="K9" s="1990"/>
      <c r="L9" s="1994"/>
    </row>
    <row r="10" spans="1:12" ht="5.0999999999999996" customHeight="1">
      <c r="A10" s="507"/>
      <c r="B10" s="511"/>
      <c r="C10" s="509"/>
      <c r="D10" s="509"/>
      <c r="E10" s="509"/>
      <c r="F10" s="425"/>
      <c r="G10" s="415"/>
      <c r="H10" s="512"/>
      <c r="I10" s="417"/>
      <c r="J10" s="513"/>
      <c r="K10" s="415"/>
      <c r="L10" s="424"/>
    </row>
    <row r="11" spans="1:12" ht="11.25" customHeight="1">
      <c r="A11" s="510" t="s">
        <v>542</v>
      </c>
      <c r="B11" s="511"/>
      <c r="C11" s="509"/>
      <c r="D11" s="509"/>
      <c r="E11" s="509"/>
      <c r="F11" s="425"/>
      <c r="G11" s="415"/>
      <c r="H11" s="512"/>
      <c r="I11" s="417"/>
      <c r="J11" s="513"/>
      <c r="K11" s="415"/>
      <c r="L11" s="424"/>
    </row>
    <row r="12" spans="1:12" ht="11.25" customHeight="1">
      <c r="A12" s="1995" t="s">
        <v>1191</v>
      </c>
      <c r="B12" s="1974"/>
      <c r="C12" s="1996"/>
      <c r="D12" s="1997"/>
      <c r="E12" s="1997"/>
      <c r="F12" s="1920"/>
      <c r="G12" s="1918"/>
      <c r="H12" s="1998"/>
      <c r="I12" s="1999"/>
      <c r="J12" s="1921"/>
      <c r="K12" s="1918"/>
      <c r="L12" s="1919"/>
    </row>
    <row r="13" spans="1:12" ht="11.25" customHeight="1">
      <c r="A13" s="1995" t="s">
        <v>1192</v>
      </c>
      <c r="B13" s="1974"/>
      <c r="C13" s="1996"/>
      <c r="D13" s="1997"/>
      <c r="E13" s="1997"/>
      <c r="F13" s="1920"/>
      <c r="G13" s="1918"/>
      <c r="H13" s="1998">
        <f>[5]SA9!$I$13</f>
        <v>710</v>
      </c>
      <c r="I13" s="1999">
        <f>[5]SA9!$J$13</f>
        <v>710</v>
      </c>
      <c r="J13" s="1921"/>
      <c r="K13" s="1918"/>
      <c r="L13" s="1919"/>
    </row>
    <row r="14" spans="1:12" ht="11.25" customHeight="1">
      <c r="A14" s="2000" t="s">
        <v>1193</v>
      </c>
      <c r="B14" s="1987"/>
      <c r="C14" s="2001"/>
      <c r="D14" s="2002"/>
      <c r="E14" s="2002"/>
      <c r="F14" s="2003"/>
      <c r="G14" s="2004"/>
      <c r="H14" s="2005">
        <f>[5]SA9!$I$14</f>
        <v>405</v>
      </c>
      <c r="I14" s="2006">
        <f>[5]SA9!$J$14</f>
        <v>405</v>
      </c>
      <c r="J14" s="2007"/>
      <c r="K14" s="2004"/>
      <c r="L14" s="2008"/>
    </row>
    <row r="15" spans="1:12" ht="5.0999999999999996" customHeight="1">
      <c r="A15" s="507"/>
      <c r="B15" s="506"/>
      <c r="C15" s="514"/>
      <c r="D15" s="514"/>
      <c r="E15" s="514"/>
      <c r="F15" s="433"/>
      <c r="G15" s="431"/>
      <c r="H15" s="515"/>
      <c r="I15" s="516"/>
      <c r="J15" s="434"/>
      <c r="K15" s="431"/>
      <c r="L15" s="432"/>
    </row>
    <row r="16" spans="1:12" ht="11.25" customHeight="1">
      <c r="A16" s="510" t="s">
        <v>386</v>
      </c>
      <c r="B16" s="506"/>
      <c r="C16" s="514"/>
      <c r="D16" s="514"/>
      <c r="E16" s="514"/>
      <c r="F16" s="433"/>
      <c r="G16" s="431"/>
      <c r="H16" s="515"/>
      <c r="I16" s="516"/>
      <c r="J16" s="434"/>
      <c r="K16" s="431"/>
      <c r="L16" s="432"/>
    </row>
    <row r="17" spans="1:12" ht="11.25" customHeight="1">
      <c r="A17" s="1995" t="s">
        <v>1166</v>
      </c>
      <c r="B17" s="1974"/>
      <c r="C17" s="2009"/>
      <c r="D17" s="2009"/>
      <c r="E17" s="2009"/>
      <c r="F17" s="2010"/>
      <c r="G17" s="2011"/>
      <c r="H17" s="2012"/>
      <c r="I17" s="2013"/>
      <c r="J17" s="2014"/>
      <c r="K17" s="2011"/>
      <c r="L17" s="2015"/>
    </row>
    <row r="18" spans="1:12" ht="5.0999999999999996" customHeight="1">
      <c r="A18" s="1113"/>
      <c r="B18" s="1114"/>
      <c r="C18" s="1115"/>
      <c r="D18" s="1115"/>
      <c r="E18" s="1115"/>
      <c r="F18" s="1116"/>
      <c r="G18" s="1117"/>
      <c r="H18" s="1118"/>
      <c r="I18" s="1119"/>
      <c r="J18" s="1120"/>
      <c r="K18" s="1117"/>
      <c r="L18" s="1121"/>
    </row>
    <row r="19" spans="1:12" ht="11.25" customHeight="1">
      <c r="A19" s="510" t="s">
        <v>1938</v>
      </c>
      <c r="B19" s="506"/>
      <c r="C19" s="514"/>
      <c r="D19" s="514"/>
      <c r="E19" s="514"/>
      <c r="F19" s="433"/>
      <c r="G19" s="431"/>
      <c r="H19" s="515"/>
      <c r="I19" s="516"/>
      <c r="J19" s="434"/>
      <c r="K19" s="431"/>
      <c r="L19" s="432"/>
    </row>
    <row r="20" spans="1:12" ht="11.25" customHeight="1">
      <c r="A20" s="1995" t="s">
        <v>1939</v>
      </c>
      <c r="B20" s="1974"/>
      <c r="C20" s="2009"/>
      <c r="D20" s="2009"/>
      <c r="E20" s="2009">
        <f>[5]SA9!$F$20</f>
        <v>16375000</v>
      </c>
      <c r="F20" s="1805">
        <f>[5]SA9!$G$20</f>
        <v>16912000</v>
      </c>
      <c r="G20" s="1805">
        <f>[5]SA9!$I$20</f>
        <v>16375000</v>
      </c>
      <c r="H20" s="1806">
        <f>[5]SA9!$I$20</f>
        <v>16375000</v>
      </c>
      <c r="I20" s="1877">
        <f>[5]SA9!$J$20</f>
        <v>16375000</v>
      </c>
      <c r="J20" s="1809">
        <v>16153000</v>
      </c>
      <c r="K20" s="1805"/>
      <c r="L20" s="1808"/>
    </row>
    <row r="21" spans="1:12" ht="11.25" customHeight="1">
      <c r="A21" s="1995" t="s">
        <v>1940</v>
      </c>
      <c r="B21" s="1974"/>
      <c r="C21" s="2009"/>
      <c r="D21" s="2009"/>
      <c r="E21" s="2009">
        <f>[5]SA9!$F$21</f>
        <v>1693000</v>
      </c>
      <c r="F21" s="1805">
        <f>[5]SA9!$G$21</f>
        <v>1560000</v>
      </c>
      <c r="G21" s="1805">
        <f>[5]SA9!$I$21</f>
        <v>1929000</v>
      </c>
      <c r="H21" s="1806">
        <f>[5]SA9!$I$21</f>
        <v>1929000</v>
      </c>
      <c r="I21" s="1877">
        <f>[5]SA9!$J$21</f>
        <v>1929000</v>
      </c>
      <c r="J21" s="1809">
        <v>4165000</v>
      </c>
      <c r="K21" s="1805"/>
      <c r="L21" s="1808"/>
    </row>
    <row r="22" spans="1:12" ht="11.25" customHeight="1">
      <c r="A22" s="1995" t="s">
        <v>1941</v>
      </c>
      <c r="B22" s="1974"/>
      <c r="C22" s="2009"/>
      <c r="D22" s="2009"/>
      <c r="E22" s="2009">
        <f>[5]SA9!$F$22</f>
        <v>4155000</v>
      </c>
      <c r="F22" s="1805">
        <f>[5]SA9!$G$22</f>
        <v>4219000</v>
      </c>
      <c r="G22" s="1805">
        <f>[5]SA9!$I$22</f>
        <v>4662000</v>
      </c>
      <c r="H22" s="1806">
        <f>[5]SA9!$I$22</f>
        <v>4662000</v>
      </c>
      <c r="I22" s="1877">
        <f>[5]SA9!$J$22</f>
        <v>4662000</v>
      </c>
      <c r="J22" s="1809">
        <v>1601000</v>
      </c>
      <c r="K22" s="1805"/>
      <c r="L22" s="1808"/>
    </row>
    <row r="23" spans="1:12" ht="11.25" customHeight="1">
      <c r="A23" s="1995" t="s">
        <v>1942</v>
      </c>
      <c r="B23" s="1974"/>
      <c r="C23" s="2009"/>
      <c r="D23" s="2009"/>
      <c r="E23" s="2009">
        <f>[5]SA9!$F$23</f>
        <v>1693000</v>
      </c>
      <c r="F23" s="1805">
        <f>[5]SA9!$G$23</f>
        <v>1560000</v>
      </c>
      <c r="G23" s="1805">
        <f>[5]SA9!$I$23</f>
        <v>1929000</v>
      </c>
      <c r="H23" s="1806">
        <f>[5]SA9!$I$23</f>
        <v>1929000</v>
      </c>
      <c r="I23" s="1877">
        <f>[5]SA9!$J$23</f>
        <v>1929000</v>
      </c>
      <c r="J23" s="1809">
        <v>1601000</v>
      </c>
      <c r="K23" s="1805"/>
      <c r="L23" s="1808"/>
    </row>
    <row r="24" spans="1:12" ht="11.25" customHeight="1">
      <c r="A24" s="2000" t="s">
        <v>308</v>
      </c>
      <c r="B24" s="1987"/>
      <c r="C24" s="2016"/>
      <c r="D24" s="2016"/>
      <c r="E24" s="2016">
        <f>[5]SA9!$F$24</f>
        <v>188.94</v>
      </c>
      <c r="F24" s="2017">
        <f>[5]SA9!$G$24</f>
        <v>210.6</v>
      </c>
      <c r="G24" s="2017">
        <f>[5]SA9!$I$24</f>
        <v>194.75</v>
      </c>
      <c r="H24" s="2018">
        <f>[5]SA9!$I$24</f>
        <v>194.75</v>
      </c>
      <c r="I24" s="2019">
        <f>[5]SA9!$J$24</f>
        <v>194.75</v>
      </c>
      <c r="J24" s="2020" t="s">
        <v>3089</v>
      </c>
      <c r="K24" s="2017"/>
      <c r="L24" s="2021"/>
    </row>
    <row r="25" spans="1:12" ht="5.0999999999999996" customHeight="1">
      <c r="A25" s="510"/>
      <c r="B25" s="506"/>
      <c r="C25" s="514"/>
      <c r="D25" s="514"/>
      <c r="E25" s="514"/>
      <c r="F25" s="433"/>
      <c r="G25" s="431"/>
      <c r="H25" s="515"/>
      <c r="I25" s="516"/>
      <c r="J25" s="434"/>
      <c r="K25" s="431"/>
      <c r="L25" s="432"/>
    </row>
    <row r="26" spans="1:12" ht="11.25" customHeight="1">
      <c r="A26" s="510" t="s">
        <v>1379</v>
      </c>
      <c r="B26" s="506"/>
      <c r="C26" s="514"/>
      <c r="D26" s="514"/>
      <c r="E26" s="514"/>
      <c r="F26" s="433"/>
      <c r="G26" s="431"/>
      <c r="H26" s="515"/>
      <c r="I26" s="516"/>
      <c r="J26" s="434"/>
      <c r="K26" s="431"/>
      <c r="L26" s="432"/>
    </row>
    <row r="27" spans="1:12" ht="11.25" customHeight="1">
      <c r="A27" s="1995" t="s">
        <v>983</v>
      </c>
      <c r="B27" s="1974"/>
      <c r="C27" s="2009"/>
      <c r="D27" s="2009"/>
      <c r="E27" s="2009">
        <f>[5]SA9!$F$27</f>
        <v>2862</v>
      </c>
      <c r="F27" s="2022">
        <f>[5]SA9!$G$27</f>
        <v>2862</v>
      </c>
      <c r="G27" s="2023">
        <f>[5]SA9!$H$27</f>
        <v>2862</v>
      </c>
      <c r="H27" s="2024">
        <f>[5]SA9!$I$27</f>
        <v>2862</v>
      </c>
      <c r="I27" s="2025">
        <f>[5]SA9!$J$27</f>
        <v>2862</v>
      </c>
      <c r="J27" s="2026">
        <v>3539</v>
      </c>
      <c r="K27" s="2023"/>
      <c r="L27" s="2027"/>
    </row>
    <row r="28" spans="1:12" ht="11.25" customHeight="1">
      <c r="A28" s="1995" t="s">
        <v>984</v>
      </c>
      <c r="B28" s="1974"/>
      <c r="C28" s="2028"/>
      <c r="D28" s="2016"/>
      <c r="E28" s="2016">
        <f>[5]SA9!$F$28</f>
        <v>308</v>
      </c>
      <c r="F28" s="2029">
        <f>[5]SA9!$G$28</f>
        <v>308</v>
      </c>
      <c r="G28" s="2030">
        <f>[5]SA9!$H$28</f>
        <v>308</v>
      </c>
      <c r="H28" s="2031">
        <f>[5]SA9!$I$28</f>
        <v>308</v>
      </c>
      <c r="I28" s="2032">
        <f>[5]SA9!$J$28</f>
        <v>308</v>
      </c>
      <c r="J28" s="2033">
        <v>292</v>
      </c>
      <c r="K28" s="2030"/>
      <c r="L28" s="2034"/>
    </row>
    <row r="29" spans="1:12" ht="11.25" customHeight="1">
      <c r="A29" s="2035" t="s">
        <v>1430</v>
      </c>
      <c r="B29" s="1974"/>
      <c r="C29" s="2009"/>
      <c r="D29" s="2009"/>
      <c r="E29" s="2009">
        <f>[5]SA9!$F$29</f>
        <v>3170</v>
      </c>
      <c r="F29" s="2022">
        <f>[5]SA9!$G$29</f>
        <v>3170</v>
      </c>
      <c r="G29" s="2023">
        <f>[5]SA9!$H$29</f>
        <v>3170</v>
      </c>
      <c r="H29" s="2024">
        <f>[5]SA9!$I$29</f>
        <v>3170</v>
      </c>
      <c r="I29" s="2025">
        <f>[5]SA9!$J$29</f>
        <v>3170</v>
      </c>
      <c r="J29" s="2026">
        <v>3539</v>
      </c>
      <c r="K29" s="2023"/>
      <c r="L29" s="2027"/>
    </row>
    <row r="30" spans="1:12" ht="11.25" customHeight="1">
      <c r="A30" s="1995" t="s">
        <v>1380</v>
      </c>
      <c r="B30" s="1974"/>
      <c r="C30" s="2009"/>
      <c r="D30" s="2009"/>
      <c r="E30" s="2009"/>
      <c r="F30" s="2022"/>
      <c r="G30" s="2023"/>
      <c r="H30" s="2024"/>
      <c r="I30" s="2025"/>
      <c r="J30" s="2026">
        <v>334</v>
      </c>
      <c r="K30" s="2023"/>
      <c r="L30" s="2027"/>
    </row>
    <row r="31" spans="1:12" ht="11.25" customHeight="1">
      <c r="A31" s="1995" t="s">
        <v>541</v>
      </c>
      <c r="B31" s="1974"/>
      <c r="C31" s="2009"/>
      <c r="D31" s="2009"/>
      <c r="E31" s="2009"/>
      <c r="F31" s="2022"/>
      <c r="G31" s="2023"/>
      <c r="H31" s="2024"/>
      <c r="I31" s="2025"/>
      <c r="J31" s="2026"/>
      <c r="K31" s="2023"/>
      <c r="L31" s="2027"/>
    </row>
    <row r="32" spans="1:12" ht="11.25" customHeight="1">
      <c r="A32" s="1995" t="s">
        <v>1381</v>
      </c>
      <c r="B32" s="1974"/>
      <c r="C32" s="2036"/>
      <c r="D32" s="2009"/>
      <c r="E32" s="2009"/>
      <c r="F32" s="2022"/>
      <c r="G32" s="2023"/>
      <c r="H32" s="2024"/>
      <c r="I32" s="2025"/>
      <c r="J32" s="2026"/>
      <c r="K32" s="2023"/>
      <c r="L32" s="2027"/>
    </row>
    <row r="33" spans="1:12" ht="11.25" customHeight="1">
      <c r="A33" s="2037" t="s">
        <v>309</v>
      </c>
      <c r="B33" s="1987"/>
      <c r="C33" s="2038"/>
      <c r="D33" s="2039"/>
      <c r="E33" s="2039"/>
      <c r="F33" s="2040"/>
      <c r="G33" s="2041"/>
      <c r="H33" s="2042"/>
      <c r="I33" s="2043"/>
      <c r="J33" s="2044">
        <f>SUM(J27+J28+J30)</f>
        <v>4165</v>
      </c>
      <c r="K33" s="2041"/>
      <c r="L33" s="2045"/>
    </row>
    <row r="34" spans="1:12" ht="5.0999999999999996" customHeight="1">
      <c r="A34" s="507"/>
      <c r="B34" s="506"/>
      <c r="C34" s="509"/>
      <c r="D34" s="509"/>
      <c r="E34" s="509"/>
      <c r="F34" s="428"/>
      <c r="G34" s="517"/>
      <c r="H34" s="518"/>
      <c r="I34" s="427"/>
      <c r="J34" s="519"/>
      <c r="K34" s="517"/>
      <c r="L34" s="426"/>
    </row>
    <row r="35" spans="1:12" ht="11.25" customHeight="1">
      <c r="A35" s="520" t="s">
        <v>1382</v>
      </c>
      <c r="B35" s="506"/>
      <c r="C35" s="521"/>
      <c r="D35" s="521"/>
      <c r="E35" s="521"/>
      <c r="F35" s="475"/>
      <c r="G35" s="473"/>
      <c r="H35" s="522"/>
      <c r="I35" s="523"/>
      <c r="J35" s="483"/>
      <c r="K35" s="480"/>
      <c r="L35" s="481"/>
    </row>
    <row r="36" spans="1:12" ht="11.25" customHeight="1">
      <c r="A36" s="507" t="s">
        <v>1113</v>
      </c>
      <c r="B36" s="506"/>
      <c r="C36" s="524"/>
      <c r="D36" s="1640"/>
      <c r="E36" s="1640"/>
      <c r="F36" s="1971"/>
      <c r="G36" s="1969"/>
      <c r="H36" s="2046"/>
      <c r="I36" s="2047"/>
      <c r="J36" s="1972"/>
      <c r="K36" s="1969"/>
      <c r="L36" s="1970"/>
    </row>
    <row r="37" spans="1:12" ht="11.25" customHeight="1">
      <c r="A37" s="507" t="s">
        <v>1194</v>
      </c>
      <c r="B37" s="506"/>
      <c r="C37" s="524"/>
      <c r="D37" s="1640"/>
      <c r="E37" s="1640"/>
      <c r="F37" s="1971"/>
      <c r="G37" s="1969"/>
      <c r="H37" s="2046"/>
      <c r="I37" s="2047"/>
      <c r="J37" s="1972"/>
      <c r="K37" s="1969"/>
      <c r="L37" s="1970"/>
    </row>
    <row r="38" spans="1:12" ht="11.25" customHeight="1">
      <c r="A38" s="507" t="s">
        <v>1195</v>
      </c>
      <c r="B38" s="506"/>
      <c r="C38" s="525"/>
      <c r="D38" s="1641"/>
      <c r="E38" s="1641"/>
      <c r="F38" s="1971"/>
      <c r="G38" s="1969"/>
      <c r="H38" s="2046"/>
      <c r="I38" s="2047"/>
      <c r="J38" s="1972"/>
      <c r="K38" s="1969"/>
      <c r="L38" s="1970"/>
    </row>
    <row r="39" spans="1:12" ht="11.25" customHeight="1">
      <c r="A39" s="507" t="s">
        <v>1196</v>
      </c>
      <c r="B39" s="506"/>
      <c r="C39" s="524"/>
      <c r="D39" s="1640"/>
      <c r="E39" s="1640"/>
      <c r="F39" s="2048"/>
      <c r="G39" s="2049"/>
      <c r="H39" s="2050"/>
      <c r="I39" s="2047"/>
      <c r="J39" s="2051"/>
      <c r="K39" s="2049"/>
      <c r="L39" s="2052"/>
    </row>
    <row r="40" spans="1:12" ht="11.25" customHeight="1">
      <c r="A40" s="507" t="s">
        <v>761</v>
      </c>
      <c r="B40" s="506"/>
      <c r="C40" s="524"/>
      <c r="D40" s="1640"/>
      <c r="E40" s="1640"/>
      <c r="F40" s="2048"/>
      <c r="G40" s="2049"/>
      <c r="H40" s="2050"/>
      <c r="I40" s="2047"/>
      <c r="J40" s="2051"/>
      <c r="K40" s="2049"/>
      <c r="L40" s="2052"/>
    </row>
    <row r="41" spans="1:12" ht="11.25" customHeight="1">
      <c r="A41" s="507" t="s">
        <v>762</v>
      </c>
      <c r="B41" s="506"/>
      <c r="C41" s="524"/>
      <c r="D41" s="1640"/>
      <c r="E41" s="1640"/>
      <c r="F41" s="2048"/>
      <c r="G41" s="2049"/>
      <c r="H41" s="2050"/>
      <c r="I41" s="2047"/>
      <c r="J41" s="2051"/>
      <c r="K41" s="2049"/>
      <c r="L41" s="2052"/>
    </row>
    <row r="42" spans="1:12" ht="5.0999999999999996" customHeight="1">
      <c r="A42" s="508"/>
      <c r="B42" s="506"/>
      <c r="C42" s="509"/>
      <c r="D42" s="509"/>
      <c r="E42" s="509"/>
      <c r="F42" s="429"/>
      <c r="G42" s="526"/>
      <c r="H42" s="522"/>
      <c r="I42" s="430"/>
      <c r="J42" s="476"/>
      <c r="K42" s="473"/>
      <c r="L42" s="474"/>
    </row>
    <row r="43" spans="1:12" ht="11.25" customHeight="1">
      <c r="A43" s="520" t="s">
        <v>1383</v>
      </c>
      <c r="B43" s="506"/>
      <c r="C43" s="509"/>
      <c r="D43" s="509"/>
      <c r="E43" s="509"/>
      <c r="F43" s="429"/>
      <c r="G43" s="526"/>
      <c r="H43" s="522"/>
      <c r="I43" s="430"/>
      <c r="J43" s="476"/>
      <c r="K43" s="473"/>
      <c r="L43" s="474"/>
    </row>
    <row r="44" spans="1:12" ht="11.25" customHeight="1">
      <c r="A44" s="507" t="s">
        <v>1197</v>
      </c>
      <c r="B44" s="506"/>
      <c r="C44" s="524"/>
      <c r="D44" s="1640"/>
      <c r="E44" s="1640"/>
      <c r="F44" s="1971">
        <f>[5]SA9!$G$44</f>
        <v>3.6700000000000003E-2</v>
      </c>
      <c r="G44" s="1969">
        <f>[5]SA9!$H$44</f>
        <v>3.6069999999999998E-2</v>
      </c>
      <c r="H44" s="2046">
        <f>[5]SA9!$I$44</f>
        <v>1.1010000000000001E-2</v>
      </c>
      <c r="I44" s="2047">
        <f>[5]SA9!$J$44</f>
        <v>1.167E-2</v>
      </c>
      <c r="J44" s="1972"/>
      <c r="K44" s="1969"/>
      <c r="L44" s="1970"/>
    </row>
    <row r="45" spans="1:12" ht="11.25" customHeight="1">
      <c r="A45" s="507" t="s">
        <v>1198</v>
      </c>
      <c r="B45" s="506"/>
      <c r="C45" s="524"/>
      <c r="D45" s="1640"/>
      <c r="E45" s="1640"/>
      <c r="F45" s="1971"/>
      <c r="G45" s="1969"/>
      <c r="H45" s="2046"/>
      <c r="I45" s="2047"/>
      <c r="J45" s="1972"/>
      <c r="K45" s="1969"/>
      <c r="L45" s="1970"/>
    </row>
    <row r="46" spans="1:12" ht="11.25" customHeight="1">
      <c r="A46" s="507" t="s">
        <v>608</v>
      </c>
      <c r="B46" s="506"/>
      <c r="C46" s="524"/>
      <c r="D46" s="1640"/>
      <c r="E46" s="1640"/>
      <c r="F46" s="1971"/>
      <c r="G46" s="1969"/>
      <c r="H46" s="2046"/>
      <c r="I46" s="2047"/>
      <c r="J46" s="1972"/>
      <c r="K46" s="1969"/>
      <c r="L46" s="1970"/>
    </row>
    <row r="47" spans="1:12" ht="11.25" customHeight="1">
      <c r="A47" s="507" t="s">
        <v>609</v>
      </c>
      <c r="B47" s="506"/>
      <c r="C47" s="524"/>
      <c r="D47" s="1640"/>
      <c r="E47" s="1640"/>
      <c r="F47" s="1971"/>
      <c r="G47" s="1969"/>
      <c r="H47" s="2046"/>
      <c r="I47" s="2047"/>
      <c r="J47" s="1972"/>
      <c r="K47" s="1969"/>
      <c r="L47" s="1970"/>
    </row>
    <row r="48" spans="1:12" ht="11.25" customHeight="1">
      <c r="A48" s="507" t="s">
        <v>610</v>
      </c>
      <c r="B48" s="506"/>
      <c r="C48" s="524"/>
      <c r="D48" s="1640"/>
      <c r="E48" s="1640"/>
      <c r="F48" s="1971"/>
      <c r="G48" s="1969"/>
      <c r="H48" s="2046"/>
      <c r="I48" s="2047"/>
      <c r="J48" s="1972"/>
      <c r="K48" s="1969"/>
      <c r="L48" s="1970"/>
    </row>
    <row r="49" spans="1:12" ht="5.0999999999999996" customHeight="1">
      <c r="A49" s="527"/>
      <c r="B49" s="435"/>
      <c r="C49" s="528"/>
      <c r="D49" s="528"/>
      <c r="E49" s="528"/>
      <c r="F49" s="529"/>
      <c r="G49" s="530"/>
      <c r="H49" s="531"/>
      <c r="I49" s="532"/>
      <c r="J49" s="533"/>
      <c r="K49" s="534"/>
      <c r="L49" s="535"/>
    </row>
    <row r="50" spans="1:12" s="693" customFormat="1" ht="11.25" hidden="1" customHeight="1">
      <c r="A50" s="1161" t="str">
        <f>head27a</f>
        <v>References</v>
      </c>
    </row>
    <row r="51" spans="1:12" s="693" customFormat="1" ht="11.25" hidden="1" customHeight="1">
      <c r="A51" s="436" t="s">
        <v>1761</v>
      </c>
    </row>
    <row r="52" spans="1:12" s="693" customFormat="1" ht="11.25" hidden="1" customHeight="1">
      <c r="A52" s="436" t="s">
        <v>648</v>
      </c>
    </row>
    <row r="53" spans="1:12" s="693" customFormat="1" ht="11.25" hidden="1" customHeight="1">
      <c r="A53" s="436" t="s">
        <v>649</v>
      </c>
    </row>
    <row r="54" spans="1:12" s="693" customFormat="1" ht="11.25" hidden="1" customHeight="1">
      <c r="A54" s="436" t="s">
        <v>650</v>
      </c>
    </row>
    <row r="55" spans="1:12" s="693" customFormat="1" ht="11.25" hidden="1" customHeight="1">
      <c r="A55" s="436" t="s">
        <v>651</v>
      </c>
    </row>
    <row r="56" spans="1:12" ht="11.25" hidden="1" customHeight="1">
      <c r="A56" s="1343" t="s">
        <v>1709</v>
      </c>
    </row>
    <row r="57" spans="1:12" ht="11.25" hidden="1" customHeight="1">
      <c r="A57" s="1343" t="s">
        <v>1710</v>
      </c>
      <c r="F57" s="290"/>
      <c r="G57" s="290"/>
      <c r="H57" s="290"/>
      <c r="I57" s="290"/>
      <c r="J57" s="290"/>
      <c r="K57" s="290"/>
      <c r="L57" s="290"/>
    </row>
    <row r="58" spans="1:12" ht="11.25" hidden="1" customHeight="1">
      <c r="F58" s="290"/>
      <c r="G58" s="290"/>
      <c r="H58" s="290"/>
      <c r="I58" s="290"/>
      <c r="J58" s="290"/>
      <c r="K58" s="290"/>
      <c r="L58" s="290"/>
    </row>
    <row r="59" spans="1:12" ht="11.25" hidden="1" customHeight="1">
      <c r="F59" s="290"/>
      <c r="G59" s="290"/>
      <c r="H59" s="290"/>
      <c r="I59" s="290"/>
      <c r="J59" s="290"/>
      <c r="K59" s="290"/>
      <c r="L59" s="290"/>
    </row>
    <row r="60" spans="1:12" ht="11.25" hidden="1" customHeight="1">
      <c r="F60" s="290"/>
      <c r="G60" s="290"/>
      <c r="H60" s="290"/>
      <c r="I60" s="290"/>
      <c r="J60" s="290"/>
      <c r="K60" s="290"/>
      <c r="L60" s="290"/>
    </row>
    <row r="61" spans="1:12" ht="11.25" hidden="1" customHeight="1">
      <c r="F61" s="290"/>
      <c r="G61" s="290"/>
      <c r="H61" s="290"/>
      <c r="I61" s="290"/>
      <c r="J61" s="290"/>
      <c r="K61" s="290"/>
      <c r="L61" s="290"/>
    </row>
    <row r="62" spans="1:12" ht="11.25" hidden="1" customHeight="1"/>
    <row r="63" spans="1:12" ht="11.25" hidden="1" customHeight="1">
      <c r="F63" s="494"/>
      <c r="G63" s="494"/>
      <c r="H63" s="494"/>
      <c r="I63" s="494"/>
      <c r="J63" s="494"/>
      <c r="K63" s="494"/>
      <c r="L63" s="494"/>
    </row>
    <row r="64" spans="1:12" ht="11.25" hidden="1" customHeight="1">
      <c r="F64" s="494"/>
      <c r="G64" s="494"/>
      <c r="H64" s="494"/>
      <c r="I64" s="291"/>
      <c r="J64" s="291"/>
      <c r="K64" s="291"/>
      <c r="L64" s="291"/>
    </row>
    <row r="65" ht="11.25" hidden="1" customHeight="1"/>
    <row r="66" ht="11.25" hidden="1" customHeight="1"/>
    <row r="67" ht="11.25" hidden="1" customHeight="1"/>
    <row r="68" ht="11.25" hidden="1" customHeight="1"/>
    <row r="69" ht="11.25" hidden="1" customHeight="1"/>
    <row r="70" ht="11.25" hidden="1" customHeight="1"/>
  </sheetData>
  <sheetProtection sheet="1" objects="1" scenarios="1"/>
  <mergeCells count="1">
    <mergeCell ref="J2:L2"/>
  </mergeCells>
  <phoneticPr fontId="3" type="noConversion"/>
  <printOptions horizontalCentered="1"/>
  <pageMargins left="0.37" right="0" top="0.6" bottom="0.4" header="0.51181102362204722" footer="0.39370078740157483"/>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enableFormatConditionsCalculation="0">
    <tabColor indexed="42"/>
    <pageSetUpPr fitToPage="1"/>
  </sheetPr>
  <dimension ref="A1:R136"/>
  <sheetViews>
    <sheetView showGridLines="0" workbookViewId="0">
      <pane xSplit="3" ySplit="3" topLeftCell="D4" activePane="bottomRight" state="frozen"/>
      <selection activeCell="O37" sqref="A1:IV65536"/>
      <selection pane="topRight" activeCell="O37" sqref="A1:IV65536"/>
      <selection pane="bottomLeft" activeCell="O37" sqref="A1:IV65536"/>
      <selection pane="bottomRight" activeCell="Q10" sqref="Q10"/>
    </sheetView>
  </sheetViews>
  <sheetFormatPr defaultRowHeight="12.75"/>
  <cols>
    <col min="1" max="1" width="38.7109375" style="150" customWidth="1"/>
    <col min="2" max="2" width="6.7109375" style="233" bestFit="1" customWidth="1"/>
    <col min="3" max="3" width="3" style="233" hidden="1" customWidth="1"/>
    <col min="4" max="5" width="9" style="233" customWidth="1"/>
    <col min="6" max="9" width="9" style="150" customWidth="1"/>
    <col min="10" max="10" width="8.7109375" style="150" hidden="1" customWidth="1"/>
    <col min="11" max="13" width="9" style="150" customWidth="1"/>
    <col min="14" max="14" width="9.5703125" style="150" customWidth="1"/>
    <col min="15" max="15" width="10.140625" style="150" bestFit="1" customWidth="1"/>
    <col min="16" max="16" width="9.5703125" style="150" bestFit="1" customWidth="1"/>
    <col min="17" max="16384" width="9.140625" style="150"/>
  </cols>
  <sheetData>
    <row r="1" spans="1:15" s="168" customFormat="1" ht="13.5" customHeight="1">
      <c r="A1" s="148" t="str">
        <f>muni &amp;" " &amp; TableA10</f>
        <v>NC071 Ubuntu Supporting Table SA10 Funding measurement</v>
      </c>
      <c r="B1" s="148"/>
      <c r="C1" s="148"/>
      <c r="D1" s="148"/>
      <c r="E1" s="148"/>
      <c r="F1" s="148"/>
      <c r="G1" s="148"/>
      <c r="H1" s="148"/>
      <c r="I1" s="148"/>
      <c r="J1" s="148"/>
      <c r="K1" s="148"/>
      <c r="L1" s="148"/>
      <c r="M1" s="148"/>
    </row>
    <row r="2" spans="1:15" ht="28.5" customHeight="1">
      <c r="A2" s="2807" t="str">
        <f>desc</f>
        <v>Description</v>
      </c>
      <c r="B2" s="2812" t="s">
        <v>450</v>
      </c>
      <c r="C2" s="2814" t="str">
        <f>head27</f>
        <v>Ref</v>
      </c>
      <c r="D2" s="151" t="str">
        <f>head1b</f>
        <v>2007/8</v>
      </c>
      <c r="E2" s="151" t="str">
        <f>head1A</f>
        <v>2008/9</v>
      </c>
      <c r="F2" s="147" t="str">
        <f>Head1</f>
        <v>2009/10</v>
      </c>
      <c r="G2" s="2772" t="str">
        <f>Head2</f>
        <v>Current Year 2010/11</v>
      </c>
      <c r="H2" s="2773"/>
      <c r="I2" s="2773"/>
      <c r="J2" s="2773"/>
      <c r="K2" s="2769" t="str">
        <f>Head3</f>
        <v>2011/12 Medium Term Revenue &amp; Expenditure Framework</v>
      </c>
      <c r="L2" s="2770"/>
      <c r="M2" s="2771"/>
    </row>
    <row r="3" spans="1:15" ht="25.5">
      <c r="A3" s="2808"/>
      <c r="B3" s="2813"/>
      <c r="C3" s="2815"/>
      <c r="D3" s="365" t="str">
        <f>Head5</f>
        <v>Audited Outcome</v>
      </c>
      <c r="E3" s="365" t="str">
        <f>Head5</f>
        <v>Audited Outcome</v>
      </c>
      <c r="F3" s="366" t="str">
        <f>Head5</f>
        <v>Audited Outcome</v>
      </c>
      <c r="G3" s="283" t="str">
        <f>Head6</f>
        <v>Original Budget</v>
      </c>
      <c r="H3" s="913" t="str">
        <f>Head7</f>
        <v>Adjusted Budget</v>
      </c>
      <c r="I3" s="913" t="str">
        <f>Head8</f>
        <v>Full Year Forecast</v>
      </c>
      <c r="J3" s="914" t="str">
        <f>Head5b</f>
        <v>Pre-audit outcome</v>
      </c>
      <c r="K3" s="283" t="str">
        <f>Head9</f>
        <v>Budget Year 2011/12</v>
      </c>
      <c r="L3" s="365" t="str">
        <f>Head10</f>
        <v>Budget Year +1 2012/13</v>
      </c>
      <c r="M3" s="366" t="str">
        <f>Head11</f>
        <v>Budget Year +2 2013/14</v>
      </c>
    </row>
    <row r="4" spans="1:15">
      <c r="A4" s="170" t="s">
        <v>1841</v>
      </c>
      <c r="B4" s="536"/>
      <c r="C4" s="537"/>
      <c r="D4" s="969"/>
      <c r="E4" s="538"/>
      <c r="F4" s="539"/>
      <c r="G4" s="187"/>
      <c r="H4" s="538"/>
      <c r="I4" s="539"/>
      <c r="J4" s="232"/>
      <c r="K4" s="540"/>
      <c r="L4" s="538"/>
      <c r="M4" s="539"/>
    </row>
    <row r="5" spans="1:15">
      <c r="A5" s="179" t="str">
        <f>LEFT('A7-CFlow'!A38,37)&amp;" - R'000"</f>
        <v>Cash/cash equivalents at the year end - R'000</v>
      </c>
      <c r="B5" s="541" t="s">
        <v>1424</v>
      </c>
      <c r="C5" s="278">
        <v>1</v>
      </c>
      <c r="D5" s="193">
        <f>'A7-CFlow'!C38</f>
        <v>-473070</v>
      </c>
      <c r="E5" s="542">
        <f>'A7-CFlow'!D38</f>
        <v>-7223644</v>
      </c>
      <c r="F5" s="543">
        <f>'A7-CFlow'!E38</f>
        <v>13906081</v>
      </c>
      <c r="G5" s="237">
        <f>'A7-CFlow'!F38</f>
        <v>93667103.882499993</v>
      </c>
      <c r="H5" s="542">
        <f>'A7-CFlow'!G38</f>
        <v>14663416</v>
      </c>
      <c r="I5" s="543">
        <f>'A7-CFlow'!H38</f>
        <v>14663416</v>
      </c>
      <c r="J5" s="196">
        <f>'A7-CFlow'!I38</f>
        <v>13906081</v>
      </c>
      <c r="K5" s="197">
        <f>'A7-CFlow'!J38</f>
        <v>16389584.138080001</v>
      </c>
      <c r="L5" s="542">
        <f>'A7-CFlow'!K38</f>
        <v>-3067692.0005109832</v>
      </c>
      <c r="M5" s="543">
        <f>'A7-CFlow'!L38</f>
        <v>-22055685.190984897</v>
      </c>
    </row>
    <row r="6" spans="1:15">
      <c r="A6" s="179" t="s">
        <v>1494</v>
      </c>
      <c r="B6" s="541" t="s">
        <v>1424</v>
      </c>
      <c r="C6" s="278">
        <v>2</v>
      </c>
      <c r="D6" s="193">
        <f>'A8-ResRecon'!C8-'A8-ResRecon'!C18</f>
        <v>0</v>
      </c>
      <c r="E6" s="542">
        <f>'A8-ResRecon'!D8-'A8-ResRecon'!D18</f>
        <v>7001454</v>
      </c>
      <c r="F6" s="543">
        <f>'A8-ResRecon'!E8-'A8-ResRecon'!E18</f>
        <v>2519835</v>
      </c>
      <c r="G6" s="237">
        <f>'A8-ResRecon'!F8-'A8-ResRecon'!F18</f>
        <v>1360400</v>
      </c>
      <c r="H6" s="542">
        <f>'A8-ResRecon'!G8-'A8-ResRecon'!G18</f>
        <v>8018286.2000000048</v>
      </c>
      <c r="I6" s="543">
        <f>'A8-ResRecon'!H8-'A8-ResRecon'!H18</f>
        <v>9072380.5500000045</v>
      </c>
      <c r="J6" s="196">
        <f>'A8-ResRecon'!I8-'A8-ResRecon'!I18</f>
        <v>-1344218.8130000001</v>
      </c>
      <c r="K6" s="197">
        <f>'A8-ResRecon'!J8-'A8-ResRecon'!J18</f>
        <v>10512360.671220005</v>
      </c>
      <c r="L6" s="542">
        <f>'A8-ResRecon'!K8-'A8-ResRecon'!K18</f>
        <v>11929101.4976632</v>
      </c>
      <c r="M6" s="543">
        <f>'A8-ResRecon'!L8-'A8-ResRecon'!L18</f>
        <v>20131470.891584583</v>
      </c>
    </row>
    <row r="7" spans="1:15">
      <c r="A7" s="179" t="s">
        <v>289</v>
      </c>
      <c r="B7" s="541" t="s">
        <v>1424</v>
      </c>
      <c r="C7" s="278">
        <v>3</v>
      </c>
      <c r="D7" s="970">
        <f>IF(ISERROR('SA8'!C34),0,('SA8'!C34))</f>
        <v>-0.27884050766358542</v>
      </c>
      <c r="E7" s="545">
        <f>IF(ISERROR('SA8'!D34),0,('SA8'!D34))</f>
        <v>-4.0282752181251569</v>
      </c>
      <c r="F7" s="546">
        <f>IF(ISERROR('SA8'!E34),0,('SA8'!E34))</f>
        <v>5.9544280354923131</v>
      </c>
      <c r="G7" s="547">
        <f>IF(ISERROR('SA8'!F34),0,('SA8'!F34))</f>
        <v>27.553960013605316</v>
      </c>
      <c r="H7" s="545">
        <f>IF(ISERROR('SA8'!G34),0,('SA8'!G34))</f>
        <v>5.1700855412803115</v>
      </c>
      <c r="I7" s="546">
        <f>IF(ISERROR('SA8'!H34),0,('SA8'!H34))</f>
        <v>5.6755636334149733</v>
      </c>
      <c r="J7" s="544">
        <f>IF(ISERROR('SA8'!I34),0,('SA8'!I34))</f>
        <v>5.3824325523413457</v>
      </c>
      <c r="K7" s="548">
        <f>IF(ISERROR('SA8'!J34),0,('SA8'!J34))</f>
        <v>4.2373987511305469</v>
      </c>
      <c r="L7" s="545">
        <f>IF(ISERROR('SA8'!K34),0,('SA8'!K34))</f>
        <v>-0.9021580302851161</v>
      </c>
      <c r="M7" s="546">
        <f>IF(ISERROR('SA8'!L34),0,('SA8'!L34))</f>
        <v>-5.8804623806389982</v>
      </c>
    </row>
    <row r="8" spans="1:15">
      <c r="A8" s="179" t="s">
        <v>1356</v>
      </c>
      <c r="B8" s="541" t="s">
        <v>1425</v>
      </c>
      <c r="C8" s="278">
        <v>4</v>
      </c>
      <c r="D8" s="193">
        <f>'A4-FinPerf RE'!C42+'SA3'!C60</f>
        <v>1233944.2399999984</v>
      </c>
      <c r="E8" s="542">
        <f>'A4-FinPerf RE'!D42+'SA3'!D60</f>
        <v>19406328.434558831</v>
      </c>
      <c r="F8" s="543">
        <f>'A4-FinPerf RE'!E42+'SA3'!E60</f>
        <v>11121676.835485183</v>
      </c>
      <c r="G8" s="237">
        <f>'A4-FinPerf RE'!F42+'SA3'!F60</f>
        <v>-60</v>
      </c>
      <c r="H8" s="542">
        <f>'A4-FinPerf RE'!G42+'SA3'!G60</f>
        <v>1916035</v>
      </c>
      <c r="I8" s="543">
        <f>'A4-FinPerf RE'!H42+'SA3'!H60</f>
        <v>90237</v>
      </c>
      <c r="J8" s="196">
        <f>'A4-FinPerf RE'!I42+'SA3'!I60</f>
        <v>90237</v>
      </c>
      <c r="K8" s="197">
        <f>'A4-FinPerf RE'!J42+'SA3'!J60</f>
        <v>-7179631.3575254828</v>
      </c>
      <c r="L8" s="542">
        <f>'A4-FinPerf RE'!K42+'SA3'!K60</f>
        <v>5887458.7685180008</v>
      </c>
      <c r="M8" s="543">
        <f>'A4-FinPerf RE'!L42+'SA3'!L60</f>
        <v>5931942.8055805266</v>
      </c>
    </row>
    <row r="9" spans="1:15">
      <c r="A9" s="304" t="s">
        <v>1694</v>
      </c>
      <c r="B9" s="549" t="s">
        <v>1422</v>
      </c>
      <c r="C9" s="279">
        <v>5</v>
      </c>
      <c r="D9" s="606" t="s">
        <v>1541</v>
      </c>
      <c r="E9" s="550">
        <f>IF(ISERROR(E36-E61),0,(E36-E61))</f>
        <v>0.13149571820639877</v>
      </c>
      <c r="F9" s="551">
        <f t="shared" ref="F9:M9" si="0">IF(ISERROR(F36-F61),0,(F36-F61))</f>
        <v>0.14152644698149924</v>
      </c>
      <c r="G9" s="554">
        <f t="shared" si="0"/>
        <v>-1.4949767642887746E-2</v>
      </c>
      <c r="H9" s="553">
        <f t="shared" si="0"/>
        <v>-6.7056603842958806E-2</v>
      </c>
      <c r="I9" s="551">
        <f t="shared" si="0"/>
        <v>-0.40359752113987363</v>
      </c>
      <c r="J9" s="554">
        <f t="shared" si="0"/>
        <v>-0.06</v>
      </c>
      <c r="K9" s="555">
        <f>IF(ISERROR(K36-K61),0,(K36-K61))</f>
        <v>-0.24138813608868032</v>
      </c>
      <c r="L9" s="553">
        <f t="shared" si="0"/>
        <v>0.22985969865785855</v>
      </c>
      <c r="M9" s="551">
        <f t="shared" si="0"/>
        <v>1.971016504230555E-2</v>
      </c>
    </row>
    <row r="10" spans="1:15">
      <c r="A10" s="304" t="s">
        <v>102</v>
      </c>
      <c r="B10" s="549" t="s">
        <v>1422</v>
      </c>
      <c r="C10" s="279">
        <v>6</v>
      </c>
      <c r="D10" s="607">
        <f>IF(ISERROR(IF(D55&lt;0,(D53+D55)/D54,(D53/(D54+D55)))),0,(IF(D55&lt;0,(D53+D55)/D54,(D53/(D54+D55)))))</f>
        <v>0.70877035645598174</v>
      </c>
      <c r="E10" s="553">
        <f t="shared" ref="E10:M10" si="1">IF(ISERROR(IF(E55&lt;0,(E53+E55)/E54,(E53/(E54+E55)))),0,(IF(E55&lt;0,(E53+E55)/E54,(E53/(E54+E55)))))</f>
        <v>0.83738208022036575</v>
      </c>
      <c r="F10" s="551">
        <f t="shared" si="1"/>
        <v>1.8527046747342819</v>
      </c>
      <c r="G10" s="554">
        <f t="shared" si="1"/>
        <v>1.2084409570708912</v>
      </c>
      <c r="H10" s="553">
        <f t="shared" si="1"/>
        <v>0.97336783181999831</v>
      </c>
      <c r="I10" s="551">
        <f t="shared" si="1"/>
        <v>0</v>
      </c>
      <c r="J10" s="1091">
        <f t="shared" si="1"/>
        <v>-0.38022605172821689</v>
      </c>
      <c r="K10" s="555">
        <f t="shared" si="1"/>
        <v>0.47807779962998398</v>
      </c>
      <c r="L10" s="553">
        <f t="shared" si="1"/>
        <v>0.47413830616522923</v>
      </c>
      <c r="M10" s="551">
        <f t="shared" si="1"/>
        <v>0.57705661138631958</v>
      </c>
    </row>
    <row r="11" spans="1:15">
      <c r="A11" s="304" t="s">
        <v>176</v>
      </c>
      <c r="B11" s="549" t="s">
        <v>1422</v>
      </c>
      <c r="C11" s="279">
        <v>7</v>
      </c>
      <c r="D11" s="607">
        <f>IF(ISERROR('A4-FinPerf RE'!C27/'SA10'!D43),0,('A4-FinPerf RE'!C27/'SA10'!D43))</f>
        <v>0.15655380867614047</v>
      </c>
      <c r="E11" s="553">
        <f>IF(ISERROR('A4-FinPerf RE'!D27/'SA10'!E43),0,('A4-FinPerf RE'!D27/'SA10'!E43))</f>
        <v>-1.5403698242789971E-2</v>
      </c>
      <c r="F11" s="551">
        <f>IF(ISERROR('A4-FinPerf RE'!E27/'SA10'!F43),0,('A4-FinPerf RE'!E27/'SA10'!F43))</f>
        <v>0.19013199104812056</v>
      </c>
      <c r="G11" s="554">
        <f>IF(ISERROR('A4-FinPerf RE'!F27/'SA10'!G43),0,('A4-FinPerf RE'!F27/'SA10'!G43))</f>
        <v>0</v>
      </c>
      <c r="H11" s="553">
        <f>IF(ISERROR('A4-FinPerf RE'!G27/'SA10'!H43),0,('A4-FinPerf RE'!G27/'SA10'!H43))</f>
        <v>2.8798629185250783E-2</v>
      </c>
      <c r="I11" s="551">
        <f>IF(ISERROR('A4-FinPerf RE'!H27/'SA10'!I43),0,('A4-FinPerf RE'!H27/'SA10'!I43))</f>
        <v>4.8879706279101719E-3</v>
      </c>
      <c r="J11" s="554">
        <f>IF(ISERROR('A4-FinPerf RE'!I27/'SA10'!J43),0,('A4-FinPerf RE'!I27/'SA10'!J43))</f>
        <v>4.8879706279101719E-3</v>
      </c>
      <c r="K11" s="555">
        <f>IF(ISERROR('A4-FinPerf RE'!J27/'SA10'!K43),0,('A4-FinPerf RE'!J27/'SA10'!K43))</f>
        <v>0.55710926892828072</v>
      </c>
      <c r="L11" s="553">
        <f>IF(ISERROR('A4-FinPerf RE'!K27/'SA10'!L43),0,('A4-FinPerf RE'!K27/'SA10'!L43))</f>
        <v>2.7117763248209109E-2</v>
      </c>
      <c r="M11" s="551">
        <f>IF(ISERROR('A4-FinPerf RE'!L27/'SA10'!M43),0,('A4-FinPerf RE'!L27/'SA10'!M43))</f>
        <v>2.5150366004403974E-2</v>
      </c>
    </row>
    <row r="12" spans="1:15">
      <c r="A12" s="304" t="s">
        <v>1934</v>
      </c>
      <c r="B12" s="549" t="s">
        <v>1423</v>
      </c>
      <c r="C12" s="279">
        <v>8</v>
      </c>
      <c r="D12" s="607">
        <f>IF(ISERROR(-'A7-CFlow'!C24/'A5-Capex'!C40),0,(-'A7-CFlow'!C24/'A5-Capex'!C40))</f>
        <v>0</v>
      </c>
      <c r="E12" s="607">
        <f>IF(ISERROR(-'A7-CFlow'!D24/'A5-Capex'!D40),0,(-'A7-CFlow'!D24/'A5-Capex'!D40))</f>
        <v>0</v>
      </c>
      <c r="F12" s="551">
        <f>IF(ISERROR(-'A7-CFlow'!E24/'A5-Capex'!E40),0,(-'A7-CFlow'!E24/'A5-Capex'!E40))</f>
        <v>0</v>
      </c>
      <c r="G12" s="1535">
        <f>IF(ISERROR(-'A7-CFlow'!F24/'A5-Capex'!F40),0,(-'A7-CFlow'!F24/'A5-Capex'!F40))</f>
        <v>0</v>
      </c>
      <c r="H12" s="607">
        <f>IF(ISERROR(-'A7-CFlow'!G24/'A5-Capex'!G40),0,(-'A7-CFlow'!G24/'A5-Capex'!G40))</f>
        <v>0</v>
      </c>
      <c r="I12" s="551">
        <f>IF(ISERROR(-'A7-CFlow'!H24/'A5-Capex'!H40),0,(-'A7-CFlow'!H24/'A5-Capex'!H40))</f>
        <v>0</v>
      </c>
      <c r="J12" s="568">
        <f>IF(ISERROR(-'A7-CFlow'!I24/'A5-Capex'!I40),0,(-'A7-CFlow'!I24/'A5-Capex'!I40))</f>
        <v>0</v>
      </c>
      <c r="K12" s="1535">
        <f>IF(ISERROR(-'A7-CFlow'!J24/'A5-Capex'!J40),0,(-'A7-CFlow'!J24/'A5-Capex'!J40))</f>
        <v>1</v>
      </c>
      <c r="L12" s="607">
        <f>IF(ISERROR(-'A7-CFlow'!K24/'A5-Capex'!K40),0,(-'A7-CFlow'!K24/'A5-Capex'!K40))</f>
        <v>0</v>
      </c>
      <c r="M12" s="551">
        <f>IF(ISERROR(-'A7-CFlow'!L24/'A5-Capex'!L40),0,(-'A7-CFlow'!L24/'A5-Capex'!L40))</f>
        <v>0</v>
      </c>
    </row>
    <row r="13" spans="1:15">
      <c r="A13" s="304" t="s">
        <v>13</v>
      </c>
      <c r="B13" s="549" t="s">
        <v>452</v>
      </c>
      <c r="C13" s="279">
        <v>9</v>
      </c>
      <c r="D13" s="607">
        <f>IF(ISERROR('A7-CFlow'!C30/'SA10'!D52),0,('A7-CFlow'!C30/'SA10'!D52))</f>
        <v>0</v>
      </c>
      <c r="E13" s="553">
        <f>IF(ISERROR('A7-CFlow'!D30/'SA10'!E52),0,('A7-CFlow'!D30/'SA10'!E52))</f>
        <v>0</v>
      </c>
      <c r="F13" s="551">
        <f>IF(ISERROR('A7-CFlow'!E30/'SA10'!F52),0,('A7-CFlow'!E30/'SA10'!F52))</f>
        <v>0</v>
      </c>
      <c r="G13" s="554">
        <f>IF(ISERROR('A7-CFlow'!F30/'SA10'!G52),0,('A7-CFlow'!F30/'SA10'!G52))</f>
        <v>0</v>
      </c>
      <c r="H13" s="553">
        <f>IF(ISERROR('A7-CFlow'!G30/'SA10'!H52),0,('A7-CFlow'!G30/'SA10'!H52))</f>
        <v>0</v>
      </c>
      <c r="I13" s="551">
        <f>IF(ISERROR('A7-CFlow'!H30/'SA10'!I52),0,('A7-CFlow'!H30/'SA10'!I52))</f>
        <v>0</v>
      </c>
      <c r="J13" s="554">
        <f>IF(ISERROR('A7-CFlow'!I30/'SA10'!J52),0,('A7-CFlow'!I30/'SA10'!J52))</f>
        <v>0</v>
      </c>
      <c r="K13" s="555">
        <f>IF(ISERROR('A7-CFlow'!J30/'SA10'!K52),0,('A7-CFlow'!J30/'SA10'!K52))</f>
        <v>0</v>
      </c>
      <c r="L13" s="553">
        <f>IF(ISERROR('A7-CFlow'!K30/'SA10'!L52),0,('A7-CFlow'!K30/'SA10'!L52))</f>
        <v>0</v>
      </c>
      <c r="M13" s="551">
        <f>IF(ISERROR('A7-CFlow'!L30/'SA10'!M52),0,('A7-CFlow'!L30/'SA10'!M52))</f>
        <v>0</v>
      </c>
    </row>
    <row r="14" spans="1:15" ht="14.25" customHeight="1">
      <c r="A14" s="304" t="s">
        <v>750</v>
      </c>
      <c r="B14" s="549" t="s">
        <v>451</v>
      </c>
      <c r="C14" s="279">
        <v>10</v>
      </c>
      <c r="D14" s="1690"/>
      <c r="E14" s="1691"/>
      <c r="F14" s="1692"/>
      <c r="G14" s="1693"/>
      <c r="H14" s="1691"/>
      <c r="I14" s="1692"/>
      <c r="J14" s="1693"/>
      <c r="K14" s="555">
        <f>IF(ISERROR(K56/K68),0,(K56/K68))</f>
        <v>0</v>
      </c>
      <c r="L14" s="553">
        <f>IF(ISERROR(L56/L68),0,(L56/L68))</f>
        <v>0</v>
      </c>
      <c r="M14" s="551">
        <f>IF(ISERROR(M56/M68),0,(M56/M68))</f>
        <v>0</v>
      </c>
      <c r="N14" s="1498"/>
      <c r="O14" s="1498"/>
    </row>
    <row r="15" spans="1:15">
      <c r="A15" s="304" t="s">
        <v>751</v>
      </c>
      <c r="B15" s="549" t="s">
        <v>451</v>
      </c>
      <c r="C15" s="279">
        <v>11</v>
      </c>
      <c r="D15" s="606" t="s">
        <v>1541</v>
      </c>
      <c r="E15" s="553">
        <f>IF(ISERROR(ROUND((SUM('A6-FinPos'!D8:D10)-SUM('A6-FinPos'!C8:C10))/SUM('A6-FinPos'!C8:C10),3)),0,(ROUND((SUM('A6-FinPos'!D8:D10)-SUM('A6-FinPos'!C8:C10))/SUM('A6-FinPos'!C8:C10),3)))</f>
        <v>0</v>
      </c>
      <c r="F15" s="551">
        <f>IF(ISERROR(ROUND((SUM('A6-FinPos'!E8:E10)-SUM('A6-FinPos'!D8:D10))/SUM('A6-FinPos'!D8:D10),3)),0,(ROUND((SUM('A6-FinPos'!E8:E10)-SUM('A6-FinPos'!D8:D10))/SUM('A6-FinPos'!D8:D10),3)))</f>
        <v>-0.21</v>
      </c>
      <c r="G15" s="554">
        <f>IF(ISERROR(ROUND((SUM('A6-FinPos'!F8:F10)-SUM('A6-FinPos'!E8:E10))/SUM('A6-FinPos'!E8:E10),3)),0,(ROUND((SUM('A6-FinPos'!F8:F10)-SUM('A6-FinPos'!E8:E10))/SUM('A6-FinPos'!E8:E10),3)))</f>
        <v>1.292</v>
      </c>
      <c r="H15" s="553">
        <f>IF(ISERROR(ROUND((SUM('A6-FinPos'!G8:G10)-SUM('A6-FinPos'!F8:F10))/SUM('A6-FinPos'!F8:F10),3)),0,(ROUND((SUM('A6-FinPos'!G8:G10)-SUM('A6-FinPos'!F8:F10))/SUM('A6-FinPos'!F8:F10),3)))</f>
        <v>-0.503</v>
      </c>
      <c r="I15" s="551">
        <f>IF(ISERROR(ROUND((SUM('A6-FinPos'!H8:H10)-SUM('A6-FinPos'!G8:G10))/SUM('A6-FinPos'!G8:G10),3)),0,(ROUND((SUM('A6-FinPos'!H8:H10)-SUM('A6-FinPos'!G8:G10))/SUM('A6-FinPos'!G8:G10),3)))</f>
        <v>0</v>
      </c>
      <c r="J15" s="554">
        <f>IF(ISERROR(ROUND((SUM('A6-FinPos'!I8:I10)-SUM('A6-FinPos'!H8:H10))/SUM('A6-FinPos'!H8:H10),3)),0,(ROUND((SUM('A6-FinPos'!I8:I10)-SUM('A6-FinPos'!H8:H10))/SUM('A6-FinPos'!H8:H10),3)))</f>
        <v>-1</v>
      </c>
      <c r="K15" s="555">
        <f>IF(ISERROR(ROUND((SUM('A6-FinPos'!J8:J10)-SUM('A6-FinPos'!G8:G10))/SUM('A6-FinPos'!G8:G10),3)),0,(ROUND((SUM('A6-FinPos'!J8:J10)-SUM('A6-FinPos'!G8:G10))/SUM('A6-FinPos'!G8:G10),3)))</f>
        <v>0.49199999999999999</v>
      </c>
      <c r="L15" s="553">
        <f>IF(ISERROR(ROUND((SUM('A6-FinPos'!K8:K10)-SUM('A6-FinPos'!J8:J10))/SUM('A6-FinPos'!J8:J10),3)),0,(ROUND((SUM('A6-FinPos'!K8:K10)-SUM('A6-FinPos'!J8:J10))/SUM('A6-FinPos'!J8:J10),3)))</f>
        <v>-0.27800000000000002</v>
      </c>
      <c r="M15" s="551">
        <f>IF(ISERROR(ROUND((SUM('A6-FinPos'!L8:L10)-SUM('A6-FinPos'!K8:K10))/SUM('A6-FinPos'!K8:K10),3)),0,(ROUND((SUM('A6-FinPos'!L8:L10)-SUM('A6-FinPos'!K8:K10))/SUM('A6-FinPos'!K8:K10),3)))</f>
        <v>-9.7000000000000003E-2</v>
      </c>
    </row>
    <row r="16" spans="1:15">
      <c r="A16" s="179" t="s">
        <v>1539</v>
      </c>
      <c r="B16" s="541" t="s">
        <v>451</v>
      </c>
      <c r="C16" s="278">
        <v>12</v>
      </c>
      <c r="D16" s="606" t="s">
        <v>1541</v>
      </c>
      <c r="E16" s="553">
        <f>IF(ISERROR(ROUND(('A6-FinPos'!D15-'A6-FinPos'!C15)/'A6-FinPos'!C15,3)),0,(ROUND(('A6-FinPos'!D15-'A6-FinPos'!C15)/'A6-FinPos'!C15,3)))</f>
        <v>0</v>
      </c>
      <c r="F16" s="551">
        <f>IF(ISERROR(ROUND(('A6-FinPos'!E15-'A6-FinPos'!D15)/'A6-FinPos'!D15,3)),0,(ROUND(('A6-FinPos'!E15-'A6-FinPos'!D15)/'A6-FinPos'!D15,3)))</f>
        <v>2.5979999999999999</v>
      </c>
      <c r="G16" s="554">
        <f>IF(ISERROR(ROUND(('A6-FinPos'!F15-'A6-FinPos'!E15)/'A6-FinPos'!E15,3)),0,(ROUND(('A6-FinPos'!F15-'A6-FinPos'!E15)/'A6-FinPos'!E15,3)))</f>
        <v>-1</v>
      </c>
      <c r="H16" s="553">
        <f>IF(ISERROR(ROUND(('A6-FinPos'!G15-'A6-FinPos'!F15)/'A6-FinPos'!F15,3)),0,(ROUND(('A6-FinPos'!G15-'A6-FinPos'!F15)/'A6-FinPos'!F15,3)))</f>
        <v>0</v>
      </c>
      <c r="I16" s="551">
        <f>IF(ISERROR(ROUND(('A6-FinPos'!H15-'A6-FinPos'!G15)/'A6-FinPos'!G15,3)),0,(ROUND(('A6-FinPos'!H15-'A6-FinPos'!G15)/'A6-FinPos'!G15,3)))</f>
        <v>0</v>
      </c>
      <c r="J16" s="554">
        <f>IF(ISERROR(ROUND(('A6-FinPos'!I15-'A6-FinPos'!H15)/'A6-FinPos'!H15,3)),0,(ROUND(('A6-FinPos'!I15-'A6-FinPos'!H15)/'A6-FinPos'!H15,3)))</f>
        <v>0</v>
      </c>
      <c r="K16" s="555">
        <f>IF(ISERROR(ROUND(('A6-FinPos'!J15-'A6-FinPos'!G15)/'A6-FinPos'!G15,3)),0,(ROUND(('A6-FinPos'!J15-'A6-FinPos'!G15)/'A6-FinPos'!G15,3)))</f>
        <v>0</v>
      </c>
      <c r="L16" s="553">
        <f>IF(ISERROR(ROUND(('A6-FinPos'!K15-'A6-FinPos'!J15)/'A6-FinPos'!J15,3)),0,(ROUND(('A6-FinPos'!K15-'A6-FinPos'!J15)/'A6-FinPos'!J15,3)))</f>
        <v>-1</v>
      </c>
      <c r="M16" s="551">
        <f>IF(ISERROR(ROUND(('A6-FinPos'!L15-'A6-FinPos'!K15)/'A6-FinPos'!K15,3)),0,(ROUND(('A6-FinPos'!L15-'A6-FinPos'!K15)/'A6-FinPos'!K15,3)))</f>
        <v>0</v>
      </c>
    </row>
    <row r="17" spans="1:13">
      <c r="A17" s="179" t="s">
        <v>101</v>
      </c>
      <c r="B17" s="556" t="s">
        <v>1426</v>
      </c>
      <c r="C17" s="278">
        <v>13</v>
      </c>
      <c r="D17" s="607">
        <f>IF(ISERROR('A9-Asset'!C69/'A6-FinPos'!C19),0,('A9-Asset'!C69/'A6-FinPos'!C19))</f>
        <v>0</v>
      </c>
      <c r="E17" s="607">
        <f>IF(ISERROR('A9-Asset'!D69/'A6-FinPos'!D19),0,('A9-Asset'!D69/'A6-FinPos'!D19))</f>
        <v>0</v>
      </c>
      <c r="F17" s="551">
        <f>IF(ISERROR('A9-Asset'!E69/'A6-FinPos'!E19),0,('A9-Asset'!E69/'A6-FinPos'!E19))</f>
        <v>0</v>
      </c>
      <c r="G17" s="1535">
        <f>IF(ISERROR('A9-Asset'!F69/'A6-FinPos'!F19),0,('A9-Asset'!F69/'A6-FinPos'!F19))</f>
        <v>0</v>
      </c>
      <c r="H17" s="607">
        <f>IF(ISERROR('A9-Asset'!G69/'A6-FinPos'!G19),0,('A9-Asset'!G69/'A6-FinPos'!G19))</f>
        <v>0</v>
      </c>
      <c r="I17" s="551">
        <f>IF(ISERROR('A9-Asset'!H69/'A6-FinPos'!H19),0,('A9-Asset'!H69/'A6-FinPos'!H19))</f>
        <v>0</v>
      </c>
      <c r="J17" s="569">
        <f>IF(ISERROR('A9-Asset'!I69/'A6-FinPos'!I19),0,('A9-Asset'!I69/'A6-FinPos'!I19))</f>
        <v>0</v>
      </c>
      <c r="K17" s="1535">
        <f>IF(ISERROR('A9-Asset'!J69/'A6-FinPos'!J19),0,('A9-Asset'!J69/'A6-FinPos'!J19))</f>
        <v>0</v>
      </c>
      <c r="L17" s="607">
        <f>IF(ISERROR('A9-Asset'!K69/'A6-FinPos'!K19),0,('A9-Asset'!K69/'A6-FinPos'!K19))</f>
        <v>0</v>
      </c>
      <c r="M17" s="551">
        <f>IF(ISERROR('A9-Asset'!L69/'A6-FinPos'!L19),0,('A9-Asset'!L69/'A6-FinPos'!L19))</f>
        <v>0</v>
      </c>
    </row>
    <row r="18" spans="1:13">
      <c r="A18" s="179" t="s">
        <v>1051</v>
      </c>
      <c r="B18" s="556" t="str">
        <f>B17</f>
        <v>20(1)(vi)</v>
      </c>
      <c r="C18" s="278">
        <v>14</v>
      </c>
      <c r="D18" s="607">
        <f t="shared" ref="D18:L18" si="2">IF(ISERROR(D58/D57),0,(D58/D57))</f>
        <v>0</v>
      </c>
      <c r="E18" s="553">
        <f t="shared" si="2"/>
        <v>0</v>
      </c>
      <c r="F18" s="551">
        <f t="shared" si="2"/>
        <v>0</v>
      </c>
      <c r="G18" s="552">
        <f t="shared" si="2"/>
        <v>0</v>
      </c>
      <c r="H18" s="553">
        <f t="shared" si="2"/>
        <v>0</v>
      </c>
      <c r="I18" s="551">
        <f t="shared" si="2"/>
        <v>0</v>
      </c>
      <c r="J18" s="554">
        <f t="shared" si="2"/>
        <v>0</v>
      </c>
      <c r="K18" s="555">
        <f t="shared" si="2"/>
        <v>0</v>
      </c>
      <c r="L18" s="553">
        <f t="shared" si="2"/>
        <v>0</v>
      </c>
      <c r="M18" s="551">
        <f>IF(ISERROR(M58/M57),0,((M58/M57)))</f>
        <v>0</v>
      </c>
    </row>
    <row r="19" spans="1:13" ht="6" customHeight="1">
      <c r="A19" s="310"/>
      <c r="B19" s="557"/>
      <c r="C19" s="558"/>
      <c r="D19" s="558"/>
      <c r="E19" s="557"/>
      <c r="F19" s="560"/>
      <c r="G19" s="561"/>
      <c r="H19" s="557"/>
      <c r="I19" s="560"/>
      <c r="J19" s="559"/>
      <c r="K19" s="562"/>
      <c r="L19" s="557"/>
      <c r="M19" s="560"/>
    </row>
    <row r="20" spans="1:13" hidden="1">
      <c r="A20" s="971" t="str">
        <f>head27a</f>
        <v>References</v>
      </c>
      <c r="B20" s="563"/>
      <c r="C20" s="563"/>
      <c r="D20" s="563"/>
      <c r="E20" s="563"/>
      <c r="F20" s="563"/>
      <c r="G20" s="563"/>
      <c r="H20" s="563"/>
      <c r="I20" s="563"/>
      <c r="J20" s="563"/>
      <c r="K20" s="563"/>
      <c r="L20" s="563"/>
      <c r="M20" s="563"/>
    </row>
    <row r="21" spans="1:13" hidden="1">
      <c r="A21" s="225" t="s">
        <v>503</v>
      </c>
      <c r="B21" s="564"/>
      <c r="C21" s="564"/>
      <c r="D21" s="564"/>
      <c r="E21" s="564"/>
      <c r="F21" s="564"/>
      <c r="G21" s="564"/>
      <c r="H21" s="564"/>
      <c r="I21" s="564"/>
      <c r="J21" s="564"/>
      <c r="K21" s="564"/>
      <c r="L21" s="564"/>
      <c r="M21" s="564"/>
    </row>
    <row r="22" spans="1:13" hidden="1">
      <c r="A22" s="272" t="s">
        <v>1495</v>
      </c>
      <c r="B22" s="564"/>
      <c r="C22" s="564"/>
      <c r="D22" s="564"/>
      <c r="E22" s="564"/>
      <c r="F22" s="564"/>
      <c r="G22" s="564"/>
      <c r="H22" s="564"/>
      <c r="I22" s="564"/>
      <c r="J22" s="564"/>
      <c r="K22" s="564"/>
      <c r="L22" s="564"/>
      <c r="M22" s="564"/>
    </row>
    <row r="23" spans="1:13" hidden="1">
      <c r="A23" s="272" t="s">
        <v>716</v>
      </c>
      <c r="B23" s="564"/>
      <c r="C23" s="564"/>
      <c r="D23" s="564"/>
      <c r="E23" s="564"/>
      <c r="F23" s="564"/>
      <c r="G23" s="564"/>
      <c r="H23" s="564"/>
      <c r="I23" s="564"/>
      <c r="J23" s="564"/>
      <c r="K23" s="564"/>
      <c r="L23" s="564"/>
      <c r="M23" s="564"/>
    </row>
    <row r="24" spans="1:13" hidden="1">
      <c r="A24" s="272" t="s">
        <v>717</v>
      </c>
      <c r="B24" s="564"/>
      <c r="C24" s="564"/>
      <c r="D24" s="564"/>
      <c r="E24" s="564"/>
      <c r="F24" s="564"/>
      <c r="G24" s="564"/>
      <c r="H24" s="564"/>
      <c r="I24" s="564"/>
      <c r="J24" s="564"/>
      <c r="K24" s="564"/>
      <c r="L24" s="564"/>
      <c r="M24" s="564"/>
    </row>
    <row r="25" spans="1:13" hidden="1">
      <c r="A25" s="272" t="s">
        <v>837</v>
      </c>
      <c r="B25" s="564"/>
      <c r="C25" s="564"/>
      <c r="D25" s="564"/>
      <c r="E25" s="564"/>
      <c r="F25" s="564"/>
      <c r="G25" s="564"/>
      <c r="H25" s="564"/>
      <c r="I25" s="564"/>
      <c r="J25" s="564"/>
      <c r="K25" s="564"/>
      <c r="L25" s="564"/>
      <c r="M25" s="564"/>
    </row>
    <row r="26" spans="1:13" hidden="1">
      <c r="A26" s="272" t="s">
        <v>1117</v>
      </c>
      <c r="B26" s="564"/>
      <c r="C26" s="564"/>
      <c r="D26" s="564"/>
      <c r="E26" s="564"/>
      <c r="F26" s="564"/>
      <c r="G26" s="564"/>
      <c r="H26" s="564"/>
      <c r="I26" s="564"/>
      <c r="J26" s="564"/>
      <c r="K26" s="564"/>
      <c r="L26" s="564"/>
      <c r="M26" s="564"/>
    </row>
    <row r="27" spans="1:13" hidden="1">
      <c r="A27" s="272" t="s">
        <v>705</v>
      </c>
      <c r="B27" s="564"/>
      <c r="C27" s="564"/>
      <c r="D27" s="564"/>
      <c r="E27" s="564"/>
      <c r="F27" s="564"/>
      <c r="G27" s="564"/>
      <c r="H27" s="564"/>
      <c r="I27" s="564"/>
      <c r="J27" s="564"/>
      <c r="K27" s="564"/>
      <c r="L27" s="564"/>
      <c r="M27" s="564"/>
    </row>
    <row r="28" spans="1:13" hidden="1">
      <c r="A28" s="272" t="s">
        <v>1116</v>
      </c>
      <c r="B28" s="564"/>
      <c r="C28" s="564"/>
      <c r="D28" s="564"/>
      <c r="E28" s="564"/>
      <c r="F28" s="564"/>
      <c r="G28" s="564"/>
      <c r="H28" s="564"/>
      <c r="I28" s="564"/>
      <c r="J28" s="564"/>
      <c r="K28" s="564"/>
      <c r="L28" s="564"/>
      <c r="M28" s="564"/>
    </row>
    <row r="29" spans="1:13" hidden="1">
      <c r="A29" s="272" t="s">
        <v>1289</v>
      </c>
      <c r="B29" s="564"/>
      <c r="C29" s="564"/>
      <c r="D29" s="564"/>
      <c r="E29" s="564"/>
      <c r="F29" s="564"/>
      <c r="G29" s="564"/>
      <c r="H29" s="564"/>
      <c r="I29" s="564"/>
      <c r="J29" s="564"/>
      <c r="K29" s="564"/>
      <c r="L29" s="564"/>
      <c r="M29" s="564"/>
    </row>
    <row r="30" spans="1:13" hidden="1">
      <c r="A30" s="272" t="s">
        <v>359</v>
      </c>
      <c r="B30" s="564"/>
      <c r="C30" s="564"/>
      <c r="D30" s="564"/>
      <c r="E30" s="564"/>
      <c r="F30" s="564"/>
      <c r="G30" s="564"/>
      <c r="H30" s="564"/>
      <c r="I30" s="564"/>
      <c r="J30" s="564"/>
      <c r="K30" s="564"/>
      <c r="L30" s="564"/>
      <c r="M30" s="564"/>
    </row>
    <row r="31" spans="1:13" hidden="1">
      <c r="A31" s="272" t="s">
        <v>1913</v>
      </c>
      <c r="B31" s="564"/>
      <c r="C31" s="564"/>
      <c r="D31" s="564"/>
      <c r="E31" s="564"/>
      <c r="F31" s="564"/>
      <c r="G31" s="564"/>
      <c r="H31" s="564"/>
      <c r="I31" s="564"/>
      <c r="J31" s="564"/>
      <c r="K31" s="564"/>
      <c r="L31" s="564"/>
      <c r="M31" s="564"/>
    </row>
    <row r="32" spans="1:13" hidden="1">
      <c r="A32" s="272" t="s">
        <v>121</v>
      </c>
      <c r="B32" s="564"/>
      <c r="C32" s="564"/>
      <c r="D32" s="564"/>
      <c r="E32" s="564"/>
      <c r="F32" s="564"/>
      <c r="G32" s="564"/>
      <c r="H32" s="564"/>
      <c r="I32" s="564"/>
      <c r="J32" s="564"/>
      <c r="K32" s="564"/>
      <c r="L32" s="564"/>
      <c r="M32" s="564"/>
    </row>
    <row r="33" spans="1:18" hidden="1">
      <c r="A33" s="272" t="s">
        <v>706</v>
      </c>
      <c r="B33" s="564"/>
      <c r="C33" s="564"/>
      <c r="D33" s="564"/>
      <c r="E33" s="564"/>
      <c r="F33" s="564"/>
      <c r="G33" s="564"/>
      <c r="H33" s="564"/>
      <c r="I33" s="564"/>
      <c r="J33" s="564"/>
      <c r="K33" s="564"/>
      <c r="L33" s="564"/>
      <c r="M33" s="564"/>
    </row>
    <row r="34" spans="1:18" hidden="1">
      <c r="A34" s="272" t="s">
        <v>707</v>
      </c>
      <c r="B34" s="564"/>
      <c r="C34" s="564"/>
      <c r="D34" s="564"/>
      <c r="E34" s="564"/>
      <c r="F34" s="564"/>
      <c r="G34" s="564"/>
      <c r="H34" s="564"/>
      <c r="I34" s="564"/>
      <c r="J34" s="564"/>
      <c r="K34" s="564"/>
      <c r="L34" s="564"/>
      <c r="M34" s="564"/>
    </row>
    <row r="35" spans="1:18" hidden="1">
      <c r="A35" s="1679" t="s">
        <v>1293</v>
      </c>
      <c r="B35" s="1680"/>
      <c r="C35" s="1680"/>
      <c r="D35" s="1708"/>
      <c r="E35" s="1709"/>
      <c r="F35" s="1710"/>
      <c r="G35" s="376"/>
      <c r="H35" s="374"/>
      <c r="I35" s="374"/>
      <c r="J35" s="1710"/>
      <c r="K35" s="376"/>
      <c r="L35" s="374"/>
      <c r="M35" s="1710"/>
    </row>
    <row r="36" spans="1:18" hidden="1">
      <c r="A36" s="566" t="s">
        <v>969</v>
      </c>
      <c r="B36" s="567" t="s">
        <v>451</v>
      </c>
      <c r="C36" s="567"/>
      <c r="D36" s="1612"/>
      <c r="E36" s="1711">
        <f t="shared" ref="E36:E42" si="3">IF(ISERROR((E44/D44)-1),0,((E44/D44)-1))</f>
        <v>0.19149571820639877</v>
      </c>
      <c r="F36" s="551">
        <f>IF(ISERROR((F44/E44)-1),0,((F44/E44)-1))</f>
        <v>0.20152644698149924</v>
      </c>
      <c r="G36" s="1713">
        <f>IF(ISERROR((G44/F44)-1),0,((G44/F44)-1))</f>
        <v>4.5050232357112252E-2</v>
      </c>
      <c r="H36" s="1711">
        <f>IF(ISERROR((H44/G44)-1),0,((H44/G44)-1))</f>
        <v>-7.0566038429588085E-3</v>
      </c>
      <c r="I36" s="1711">
        <f>IF(ISERROR((I44/H44)-1),0,((I44/H44)-1))</f>
        <v>-0.34359752113987363</v>
      </c>
      <c r="J36" s="1714">
        <f>IF(ISERROR((J44/I44)-1),0,((J44/I44)-1))</f>
        <v>0</v>
      </c>
      <c r="K36" s="555">
        <f>IF(ISERROR((K44/H44)-1),0,((K44/H44)-1))</f>
        <v>-0.18138813608868032</v>
      </c>
      <c r="L36" s="607">
        <f>IF(ISERROR((L44/K44)-1),0,((L44/K44)-1))</f>
        <v>0.28985969865785854</v>
      </c>
      <c r="M36" s="551">
        <f>IF(ISERROR((M44/L44)-1),0,((M44/L44)-1))</f>
        <v>7.9710165042305547E-2</v>
      </c>
      <c r="Q36" s="291"/>
      <c r="R36" s="291"/>
    </row>
    <row r="37" spans="1:18" hidden="1">
      <c r="A37" s="566" t="s">
        <v>970</v>
      </c>
      <c r="B37" s="567" t="s">
        <v>451</v>
      </c>
      <c r="C37" s="567"/>
      <c r="D37" s="1612"/>
      <c r="E37" s="1711">
        <f t="shared" si="3"/>
        <v>9.4622533065176428E-2</v>
      </c>
      <c r="F37" s="551">
        <f t="shared" ref="F37:M42" si="4">IF(ISERROR((F45/E45)-1),0,((F45/E45)-1))</f>
        <v>0.43402352220431739</v>
      </c>
      <c r="G37" s="1713">
        <f t="shared" si="4"/>
        <v>-0.13856736552564841</v>
      </c>
      <c r="H37" s="1711">
        <f t="shared" si="4"/>
        <v>0</v>
      </c>
      <c r="I37" s="1711">
        <f t="shared" si="4"/>
        <v>-2.1872621848739495</v>
      </c>
      <c r="J37" s="1714">
        <f t="shared" si="4"/>
        <v>0</v>
      </c>
      <c r="K37" s="555">
        <f t="shared" ref="K37:K42" si="5">IF(ISERROR((K45/H45)-1),0,((K45/H45)-1))</f>
        <v>8.6880966386554626E-2</v>
      </c>
      <c r="L37" s="607">
        <f t="shared" si="4"/>
        <v>6.0000000000000275E-2</v>
      </c>
      <c r="M37" s="551">
        <f t="shared" si="4"/>
        <v>6.0000000000000053E-2</v>
      </c>
      <c r="Q37" s="291"/>
      <c r="R37" s="291"/>
    </row>
    <row r="38" spans="1:18" hidden="1">
      <c r="A38" s="566" t="str">
        <f>"% incr "&amp;'A4-FinPerf RE'!A7</f>
        <v>% incr Service charges - electricity revenue</v>
      </c>
      <c r="B38" s="567" t="s">
        <v>451</v>
      </c>
      <c r="C38" s="567"/>
      <c r="D38" s="1612"/>
      <c r="E38" s="1711">
        <f t="shared" si="3"/>
        <v>0.31606221936450174</v>
      </c>
      <c r="F38" s="551">
        <f t="shared" si="4"/>
        <v>0.21680291633576632</v>
      </c>
      <c r="G38" s="1713">
        <f t="shared" si="4"/>
        <v>0.12170741583516564</v>
      </c>
      <c r="H38" s="1711">
        <f t="shared" si="4"/>
        <v>-1.7603272163520201E-2</v>
      </c>
      <c r="I38" s="1711">
        <f t="shared" si="4"/>
        <v>3.5243616719643045E-2</v>
      </c>
      <c r="J38" s="1714">
        <f t="shared" si="4"/>
        <v>0</v>
      </c>
      <c r="K38" s="555">
        <f t="shared" si="5"/>
        <v>-0.21059783489277861</v>
      </c>
      <c r="L38" s="607">
        <f t="shared" si="4"/>
        <v>0.55789280426373411</v>
      </c>
      <c r="M38" s="551">
        <f>IF(ISERROR((M46/L46)-1),0,((M46/L46)-1))</f>
        <v>9.4341952197923629E-2</v>
      </c>
      <c r="Q38" s="291"/>
      <c r="R38" s="291"/>
    </row>
    <row r="39" spans="1:18" hidden="1">
      <c r="A39" s="566" t="str">
        <f>"% incr "&amp;'A4-FinPerf RE'!A8</f>
        <v>% incr Service charges - water revenue</v>
      </c>
      <c r="B39" s="567" t="s">
        <v>451</v>
      </c>
      <c r="C39" s="567"/>
      <c r="D39" s="1612"/>
      <c r="E39" s="1711">
        <f t="shared" si="3"/>
        <v>0.20232487600631033</v>
      </c>
      <c r="F39" s="551">
        <f t="shared" si="4"/>
        <v>0.35134438093861542</v>
      </c>
      <c r="G39" s="1713">
        <f t="shared" si="4"/>
        <v>-3.8637879811039944E-2</v>
      </c>
      <c r="H39" s="1711">
        <f t="shared" si="4"/>
        <v>-3.6525262453335205E-3</v>
      </c>
      <c r="I39" s="1711">
        <f t="shared" si="4"/>
        <v>0.25046890072611849</v>
      </c>
      <c r="J39" s="1714">
        <f t="shared" si="4"/>
        <v>0</v>
      </c>
      <c r="K39" s="555">
        <f t="shared" si="5"/>
        <v>-0.45819949571175156</v>
      </c>
      <c r="L39" s="607">
        <f t="shared" si="4"/>
        <v>0.10426027098822743</v>
      </c>
      <c r="M39" s="551">
        <f t="shared" si="4"/>
        <v>0.11907974031571888</v>
      </c>
      <c r="Q39" s="291"/>
      <c r="R39" s="291"/>
    </row>
    <row r="40" spans="1:18" hidden="1">
      <c r="A40" s="566" t="str">
        <f>"% incr "&amp;'A4-FinPerf RE'!A9</f>
        <v>% incr Service charges - sanitation revenue</v>
      </c>
      <c r="B40" s="567" t="s">
        <v>451</v>
      </c>
      <c r="C40" s="567"/>
      <c r="D40" s="1612"/>
      <c r="E40" s="1711">
        <f t="shared" si="3"/>
        <v>0.16975232636978022</v>
      </c>
      <c r="F40" s="551">
        <f t="shared" si="4"/>
        <v>-0.2743300227309915</v>
      </c>
      <c r="G40" s="1713">
        <f t="shared" si="4"/>
        <v>0.46313142203676039</v>
      </c>
      <c r="H40" s="1711">
        <f t="shared" si="4"/>
        <v>0</v>
      </c>
      <c r="I40" s="1711">
        <f t="shared" si="4"/>
        <v>7.5707070183261838E-3</v>
      </c>
      <c r="J40" s="1714">
        <f t="shared" si="4"/>
        <v>0</v>
      </c>
      <c r="K40" s="555">
        <f t="shared" si="5"/>
        <v>-0.33498493243033023</v>
      </c>
      <c r="L40" s="607">
        <f t="shared" si="4"/>
        <v>0.59394666331071377</v>
      </c>
      <c r="M40" s="551">
        <f t="shared" si="4"/>
        <v>6.0001565496458076E-2</v>
      </c>
      <c r="Q40" s="291"/>
      <c r="R40" s="291"/>
    </row>
    <row r="41" spans="1:18">
      <c r="A41" s="566" t="str">
        <f>"% incr "&amp;'A4-FinPerf RE'!A10</f>
        <v>% incr Service charges - refuse revenue</v>
      </c>
      <c r="B41" s="567" t="s">
        <v>451</v>
      </c>
      <c r="C41" s="567"/>
      <c r="D41" s="1612"/>
      <c r="E41" s="1711">
        <f t="shared" si="3"/>
        <v>8.1961764545466664E-2</v>
      </c>
      <c r="F41" s="551">
        <f t="shared" si="4"/>
        <v>0.14219781842563606</v>
      </c>
      <c r="G41" s="1713">
        <f t="shared" si="4"/>
        <v>2.1428201506108469E-2</v>
      </c>
      <c r="H41" s="1711">
        <f t="shared" si="4"/>
        <v>0</v>
      </c>
      <c r="I41" s="1711">
        <f t="shared" si="4"/>
        <v>3.597563592970654E-2</v>
      </c>
      <c r="J41" s="1714">
        <f t="shared" si="4"/>
        <v>0</v>
      </c>
      <c r="K41" s="555">
        <f t="shared" si="5"/>
        <v>0.11298001425100668</v>
      </c>
      <c r="L41" s="607">
        <f t="shared" si="4"/>
        <v>4.9976859574433208E-2</v>
      </c>
      <c r="M41" s="551">
        <f t="shared" si="4"/>
        <v>5.0014692657497362E-2</v>
      </c>
      <c r="Q41" s="291"/>
      <c r="R41" s="291"/>
    </row>
    <row r="42" spans="1:18">
      <c r="A42" s="566" t="str">
        <f>"% incr in "&amp;'A4-FinPerf RE'!A11</f>
        <v>% incr in Service charges - other</v>
      </c>
      <c r="B42" s="567" t="s">
        <v>451</v>
      </c>
      <c r="C42" s="567"/>
      <c r="D42" s="1612"/>
      <c r="E42" s="1711">
        <f t="shared" si="3"/>
        <v>0</v>
      </c>
      <c r="F42" s="551">
        <f t="shared" si="4"/>
        <v>0</v>
      </c>
      <c r="G42" s="1713">
        <f t="shared" si="4"/>
        <v>0</v>
      </c>
      <c r="H42" s="1711">
        <f t="shared" si="4"/>
        <v>0</v>
      </c>
      <c r="I42" s="1711">
        <f>IF(ISERROR((I50/H50)-1),0,((I50/H50)-1))</f>
        <v>0</v>
      </c>
      <c r="J42" s="1714">
        <f t="shared" si="4"/>
        <v>0</v>
      </c>
      <c r="K42" s="555">
        <f t="shared" si="5"/>
        <v>0</v>
      </c>
      <c r="L42" s="607">
        <f>IF(ISERROR((L50/K50)-1),0,((L50/K50)-1))</f>
        <v>0</v>
      </c>
      <c r="M42" s="551">
        <f t="shared" si="4"/>
        <v>0</v>
      </c>
      <c r="Q42" s="291"/>
      <c r="R42" s="291"/>
    </row>
    <row r="43" spans="1:18">
      <c r="A43" s="566" t="s">
        <v>818</v>
      </c>
      <c r="B43" s="567" t="s">
        <v>451</v>
      </c>
      <c r="C43" s="567"/>
      <c r="D43" s="1245">
        <f>SUM(D45:D51)</f>
        <v>12965246.5</v>
      </c>
      <c r="E43" s="180">
        <f t="shared" ref="E43:M43" si="6">SUM(E45:E51)</f>
        <v>15509531.29734128</v>
      </c>
      <c r="F43" s="1246">
        <f t="shared" si="6"/>
        <v>18627942.528112944</v>
      </c>
      <c r="G43" s="1245">
        <f t="shared" si="6"/>
        <v>19432115</v>
      </c>
      <c r="H43" s="180">
        <f t="shared" si="6"/>
        <v>19445370</v>
      </c>
      <c r="I43" s="180">
        <f t="shared" si="6"/>
        <v>12831501</v>
      </c>
      <c r="J43" s="1246">
        <f>SUM(J45:J51)</f>
        <v>12831501</v>
      </c>
      <c r="K43" s="1245">
        <f>SUM(K45:K51)</f>
        <v>15973825.8836</v>
      </c>
      <c r="L43" s="180">
        <f t="shared" si="6"/>
        <v>20650670.738376003</v>
      </c>
      <c r="M43" s="1246">
        <f t="shared" si="6"/>
        <v>22266077.555369999</v>
      </c>
    </row>
    <row r="44" spans="1:18">
      <c r="A44" s="566" t="s">
        <v>1722</v>
      </c>
      <c r="B44" s="567"/>
      <c r="C44" s="567"/>
      <c r="D44" s="1245">
        <f>SUM(D45:D50)</f>
        <v>12725146.300000001</v>
      </c>
      <c r="E44" s="180">
        <f t="shared" ref="E44:M44" si="7">SUM(E45:E50)</f>
        <v>15161957.33</v>
      </c>
      <c r="F44" s="1246">
        <f t="shared" si="7"/>
        <v>18217492.719999999</v>
      </c>
      <c r="G44" s="1245">
        <f t="shared" si="7"/>
        <v>19038195</v>
      </c>
      <c r="H44" s="180">
        <f t="shared" si="7"/>
        <v>18903850</v>
      </c>
      <c r="I44" s="180">
        <f t="shared" si="7"/>
        <v>12408534</v>
      </c>
      <c r="J44" s="1246">
        <f>SUM(J45:J50)</f>
        <v>12408534</v>
      </c>
      <c r="K44" s="1245">
        <f t="shared" si="7"/>
        <v>15474915.8836</v>
      </c>
      <c r="L44" s="180">
        <f t="shared" si="7"/>
        <v>19960470.338376004</v>
      </c>
      <c r="M44" s="1246">
        <f t="shared" si="7"/>
        <v>21551522.723370001</v>
      </c>
    </row>
    <row r="45" spans="1:18">
      <c r="A45" s="566" t="s">
        <v>566</v>
      </c>
      <c r="B45" s="567"/>
      <c r="C45" s="567"/>
      <c r="D45" s="1245">
        <f>'A4-FinPerf RE'!C5+'A4-FinPerf RE'!C6</f>
        <v>2640135.62</v>
      </c>
      <c r="E45" s="180">
        <f>'A4-FinPerf RE'!D5+'A4-FinPerf RE'!D6</f>
        <v>2889951.94</v>
      </c>
      <c r="F45" s="1246">
        <f>'A4-FinPerf RE'!E5+'A4-FinPerf RE'!E6</f>
        <v>4144259.06</v>
      </c>
      <c r="G45" s="1245">
        <f>'A4-FinPerf RE'!F5+'A4-FinPerf RE'!F6</f>
        <v>3570000</v>
      </c>
      <c r="H45" s="180">
        <f>'A4-FinPerf RE'!G5+'A4-FinPerf RE'!G6</f>
        <v>3570000</v>
      </c>
      <c r="I45" s="180">
        <f>'A4-FinPerf RE'!H5+'A4-FinPerf RE'!H6</f>
        <v>-4238526</v>
      </c>
      <c r="J45" s="1246">
        <f>'A4-FinPerf RE'!I5+'A4-FinPerf RE'!I6</f>
        <v>-4238526</v>
      </c>
      <c r="K45" s="1245">
        <f>'A4-FinPerf RE'!J5+'A4-FinPerf RE'!J6</f>
        <v>3880165.05</v>
      </c>
      <c r="L45" s="180">
        <f>'A4-FinPerf RE'!K5+'A4-FinPerf RE'!K6</f>
        <v>4112974.9530000007</v>
      </c>
      <c r="M45" s="1246">
        <f>'A4-FinPerf RE'!L5+'A4-FinPerf RE'!L6</f>
        <v>4359753.4501800006</v>
      </c>
    </row>
    <row r="46" spans="1:18">
      <c r="A46" s="566" t="s">
        <v>1919</v>
      </c>
      <c r="B46" s="567"/>
      <c r="C46" s="567"/>
      <c r="D46" s="1245">
        <f>'A4-FinPerf RE'!C7</f>
        <v>3797370.19</v>
      </c>
      <c r="E46" s="180">
        <f>'A4-FinPerf RE'!D7</f>
        <v>4997575.4399999995</v>
      </c>
      <c r="F46" s="1246">
        <f>'A4-FinPerf RE'!E7</f>
        <v>6081064.3700000001</v>
      </c>
      <c r="G46" s="1245">
        <f>'A4-FinPerf RE'!F7</f>
        <v>6821175</v>
      </c>
      <c r="H46" s="180">
        <f>'A4-FinPerf RE'!G7</f>
        <v>6701100</v>
      </c>
      <c r="I46" s="180">
        <f>'A4-FinPerf RE'!H7</f>
        <v>6937271</v>
      </c>
      <c r="J46" s="1246">
        <f>'A4-FinPerf RE'!I7</f>
        <v>6937271</v>
      </c>
      <c r="K46" s="1245">
        <f>'A4-FinPerf RE'!J7</f>
        <v>5289862.8486000011</v>
      </c>
      <c r="L46" s="180">
        <f>'A4-FinPerf RE'!K7</f>
        <v>8241039.267376001</v>
      </c>
      <c r="M46" s="1246">
        <f>'A4-FinPerf RE'!L7</f>
        <v>9018515</v>
      </c>
    </row>
    <row r="47" spans="1:18">
      <c r="A47" s="566" t="s">
        <v>1920</v>
      </c>
      <c r="B47" s="567"/>
      <c r="C47" s="567"/>
      <c r="D47" s="1245">
        <f>'A4-FinPerf RE'!C8</f>
        <v>2501242.21</v>
      </c>
      <c r="E47" s="180">
        <f>'A4-FinPerf RE'!D8</f>
        <v>3007305.7299999995</v>
      </c>
      <c r="F47" s="1246">
        <f>'A4-FinPerf RE'!E8</f>
        <v>4063905.7</v>
      </c>
      <c r="G47" s="1245">
        <f>'A4-FinPerf RE'!F8</f>
        <v>3906885</v>
      </c>
      <c r="H47" s="180">
        <f>'A4-FinPerf RE'!G8</f>
        <v>3892615</v>
      </c>
      <c r="I47" s="180">
        <f>'A4-FinPerf RE'!H8</f>
        <v>4867594</v>
      </c>
      <c r="J47" s="1246">
        <f>'A4-FinPerf RE'!I8</f>
        <v>4867594</v>
      </c>
      <c r="K47" s="1245">
        <f>'A4-FinPerf RE'!J8</f>
        <v>2109020.77</v>
      </c>
      <c r="L47" s="180">
        <f>'A4-FinPerf RE'!K8</f>
        <v>2328907.8470000001</v>
      </c>
      <c r="M47" s="1246">
        <f>'A4-FinPerf RE'!L8</f>
        <v>2606233.5886400002</v>
      </c>
    </row>
    <row r="48" spans="1:18">
      <c r="A48" s="566" t="s">
        <v>995</v>
      </c>
      <c r="B48" s="567"/>
      <c r="C48" s="567"/>
      <c r="D48" s="1245">
        <f>'A4-FinPerf RE'!C9</f>
        <v>1940824.3</v>
      </c>
      <c r="E48" s="180">
        <f>'A4-FinPerf RE'!D9</f>
        <v>2270283.7400000002</v>
      </c>
      <c r="F48" s="1246">
        <f>'A4-FinPerf RE'!E9</f>
        <v>1647476.7499999998</v>
      </c>
      <c r="G48" s="1245">
        <f>'A4-FinPerf RE'!F9</f>
        <v>2410475</v>
      </c>
      <c r="H48" s="180">
        <f>'A4-FinPerf RE'!G9</f>
        <v>2410475</v>
      </c>
      <c r="I48" s="180">
        <f>'A4-FinPerf RE'!H9</f>
        <v>2428724</v>
      </c>
      <c r="J48" s="1246">
        <f>'A4-FinPerf RE'!I9</f>
        <v>2428724</v>
      </c>
      <c r="K48" s="1245">
        <f>'A4-FinPerf RE'!J9</f>
        <v>1603002.1949999998</v>
      </c>
      <c r="L48" s="180">
        <f>'A4-FinPerf RE'!K9</f>
        <v>2555100</v>
      </c>
      <c r="M48" s="1246">
        <f>'A4-FinPerf RE'!L9</f>
        <v>2708410</v>
      </c>
    </row>
    <row r="49" spans="1:13">
      <c r="A49" s="566" t="s">
        <v>996</v>
      </c>
      <c r="B49" s="567"/>
      <c r="C49" s="567"/>
      <c r="D49" s="1245">
        <f>'A4-FinPerf RE'!C10</f>
        <v>1845573.98</v>
      </c>
      <c r="E49" s="180">
        <f>'A4-FinPerf RE'!D10</f>
        <v>1996840.48</v>
      </c>
      <c r="F49" s="1246">
        <f>'A4-FinPerf RE'!E10</f>
        <v>2280786.84</v>
      </c>
      <c r="G49" s="1245">
        <f>'A4-FinPerf RE'!F10</f>
        <v>2329660</v>
      </c>
      <c r="H49" s="180">
        <f>'A4-FinPerf RE'!G10</f>
        <v>2329660</v>
      </c>
      <c r="I49" s="180">
        <f>'A4-FinPerf RE'!H10</f>
        <v>2413471</v>
      </c>
      <c r="J49" s="1246">
        <f>'A4-FinPerf RE'!I10</f>
        <v>2413471</v>
      </c>
      <c r="K49" s="1245">
        <f>'A4-FinPerf RE'!J10</f>
        <v>2592865.02</v>
      </c>
      <c r="L49" s="180">
        <f>'A4-FinPerf RE'!K10</f>
        <v>2722448.2710000002</v>
      </c>
      <c r="M49" s="1246">
        <f>'A4-FinPerf RE'!L10</f>
        <v>2858610.6845500004</v>
      </c>
    </row>
    <row r="50" spans="1:13">
      <c r="A50" s="566" t="s">
        <v>997</v>
      </c>
      <c r="B50" s="567"/>
      <c r="C50" s="567"/>
      <c r="D50" s="1245">
        <f>'A4-FinPerf RE'!C11</f>
        <v>0</v>
      </c>
      <c r="E50" s="180">
        <f>'A4-FinPerf RE'!D11</f>
        <v>0</v>
      </c>
      <c r="F50" s="1246">
        <f>'A4-FinPerf RE'!E11</f>
        <v>0</v>
      </c>
      <c r="G50" s="1245">
        <f>'A4-FinPerf RE'!F11</f>
        <v>0</v>
      </c>
      <c r="H50" s="180">
        <f>'A4-FinPerf RE'!G11</f>
        <v>0</v>
      </c>
      <c r="I50" s="180">
        <f>'A4-FinPerf RE'!H11</f>
        <v>0</v>
      </c>
      <c r="J50" s="1246">
        <f>'A4-FinPerf RE'!I11</f>
        <v>0</v>
      </c>
      <c r="K50" s="1245">
        <f>'A4-FinPerf RE'!J11</f>
        <v>0</v>
      </c>
      <c r="L50" s="180">
        <f>'A4-FinPerf RE'!K11</f>
        <v>0</v>
      </c>
      <c r="M50" s="1246">
        <f>'A4-FinPerf RE'!L11</f>
        <v>0</v>
      </c>
    </row>
    <row r="51" spans="1:13">
      <c r="A51" s="566" t="str">
        <f>'A4-FinPerf RE'!A12</f>
        <v>Rental of facilities and equipment</v>
      </c>
      <c r="B51" s="567"/>
      <c r="C51" s="567"/>
      <c r="D51" s="1245">
        <f>'A4-FinPerf RE'!C12</f>
        <v>240100.2</v>
      </c>
      <c r="E51" s="180">
        <f>'A4-FinPerf RE'!D12</f>
        <v>347573.96734127984</v>
      </c>
      <c r="F51" s="1246">
        <f>'A4-FinPerf RE'!E12</f>
        <v>410449.80811294453</v>
      </c>
      <c r="G51" s="1245">
        <f>'A4-FinPerf RE'!F12</f>
        <v>393920</v>
      </c>
      <c r="H51" s="180">
        <f>'A4-FinPerf RE'!G12</f>
        <v>541520</v>
      </c>
      <c r="I51" s="180">
        <f>'A4-FinPerf RE'!H12</f>
        <v>422967</v>
      </c>
      <c r="J51" s="1246">
        <f>'A4-FinPerf RE'!I12</f>
        <v>422967</v>
      </c>
      <c r="K51" s="1245">
        <f>'A4-FinPerf RE'!J12</f>
        <v>498910</v>
      </c>
      <c r="L51" s="180">
        <f>'A4-FinPerf RE'!K12</f>
        <v>690200.4</v>
      </c>
      <c r="M51" s="1246">
        <f>'A4-FinPerf RE'!L12</f>
        <v>714554.83200000005</v>
      </c>
    </row>
    <row r="52" spans="1:13">
      <c r="A52" s="566" t="s">
        <v>1045</v>
      </c>
      <c r="B52" s="567"/>
      <c r="C52" s="567"/>
      <c r="D52" s="1245">
        <f>'A5-Capex'!C40-'A5-Capex'!C70</f>
        <v>0</v>
      </c>
      <c r="E52" s="180">
        <f>'A5-Capex'!D40-'A5-Capex'!D70</f>
        <v>0</v>
      </c>
      <c r="F52" s="1246">
        <f>'A5-Capex'!E40-'A5-Capex'!E70</f>
        <v>0</v>
      </c>
      <c r="G52" s="1245">
        <f>'A5-Capex'!F40-'A5-Capex'!F70</f>
        <v>0</v>
      </c>
      <c r="H52" s="180">
        <f>'A5-Capex'!G40-'A5-Capex'!G70</f>
        <v>0</v>
      </c>
      <c r="I52" s="180">
        <f>'A5-Capex'!H40-'A5-Capex'!H70</f>
        <v>0</v>
      </c>
      <c r="J52" s="1246">
        <f>'A5-Capex'!I40-'A5-Capex'!I70</f>
        <v>0</v>
      </c>
      <c r="K52" s="1245">
        <f>'A5-Capex'!J40-'A5-Capex'!J70</f>
        <v>0</v>
      </c>
      <c r="L52" s="180">
        <f>'A5-Capex'!K40-'A5-Capex'!K70</f>
        <v>-11537000</v>
      </c>
      <c r="M52" s="1246">
        <f>'A5-Capex'!L40-'A5-Capex'!L70</f>
        <v>-12171000</v>
      </c>
    </row>
    <row r="53" spans="1:13">
      <c r="A53" s="566" t="s">
        <v>1044</v>
      </c>
      <c r="B53" s="567" t="s">
        <v>451</v>
      </c>
      <c r="C53" s="567"/>
      <c r="D53" s="192">
        <f>'A7-CFlow'!C6+'A7-CFlow'!C20</f>
        <v>19474278</v>
      </c>
      <c r="E53" s="189">
        <f>'A7-CFlow'!D6+'A7-CFlow'!D20</f>
        <v>35333165</v>
      </c>
      <c r="F53" s="792">
        <f>'A7-CFlow'!E6+'A7-CFlow'!E20</f>
        <v>46869145</v>
      </c>
      <c r="G53" s="192">
        <f>'A7-CFlow'!F6+'A7-CFlow'!F20</f>
        <v>50548372.8825</v>
      </c>
      <c r="H53" s="189">
        <f>'A7-CFlow'!G6+'A7-CFlow'!G20</f>
        <v>32234090</v>
      </c>
      <c r="I53" s="189">
        <f>'A7-CFlow'!H6+'A7-CFlow'!H20</f>
        <v>0</v>
      </c>
      <c r="J53" s="792">
        <f>'A7-CFlow'!I6+'A7-CFlow'!I20</f>
        <v>0</v>
      </c>
      <c r="K53" s="192">
        <f>'A7-CFlow'!J6+'A7-CFlow'!J20</f>
        <v>20324780.706879999</v>
      </c>
      <c r="L53" s="189">
        <f>'A7-CFlow'!K6+'A7-CFlow'!K20</f>
        <v>22267829.742457729</v>
      </c>
      <c r="M53" s="1246">
        <f>'A7-CFlow'!L6+'A7-CFlow'!L20</f>
        <v>24323150.42768658</v>
      </c>
    </row>
    <row r="54" spans="1:13">
      <c r="A54" s="571" t="s">
        <v>1914</v>
      </c>
      <c r="B54" s="567" t="s">
        <v>451</v>
      </c>
      <c r="C54" s="567"/>
      <c r="D54" s="192">
        <f>SUM('A4-FinPerf RE'!C5:C12)+SUM('A4-FinPerf RE'!C16:C18)+'A4-FinPerf RE'!C20</f>
        <v>18158765.789999999</v>
      </c>
      <c r="E54" s="189">
        <f>SUM('A4-FinPerf RE'!D5:D12)+SUM('A4-FinPerf RE'!D16:D18)+'A4-FinPerf RE'!D20</f>
        <v>31893320.747341275</v>
      </c>
      <c r="F54" s="792">
        <f>SUM('A4-FinPerf RE'!E5:E12)+SUM('A4-FinPerf RE'!E16:E18)+'A4-FinPerf RE'!E20</f>
        <v>24235356.348112941</v>
      </c>
      <c r="G54" s="192">
        <f>SUM('A4-FinPerf RE'!F5:F12)+SUM('A4-FinPerf RE'!F16:F18)+'A4-FinPerf RE'!F20</f>
        <v>31621615</v>
      </c>
      <c r="H54" s="189">
        <f>SUM('A4-FinPerf RE'!G5:G12)+SUM('A4-FinPerf RE'!G16:G18)+'A4-FinPerf RE'!G20</f>
        <v>32234090</v>
      </c>
      <c r="I54" s="189">
        <f>SUM('A4-FinPerf RE'!H5:H12)+SUM('A4-FinPerf RE'!H16:H18)+'A4-FinPerf RE'!H20</f>
        <v>21916665</v>
      </c>
      <c r="J54" s="792">
        <f>SUM('A4-FinPerf RE'!I5:I12)+SUM('A4-FinPerf RE'!I16:I18)+'A4-FinPerf RE'!I20</f>
        <v>21916665</v>
      </c>
      <c r="K54" s="192">
        <f>SUM('A4-FinPerf RE'!J5:J12)+SUM('A4-FinPerf RE'!J16:J18)+'A4-FinPerf RE'!J20</f>
        <v>33037875.8836</v>
      </c>
      <c r="L54" s="189">
        <f>SUM('A4-FinPerf RE'!K5:K12)+SUM('A4-FinPerf RE'!K16:K18)+'A4-FinPerf RE'!K20</f>
        <v>38356300.738376006</v>
      </c>
      <c r="M54" s="792">
        <f>SUM('A4-FinPerf RE'!L5:L12)+SUM('A4-FinPerf RE'!L16:L18)+'A4-FinPerf RE'!L20</f>
        <v>40488012.555370003</v>
      </c>
    </row>
    <row r="55" spans="1:13">
      <c r="A55" s="571" t="s">
        <v>701</v>
      </c>
      <c r="B55" s="567"/>
      <c r="C55" s="567"/>
      <c r="D55" s="192">
        <f>D84</f>
        <v>9317380.5000000019</v>
      </c>
      <c r="E55" s="189">
        <f>(SUM('A6-FinPos'!D8:D10)+'A6-FinPos'!D15)-(SUM('A6-FinPos'!C8:C10)+'A6-FinPos'!C15)</f>
        <v>10301474</v>
      </c>
      <c r="F55" s="792">
        <f>(SUM('A6-FinPos'!E8:E10)+'A6-FinPos'!E15)-(SUM('A6-FinPos'!D8:D10)+'A6-FinPos'!D15)</f>
        <v>-1968187</v>
      </c>
      <c r="G55" s="192">
        <f>(SUM('A6-FinPos'!F8:F10)+'A6-FinPos'!F15)-(SUM('A6-FinPos'!E8:E10)+'A6-FinPos'!E15)</f>
        <v>10207795.52</v>
      </c>
      <c r="H55" s="189">
        <f>(SUM('A6-FinPos'!G8:G10)+'A6-FinPos'!G15)-(SUM('A6-FinPos'!E8:E10)+'A6-FinPos'!E15)</f>
        <v>881952</v>
      </c>
      <c r="I55" s="189">
        <f>(SUM('A6-FinPos'!H8:H10)+'A6-FinPos'!H15)-(SUM('A6-FinPos'!E8:E10)+'A6-FinPos'!E15)</f>
        <v>881952</v>
      </c>
      <c r="J55" s="792">
        <f>(SUM('A6-FinPos'!I8:I10)+'A6-FinPos'!I15)-(SUM('A6-FinPos'!E8:E10)+'A6-FinPos'!E15)</f>
        <v>-8333287</v>
      </c>
      <c r="K55" s="192">
        <f>(SUM('A6-FinPos'!J8:J10)+'A6-FinPos'!J15)-(SUM('A6-FinPos'!F8:F10)+'A6-FinPos'!F15)</f>
        <v>-4530105.6999999993</v>
      </c>
      <c r="L55" s="189">
        <f>(SUM('A6-FinPos'!K8:K10)+'A6-FinPos'!K15)-(SUM('A6-FinPos'!J8:J10)+'A6-FinPos'!J15)</f>
        <v>-4081638.2796</v>
      </c>
      <c r="M55" s="792">
        <f>(SUM('A6-FinPos'!L8:L10)+'A6-FinPos'!L15)-(SUM('A6-FinPos'!K8:K10)+'A6-FinPos'!K15)</f>
        <v>-959275.10071800277</v>
      </c>
    </row>
    <row r="56" spans="1:13">
      <c r="A56" s="571" t="s">
        <v>1292</v>
      </c>
      <c r="B56" s="567" t="s">
        <v>451</v>
      </c>
      <c r="C56" s="567"/>
      <c r="D56" s="192">
        <f>'A4-FinPerf RE'!C19+'A4-FinPerf RE'!C39</f>
        <v>7437817</v>
      </c>
      <c r="E56" s="189">
        <f>'A4-FinPerf RE'!D19+'A4-FinPerf RE'!D39</f>
        <v>35690775.583800003</v>
      </c>
      <c r="F56" s="792">
        <f>'A4-FinPerf RE'!E19+'A4-FinPerf RE'!E39</f>
        <v>26974491.153999999</v>
      </c>
      <c r="G56" s="192">
        <f>'A4-FinPerf RE'!F19+'A4-FinPerf RE'!F39</f>
        <v>16605000</v>
      </c>
      <c r="H56" s="189">
        <f>'A4-FinPerf RE'!G19+'A4-FinPerf RE'!G39</f>
        <v>16625000</v>
      </c>
      <c r="I56" s="189">
        <f>'A4-FinPerf RE'!H19+'A4-FinPerf RE'!H39</f>
        <v>18044873</v>
      </c>
      <c r="J56" s="792">
        <f>'A4-FinPerf RE'!I19+'A4-FinPerf RE'!I39</f>
        <v>18044873</v>
      </c>
      <c r="K56" s="192">
        <f>'A4-FinPerf RE'!J19+'A4-FinPerf RE'!J39</f>
        <v>27549000</v>
      </c>
      <c r="L56" s="189">
        <f>'A4-FinPerf RE'!K19+'A4-FinPerf RE'!K39</f>
        <v>31341000</v>
      </c>
      <c r="M56" s="792">
        <f>'A4-FinPerf RE'!L19+'A4-FinPerf RE'!L39</f>
        <v>34075000</v>
      </c>
    </row>
    <row r="57" spans="1:13">
      <c r="A57" s="571" t="s">
        <v>1294</v>
      </c>
      <c r="B57" s="572" t="str">
        <f>B17</f>
        <v>20(1)(vi)</v>
      </c>
      <c r="C57" s="567"/>
      <c r="D57" s="192">
        <f>'A5-Capex'!C21</f>
        <v>0</v>
      </c>
      <c r="E57" s="189">
        <f>'A5-Capex'!D21</f>
        <v>0</v>
      </c>
      <c r="F57" s="792">
        <f>'A5-Capex'!E21</f>
        <v>0</v>
      </c>
      <c r="G57" s="192">
        <f>'A5-Capex'!F21</f>
        <v>0</v>
      </c>
      <c r="H57" s="189">
        <f>'A5-Capex'!G21</f>
        <v>0</v>
      </c>
      <c r="I57" s="189">
        <f>'A5-Capex'!H21</f>
        <v>0</v>
      </c>
      <c r="J57" s="792">
        <f>'A5-Capex'!I21</f>
        <v>0</v>
      </c>
      <c r="K57" s="192">
        <f>'A5-Capex'!J21</f>
        <v>0</v>
      </c>
      <c r="L57" s="189">
        <f>'A5-Capex'!K21</f>
        <v>0</v>
      </c>
      <c r="M57" s="792">
        <f>'A5-Capex'!L21</f>
        <v>0</v>
      </c>
    </row>
    <row r="58" spans="1:13">
      <c r="A58" s="571" t="s">
        <v>1295</v>
      </c>
      <c r="B58" s="572" t="str">
        <f>B18</f>
        <v>20(1)(vi)</v>
      </c>
      <c r="C58" s="567"/>
      <c r="D58" s="192">
        <f>'A9-Asset'!C20</f>
        <v>0</v>
      </c>
      <c r="E58" s="189">
        <f>'A9-Asset'!D20</f>
        <v>0</v>
      </c>
      <c r="F58" s="792">
        <f>'A9-Asset'!E20</f>
        <v>0</v>
      </c>
      <c r="G58" s="192">
        <f>'A9-Asset'!F20</f>
        <v>0</v>
      </c>
      <c r="H58" s="189">
        <f>'A9-Asset'!G20</f>
        <v>0</v>
      </c>
      <c r="I58" s="189">
        <f>'A9-Asset'!H20</f>
        <v>0</v>
      </c>
      <c r="J58" s="792">
        <f>'A9-Asset'!I20</f>
        <v>0</v>
      </c>
      <c r="K58" s="192">
        <f>'A9-Asset'!J20</f>
        <v>0</v>
      </c>
      <c r="L58" s="189">
        <f>'A9-Asset'!K20</f>
        <v>0</v>
      </c>
      <c r="M58" s="792">
        <f>'A9-Asset'!L20</f>
        <v>0</v>
      </c>
    </row>
    <row r="59" spans="1:13" ht="6" customHeight="1">
      <c r="A59" s="571"/>
      <c r="B59" s="567"/>
      <c r="C59" s="567"/>
      <c r="D59" s="1614"/>
      <c r="E59" s="278"/>
      <c r="F59" s="1712"/>
      <c r="G59" s="379"/>
      <c r="H59" s="378"/>
      <c r="I59" s="378"/>
      <c r="J59" s="1712"/>
      <c r="K59" s="379"/>
      <c r="L59" s="378"/>
      <c r="M59" s="1712"/>
    </row>
    <row r="60" spans="1:13">
      <c r="A60" s="565" t="s">
        <v>9</v>
      </c>
      <c r="B60" s="567"/>
      <c r="C60" s="567"/>
      <c r="D60" s="1614"/>
      <c r="E60" s="278"/>
      <c r="F60" s="1712"/>
      <c r="G60" s="379"/>
      <c r="H60" s="378"/>
      <c r="I60" s="378"/>
      <c r="J60" s="1712"/>
      <c r="K60" s="379"/>
      <c r="L60" s="378"/>
      <c r="M60" s="1712"/>
    </row>
    <row r="61" spans="1:13">
      <c r="A61" s="571" t="s">
        <v>486</v>
      </c>
      <c r="B61" s="567"/>
      <c r="C61" s="567"/>
      <c r="D61" s="1713">
        <v>0.06</v>
      </c>
      <c r="E61" s="1711">
        <v>0.06</v>
      </c>
      <c r="F61" s="1714">
        <v>0.06</v>
      </c>
      <c r="G61" s="1713">
        <v>0.06</v>
      </c>
      <c r="H61" s="1711">
        <v>0.06</v>
      </c>
      <c r="I61" s="1711">
        <v>0.06</v>
      </c>
      <c r="J61" s="1714">
        <v>0.06</v>
      </c>
      <c r="K61" s="1713">
        <v>0.06</v>
      </c>
      <c r="L61" s="1711">
        <v>0.06</v>
      </c>
      <c r="M61" s="1714">
        <v>0.06</v>
      </c>
    </row>
    <row r="62" spans="1:13">
      <c r="A62" s="571" t="s">
        <v>487</v>
      </c>
      <c r="B62" s="567"/>
      <c r="C62" s="567"/>
      <c r="D62" s="1713">
        <v>4.2999999999999997E-2</v>
      </c>
      <c r="E62" s="1711">
        <v>3.9E-2</v>
      </c>
      <c r="F62" s="1714">
        <v>4.5999999999999999E-2</v>
      </c>
      <c r="G62" s="1713">
        <v>5.1999999999999998E-2</v>
      </c>
      <c r="H62" s="1711">
        <v>5.1999999999999998E-2</v>
      </c>
      <c r="I62" s="1711">
        <v>5.1999999999999998E-2</v>
      </c>
      <c r="J62" s="1714">
        <v>5.1999999999999998E-2</v>
      </c>
      <c r="K62" s="1713">
        <v>5.0999999999999997E-2</v>
      </c>
      <c r="L62" s="1711">
        <v>4.2999999999999997E-2</v>
      </c>
      <c r="M62" s="1714">
        <v>4.4999999999999998E-2</v>
      </c>
    </row>
    <row r="63" spans="1:13">
      <c r="A63" s="571" t="s">
        <v>1600</v>
      </c>
      <c r="B63" s="567"/>
      <c r="C63" s="567"/>
      <c r="D63" s="1715"/>
      <c r="E63" s="1716"/>
      <c r="F63" s="1717"/>
      <c r="G63" s="1718"/>
      <c r="H63" s="1719"/>
      <c r="I63" s="1719"/>
      <c r="J63" s="1717"/>
      <c r="K63" s="1807"/>
      <c r="L63" s="1805"/>
      <c r="M63" s="1808"/>
    </row>
    <row r="64" spans="1:13">
      <c r="A64" s="571" t="s">
        <v>1601</v>
      </c>
      <c r="B64" s="567"/>
      <c r="C64" s="567"/>
      <c r="D64" s="1715"/>
      <c r="E64" s="1716"/>
      <c r="F64" s="1717"/>
      <c r="G64" s="1718"/>
      <c r="H64" s="1719"/>
      <c r="I64" s="1719"/>
      <c r="J64" s="1717"/>
      <c r="K64" s="1807"/>
      <c r="L64" s="1805"/>
      <c r="M64" s="1808"/>
    </row>
    <row r="65" spans="1:13">
      <c r="A65" s="571" t="s">
        <v>1602</v>
      </c>
      <c r="B65" s="567"/>
      <c r="C65" s="567"/>
      <c r="D65" s="1715"/>
      <c r="E65" s="1716"/>
      <c r="F65" s="1717"/>
      <c r="G65" s="1718"/>
      <c r="H65" s="1719"/>
      <c r="I65" s="1719"/>
      <c r="J65" s="1717"/>
      <c r="K65" s="1807"/>
      <c r="L65" s="1805"/>
      <c r="M65" s="1808"/>
    </row>
    <row r="66" spans="1:13">
      <c r="A66" s="571" t="s">
        <v>1603</v>
      </c>
      <c r="B66" s="567"/>
      <c r="C66" s="567"/>
      <c r="D66" s="1715"/>
      <c r="E66" s="1716"/>
      <c r="F66" s="1717"/>
      <c r="G66" s="1718"/>
      <c r="H66" s="1719"/>
      <c r="I66" s="1719"/>
      <c r="J66" s="1717"/>
      <c r="K66" s="1807"/>
      <c r="L66" s="1805"/>
      <c r="M66" s="1808"/>
    </row>
    <row r="67" spans="1:13">
      <c r="A67" s="571" t="s">
        <v>1291</v>
      </c>
      <c r="B67" s="567"/>
      <c r="C67" s="567"/>
      <c r="D67" s="1715"/>
      <c r="E67" s="1716"/>
      <c r="F67" s="1717"/>
      <c r="G67" s="1718"/>
      <c r="H67" s="1719"/>
      <c r="I67" s="1719"/>
      <c r="J67" s="1717"/>
      <c r="K67" s="1807"/>
      <c r="L67" s="1805"/>
      <c r="M67" s="1808"/>
    </row>
    <row r="68" spans="1:13">
      <c r="A68" s="571" t="s">
        <v>1290</v>
      </c>
      <c r="B68" s="567"/>
      <c r="C68" s="567"/>
      <c r="D68" s="1718"/>
      <c r="E68" s="1719"/>
      <c r="F68" s="1717"/>
      <c r="G68" s="1718"/>
      <c r="H68" s="1719"/>
      <c r="I68" s="1719"/>
      <c r="J68" s="1717"/>
      <c r="K68" s="197">
        <f>SUM(K63:K67)</f>
        <v>0</v>
      </c>
      <c r="L68" s="193">
        <f>SUM(L63:L67)</f>
        <v>0</v>
      </c>
      <c r="M68" s="543">
        <f>SUM(M63:M67)</f>
        <v>0</v>
      </c>
    </row>
    <row r="69" spans="1:13">
      <c r="A69" s="571" t="s">
        <v>10</v>
      </c>
      <c r="B69" s="567"/>
      <c r="C69" s="567"/>
      <c r="D69" s="1612"/>
      <c r="E69" s="1597"/>
      <c r="F69" s="1714"/>
      <c r="G69" s="1713"/>
      <c r="H69" s="1711"/>
      <c r="I69" s="1711"/>
      <c r="J69" s="1714"/>
      <c r="K69" s="1713"/>
      <c r="L69" s="1711"/>
      <c r="M69" s="1714"/>
    </row>
    <row r="70" spans="1:13" ht="13.5" thickBot="1">
      <c r="A70" s="573"/>
      <c r="B70" s="574"/>
      <c r="C70" s="574"/>
      <c r="D70" s="1720"/>
      <c r="E70" s="1721"/>
      <c r="F70" s="1722"/>
      <c r="G70" s="1723"/>
      <c r="H70" s="1724"/>
      <c r="I70" s="1724"/>
      <c r="J70" s="1722"/>
      <c r="K70" s="1723"/>
      <c r="L70" s="1724"/>
      <c r="M70" s="1722"/>
    </row>
    <row r="71" spans="1:13">
      <c r="A71" s="575" t="s">
        <v>1348</v>
      </c>
      <c r="J71" s="1536"/>
      <c r="K71" s="1725"/>
      <c r="L71" s="1726"/>
      <c r="M71" s="1727"/>
    </row>
    <row r="72" spans="1:13">
      <c r="A72" s="2053" t="s">
        <v>2196</v>
      </c>
      <c r="D72" s="1694"/>
      <c r="E72" s="1694"/>
      <c r="F72" s="1695"/>
      <c r="G72" s="1695"/>
      <c r="H72" s="1695"/>
      <c r="I72" s="1695"/>
      <c r="J72" s="1696"/>
      <c r="K72" s="1807">
        <v>14805000</v>
      </c>
      <c r="L72" s="1805">
        <v>16402000</v>
      </c>
      <c r="M72" s="1808">
        <v>17477000</v>
      </c>
    </row>
    <row r="73" spans="1:13">
      <c r="A73" s="1836" t="s">
        <v>2197</v>
      </c>
      <c r="D73" s="1694"/>
      <c r="E73" s="1694"/>
      <c r="F73" s="1695"/>
      <c r="G73" s="1695"/>
      <c r="H73" s="1695"/>
      <c r="I73" s="1695"/>
      <c r="J73" s="1696"/>
      <c r="K73" s="1807">
        <v>1250000</v>
      </c>
      <c r="L73" s="1805">
        <v>1250000</v>
      </c>
      <c r="M73" s="1808">
        <v>1250000</v>
      </c>
    </row>
    <row r="74" spans="1:13">
      <c r="A74" s="1836" t="s">
        <v>2198</v>
      </c>
      <c r="D74" s="1694"/>
      <c r="E74" s="1694"/>
      <c r="F74" s="1695"/>
      <c r="G74" s="1695"/>
      <c r="H74" s="1695"/>
      <c r="I74" s="1695"/>
      <c r="J74" s="1696"/>
      <c r="K74" s="1807">
        <v>790000</v>
      </c>
      <c r="L74" s="1805">
        <v>800000</v>
      </c>
      <c r="M74" s="1808">
        <v>900000</v>
      </c>
    </row>
    <row r="75" spans="1:13">
      <c r="A75" s="1836"/>
      <c r="D75" s="1694"/>
      <c r="E75" s="1694"/>
      <c r="F75" s="1695"/>
      <c r="G75" s="1695"/>
      <c r="H75" s="1695"/>
      <c r="I75" s="1695"/>
      <c r="J75" s="1696"/>
      <c r="K75" s="1807"/>
      <c r="L75" s="1805"/>
      <c r="M75" s="1808"/>
    </row>
    <row r="76" spans="1:13" ht="13.5" thickBot="1">
      <c r="D76" s="1694"/>
      <c r="E76" s="1694"/>
      <c r="F76" s="1695"/>
      <c r="G76" s="1695"/>
      <c r="H76" s="1695"/>
      <c r="I76" s="1695"/>
      <c r="J76" s="1696"/>
      <c r="K76" s="1728">
        <f>SUM(K72:K75)</f>
        <v>16845000</v>
      </c>
      <c r="L76" s="1729">
        <f>SUM(L72:L75)</f>
        <v>18452000</v>
      </c>
      <c r="M76" s="1730">
        <f>SUM(M72:M75)</f>
        <v>19627000</v>
      </c>
    </row>
    <row r="77" spans="1:13" ht="13.5" thickTop="1">
      <c r="A77" s="575" t="s">
        <v>288</v>
      </c>
      <c r="J77" s="1536"/>
      <c r="K77" s="192"/>
      <c r="L77" s="189"/>
      <c r="M77" s="792"/>
    </row>
    <row r="78" spans="1:13">
      <c r="A78" s="2053" t="s">
        <v>2170</v>
      </c>
      <c r="D78" s="1694"/>
      <c r="E78" s="1694"/>
      <c r="F78" s="1695"/>
      <c r="G78" s="1695"/>
      <c r="H78" s="1695"/>
      <c r="I78" s="1695"/>
      <c r="J78" s="1696"/>
      <c r="K78" s="1807">
        <v>8479000</v>
      </c>
      <c r="L78" s="1805">
        <v>10308000</v>
      </c>
      <c r="M78" s="1808">
        <v>10875000</v>
      </c>
    </row>
    <row r="79" spans="1:13">
      <c r="A79" s="1836"/>
      <c r="D79" s="1694"/>
      <c r="E79" s="1694"/>
      <c r="F79" s="1695"/>
      <c r="G79" s="1695"/>
      <c r="H79" s="1695"/>
      <c r="I79" s="1695"/>
      <c r="J79" s="1696"/>
      <c r="K79" s="1807"/>
      <c r="L79" s="1805"/>
      <c r="M79" s="1808"/>
    </row>
    <row r="80" spans="1:13">
      <c r="A80" s="1836"/>
      <c r="D80" s="1694"/>
      <c r="E80" s="1694"/>
      <c r="F80" s="1695"/>
      <c r="G80" s="1695"/>
      <c r="H80" s="1695"/>
      <c r="I80" s="1695"/>
      <c r="J80" s="1696"/>
      <c r="K80" s="1807"/>
      <c r="L80" s="1805"/>
      <c r="M80" s="1808"/>
    </row>
    <row r="81" spans="1:14">
      <c r="A81" s="1836"/>
      <c r="D81" s="1694"/>
      <c r="E81" s="1694"/>
      <c r="F81" s="1695"/>
      <c r="G81" s="1695"/>
      <c r="H81" s="1695"/>
      <c r="I81" s="1695"/>
      <c r="J81" s="1696"/>
      <c r="K81" s="1807"/>
      <c r="L81" s="1805"/>
      <c r="M81" s="1808"/>
    </row>
    <row r="82" spans="1:14" ht="13.5" thickBot="1">
      <c r="A82" s="1549"/>
      <c r="B82" s="311"/>
      <c r="C82" s="311"/>
      <c r="D82" s="1697"/>
      <c r="E82" s="1697"/>
      <c r="F82" s="1698"/>
      <c r="G82" s="1698"/>
      <c r="H82" s="1698"/>
      <c r="I82" s="1698"/>
      <c r="J82" s="1699"/>
      <c r="K82" s="1728">
        <f>SUM(K78:K81)</f>
        <v>8479000</v>
      </c>
      <c r="L82" s="1729">
        <f>SUM(L78:L81)</f>
        <v>10308000</v>
      </c>
      <c r="M82" s="1730">
        <f>SUM(M78:M81)</f>
        <v>10875000</v>
      </c>
    </row>
    <row r="83" spans="1:14" ht="13.5" thickTop="1">
      <c r="A83" s="575" t="s">
        <v>704</v>
      </c>
      <c r="M83" s="1560"/>
    </row>
    <row r="84" spans="1:14">
      <c r="A84" s="150" t="str">
        <f>A55</f>
        <v>Change in consumer debtors (current and non-current)</v>
      </c>
      <c r="D84" s="576">
        <f>TREND(E84:G84)</f>
        <v>9317380.5000000019</v>
      </c>
      <c r="E84" s="576">
        <f>E55</f>
        <v>10301474</v>
      </c>
      <c r="F84" s="576">
        <f>F55</f>
        <v>-1968187</v>
      </c>
      <c r="G84" s="336">
        <f>J55</f>
        <v>-8333287</v>
      </c>
      <c r="H84" s="336">
        <f t="shared" ref="H84:M84" si="8">K55</f>
        <v>-4530105.6999999993</v>
      </c>
      <c r="I84" s="336">
        <f t="shared" si="8"/>
        <v>-4081638.2796</v>
      </c>
      <c r="J84" s="336">
        <f t="shared" si="8"/>
        <v>-959275.10071800277</v>
      </c>
      <c r="K84" s="336">
        <f t="shared" si="8"/>
        <v>0</v>
      </c>
      <c r="L84" s="336">
        <f t="shared" si="8"/>
        <v>0</v>
      </c>
      <c r="M84" s="190">
        <f t="shared" si="8"/>
        <v>0</v>
      </c>
    </row>
    <row r="85" spans="1:14" ht="12" customHeight="1">
      <c r="M85" s="1550"/>
    </row>
    <row r="86" spans="1:14">
      <c r="A86" s="1547" t="s">
        <v>1983</v>
      </c>
      <c r="B86" s="1545"/>
      <c r="C86" s="1546"/>
      <c r="D86" s="1700">
        <f>'A1-Sum'!B10</f>
        <v>27161000</v>
      </c>
      <c r="E86" s="1701">
        <f>'A1-Sum'!C10</f>
        <v>69978558.301141277</v>
      </c>
      <c r="F86" s="1702">
        <f>'A1-Sum'!D10</f>
        <v>53367043.982112944</v>
      </c>
      <c r="G86" s="1700">
        <f>'A1-Sum'!E10</f>
        <v>50316615</v>
      </c>
      <c r="H86" s="1701">
        <f>'A1-Sum'!F10</f>
        <v>51005190</v>
      </c>
      <c r="I86" s="1701">
        <f>'A1-Sum'!G10</f>
        <v>41845907</v>
      </c>
      <c r="J86" s="1702">
        <f>'A1-Sum'!H10</f>
        <v>41845907</v>
      </c>
      <c r="K86" s="1700">
        <f>'A1-Sum'!I10</f>
        <v>53204975.883599997</v>
      </c>
      <c r="L86" s="1701">
        <f>'A1-Sum'!J10</f>
        <v>60286500.738375999</v>
      </c>
      <c r="M86" s="1703">
        <f>'A1-Sum'!K10</f>
        <v>64528312.555370003</v>
      </c>
      <c r="N86" s="232"/>
    </row>
    <row r="87" spans="1:14">
      <c r="A87" s="1537" t="s">
        <v>1984</v>
      </c>
      <c r="B87" s="1544"/>
      <c r="C87" s="567"/>
      <c r="D87" s="1601">
        <f>'A1-Sum'!B18</f>
        <v>25927373.270000003</v>
      </c>
      <c r="E87" s="303">
        <f>'A1-Sum'!C18</f>
        <v>50572229.866582453</v>
      </c>
      <c r="F87" s="1604">
        <f>'A1-Sum'!D18</f>
        <v>42245367.146627761</v>
      </c>
      <c r="G87" s="1601">
        <f>'A1-Sum'!E18</f>
        <v>50316675</v>
      </c>
      <c r="H87" s="303">
        <f>'A1-Sum'!F18</f>
        <v>49089155</v>
      </c>
      <c r="I87" s="303">
        <f>'A1-Sum'!G18</f>
        <v>41755670</v>
      </c>
      <c r="J87" s="1604">
        <f>'A1-Sum'!H18</f>
        <v>41755670</v>
      </c>
      <c r="K87" s="1601">
        <f>'A1-Sum'!I18</f>
        <v>69872607.241125479</v>
      </c>
      <c r="L87" s="303">
        <f>'A1-Sum'!J18</f>
        <v>65936041.969858006</v>
      </c>
      <c r="M87" s="1561">
        <f>'A1-Sum'!K18</f>
        <v>70767369.749789476</v>
      </c>
      <c r="N87" s="232"/>
    </row>
    <row r="88" spans="1:14">
      <c r="A88" s="1537" t="s">
        <v>1985</v>
      </c>
      <c r="B88" s="1544"/>
      <c r="C88" s="567"/>
      <c r="D88" s="1601">
        <f>D86-D87</f>
        <v>1233626.7299999967</v>
      </c>
      <c r="E88" s="303">
        <f t="shared" ref="E88:M88" si="9">E86-E87</f>
        <v>19406328.434558824</v>
      </c>
      <c r="F88" s="1604">
        <f t="shared" si="9"/>
        <v>11121676.835485183</v>
      </c>
      <c r="G88" s="1601">
        <f t="shared" si="9"/>
        <v>-60</v>
      </c>
      <c r="H88" s="303">
        <f t="shared" si="9"/>
        <v>1916035</v>
      </c>
      <c r="I88" s="303">
        <f t="shared" si="9"/>
        <v>90237</v>
      </c>
      <c r="J88" s="1604">
        <f t="shared" si="9"/>
        <v>90237</v>
      </c>
      <c r="K88" s="1601">
        <f>K86-K87</f>
        <v>-16667631.357525483</v>
      </c>
      <c r="L88" s="303">
        <f t="shared" si="9"/>
        <v>-5649541.2314820066</v>
      </c>
      <c r="M88" s="1561">
        <f t="shared" si="9"/>
        <v>-6239057.1944194734</v>
      </c>
      <c r="N88" s="232"/>
    </row>
    <row r="89" spans="1:14">
      <c r="A89" s="1537" t="s">
        <v>2071</v>
      </c>
      <c r="B89" s="1544"/>
      <c r="C89" s="567"/>
      <c r="D89" s="1704"/>
      <c r="E89" s="1705"/>
      <c r="F89" s="1706"/>
      <c r="G89" s="1707"/>
      <c r="H89" s="408"/>
      <c r="I89" s="408"/>
      <c r="J89" s="1706"/>
      <c r="K89" s="1704">
        <f>'A7-CFlow'!J38</f>
        <v>16389584.138080001</v>
      </c>
      <c r="L89" s="408"/>
      <c r="M89" s="1670"/>
      <c r="N89" s="232"/>
    </row>
    <row r="90" spans="1:14">
      <c r="A90" s="1526" t="s">
        <v>1986</v>
      </c>
      <c r="B90" s="1548"/>
      <c r="C90" s="407"/>
      <c r="D90" s="276"/>
      <c r="E90" s="276"/>
      <c r="F90" s="538"/>
      <c r="G90" s="540"/>
      <c r="H90" s="1558"/>
      <c r="I90" s="1558"/>
      <c r="J90" s="538"/>
      <c r="K90" s="540"/>
      <c r="L90" s="1558"/>
      <c r="M90" s="539"/>
    </row>
    <row r="91" spans="1:14">
      <c r="A91" s="187" t="s">
        <v>1987</v>
      </c>
      <c r="B91" s="1539"/>
      <c r="C91" s="222"/>
      <c r="D91" s="1597"/>
      <c r="E91" s="1597">
        <f>IF(ISERROR(('A1-Sum'!C10-'A1-Sum'!B10)/'A1-Sum'!B10),0,(('A1-Sum'!C10-'A1-Sum'!B10)/'A1-Sum'!B10))</f>
        <v>1.5764352675211251</v>
      </c>
      <c r="F91" s="1610">
        <f>IF(ISERROR(('A1-Sum'!D10-'A1-Sum'!C10)/'A1-Sum'!C10),0,(('A1-Sum'!D10-'A1-Sum'!C10)/'A1-Sum'!C10))</f>
        <v>-0.23738005929678344</v>
      </c>
      <c r="G91" s="1612">
        <f>IF(ISERROR(('A1-Sum'!E10-'A1-Sum'!D10)/'A1-Sum'!D10),0,(('A1-Sum'!E10-'A1-Sum'!D10)/'A1-Sum'!D10))</f>
        <v>-5.715941439693302E-2</v>
      </c>
      <c r="H91" s="1597">
        <f>IF(ISERROR(('A1-Sum'!F10-'A1-Sum'!E10)/'A1-Sum'!E10),0,(('A1-Sum'!F10-'A1-Sum'!E10)/'A1-Sum'!E10))</f>
        <v>1.3684843465722008E-2</v>
      </c>
      <c r="I91" s="1597">
        <f>IF(ISERROR(('A1-Sum'!G10-'A1-Sum'!F10)/'A1-Sum'!F10),0,(('A1-Sum'!G10-'A1-Sum'!F10)/'A1-Sum'!F10))</f>
        <v>-0.17957550986478044</v>
      </c>
      <c r="J91" s="1610">
        <f>IF(ISERROR(('A1-Sum'!H10-'A1-Sum'!G10)/'A1-Sum'!G10),0,(('A1-Sum'!H10-'A1-Sum'!G10)/'A1-Sum'!G10))</f>
        <v>0</v>
      </c>
      <c r="K91" s="1612">
        <f>IF(ISERROR(('A1-Sum'!I10-'A1-Sum'!F10)/'A1-Sum'!F10),0,(('A1-Sum'!I10-'A1-Sum'!F10)/'A1-Sum'!F10))</f>
        <v>4.3128667565006551E-2</v>
      </c>
      <c r="L91" s="1597">
        <f>IF(ISERROR(('A1-Sum'!J10-'A1-Sum'!I10)/'A1-Sum'!I10),0,(('A1-Sum'!J10-'A1-Sum'!I10)/'A1-Sum'!I10))</f>
        <v>0.13309892048948049</v>
      </c>
      <c r="M91" s="1598">
        <f>IF(ISERROR(('A1-Sum'!K10-'A1-Sum'!J10)/'A1-Sum'!J10),0,(('A1-Sum'!K10-'A1-Sum'!J10)/'A1-Sum'!J10))</f>
        <v>7.0360889503308571E-2</v>
      </c>
    </row>
    <row r="92" spans="1:14">
      <c r="A92" s="187" t="s">
        <v>1988</v>
      </c>
      <c r="B92" s="1539"/>
      <c r="C92" s="222"/>
      <c r="D92" s="1597"/>
      <c r="E92" s="1597">
        <f>IF(ISERROR(('A4-FinPerf RE'!D5-'A4-FinPerf RE'!C5)/'A4-FinPerf RE'!C5),0,(('A4-FinPerf RE'!D5-'A4-FinPerf RE'!C5)/'A4-FinPerf RE'!C5))</f>
        <v>9.4622533065176331E-2</v>
      </c>
      <c r="F92" s="1610">
        <f>IF(ISERROR(('A4-FinPerf RE'!E5-'A4-FinPerf RE'!D5)/'A4-FinPerf RE'!D5),0,(('A4-FinPerf RE'!E5-'A4-FinPerf RE'!D5)/'A4-FinPerf RE'!D5))</f>
        <v>0.43402352220431739</v>
      </c>
      <c r="G92" s="1612">
        <f>IF(ISERROR(('A4-FinPerf RE'!F5-'A4-FinPerf RE'!E5)/'A4-FinPerf RE'!E5),0,(('A4-FinPerf RE'!F5-'A4-FinPerf RE'!E5)/'A4-FinPerf RE'!E5))</f>
        <v>-0.13856736552564841</v>
      </c>
      <c r="H92" s="1597">
        <f>IF(ISERROR(('A4-FinPerf RE'!G5-'A4-FinPerf RE'!F5)/'A4-FinPerf RE'!F5),0,(('A4-FinPerf RE'!G5-'A4-FinPerf RE'!F5)/'A4-FinPerf RE'!F5))</f>
        <v>0</v>
      </c>
      <c r="I92" s="1597">
        <f>IF(ISERROR(('A4-FinPerf RE'!H5-'A4-FinPerf RE'!G5)/'A4-FinPerf RE'!G5),0,(('A4-FinPerf RE'!H5-'A4-FinPerf RE'!G5)/'A4-FinPerf RE'!G5))</f>
        <v>-2.1872621848739495</v>
      </c>
      <c r="J92" s="1610">
        <f>IF(ISERROR(('A4-FinPerf RE'!I5-'A4-FinPerf RE'!H5)/'A4-FinPerf RE'!H5),0,(('A4-FinPerf RE'!I5-'A4-FinPerf RE'!H5)/'A4-FinPerf RE'!H5))</f>
        <v>0</v>
      </c>
      <c r="K92" s="1612">
        <f>IF(ISERROR(('A4-FinPerf RE'!J5-'A4-FinPerf RE'!G5)/'A4-FinPerf RE'!G5),0,(('A4-FinPerf RE'!J5-'A4-FinPerf RE'!G5)/'A4-FinPerf RE'!G5))</f>
        <v>8.688096638655457E-2</v>
      </c>
      <c r="L92" s="1597">
        <f>IF(ISERROR(('A4-FinPerf RE'!K5-'A4-FinPerf RE'!J5)/'A4-FinPerf RE'!J5),0,(('A4-FinPerf RE'!K5-'A4-FinPerf RE'!J5)/'A4-FinPerf RE'!J5))</f>
        <v>6.0000000000000227E-2</v>
      </c>
      <c r="M92" s="1598">
        <f>IF(ISERROR(('A4-FinPerf RE'!L5-'A4-FinPerf RE'!K5)/'A4-FinPerf RE'!K5),0,(('A4-FinPerf RE'!L5-'A4-FinPerf RE'!K5)/'A4-FinPerf RE'!K5))</f>
        <v>5.9999999999999977E-2</v>
      </c>
    </row>
    <row r="93" spans="1:14">
      <c r="A93" s="187" t="s">
        <v>1989</v>
      </c>
      <c r="B93" s="1539"/>
      <c r="C93" s="222"/>
      <c r="D93" s="1597"/>
      <c r="E93" s="1597">
        <f>IF(ISERROR(('A4-FinPerf RE'!D7-'A4-FinPerf RE'!C7)/'A4-FinPerf RE'!C7),0,(('A4-FinPerf RE'!D7-'A4-FinPerf RE'!C7)/'A4-FinPerf RE'!C7))</f>
        <v>0.31606221936450174</v>
      </c>
      <c r="F93" s="1610">
        <f>IF(ISERROR(('A4-FinPerf RE'!E7-'A4-FinPerf RE'!D7)/'A4-FinPerf RE'!D7),0,(('A4-FinPerf RE'!E7-'A4-FinPerf RE'!D7)/'A4-FinPerf RE'!D7))</f>
        <v>0.21680291633576637</v>
      </c>
      <c r="G93" s="1612">
        <f>IF(ISERROR(('A4-FinPerf RE'!F7-'A4-FinPerf RE'!E7)/'A4-FinPerf RE'!E7),0,(('A4-FinPerf RE'!F7-'A4-FinPerf RE'!E7)/'A4-FinPerf RE'!E7))</f>
        <v>0.12170741583516569</v>
      </c>
      <c r="H93" s="1597">
        <f>IF(ISERROR(('A4-FinPerf RE'!G7-'A4-FinPerf RE'!F7)/'A4-FinPerf RE'!F7),0,(('A4-FinPerf RE'!G7-'A4-FinPerf RE'!F7)/'A4-FinPerf RE'!F7))</f>
        <v>-1.7603272163520214E-2</v>
      </c>
      <c r="I93" s="1597">
        <f>IF(ISERROR(('A4-FinPerf RE'!H7-'A4-FinPerf RE'!G7)/'A4-FinPerf RE'!G7),0,(('A4-FinPerf RE'!H7-'A4-FinPerf RE'!G7)/'A4-FinPerf RE'!G7))</f>
        <v>3.5243616719643045E-2</v>
      </c>
      <c r="J93" s="1610">
        <f>IF(ISERROR(('A4-FinPerf RE'!I7-'A4-FinPerf RE'!H7)/'A4-FinPerf RE'!H7),0,(('A4-FinPerf RE'!I7-'A4-FinPerf RE'!H7)/'A4-FinPerf RE'!H7))</f>
        <v>0</v>
      </c>
      <c r="K93" s="1612">
        <f>IF(ISERROR(('A4-FinPerf RE'!J7-'A4-FinPerf RE'!G7)/'A4-FinPerf RE'!G7),0,(('A4-FinPerf RE'!J7-'A4-FinPerf RE'!G7)/'A4-FinPerf RE'!G7))</f>
        <v>-0.21059783489277864</v>
      </c>
      <c r="L93" s="1597">
        <f>IF(ISERROR(('A4-FinPerf RE'!K7-'A4-FinPerf RE'!J7)/'A4-FinPerf RE'!J7),0,(('A4-FinPerf RE'!K7-'A4-FinPerf RE'!J7)/'A4-FinPerf RE'!J7))</f>
        <v>0.55789280426373422</v>
      </c>
      <c r="M93" s="1598">
        <f>IF(ISERROR(('A4-FinPerf RE'!L7-'A4-FinPerf RE'!K7)/'A4-FinPerf RE'!K7),0,(('A4-FinPerf RE'!L7-'A4-FinPerf RE'!K7)/'A4-FinPerf RE'!K7))</f>
        <v>9.4341952197923726E-2</v>
      </c>
    </row>
    <row r="94" spans="1:14">
      <c r="A94" s="310" t="s">
        <v>1990</v>
      </c>
      <c r="B94" s="911"/>
      <c r="C94" s="311"/>
      <c r="D94" s="1556"/>
      <c r="E94" s="1556">
        <f>IF(ISERROR((('A1-Sum'!C5+'A1-Sum'!C6)-('A1-Sum'!B5+'A1-Sum'!B6))/('A1-Sum'!B5+'A1-Sum'!B6)),0,((('A1-Sum'!C5+'A1-Sum'!C6)-('A1-Sum'!B5+'A1-Sum'!B6))/('A1-Sum'!B5+'A1-Sum'!B6)))</f>
        <v>0.19150941689587428</v>
      </c>
      <c r="F94" s="1602">
        <f>IF(ISERROR((('A1-Sum'!D5+'A1-Sum'!D6)-('A1-Sum'!C5+'A1-Sum'!C6))/('A1-Sum'!C5+'A1-Sum'!C6)),0,((('A1-Sum'!D5+'A1-Sum'!D6)-('A1-Sum'!C5+'A1-Sum'!C6))/('A1-Sum'!C5+'A1-Sum'!C6)))</f>
        <v>0.20152644698149924</v>
      </c>
      <c r="G94" s="1607">
        <f>IF(ISERROR((('A1-Sum'!E5+'A1-Sum'!E6)-('A1-Sum'!D5+'A1-Sum'!D6))/('A1-Sum'!D5+'A1-Sum'!D6)),0,((('A1-Sum'!E5+'A1-Sum'!E6)-('A1-Sum'!D5+'A1-Sum'!D6))/('A1-Sum'!D5+'A1-Sum'!D6)))</f>
        <v>4.5050232357112273E-2</v>
      </c>
      <c r="H94" s="1556">
        <f>IF(ISERROR((('A1-Sum'!F5+'A1-Sum'!F6)-('A1-Sum'!E5+'A1-Sum'!E6))/('A1-Sum'!E5+'A1-Sum'!E6)),0,((('A1-Sum'!F5+'A1-Sum'!F6)-('A1-Sum'!E5+'A1-Sum'!E6))/('A1-Sum'!E5+'A1-Sum'!E6)))</f>
        <v>-7.0566038429588519E-3</v>
      </c>
      <c r="I94" s="1556">
        <f>IF(ISERROR((('A1-Sum'!G5+'A1-Sum'!G6)-('A1-Sum'!F5+'A1-Sum'!F6))/('A1-Sum'!F5+'A1-Sum'!F6)),0,((('A1-Sum'!G5+'A1-Sum'!G6)-('A1-Sum'!F5+'A1-Sum'!F6))/('A1-Sum'!F5+'A1-Sum'!F6)))</f>
        <v>-0.34359752113987363</v>
      </c>
      <c r="J94" s="1602">
        <f>IF(ISERROR((('A1-Sum'!H5+'A1-Sum'!H6)-('A1-Sum'!G5+'A1-Sum'!G6))/('A1-Sum'!G5+'A1-Sum'!G6)),0,((('A1-Sum'!H5+'A1-Sum'!H6)-('A1-Sum'!G5+'A1-Sum'!G6))/('A1-Sum'!G5+'A1-Sum'!G6)))</f>
        <v>0</v>
      </c>
      <c r="K94" s="1607">
        <f>IF(ISERROR((('A1-Sum'!I5+'A1-Sum'!I6)-('A1-Sum'!F5+'A1-Sum'!F6))/('A1-Sum'!F5+'A1-Sum'!F6)),0,((('A1-Sum'!I5+'A1-Sum'!I6)-('A1-Sum'!F5+'A1-Sum'!F6))/('A1-Sum'!F5+'A1-Sum'!F6)))</f>
        <v>-0.18138813608868035</v>
      </c>
      <c r="L94" s="1556">
        <f>IF(ISERROR((('A1-Sum'!J5+'A1-Sum'!J6)-('A1-Sum'!I5+'A1-Sum'!I6))/('A1-Sum'!I5+'A1-Sum'!I6)),0,((('A1-Sum'!J5+'A1-Sum'!J6)-('A1-Sum'!I5+'A1-Sum'!I6))/('A1-Sum'!I5+'A1-Sum'!I6)))</f>
        <v>0.28985969865785827</v>
      </c>
      <c r="M94" s="1563">
        <f>IF(ISERROR((('A1-Sum'!K5+'A1-Sum'!K6)-('A1-Sum'!J5+'A1-Sum'!J6))/('A1-Sum'!J5+'A1-Sum'!J6)),0,((('A1-Sum'!K5+'A1-Sum'!K6)-('A1-Sum'!J5+'A1-Sum'!J6))/('A1-Sum'!J5+'A1-Sum'!J6)))</f>
        <v>7.9710165042305783E-2</v>
      </c>
    </row>
    <row r="95" spans="1:14">
      <c r="A95" s="1537" t="s">
        <v>1991</v>
      </c>
      <c r="B95" s="1539"/>
      <c r="D95" s="278"/>
      <c r="E95" s="278"/>
      <c r="F95" s="1603"/>
      <c r="G95" s="1362"/>
      <c r="H95" s="969"/>
      <c r="I95" s="969"/>
      <c r="J95" s="1603"/>
      <c r="K95" s="1362"/>
      <c r="L95" s="969"/>
      <c r="M95" s="1555"/>
    </row>
    <row r="96" spans="1:14">
      <c r="A96" s="187" t="s">
        <v>1992</v>
      </c>
      <c r="B96" s="1539"/>
      <c r="D96" s="1597"/>
      <c r="E96" s="1597">
        <f>IF(ISERROR(('A1-Sum'!C18-'A1-Sum'!B18)/'A1-Sum'!B18),0,(('A1-Sum'!C18-'A1-Sum'!B18)/'A1-Sum'!B18))</f>
        <v>0.95053426122030171</v>
      </c>
      <c r="F96" s="1610">
        <f>IF(ISERROR(('A1-Sum'!D18-'A1-Sum'!C18)/'A1-Sum'!C18),0,(('A1-Sum'!D18-'A1-Sum'!C18)/'A1-Sum'!C18))</f>
        <v>-0.16465286861825698</v>
      </c>
      <c r="G96" s="1612">
        <f>IF(ISERROR(('A1-Sum'!E18-'A1-Sum'!D18)/'A1-Sum'!D18),0,(('A1-Sum'!E18-'A1-Sum'!D18)/'A1-Sum'!D18))</f>
        <v>0.19105782239642652</v>
      </c>
      <c r="H96" s="1597">
        <f>IF(ISERROR(('A1-Sum'!F18-'A1-Sum'!E18)/'A1-Sum'!E18),0,(('A1-Sum'!F18-'A1-Sum'!E18)/'A1-Sum'!E18))</f>
        <v>-2.4395888639302976E-2</v>
      </c>
      <c r="I96" s="1597">
        <f>IF(ISERROR(('A1-Sum'!G18-'A1-Sum'!F18)/'A1-Sum'!F18),0,(('A1-Sum'!G18-'A1-Sum'!F18)/'A1-Sum'!F18))</f>
        <v>-0.14939114352243382</v>
      </c>
      <c r="J96" s="1610">
        <f>IF(ISERROR(('A1-Sum'!H18-'A1-Sum'!G18)/'A1-Sum'!G18),0,(('A1-Sum'!H18-'A1-Sum'!G18)/'A1-Sum'!G18))</f>
        <v>0</v>
      </c>
      <c r="K96" s="1612">
        <f>IF(ISERROR(('A1-Sum'!I18-'A1-Sum'!F18)/'A1-Sum'!F18),0,(('A1-Sum'!I18-'A1-Sum'!F18)/'A1-Sum'!F18))</f>
        <v>0.42338174778371068</v>
      </c>
      <c r="L96" s="1597">
        <f>IF(ISERROR(('A1-Sum'!J18-'A1-Sum'!I18)/'A1-Sum'!I18),0,(('A1-Sum'!J18-'A1-Sum'!I18)/'A1-Sum'!I18))</f>
        <v>-5.6339178208745844E-2</v>
      </c>
      <c r="M96" s="1598">
        <f>IF(ISERROR(('A1-Sum'!K18-'A1-Sum'!J18)/'A1-Sum'!J18),0,(('A1-Sum'!K18-'A1-Sum'!J18)/'A1-Sum'!J18))</f>
        <v>7.3272942014627807E-2</v>
      </c>
    </row>
    <row r="97" spans="1:13">
      <c r="A97" s="187" t="s">
        <v>1993</v>
      </c>
      <c r="B97" s="1539"/>
      <c r="D97" s="1597"/>
      <c r="E97" s="1597">
        <f>IF(ISERROR(('A1-Sum'!C11-'A1-Sum'!B11)/'A1-Sum'!B11),0,(('A1-Sum'!C11-'A1-Sum'!B11)/'A1-Sum'!B11))</f>
        <v>0.11714226245627313</v>
      </c>
      <c r="F97" s="1610">
        <f>IF(ISERROR(('A1-Sum'!D11-'A1-Sum'!C11)/'A1-Sum'!C11),0,(('A1-Sum'!D11-'A1-Sum'!C11)/'A1-Sum'!C11))</f>
        <v>0.14924520682533943</v>
      </c>
      <c r="G97" s="1612">
        <f>IF(ISERROR(('A1-Sum'!E11-'A1-Sum'!D11)/'A1-Sum'!D11),0,(('A1-Sum'!E11-'A1-Sum'!D11)/'A1-Sum'!D11))</f>
        <v>0.37676011377953028</v>
      </c>
      <c r="H97" s="1597">
        <f>IF(ISERROR(('A1-Sum'!F11-'A1-Sum'!E11)/'A1-Sum'!E11),0,(('A1-Sum'!F11-'A1-Sum'!E11)/'A1-Sum'!E11))</f>
        <v>2.8077831759264558E-2</v>
      </c>
      <c r="I97" s="1597">
        <f>IF(ISERROR(('A1-Sum'!G11-'A1-Sum'!F11)/'A1-Sum'!F11),0,(('A1-Sum'!G11-'A1-Sum'!F11)/'A1-Sum'!F11))</f>
        <v>-0.12765560156800149</v>
      </c>
      <c r="J97" s="1610">
        <f>IF(ISERROR(('A1-Sum'!H11-'A1-Sum'!G11)/'A1-Sum'!G11),0,(('A1-Sum'!H11-'A1-Sum'!G11)/'A1-Sum'!G11))</f>
        <v>0</v>
      </c>
      <c r="K97" s="1612">
        <f>IF(ISERROR(('A1-Sum'!I11-'A1-Sum'!F11)/'A1-Sum'!F11),0,(('A1-Sum'!I11-'A1-Sum'!F11)/'A1-Sum'!F11))</f>
        <v>0.21113758340695685</v>
      </c>
      <c r="L97" s="1597">
        <f>IF(ISERROR(('A1-Sum'!J11-'A1-Sum'!I11)/'A1-Sum'!I11),0,(('A1-Sum'!J11-'A1-Sum'!I11)/'A1-Sum'!I11))</f>
        <v>6.1288786256596089E-2</v>
      </c>
      <c r="M97" s="1598">
        <f>IF(ISERROR(('A1-Sum'!K11-'A1-Sum'!J11)/'A1-Sum'!J11),0,(('A1-Sum'!K11-'A1-Sum'!J11)/'A1-Sum'!J11))</f>
        <v>6.8840861956049965E-2</v>
      </c>
    </row>
    <row r="98" spans="1:13">
      <c r="A98" s="187" t="s">
        <v>1994</v>
      </c>
      <c r="B98" s="1539"/>
      <c r="D98" s="1597"/>
      <c r="E98" s="1597">
        <f>IF(ISERROR(('SA1'!D69-'SA1'!C69)/'SA1'!C69),0,(('SA1'!D69-'SA1'!C69)/'SA1'!C69))</f>
        <v>0.39791017269134293</v>
      </c>
      <c r="F98" s="1610">
        <f>IF(ISERROR(('SA1'!E69-'SA1'!D69)/'SA1'!D69),0,(('SA1'!E69-'SA1'!D69)/'SA1'!D69))</f>
        <v>0.41657253838097891</v>
      </c>
      <c r="G98" s="1612">
        <f>IF(ISERROR(('SA1'!F69-'SA1'!E69)/'SA1'!E69),0,(('SA1'!F69-'SA1'!E69)/'SA1'!E69))</f>
        <v>0.28365132889006733</v>
      </c>
      <c r="H98" s="1597">
        <f>IF(ISERROR(('SA1'!G69-'SA1'!F69)/'SA1'!F69),0,(('SA1'!G69-'SA1'!F69)/'SA1'!F69))</f>
        <v>0.12211170201201642</v>
      </c>
      <c r="I98" s="1597">
        <f>IF(ISERROR(('SA1'!H69-'SA1'!G69)/'SA1'!G69),0,(('SA1'!H69-'SA1'!G69)/'SA1'!G69))</f>
        <v>1.1256749999999999E-2</v>
      </c>
      <c r="J98" s="1610">
        <f>IF(ISERROR(('SA1'!I69-'SA1'!H69)/'SA1'!H69),0,(('SA1'!I69-'SA1'!H69)/'SA1'!H69))</f>
        <v>0</v>
      </c>
      <c r="K98" s="1612">
        <f>IF(ISERROR(('SA1'!J69-'SA1'!G69)/'SA1'!G69),0,(('SA1'!J69-'SA1'!G69)/'SA1'!G69))</f>
        <v>0</v>
      </c>
      <c r="L98" s="1597">
        <f>IF(ISERROR(('SA1'!K69-'SA1'!J69)/'SA1'!J69),0,(('SA1'!K69-'SA1'!J69)/'SA1'!J69))</f>
        <v>0.104250625</v>
      </c>
      <c r="M98" s="1598">
        <f>IF(ISERROR(('SA1'!L69-'SA1'!K69)/'SA1'!K69),0,(('SA1'!L69-'SA1'!K69)/'SA1'!K69))</f>
        <v>0.24148503425116921</v>
      </c>
    </row>
    <row r="99" spans="1:13">
      <c r="A99" s="187" t="s">
        <v>2084</v>
      </c>
      <c r="B99" s="1539"/>
      <c r="D99" s="278"/>
      <c r="E99" s="278"/>
      <c r="F99" s="541">
        <f>IF(ISERROR('A1-Sum'!D11/('SA24'!D36+'SA24'!E36-'SA24'!C5)),0,('A1-Sum'!D11/('SA24'!D36+'SA24'!E36-'SA24'!C5)))</f>
        <v>130572.08769230767</v>
      </c>
      <c r="G99" s="1614">
        <f>IF(ISERROR('A1-Sum'!E11/('SA24'!F36-'SA24'!F5)),0,('A1-Sum'!E11/('SA24'!F36-'SA24'!F5)))</f>
        <v>0</v>
      </c>
      <c r="H99" s="969"/>
      <c r="I99" s="969"/>
      <c r="J99" s="1603"/>
      <c r="K99" s="1614">
        <f>IF(ISERROR('A1-Sum'!I11/('SA24'!I36-'SA24'!I5)),0,('A1-Sum'!I11/('SA24'!I36-'SA24'!I5)))</f>
        <v>0</v>
      </c>
      <c r="L99" s="969"/>
      <c r="M99" s="1555"/>
    </row>
    <row r="100" spans="1:13">
      <c r="A100" s="187" t="s">
        <v>1995</v>
      </c>
      <c r="B100" s="1539"/>
      <c r="D100" s="278"/>
      <c r="E100" s="278"/>
      <c r="F100" s="541">
        <f>IF(ISERROR('A1-Sum'!D12/'SA24'!C5),0,('A1-Sum'!D12/'SA24'!C5))</f>
        <v>0</v>
      </c>
      <c r="G100" s="1614">
        <f>IF(ISERROR('A1-Sum'!E12/'SA24'!F5),0,('A1-Sum'!E12/'SA24'!F5))</f>
        <v>0</v>
      </c>
      <c r="H100" s="969"/>
      <c r="I100" s="969"/>
      <c r="J100" s="1603"/>
      <c r="K100" s="1614">
        <f>IF(ISERROR('A1-Sum'!I12/'SA24'!I5),0,('A1-Sum'!I12/'SA24'!I5))</f>
        <v>0</v>
      </c>
      <c r="L100" s="969"/>
      <c r="M100" s="1555"/>
    </row>
    <row r="101" spans="1:13">
      <c r="A101" s="187" t="s">
        <v>1996</v>
      </c>
      <c r="B101" s="1540"/>
      <c r="D101" s="1597">
        <f>'A9-Asset'!C84</f>
        <v>0</v>
      </c>
      <c r="E101" s="1597">
        <f>'A9-Asset'!D84</f>
        <v>0</v>
      </c>
      <c r="F101" s="1610">
        <f>'A9-Asset'!E84</f>
        <v>0</v>
      </c>
      <c r="G101" s="1612">
        <f>'A9-Asset'!F84</f>
        <v>0</v>
      </c>
      <c r="H101" s="1597">
        <f>'A9-Asset'!G84</f>
        <v>0</v>
      </c>
      <c r="I101" s="1597">
        <f>'A9-Asset'!H84</f>
        <v>0</v>
      </c>
      <c r="J101" s="1610"/>
      <c r="K101" s="1612">
        <f>'A9-Asset'!I84</f>
        <v>0</v>
      </c>
      <c r="L101" s="1597">
        <f>'A9-Asset'!J84</f>
        <v>0</v>
      </c>
      <c r="M101" s="1598">
        <f>'A9-Asset'!K84</f>
        <v>0</v>
      </c>
    </row>
    <row r="102" spans="1:13">
      <c r="A102" s="187" t="s">
        <v>1997</v>
      </c>
      <c r="B102" s="1540"/>
      <c r="D102" s="1597">
        <f>'A9-Asset'!C85</f>
        <v>0</v>
      </c>
      <c r="E102" s="1597">
        <f>'A9-Asset'!D85</f>
        <v>0</v>
      </c>
      <c r="F102" s="1610">
        <f>'A9-Asset'!E85</f>
        <v>0</v>
      </c>
      <c r="G102" s="1612">
        <f>'A9-Asset'!F85</f>
        <v>0</v>
      </c>
      <c r="H102" s="1597">
        <f>'A9-Asset'!G85</f>
        <v>0</v>
      </c>
      <c r="I102" s="1597">
        <f>'A9-Asset'!H85</f>
        <v>0</v>
      </c>
      <c r="J102" s="1610"/>
      <c r="K102" s="1612">
        <f>'A9-Asset'!I85</f>
        <v>0</v>
      </c>
      <c r="L102" s="1597">
        <f>'A9-Asset'!J85</f>
        <v>0</v>
      </c>
      <c r="M102" s="1598">
        <f>'A9-Asset'!K85</f>
        <v>0</v>
      </c>
    </row>
    <row r="103" spans="1:13">
      <c r="A103" s="310" t="s">
        <v>1998</v>
      </c>
      <c r="B103" s="1551"/>
      <c r="C103" s="311"/>
      <c r="D103" s="1556">
        <f>'SA10'!D11</f>
        <v>0.15655380867614047</v>
      </c>
      <c r="E103" s="1556">
        <f>'SA10'!E11</f>
        <v>-1.5403698242789971E-2</v>
      </c>
      <c r="F103" s="1602">
        <f>'SA10'!F11</f>
        <v>0.19013199104812056</v>
      </c>
      <c r="G103" s="1607">
        <f>'SA10'!G11</f>
        <v>0</v>
      </c>
      <c r="H103" s="1556">
        <f>'SA10'!H11</f>
        <v>2.8798629185250783E-2</v>
      </c>
      <c r="I103" s="1556">
        <f>'SA10'!I11</f>
        <v>4.8879706279101719E-3</v>
      </c>
      <c r="J103" s="1556">
        <f>'SA10'!J11</f>
        <v>4.8879706279101719E-3</v>
      </c>
      <c r="K103" s="1607">
        <f>'SA10'!K11</f>
        <v>0.55710926892828072</v>
      </c>
      <c r="L103" s="1556">
        <f>'SA10'!L11</f>
        <v>2.7117763248209109E-2</v>
      </c>
      <c r="M103" s="1563">
        <f>'SA10'!M11</f>
        <v>2.5150366004403974E-2</v>
      </c>
    </row>
    <row r="104" spans="1:13">
      <c r="A104" s="1537" t="s">
        <v>1999</v>
      </c>
      <c r="B104" s="1539"/>
      <c r="D104" s="278"/>
      <c r="E104" s="278"/>
      <c r="F104" s="1603"/>
      <c r="G104" s="1362"/>
      <c r="H104" s="969"/>
      <c r="I104" s="969"/>
      <c r="J104" s="1603"/>
      <c r="K104" s="1362"/>
      <c r="L104" s="969"/>
      <c r="M104" s="1555"/>
    </row>
    <row r="105" spans="1:13">
      <c r="A105" s="187" t="s">
        <v>2000</v>
      </c>
      <c r="B105" s="570"/>
      <c r="D105" s="1601">
        <f>'A1-Sum'!B29+'A1-Sum'!B31</f>
        <v>0</v>
      </c>
      <c r="E105" s="303">
        <f>'A1-Sum'!C29+'A1-Sum'!C31</f>
        <v>0</v>
      </c>
      <c r="F105" s="1604">
        <f>'A1-Sum'!D29+'A1-Sum'!D31</f>
        <v>0</v>
      </c>
      <c r="G105" s="1601">
        <f>'A1-Sum'!E29+'A1-Sum'!E31</f>
        <v>0</v>
      </c>
      <c r="H105" s="303">
        <f>'A1-Sum'!F29+'A1-Sum'!F31</f>
        <v>0</v>
      </c>
      <c r="I105" s="303">
        <f>'A1-Sum'!G29+'A1-Sum'!G31</f>
        <v>0</v>
      </c>
      <c r="J105" s="1604">
        <f>'A1-Sum'!H29+'A1-Sum'!H31</f>
        <v>0</v>
      </c>
      <c r="K105" s="1601">
        <f>'A1-Sum'!I29+'A1-Sum'!I31</f>
        <v>0</v>
      </c>
      <c r="L105" s="303">
        <f>'A1-Sum'!J29+'A1-Sum'!J31</f>
        <v>-11537000</v>
      </c>
      <c r="M105" s="1561">
        <f>'A1-Sum'!K29+'A1-Sum'!K31</f>
        <v>0</v>
      </c>
    </row>
    <row r="106" spans="1:13">
      <c r="A106" s="187" t="s">
        <v>2001</v>
      </c>
      <c r="B106" s="570"/>
      <c r="D106" s="1601">
        <f>'A1-Sum'!B30</f>
        <v>0</v>
      </c>
      <c r="E106" s="303">
        <f>'A1-Sum'!C30</f>
        <v>0</v>
      </c>
      <c r="F106" s="1604">
        <f>'A1-Sum'!D30</f>
        <v>0</v>
      </c>
      <c r="G106" s="1601">
        <f>'A1-Sum'!E30</f>
        <v>0</v>
      </c>
      <c r="H106" s="303">
        <f>'A1-Sum'!F30</f>
        <v>0</v>
      </c>
      <c r="I106" s="303">
        <f>'A1-Sum'!G30</f>
        <v>0</v>
      </c>
      <c r="J106" s="1604">
        <f>'A1-Sum'!H30</f>
        <v>0</v>
      </c>
      <c r="K106" s="1601">
        <f>'A1-Sum'!I30</f>
        <v>0</v>
      </c>
      <c r="L106" s="303">
        <f>'A1-Sum'!J30</f>
        <v>0</v>
      </c>
      <c r="M106" s="1561">
        <f>'A1-Sum'!K30</f>
        <v>0</v>
      </c>
    </row>
    <row r="107" spans="1:13">
      <c r="A107" s="187" t="s">
        <v>2002</v>
      </c>
      <c r="B107" s="570"/>
      <c r="D107" s="1601">
        <f>'A1-Sum'!B28</f>
        <v>0</v>
      </c>
      <c r="E107" s="303">
        <f>'A1-Sum'!C28</f>
        <v>0</v>
      </c>
      <c r="F107" s="1604">
        <f>'A1-Sum'!D28</f>
        <v>0</v>
      </c>
      <c r="G107" s="1601">
        <f>'A1-Sum'!E28</f>
        <v>0</v>
      </c>
      <c r="H107" s="303">
        <f>'A1-Sum'!F28</f>
        <v>0</v>
      </c>
      <c r="I107" s="303">
        <f>'A1-Sum'!G28</f>
        <v>0</v>
      </c>
      <c r="J107" s="1604">
        <f>'A1-Sum'!H28</f>
        <v>0</v>
      </c>
      <c r="K107" s="1601">
        <f>'A1-Sum'!I28</f>
        <v>9488000</v>
      </c>
      <c r="L107" s="303">
        <f>'A1-Sum'!J28</f>
        <v>11537000</v>
      </c>
      <c r="M107" s="1561">
        <f>'A1-Sum'!K28</f>
        <v>12171000</v>
      </c>
    </row>
    <row r="108" spans="1:13">
      <c r="A108" s="187" t="s">
        <v>2003</v>
      </c>
      <c r="B108" s="1541"/>
      <c r="D108" s="1557">
        <f>IF(ISERROR(('A1-Sum'!B29+'A1-Sum'!B31)/('A1-Sum'!B32-'A1-Sum'!B28)),0,(('A1-Sum'!B29+'A1-Sum'!B31)/('A1-Sum'!B32-'A1-Sum'!B28)))</f>
        <v>0</v>
      </c>
      <c r="E108" s="1557">
        <f>IF(ISERROR(('A1-Sum'!C29+'A1-Sum'!C31)/('A1-Sum'!C32-'A1-Sum'!C28)),0,(('A1-Sum'!C29+'A1-Sum'!C31)/('A1-Sum'!C32-'A1-Sum'!C28)))</f>
        <v>0</v>
      </c>
      <c r="F108" s="1605">
        <f>IF(ISERROR(('A1-Sum'!D29+'A1-Sum'!D31)/('A1-Sum'!D32-'A1-Sum'!D28)),0,(('A1-Sum'!D29+'A1-Sum'!D31)/('A1-Sum'!D32-'A1-Sum'!D28)))</f>
        <v>0</v>
      </c>
      <c r="G108" s="1608">
        <f>IF(ISERROR(('A1-Sum'!E29+'A1-Sum'!E31)/('A1-Sum'!E32-'A1-Sum'!E28)),0,(('A1-Sum'!E29+'A1-Sum'!E31)/('A1-Sum'!E32-'A1-Sum'!E28)))</f>
        <v>0</v>
      </c>
      <c r="H108" s="1557">
        <f>IF(ISERROR(('A1-Sum'!F29+'A1-Sum'!F31)/('A1-Sum'!F32-'A1-Sum'!F28)),0,(('A1-Sum'!F29+'A1-Sum'!F31)/('A1-Sum'!F32-'A1-Sum'!F28)))</f>
        <v>0</v>
      </c>
      <c r="I108" s="1557">
        <f>IF(ISERROR(('A1-Sum'!G29+'A1-Sum'!G31)/('A1-Sum'!G32-'A1-Sum'!G28)),0,(('A1-Sum'!G29+'A1-Sum'!G31)/('A1-Sum'!G32-'A1-Sum'!G28)))</f>
        <v>0</v>
      </c>
      <c r="J108" s="1605">
        <f>IF(ISERROR(('A1-Sum'!H29+'A1-Sum'!H31)/('A1-Sum'!H32-'A1-Sum'!H28)),0,(('A1-Sum'!H29+'A1-Sum'!H31)/('A1-Sum'!H32-'A1-Sum'!H28)))</f>
        <v>0</v>
      </c>
      <c r="K108" s="1608">
        <f>IF(ISERROR(('A1-Sum'!I29+'A1-Sum'!I31)/('A1-Sum'!I32-'A1-Sum'!I28)),0,(('A1-Sum'!I29+'A1-Sum'!I31)/('A1-Sum'!I32-'A1-Sum'!I28)))</f>
        <v>0</v>
      </c>
      <c r="L108" s="1557">
        <f>IF(ISERROR(('A1-Sum'!J29+'A1-Sum'!J31)/('A1-Sum'!J32-'A1-Sum'!J28)),0,(('A1-Sum'!J29+'A1-Sum'!J31)/('A1-Sum'!J32-'A1-Sum'!J28)))</f>
        <v>1</v>
      </c>
      <c r="M108" s="1564">
        <f>IF(ISERROR(('A1-Sum'!K29+'A1-Sum'!K31)/('A1-Sum'!K32-'A1-Sum'!K28)),0,(('A1-Sum'!K29+'A1-Sum'!K31)/('A1-Sum'!K32-'A1-Sum'!K28)))</f>
        <v>0</v>
      </c>
    </row>
    <row r="109" spans="1:13">
      <c r="A109" s="187" t="s">
        <v>2004</v>
      </c>
      <c r="B109" s="1541"/>
      <c r="D109" s="1557">
        <f>IF(ISERROR('A1-Sum'!B30/('A1-Sum'!B32-'A1-Sum'!B28)),0,('A1-Sum'!B30/('A1-Sum'!B32-'A1-Sum'!B28)))</f>
        <v>0</v>
      </c>
      <c r="E109" s="1557">
        <f>IF(ISERROR('A1-Sum'!C30/('A1-Sum'!C32-'A1-Sum'!C28)),0,('A1-Sum'!C30/('A1-Sum'!C32-'A1-Sum'!C28)))</f>
        <v>0</v>
      </c>
      <c r="F109" s="1605">
        <f>IF(ISERROR('A1-Sum'!D30/('A1-Sum'!D32-'A1-Sum'!D28)),0,('A1-Sum'!D30/('A1-Sum'!D32-'A1-Sum'!D28)))</f>
        <v>0</v>
      </c>
      <c r="G109" s="1608">
        <f>IF(ISERROR('A1-Sum'!E30/('A1-Sum'!E32-'A1-Sum'!E28)),0,('A1-Sum'!E30/('A1-Sum'!E32-'A1-Sum'!E28)))</f>
        <v>0</v>
      </c>
      <c r="H109" s="1557">
        <f>IF(ISERROR('A1-Sum'!F30/('A1-Sum'!F32-'A1-Sum'!F28)),0,('A1-Sum'!F30/('A1-Sum'!F32-'A1-Sum'!F28)))</f>
        <v>0</v>
      </c>
      <c r="I109" s="1557">
        <f>IF(ISERROR('A1-Sum'!G30/('A1-Sum'!G32-'A1-Sum'!G28)),0,('A1-Sum'!G30/('A1-Sum'!G32-'A1-Sum'!G28)))</f>
        <v>0</v>
      </c>
      <c r="J109" s="1605">
        <f>IF(ISERROR('A1-Sum'!H30/('A1-Sum'!H32-'A1-Sum'!H28)),0,('A1-Sum'!H30/('A1-Sum'!H32-'A1-Sum'!H28)))</f>
        <v>0</v>
      </c>
      <c r="K109" s="1608">
        <f>IF(ISERROR('A1-Sum'!I30/('A1-Sum'!I32-'A1-Sum'!I28)),0,('A1-Sum'!I30/('A1-Sum'!I32-'A1-Sum'!I28)))</f>
        <v>0</v>
      </c>
      <c r="L109" s="1557">
        <f>IF(ISERROR('A1-Sum'!J30/('A1-Sum'!J32-'A1-Sum'!J28)),0,('A1-Sum'!J30/('A1-Sum'!J32-'A1-Sum'!J28)))</f>
        <v>0</v>
      </c>
      <c r="M109" s="1564">
        <f>IF(ISERROR('A1-Sum'!K30/('A1-Sum'!K32-'A1-Sum'!K28)),0,('A1-Sum'!K30/('A1-Sum'!K32-'A1-Sum'!K28)))</f>
        <v>0</v>
      </c>
    </row>
    <row r="110" spans="1:13">
      <c r="A110" s="1549" t="s">
        <v>2005</v>
      </c>
      <c r="B110" s="1551"/>
      <c r="C110" s="311"/>
      <c r="D110" s="1599">
        <f>IF(ISERROR('A1-Sum'!B28/'A1-Sum'!B32),0,('A1-Sum'!B28/'A1-Sum'!B32))</f>
        <v>0</v>
      </c>
      <c r="E110" s="1599">
        <f>IF(ISERROR('A1-Sum'!C28/'A1-Sum'!C32),0,('A1-Sum'!C28/'A1-Sum'!C32))</f>
        <v>0</v>
      </c>
      <c r="F110" s="1606">
        <f>IF(ISERROR('A1-Sum'!D28/'A1-Sum'!D32),0,('A1-Sum'!D28/'A1-Sum'!D32))</f>
        <v>0</v>
      </c>
      <c r="G110" s="1609">
        <f>IF(ISERROR('A1-Sum'!E28/'A1-Sum'!E32),0,('A1-Sum'!E28/'A1-Sum'!E32))</f>
        <v>0</v>
      </c>
      <c r="H110" s="1599">
        <f>IF(ISERROR('A1-Sum'!F28/'A1-Sum'!F32),0,('A1-Sum'!F28/'A1-Sum'!F32))</f>
        <v>0</v>
      </c>
      <c r="I110" s="1599">
        <f>IF(ISERROR('A1-Sum'!G28/'A1-Sum'!G32),0,('A1-Sum'!G28/'A1-Sum'!G32))</f>
        <v>0</v>
      </c>
      <c r="J110" s="1606">
        <f>IF(ISERROR('A1-Sum'!H28/'A1-Sum'!H32),0,('A1-Sum'!H28/'A1-Sum'!H32))</f>
        <v>0</v>
      </c>
      <c r="K110" s="1609">
        <f>IF(ISERROR('A1-Sum'!I28/'A1-Sum'!I32),0,('A1-Sum'!I28/'A1-Sum'!I32))</f>
        <v>1</v>
      </c>
      <c r="L110" s="1599">
        <f>IF(ISERROR('A1-Sum'!J28/'A1-Sum'!J32),0,('A1-Sum'!J28/'A1-Sum'!J32))</f>
        <v>0</v>
      </c>
      <c r="M110" s="1600">
        <f>IF(ISERROR('A1-Sum'!K28/'A1-Sum'!K32),0,('A1-Sum'!K28/'A1-Sum'!K32))</f>
        <v>1</v>
      </c>
    </row>
    <row r="111" spans="1:13">
      <c r="A111" s="1537" t="s">
        <v>2006</v>
      </c>
      <c r="B111" s="1539"/>
      <c r="D111" s="278"/>
      <c r="E111" s="278"/>
      <c r="F111" s="1603"/>
      <c r="G111" s="1362"/>
      <c r="H111" s="969"/>
      <c r="I111" s="969"/>
      <c r="J111" s="1603"/>
      <c r="K111" s="1362"/>
      <c r="L111" s="969"/>
      <c r="M111" s="1555"/>
    </row>
    <row r="112" spans="1:13">
      <c r="A112" s="232" t="s">
        <v>2007</v>
      </c>
      <c r="B112" s="570"/>
      <c r="D112" s="1601">
        <f>'A1-Sum'!B27</f>
        <v>0</v>
      </c>
      <c r="E112" s="303">
        <f>'A1-Sum'!C27</f>
        <v>0</v>
      </c>
      <c r="F112" s="1604">
        <f>'A1-Sum'!D27</f>
        <v>0</v>
      </c>
      <c r="G112" s="1601">
        <f>'A1-Sum'!E27</f>
        <v>0</v>
      </c>
      <c r="H112" s="303">
        <f>'A1-Sum'!F27</f>
        <v>0</v>
      </c>
      <c r="I112" s="303">
        <f>'A1-Sum'!G27</f>
        <v>0</v>
      </c>
      <c r="J112" s="1604">
        <f>'A1-Sum'!H27</f>
        <v>0</v>
      </c>
      <c r="K112" s="1601">
        <f>'A1-Sum'!I27</f>
        <v>9488000</v>
      </c>
      <c r="L112" s="303">
        <f>'A1-Sum'!J27</f>
        <v>0</v>
      </c>
      <c r="M112" s="1561">
        <f>'A1-Sum'!K27</f>
        <v>0</v>
      </c>
    </row>
    <row r="113" spans="1:13">
      <c r="A113" s="232" t="s">
        <v>2008</v>
      </c>
      <c r="B113" s="570"/>
      <c r="D113" s="1601">
        <f>'A1-Sum'!B55</f>
        <v>0</v>
      </c>
      <c r="E113" s="303">
        <f>'A1-Sum'!C55</f>
        <v>0</v>
      </c>
      <c r="F113" s="1604">
        <f>'A1-Sum'!D55</f>
        <v>0</v>
      </c>
      <c r="G113" s="1601">
        <f>'A1-Sum'!E55</f>
        <v>0</v>
      </c>
      <c r="H113" s="303">
        <f>'A1-Sum'!F55</f>
        <v>0</v>
      </c>
      <c r="I113" s="303">
        <f>'A1-Sum'!G55</f>
        <v>0</v>
      </c>
      <c r="J113" s="1604">
        <f>'A1-Sum'!H55</f>
        <v>0</v>
      </c>
      <c r="K113" s="1601">
        <f>'A1-Sum'!I55</f>
        <v>0</v>
      </c>
      <c r="L113" s="303">
        <f>'A1-Sum'!J55</f>
        <v>0</v>
      </c>
      <c r="M113" s="1561">
        <f>'A1-Sum'!K55</f>
        <v>0</v>
      </c>
    </row>
    <row r="114" spans="1:13">
      <c r="A114" s="1549" t="s">
        <v>2009</v>
      </c>
      <c r="B114" s="1551"/>
      <c r="C114" s="311"/>
      <c r="D114" s="1556">
        <f>IF(ISERROR('A1-Sum'!B95/'A1-Sum'!B94),0,('A1-Sum'!B95/'A1-Sum'!B94))</f>
        <v>0</v>
      </c>
      <c r="E114" s="1556">
        <f>IF(ISERROR('A1-Sum'!C95/'A1-Sum'!C94),0,('A1-Sum'!C95/'A1-Sum'!C94))</f>
        <v>0</v>
      </c>
      <c r="F114" s="1602">
        <f>IF(ISERROR('A1-Sum'!D95/'A1-Sum'!D94),0,('A1-Sum'!D95/'A1-Sum'!D94))</f>
        <v>0</v>
      </c>
      <c r="G114" s="1607">
        <f>IF(ISERROR('A1-Sum'!E95/'A1-Sum'!E94),0,('A1-Sum'!E95/'A1-Sum'!E94))</f>
        <v>0</v>
      </c>
      <c r="H114" s="1556">
        <f>IF(ISERROR('A1-Sum'!F95/'A1-Sum'!F94),0,('A1-Sum'!F95/'A1-Sum'!F94))</f>
        <v>0</v>
      </c>
      <c r="I114" s="1556">
        <f>IF(ISERROR('A1-Sum'!G95/'A1-Sum'!G94),0,('A1-Sum'!G95/'A1-Sum'!G94))</f>
        <v>0</v>
      </c>
      <c r="J114" s="1602">
        <f>IF(ISERROR('A1-Sum'!H95/'A1-Sum'!H94),0,('A1-Sum'!H95/'A1-Sum'!H94))</f>
        <v>0</v>
      </c>
      <c r="K114" s="1607">
        <f>IF(ISERROR('A1-Sum'!I95/'A1-Sum'!I94),0,('A1-Sum'!I95/'A1-Sum'!I94))</f>
        <v>0</v>
      </c>
      <c r="L114" s="1556">
        <f>IF(ISERROR('A1-Sum'!J95/'A1-Sum'!J94),0,('A1-Sum'!J95/'A1-Sum'!J94))</f>
        <v>0</v>
      </c>
      <c r="M114" s="1563">
        <f>IF(ISERROR('A1-Sum'!K95/'A1-Sum'!K94),0,('A1-Sum'!K95/'A1-Sum'!K94))</f>
        <v>0</v>
      </c>
    </row>
    <row r="115" spans="1:13">
      <c r="A115" s="1537" t="s">
        <v>733</v>
      </c>
      <c r="B115" s="1539"/>
      <c r="D115" s="278"/>
      <c r="E115" s="278"/>
      <c r="F115" s="1603"/>
      <c r="G115" s="1362"/>
      <c r="H115" s="969"/>
      <c r="I115" s="969"/>
      <c r="J115" s="1603"/>
      <c r="K115" s="1362"/>
      <c r="L115" s="969"/>
      <c r="M115" s="1555"/>
    </row>
    <row r="116" spans="1:13">
      <c r="A116" s="232" t="s">
        <v>2010</v>
      </c>
      <c r="B116" s="1541"/>
      <c r="D116" s="1557">
        <f>'SA10'!D10</f>
        <v>0.70877035645598174</v>
      </c>
      <c r="E116" s="1557">
        <f>'SA10'!E10</f>
        <v>0.83738208022036575</v>
      </c>
      <c r="F116" s="1605">
        <f>'SA10'!F10</f>
        <v>1.8527046747342819</v>
      </c>
      <c r="G116" s="1608">
        <f>'SA10'!G10</f>
        <v>1.2084409570708912</v>
      </c>
      <c r="H116" s="1557">
        <f>'SA10'!H10</f>
        <v>0.97336783181999831</v>
      </c>
      <c r="I116" s="1557">
        <f>'SA10'!I10</f>
        <v>0</v>
      </c>
      <c r="J116" s="1605">
        <f>'SA10'!J10</f>
        <v>-0.38022605172821689</v>
      </c>
      <c r="K116" s="1608">
        <f>'SA10'!K10</f>
        <v>0.47807779962998398</v>
      </c>
      <c r="L116" s="1557">
        <f>'SA10'!L10</f>
        <v>0.47413830616522923</v>
      </c>
      <c r="M116" s="1564">
        <f>'SA10'!M10</f>
        <v>0.57705661138631958</v>
      </c>
    </row>
    <row r="117" spans="1:13">
      <c r="A117" s="1549" t="s">
        <v>2011</v>
      </c>
      <c r="B117" s="1552"/>
      <c r="C117" s="311"/>
      <c r="D117" s="1559">
        <f>'SA10'!D7</f>
        <v>-0.27884050766358542</v>
      </c>
      <c r="E117" s="1559">
        <f>'SA10'!E7</f>
        <v>-4.0282752181251569</v>
      </c>
      <c r="F117" s="1611">
        <f>'SA10'!F7</f>
        <v>5.9544280354923131</v>
      </c>
      <c r="G117" s="1613">
        <f>'SA10'!G7</f>
        <v>27.553960013605316</v>
      </c>
      <c r="H117" s="1559">
        <f>'SA10'!H7</f>
        <v>5.1700855412803115</v>
      </c>
      <c r="I117" s="1559">
        <f>'SA10'!I7</f>
        <v>5.6755636334149733</v>
      </c>
      <c r="J117" s="1611">
        <f>'SA10'!J7</f>
        <v>5.3824325523413457</v>
      </c>
      <c r="K117" s="1613">
        <f>'SA10'!K7</f>
        <v>4.2373987511305469</v>
      </c>
      <c r="L117" s="1559">
        <f>'SA10'!L7</f>
        <v>-0.9021580302851161</v>
      </c>
      <c r="M117" s="1565">
        <f>'SA10'!M7</f>
        <v>-5.8804623806389982</v>
      </c>
    </row>
    <row r="118" spans="1:13">
      <c r="A118" s="1537" t="s">
        <v>1374</v>
      </c>
      <c r="B118" s="1539"/>
      <c r="D118" s="278"/>
      <c r="E118" s="278"/>
      <c r="F118" s="1603"/>
      <c r="G118" s="1362"/>
      <c r="H118" s="969"/>
      <c r="I118" s="969"/>
      <c r="J118" s="1603"/>
      <c r="K118" s="1362"/>
      <c r="L118" s="969"/>
      <c r="M118" s="1555"/>
    </row>
    <row r="119" spans="1:13">
      <c r="A119" s="1538" t="s">
        <v>615</v>
      </c>
      <c r="B119" s="1541"/>
      <c r="D119" s="1597">
        <f>'SA8'!C5</f>
        <v>0</v>
      </c>
      <c r="E119" s="1597">
        <f>'SA8'!D5</f>
        <v>9.9247324463880085E-3</v>
      </c>
      <c r="F119" s="1610">
        <f>'SA8'!E5</f>
        <v>1.090853934969563E-2</v>
      </c>
      <c r="G119" s="1612">
        <f>'SA8'!F5</f>
        <v>1.011934038881989E-2</v>
      </c>
      <c r="H119" s="1597">
        <f>'SA8'!G5</f>
        <v>7.0182852458126305E-2</v>
      </c>
      <c r="I119" s="1597">
        <f>'SA8'!H5</f>
        <v>0</v>
      </c>
      <c r="J119" s="1610">
        <f>'SA8'!I5</f>
        <v>0</v>
      </c>
      <c r="K119" s="1612">
        <f>'SA8'!J5</f>
        <v>9.0253927779832179E-3</v>
      </c>
      <c r="L119" s="1597">
        <f>'SA8'!K5</f>
        <v>1.009103365791943E-2</v>
      </c>
      <c r="M119" s="1598">
        <f>'SA8'!L5</f>
        <v>9.0997579327506614E-3</v>
      </c>
    </row>
    <row r="120" spans="1:13">
      <c r="A120" s="1538" t="s">
        <v>2012</v>
      </c>
      <c r="B120" s="1539"/>
      <c r="D120" s="1562"/>
      <c r="E120" s="278"/>
      <c r="F120" s="1603"/>
      <c r="G120" s="1362"/>
      <c r="H120" s="969"/>
      <c r="I120" s="969"/>
      <c r="J120" s="1603"/>
      <c r="K120" s="1614">
        <f>'SA8'!F6</f>
        <v>0</v>
      </c>
      <c r="L120" s="969"/>
      <c r="M120" s="1555"/>
    </row>
    <row r="121" spans="1:13">
      <c r="A121" s="1538" t="s">
        <v>2013</v>
      </c>
      <c r="B121" s="1541"/>
      <c r="D121" s="1597">
        <f>'SA8'!C7</f>
        <v>3.8148874860107256E-2</v>
      </c>
      <c r="E121" s="1597">
        <f>'SA8'!D7</f>
        <v>1.2895871345213283E-2</v>
      </c>
      <c r="F121" s="1610">
        <f>'SA8'!E7</f>
        <v>1.739299643082054E-2</v>
      </c>
      <c r="G121" s="1612">
        <f>'SA8'!F7</f>
        <v>0.18099367654957327</v>
      </c>
      <c r="H121" s="1597">
        <f>'SA8'!G7</f>
        <v>5.0927745649726507E-3</v>
      </c>
      <c r="I121" s="1597">
        <f>'SA8'!H7</f>
        <v>8.2111722791180213E-3</v>
      </c>
      <c r="J121" s="1610">
        <f>'SA8'!I7</f>
        <v>8.2111722791180213E-3</v>
      </c>
      <c r="K121" s="1612">
        <f>'SA8'!J7</f>
        <v>3.3518142409054839E-2</v>
      </c>
      <c r="L121" s="1597">
        <f>'SA8'!K7</f>
        <v>3.790036413077983E-2</v>
      </c>
      <c r="M121" s="1598">
        <f>'SA8'!L7</f>
        <v>3.5454193208974874E-2</v>
      </c>
    </row>
    <row r="122" spans="1:13">
      <c r="A122" s="1553" t="s">
        <v>2014</v>
      </c>
      <c r="B122" s="1551"/>
      <c r="C122" s="311"/>
      <c r="D122" s="1556">
        <f>'SA10'!D13</f>
        <v>0</v>
      </c>
      <c r="E122" s="1556">
        <f>'SA10'!E13</f>
        <v>0</v>
      </c>
      <c r="F122" s="1602">
        <f>'SA10'!F13</f>
        <v>0</v>
      </c>
      <c r="G122" s="1607">
        <f>'SA10'!G13</f>
        <v>0</v>
      </c>
      <c r="H122" s="1556">
        <f>'SA10'!H13</f>
        <v>0</v>
      </c>
      <c r="I122" s="1556">
        <f>'SA10'!I13</f>
        <v>0</v>
      </c>
      <c r="J122" s="1602">
        <f>'SA10'!J13</f>
        <v>0</v>
      </c>
      <c r="K122" s="1607">
        <f>'SA10'!K13</f>
        <v>0</v>
      </c>
      <c r="L122" s="1556">
        <f>'SA10'!L13</f>
        <v>0</v>
      </c>
      <c r="M122" s="1563">
        <f>'SA10'!M13</f>
        <v>0</v>
      </c>
    </row>
    <row r="123" spans="1:13">
      <c r="A123" s="1537" t="s">
        <v>788</v>
      </c>
      <c r="B123" s="1539"/>
      <c r="D123" s="278"/>
      <c r="E123" s="278"/>
      <c r="F123" s="1603"/>
      <c r="G123" s="1362"/>
      <c r="H123" s="969"/>
      <c r="I123" s="969"/>
      <c r="J123" s="1603"/>
      <c r="K123" s="1362"/>
      <c r="L123" s="969"/>
      <c r="M123" s="539"/>
    </row>
    <row r="124" spans="1:13">
      <c r="A124" s="1549" t="s">
        <v>1831</v>
      </c>
      <c r="B124" s="1554"/>
      <c r="C124" s="311"/>
      <c r="D124" s="1559">
        <f>'A8-ResRecon'!C19</f>
        <v>0</v>
      </c>
      <c r="E124" s="1559">
        <f>'A8-ResRecon'!D19</f>
        <v>7001454</v>
      </c>
      <c r="F124" s="1611">
        <f>'A8-ResRecon'!E19</f>
        <v>2519835</v>
      </c>
      <c r="G124" s="1613">
        <f>'A8-ResRecon'!F19</f>
        <v>1360400</v>
      </c>
      <c r="H124" s="1559">
        <f>'A8-ResRecon'!G19</f>
        <v>8018286.2000000048</v>
      </c>
      <c r="I124" s="1559">
        <f>'A8-ResRecon'!H19</f>
        <v>9072380.5500000045</v>
      </c>
      <c r="J124" s="1611">
        <f>'A8-ResRecon'!I19</f>
        <v>-1344218.8130000001</v>
      </c>
      <c r="K124" s="1613">
        <f>'A8-ResRecon'!J19</f>
        <v>10512360.671220005</v>
      </c>
      <c r="L124" s="1559">
        <f>'A8-ResRecon'!K19</f>
        <v>11929101.4976632</v>
      </c>
      <c r="M124" s="1565">
        <f>'A8-ResRecon'!L19</f>
        <v>20131470.891584583</v>
      </c>
    </row>
    <row r="125" spans="1:13">
      <c r="A125" s="1537" t="s">
        <v>2015</v>
      </c>
      <c r="B125" s="1539"/>
      <c r="D125" s="278"/>
      <c r="E125" s="278"/>
      <c r="F125" s="1603"/>
      <c r="G125" s="1362"/>
      <c r="H125" s="969"/>
      <c r="I125" s="969"/>
      <c r="J125" s="539"/>
      <c r="K125" s="1562"/>
      <c r="L125" s="969"/>
      <c r="M125" s="1555"/>
    </row>
    <row r="126" spans="1:13">
      <c r="A126" s="232" t="s">
        <v>2016</v>
      </c>
      <c r="B126" s="1542"/>
      <c r="D126" s="1597">
        <f>IF(ISERROR('A10-SerDel'!C59/'SA18'!C8),0,('A10-SerDel'!C59/'SA18'!C8))</f>
        <v>0</v>
      </c>
      <c r="E126" s="1597">
        <f>IF(ISERROR('A10-SerDel'!D59/'SA18'!D8),0,('A10-SerDel'!D59/'SA18'!D8))</f>
        <v>0</v>
      </c>
      <c r="F126" s="1610">
        <f>IF(ISERROR('A10-SerDel'!E59/'SA18'!E8),0,('A10-SerDel'!E59/'SA18'!E8))</f>
        <v>0</v>
      </c>
      <c r="G126" s="1612">
        <f>IF(ISERROR('A10-SerDel'!F59/'SA18'!F8),0,('A10-SerDel'!F59/'SA18'!F8))</f>
        <v>0</v>
      </c>
      <c r="H126" s="1597">
        <f>IF(ISERROR('A10-SerDel'!G59/'SA18'!G8),0,('A10-SerDel'!G59/'SA18'!G8))</f>
        <v>0</v>
      </c>
      <c r="I126" s="1597">
        <f>IF(ISERROR('A10-SerDel'!H59/'SA18'!H8),0,('A10-SerDel'!H59/'SA18'!H8))</f>
        <v>0</v>
      </c>
      <c r="J126" s="1598"/>
      <c r="K126" s="1615">
        <f>IF(ISERROR('A10-SerDel'!I59/'SA18'!I8),0,('A10-SerDel'!I59/'SA18'!I8))</f>
        <v>0</v>
      </c>
      <c r="L126" s="1597">
        <f>IF(ISERROR('A10-SerDel'!J59/'SA18'!J8),0,('A10-SerDel'!J59/'SA18'!J8))</f>
        <v>0</v>
      </c>
      <c r="M126" s="1598">
        <f>IF(ISERROR('A10-SerDel'!K59/'SA18'!K8),0,('A10-SerDel'!K59/'SA18'!K8))</f>
        <v>0</v>
      </c>
    </row>
    <row r="127" spans="1:13" ht="25.5">
      <c r="A127" s="1543" t="s">
        <v>2017</v>
      </c>
      <c r="B127" s="1541"/>
      <c r="D127" s="1597">
        <f>IF(ISERROR('A10-SerDel'!C78/('A1-Sum'!B10-'A1-Sum'!B8)),0,('A10-SerDel'!C78/('A1-Sum'!B10-'A1-Sum'!B8)))</f>
        <v>0</v>
      </c>
      <c r="E127" s="1597">
        <f>IF(ISERROR('A10-SerDel'!D78/('A1-Sum'!C10-'A1-Sum'!C8)),0,('A10-SerDel'!D78/('A1-Sum'!C10-'A1-Sum'!C8)))</f>
        <v>5.592038469814116E-2</v>
      </c>
      <c r="F127" s="1598">
        <f>IF(ISERROR('A10-SerDel'!E78/('A1-Sum'!D10-'A1-Sum'!D8)),0,('A10-SerDel'!E78/('A1-Sum'!D10-'A1-Sum'!D8)))</f>
        <v>7.2648751050623253E-2</v>
      </c>
      <c r="G127" s="1615">
        <f>IF(ISERROR('A10-SerDel'!F78/('A1-Sum'!E10-'A1-Sum'!E8)),0,('A10-SerDel'!F78/('A1-Sum'!E10-'A1-Sum'!E8)))</f>
        <v>5.6876124148902391E-2</v>
      </c>
      <c r="H127" s="1597">
        <f>IF(ISERROR('A10-SerDel'!G78/('A1-Sum'!F10-'A1-Sum'!F8)),0,('A10-SerDel'!G78/('A1-Sum'!F10-'A1-Sum'!F8)))</f>
        <v>5.5770081549869267E-2</v>
      </c>
      <c r="I127" s="1597">
        <f>IF(ISERROR('A10-SerDel'!H78/('A1-Sum'!G10-'A1-Sum'!G8)),0,('A10-SerDel'!H78/('A1-Sum'!G10-'A1-Sum'!G8)))</f>
        <v>8.0558937061305819E-2</v>
      </c>
      <c r="J127" s="1598"/>
      <c r="K127" s="1615">
        <f>IF(ISERROR('A10-SerDel'!I78/('A1-Sum'!I10-'A1-Sum'!I8)),0,('A10-SerDel'!I78/('A1-Sum'!I10-'A1-Sum'!I8)))</f>
        <v>0</v>
      </c>
      <c r="L127" s="1597">
        <f>IF(ISERROR('A10-SerDel'!J78/('A1-Sum'!J10-'A1-Sum'!J8)),0,('A10-SerDel'!J78/('A1-Sum'!J10-'A1-Sum'!J8)))</f>
        <v>0</v>
      </c>
      <c r="M127" s="1597">
        <f>IF(ISERROR('A10-SerDel'!K78/('A1-Sum'!K10-'A1-Sum'!K8)),0,('A10-SerDel'!K78/('A1-Sum'!K10-'A1-Sum'!K8)))</f>
        <v>0</v>
      </c>
    </row>
    <row r="128" spans="1:13" ht="5.25" customHeight="1">
      <c r="A128" s="1543"/>
      <c r="B128" s="1541"/>
      <c r="D128" s="1615"/>
      <c r="E128" s="1597"/>
      <c r="F128" s="1563"/>
      <c r="G128" s="1615"/>
      <c r="H128" s="1597"/>
      <c r="I128" s="1597"/>
      <c r="J128" s="1598"/>
      <c r="K128" s="1615"/>
      <c r="L128" s="1597"/>
      <c r="M128" s="1598"/>
    </row>
    <row r="129" spans="1:13" ht="18" customHeight="1">
      <c r="A129" s="1616" t="s">
        <v>2064</v>
      </c>
      <c r="B129" s="1619"/>
      <c r="C129" s="1620"/>
      <c r="D129" s="1621"/>
      <c r="E129" s="1622"/>
      <c r="F129" s="1623"/>
      <c r="G129" s="1624"/>
      <c r="H129" s="1625"/>
      <c r="I129" s="1625"/>
      <c r="J129" s="1623"/>
      <c r="K129" s="1624"/>
      <c r="L129" s="1625"/>
      <c r="M129" s="1623"/>
    </row>
    <row r="130" spans="1:13" ht="13.5">
      <c r="A130" s="1617" t="s">
        <v>1983</v>
      </c>
      <c r="B130" s="1626"/>
      <c r="C130" s="1627"/>
      <c r="D130" s="1628">
        <f>D86</f>
        <v>27161000</v>
      </c>
      <c r="E130" s="1628">
        <f t="shared" ref="E130:M130" si="10">E86</f>
        <v>69978558.301141277</v>
      </c>
      <c r="F130" s="1637">
        <f t="shared" si="10"/>
        <v>53367043.982112944</v>
      </c>
      <c r="G130" s="1628">
        <f t="shared" si="10"/>
        <v>50316615</v>
      </c>
      <c r="H130" s="1628">
        <f t="shared" si="10"/>
        <v>51005190</v>
      </c>
      <c r="I130" s="1628">
        <f t="shared" si="10"/>
        <v>41845907</v>
      </c>
      <c r="J130" s="1637">
        <f>J86</f>
        <v>41845907</v>
      </c>
      <c r="K130" s="1628">
        <f t="shared" si="10"/>
        <v>53204975.883599997</v>
      </c>
      <c r="L130" s="1628">
        <f t="shared" si="10"/>
        <v>60286500.738375999</v>
      </c>
      <c r="M130" s="1637">
        <f t="shared" si="10"/>
        <v>64528312.555370003</v>
      </c>
    </row>
    <row r="131" spans="1:13" ht="13.5">
      <c r="A131" s="1617" t="s">
        <v>1984</v>
      </c>
      <c r="B131" s="1626"/>
      <c r="C131" s="1627"/>
      <c r="D131" s="1628">
        <f t="shared" ref="D131:M132" si="11">D87</f>
        <v>25927373.270000003</v>
      </c>
      <c r="E131" s="1628">
        <f t="shared" si="11"/>
        <v>50572229.866582453</v>
      </c>
      <c r="F131" s="1637">
        <f t="shared" si="11"/>
        <v>42245367.146627761</v>
      </c>
      <c r="G131" s="1628">
        <f t="shared" si="11"/>
        <v>50316675</v>
      </c>
      <c r="H131" s="1628">
        <f t="shared" si="11"/>
        <v>49089155</v>
      </c>
      <c r="I131" s="1628">
        <f t="shared" si="11"/>
        <v>41755670</v>
      </c>
      <c r="J131" s="1637">
        <f t="shared" si="11"/>
        <v>41755670</v>
      </c>
      <c r="K131" s="1628">
        <f t="shared" si="11"/>
        <v>69872607.241125479</v>
      </c>
      <c r="L131" s="1628">
        <f t="shared" si="11"/>
        <v>65936041.969858006</v>
      </c>
      <c r="M131" s="1637">
        <f t="shared" si="11"/>
        <v>70767369.749789476</v>
      </c>
    </row>
    <row r="132" spans="1:13" ht="13.5">
      <c r="A132" s="1617" t="s">
        <v>2065</v>
      </c>
      <c r="B132" s="1626"/>
      <c r="C132" s="1627"/>
      <c r="D132" s="1628">
        <f t="shared" si="11"/>
        <v>1233626.7299999967</v>
      </c>
      <c r="E132" s="1628">
        <f t="shared" si="11"/>
        <v>19406328.434558824</v>
      </c>
      <c r="F132" s="1637">
        <f t="shared" si="11"/>
        <v>11121676.835485183</v>
      </c>
      <c r="G132" s="1628">
        <f t="shared" si="11"/>
        <v>-60</v>
      </c>
      <c r="H132" s="1628">
        <f t="shared" si="11"/>
        <v>1916035</v>
      </c>
      <c r="I132" s="1628">
        <f t="shared" si="11"/>
        <v>90237</v>
      </c>
      <c r="J132" s="1637">
        <f t="shared" si="11"/>
        <v>90237</v>
      </c>
      <c r="K132" s="1628">
        <f t="shared" si="11"/>
        <v>-16667631.357525483</v>
      </c>
      <c r="L132" s="1628">
        <f t="shared" si="11"/>
        <v>-5649541.2314820066</v>
      </c>
      <c r="M132" s="1637">
        <f t="shared" si="11"/>
        <v>-6239057.1944194734</v>
      </c>
    </row>
    <row r="133" spans="1:13" ht="13.5">
      <c r="A133" s="1617" t="s">
        <v>2067</v>
      </c>
      <c r="B133" s="1626"/>
      <c r="C133" s="1627"/>
      <c r="D133" s="1628">
        <f>D132+'A8-ResRecon'!C19</f>
        <v>1233626.7299999967</v>
      </c>
      <c r="E133" s="1628">
        <f>E132+'A8-ResRecon'!D19</f>
        <v>26407782.434558824</v>
      </c>
      <c r="F133" s="1637">
        <f>F132+'A8-ResRecon'!E19</f>
        <v>13641511.835485183</v>
      </c>
      <c r="G133" s="1628">
        <f>G132+'A8-ResRecon'!F19</f>
        <v>1360340</v>
      </c>
      <c r="H133" s="1628">
        <f>H132+'A8-ResRecon'!G19</f>
        <v>9934321.2000000048</v>
      </c>
      <c r="I133" s="1628">
        <f>I132+'A8-ResRecon'!H19</f>
        <v>9162617.5500000045</v>
      </c>
      <c r="J133" s="1637">
        <f>J132+'A8-ResRecon'!I19</f>
        <v>-1253981.8130000001</v>
      </c>
      <c r="K133" s="1628">
        <f>K132+'A8-ResRecon'!J19</f>
        <v>-6155270.6863054782</v>
      </c>
      <c r="L133" s="1628">
        <f>L132+'A8-ResRecon'!K19</f>
        <v>6279560.2661811933</v>
      </c>
      <c r="M133" s="1637">
        <f>M132+'A8-ResRecon'!L19</f>
        <v>13892413.697165109</v>
      </c>
    </row>
    <row r="134" spans="1:13" ht="13.5">
      <c r="A134" s="1618" t="s">
        <v>2066</v>
      </c>
      <c r="B134" s="1626"/>
      <c r="C134" s="1627"/>
      <c r="D134" s="1638">
        <f>IF(D133&gt;=0,1,0)</f>
        <v>1</v>
      </c>
      <c r="E134" s="1638">
        <f t="shared" ref="E134:M134" si="12">IF(E133&gt;=0,1,0)</f>
        <v>1</v>
      </c>
      <c r="F134" s="1639">
        <f t="shared" si="12"/>
        <v>1</v>
      </c>
      <c r="G134" s="1638">
        <f t="shared" si="12"/>
        <v>1</v>
      </c>
      <c r="H134" s="1638">
        <f t="shared" si="12"/>
        <v>1</v>
      </c>
      <c r="I134" s="1638">
        <f t="shared" si="12"/>
        <v>1</v>
      </c>
      <c r="J134" s="1639">
        <f t="shared" si="12"/>
        <v>0</v>
      </c>
      <c r="K134" s="1638">
        <f t="shared" si="12"/>
        <v>0</v>
      </c>
      <c r="L134" s="1638">
        <f t="shared" si="12"/>
        <v>1</v>
      </c>
      <c r="M134" s="1639">
        <f t="shared" si="12"/>
        <v>1</v>
      </c>
    </row>
    <row r="135" spans="1:13" s="1686" customFormat="1" ht="13.5">
      <c r="A135" s="1681" t="s">
        <v>2074</v>
      </c>
      <c r="B135" s="1682"/>
      <c r="C135" s="1683"/>
      <c r="D135" s="1684" t="str">
        <f>IF(D134=1,"ü","û")</f>
        <v>ü</v>
      </c>
      <c r="E135" s="1684" t="str">
        <f t="shared" ref="E135:M135" si="13">IF(E134=1,"ü","û")</f>
        <v>ü</v>
      </c>
      <c r="F135" s="1685" t="str">
        <f t="shared" si="13"/>
        <v>ü</v>
      </c>
      <c r="G135" s="1684" t="str">
        <f t="shared" si="13"/>
        <v>ü</v>
      </c>
      <c r="H135" s="1684" t="str">
        <f t="shared" si="13"/>
        <v>ü</v>
      </c>
      <c r="I135" s="1684" t="str">
        <f t="shared" si="13"/>
        <v>ü</v>
      </c>
      <c r="J135" s="1685" t="str">
        <f t="shared" si="13"/>
        <v>û</v>
      </c>
      <c r="K135" s="1684" t="str">
        <f t="shared" si="13"/>
        <v>û</v>
      </c>
      <c r="L135" s="1684" t="str">
        <f t="shared" si="13"/>
        <v>ü</v>
      </c>
      <c r="M135" s="1685" t="str">
        <f t="shared" si="13"/>
        <v>ü</v>
      </c>
    </row>
    <row r="136" spans="1:13" ht="13.5">
      <c r="A136" s="1629"/>
      <c r="B136" s="1630"/>
      <c r="C136" s="1631"/>
      <c r="D136" s="1632"/>
      <c r="E136" s="1633"/>
      <c r="F136" s="1634"/>
      <c r="G136" s="1635"/>
      <c r="H136" s="1636"/>
      <c r="I136" s="1636"/>
      <c r="J136" s="1634"/>
      <c r="K136" s="1635"/>
      <c r="L136" s="1636"/>
      <c r="M136" s="1634"/>
    </row>
  </sheetData>
  <sheetProtection password="A35B" sheet="1" objects="1" scenarios="1"/>
  <mergeCells count="5">
    <mergeCell ref="A2:A3"/>
    <mergeCell ref="K2:M2"/>
    <mergeCell ref="B2:B3"/>
    <mergeCell ref="C2:C3"/>
    <mergeCell ref="G2:J2"/>
  </mergeCells>
  <phoneticPr fontId="3" type="noConversion"/>
  <dataValidations count="1">
    <dataValidation type="decimal" allowBlank="1" showInputMessage="1" showErrorMessage="1" sqref="K63:M67 K72:M75 K78:M81">
      <formula1>-9999999999999990</formula1>
      <formula2>99999999999999900</formula2>
    </dataValidation>
  </dataValidations>
  <printOptions horizontalCentered="1"/>
  <pageMargins left="0" right="0" top="0.78740157480314965" bottom="0.59055118110236227" header="0.51181102362204722" footer="0.39"/>
  <pageSetup paperSize="9" scale="81"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0" enableFormatConditionsCalculation="0">
    <tabColor indexed="40"/>
    <pageSetUpPr fitToPage="1"/>
  </sheetPr>
  <dimension ref="A1:J177"/>
  <sheetViews>
    <sheetView topLeftCell="C1" workbookViewId="0">
      <pane ySplit="1" topLeftCell="A2" activePane="bottomLeft" state="frozen"/>
      <selection pane="bottomLeft" activeCell="E5" sqref="E5"/>
    </sheetView>
  </sheetViews>
  <sheetFormatPr defaultRowHeight="11.25"/>
  <cols>
    <col min="1" max="1" width="23.140625" style="1320" customWidth="1"/>
    <col min="2" max="2" width="92.140625" style="1319" customWidth="1"/>
    <col min="3" max="3" width="17.5703125" style="1319" customWidth="1"/>
    <col min="4" max="4" width="10.5703125" style="1319" bestFit="1" customWidth="1"/>
    <col min="5" max="5" width="87.7109375" style="1319" customWidth="1"/>
    <col min="6" max="6" width="78.140625" style="1319" customWidth="1"/>
    <col min="7" max="10" width="9.140625" style="1320"/>
    <col min="11" max="16384" width="9.140625" style="1319"/>
  </cols>
  <sheetData>
    <row r="1" spans="1:4">
      <c r="A1" s="2736" t="s">
        <v>1038</v>
      </c>
      <c r="B1" s="2737"/>
      <c r="C1" s="2737"/>
      <c r="D1" s="2738"/>
    </row>
    <row r="2" spans="1:4">
      <c r="A2" s="1779" t="s">
        <v>789</v>
      </c>
      <c r="B2" s="1780" t="str">
        <f>HLOOKUP(MTREF,Headings,2)</f>
        <v>2009/10</v>
      </c>
      <c r="C2" s="1781" t="s">
        <v>124</v>
      </c>
      <c r="D2" s="1782"/>
    </row>
    <row r="3" spans="1:4">
      <c r="A3" s="1783" t="s">
        <v>422</v>
      </c>
      <c r="B3" s="1784" t="str">
        <f>HLOOKUP(MTREF,Headings,3)</f>
        <v>2008/9</v>
      </c>
      <c r="C3" s="1785" t="s">
        <v>125</v>
      </c>
      <c r="D3" s="1786"/>
    </row>
    <row r="4" spans="1:4">
      <c r="A4" s="1783" t="s">
        <v>857</v>
      </c>
      <c r="B4" s="1784" t="str">
        <f>HLOOKUP(MTREF,Headings,4)</f>
        <v>2007/8</v>
      </c>
      <c r="C4" s="1785" t="s">
        <v>126</v>
      </c>
      <c r="D4" s="1786"/>
    </row>
    <row r="5" spans="1:4">
      <c r="A5" s="1783" t="s">
        <v>1727</v>
      </c>
      <c r="B5" s="1785" t="str">
        <f>HLOOKUP(MTREF,Headings,5)</f>
        <v>Current Year 2010/11</v>
      </c>
      <c r="C5" s="1785" t="s">
        <v>950</v>
      </c>
      <c r="D5" s="1786"/>
    </row>
    <row r="6" spans="1:4">
      <c r="A6" s="1783" t="s">
        <v>821</v>
      </c>
      <c r="B6" s="1784" t="str">
        <f>HLOOKUP(MTREF,Headings,6)</f>
        <v>2010/11</v>
      </c>
      <c r="C6" s="1785" t="s">
        <v>950</v>
      </c>
      <c r="D6" s="1786"/>
    </row>
    <row r="7" spans="1:4">
      <c r="A7" s="1783" t="s">
        <v>1728</v>
      </c>
      <c r="B7" s="1785" t="str">
        <f>HLOOKUP(MTREF,Headings,7)</f>
        <v>2011/12 Medium Term Revenue &amp; Expenditure Framework</v>
      </c>
      <c r="C7" s="1785" t="s">
        <v>951</v>
      </c>
      <c r="D7" s="1786"/>
    </row>
    <row r="8" spans="1:4">
      <c r="A8" s="1446" t="s">
        <v>1729</v>
      </c>
      <c r="B8" s="1447" t="s">
        <v>572</v>
      </c>
      <c r="C8" s="1447" t="s">
        <v>952</v>
      </c>
      <c r="D8" s="1323"/>
    </row>
    <row r="9" spans="1:4">
      <c r="A9" s="1446" t="s">
        <v>1730</v>
      </c>
      <c r="B9" s="1447" t="s">
        <v>1127</v>
      </c>
      <c r="C9" s="1322"/>
      <c r="D9" s="1323"/>
    </row>
    <row r="10" spans="1:4">
      <c r="A10" s="1446" t="s">
        <v>325</v>
      </c>
      <c r="B10" s="1447" t="s">
        <v>326</v>
      </c>
      <c r="C10" s="1322"/>
      <c r="D10" s="1323"/>
    </row>
    <row r="11" spans="1:4">
      <c r="A11" s="1446" t="s">
        <v>702</v>
      </c>
      <c r="B11" s="1447" t="s">
        <v>703</v>
      </c>
      <c r="C11" s="1322"/>
      <c r="D11" s="1323"/>
    </row>
    <row r="12" spans="1:4">
      <c r="A12" s="1446" t="s">
        <v>1731</v>
      </c>
      <c r="B12" s="1447" t="s">
        <v>485</v>
      </c>
      <c r="C12" s="1322"/>
      <c r="D12" s="1323"/>
    </row>
    <row r="13" spans="1:4">
      <c r="A13" s="1446" t="s">
        <v>1732</v>
      </c>
      <c r="B13" s="1447" t="s">
        <v>1917</v>
      </c>
      <c r="C13" s="1322"/>
      <c r="D13" s="1323"/>
    </row>
    <row r="14" spans="1:4">
      <c r="A14" s="1446" t="s">
        <v>1733</v>
      </c>
      <c r="B14" s="1447" t="s">
        <v>1918</v>
      </c>
      <c r="C14" s="1322"/>
      <c r="D14" s="1323"/>
    </row>
    <row r="15" spans="1:4">
      <c r="A15" s="1783" t="s">
        <v>1734</v>
      </c>
      <c r="B15" s="1785" t="str">
        <f>HLOOKUP(MTREF,Headings,8)</f>
        <v>Budget Year 2011/12</v>
      </c>
      <c r="C15" s="1785" t="s">
        <v>953</v>
      </c>
      <c r="D15" s="1448" t="s">
        <v>1815</v>
      </c>
    </row>
    <row r="16" spans="1:4">
      <c r="A16" s="1783" t="s">
        <v>1735</v>
      </c>
      <c r="B16" s="1785" t="str">
        <f>HLOOKUP(MTREF,Headings,9)</f>
        <v>Budget Year +1 2012/13</v>
      </c>
      <c r="C16" s="1785" t="s">
        <v>954</v>
      </c>
      <c r="D16" s="1448" t="s">
        <v>1816</v>
      </c>
    </row>
    <row r="17" spans="1:4">
      <c r="A17" s="1783" t="s">
        <v>1740</v>
      </c>
      <c r="B17" s="1785" t="str">
        <f>HLOOKUP(MTREF,Headings,10)</f>
        <v>Budget Year +2 2013/14</v>
      </c>
      <c r="C17" s="1785" t="s">
        <v>955</v>
      </c>
      <c r="D17" s="1448" t="s">
        <v>1817</v>
      </c>
    </row>
    <row r="18" spans="1:4">
      <c r="A18" s="1783" t="s">
        <v>1742</v>
      </c>
      <c r="B18" s="1785" t="str">
        <f>HLOOKUP(MTREF,Headings,11)</f>
        <v>Forecast 2014/15</v>
      </c>
      <c r="C18" s="1785" t="s">
        <v>1174</v>
      </c>
      <c r="D18" s="1448" t="s">
        <v>1818</v>
      </c>
    </row>
    <row r="19" spans="1:4">
      <c r="A19" s="1783" t="s">
        <v>1743</v>
      </c>
      <c r="B19" s="1785" t="str">
        <f>HLOOKUP(MTREF,Headings,12)</f>
        <v>Forecast 2015/16</v>
      </c>
      <c r="C19" s="1785" t="s">
        <v>1175</v>
      </c>
      <c r="D19" s="1448" t="s">
        <v>1819</v>
      </c>
    </row>
    <row r="20" spans="1:4">
      <c r="A20" s="1783" t="s">
        <v>1744</v>
      </c>
      <c r="B20" s="1785" t="str">
        <f>HLOOKUP(MTREF,Headings,13)</f>
        <v>Forecast 2016/17</v>
      </c>
      <c r="C20" s="1785" t="s">
        <v>1175</v>
      </c>
      <c r="D20" s="1448" t="s">
        <v>1820</v>
      </c>
    </row>
    <row r="21" spans="1:4">
      <c r="A21" s="1783" t="s">
        <v>1745</v>
      </c>
      <c r="B21" s="1785" t="str">
        <f>HLOOKUP(MTREF,Headings,14)</f>
        <v>Forecast 2017/18</v>
      </c>
      <c r="C21" s="1785" t="s">
        <v>1175</v>
      </c>
      <c r="D21" s="1448" t="s">
        <v>1821</v>
      </c>
    </row>
    <row r="22" spans="1:4">
      <c r="A22" s="1783" t="s">
        <v>1746</v>
      </c>
      <c r="B22" s="1785" t="str">
        <f>HLOOKUP(MTREF,Headings,15)</f>
        <v>Forecast 2018/19</v>
      </c>
      <c r="C22" s="1785" t="s">
        <v>1175</v>
      </c>
      <c r="D22" s="1448" t="s">
        <v>1822</v>
      </c>
    </row>
    <row r="23" spans="1:4">
      <c r="A23" s="1783" t="s">
        <v>1747</v>
      </c>
      <c r="B23" s="1785" t="str">
        <f>HLOOKUP(MTREF,Headings,16)</f>
        <v>Forecast 2019/20</v>
      </c>
      <c r="C23" s="1785" t="s">
        <v>1175</v>
      </c>
      <c r="D23" s="1448" t="s">
        <v>1823</v>
      </c>
    </row>
    <row r="24" spans="1:4">
      <c r="A24" s="1783" t="s">
        <v>1748</v>
      </c>
      <c r="B24" s="1785" t="str">
        <f>HLOOKUP(MTREF,Headings,17)</f>
        <v>Forecast 2020/21</v>
      </c>
      <c r="C24" s="1785" t="s">
        <v>1175</v>
      </c>
      <c r="D24" s="1448" t="s">
        <v>685</v>
      </c>
    </row>
    <row r="25" spans="1:4">
      <c r="A25" s="1783" t="s">
        <v>1749</v>
      </c>
      <c r="B25" s="1785" t="str">
        <f>HLOOKUP(MTREF,Headings,18)</f>
        <v>Forecast 2021/22</v>
      </c>
      <c r="C25" s="1785" t="s">
        <v>1175</v>
      </c>
      <c r="D25" s="1448" t="s">
        <v>686</v>
      </c>
    </row>
    <row r="26" spans="1:4">
      <c r="A26" s="1783" t="s">
        <v>1750</v>
      </c>
      <c r="B26" s="1785" t="str">
        <f>HLOOKUP(MTREF,Headings,19)</f>
        <v>Forecast 2022/23</v>
      </c>
      <c r="C26" s="1785" t="s">
        <v>1175</v>
      </c>
      <c r="D26" s="1448" t="s">
        <v>687</v>
      </c>
    </row>
    <row r="27" spans="1:4">
      <c r="A27" s="1783" t="s">
        <v>1751</v>
      </c>
      <c r="B27" s="1785" t="str">
        <f>HLOOKUP(MTREF,Headings,20)</f>
        <v>Forecast 2023/24</v>
      </c>
      <c r="C27" s="1785" t="s">
        <v>1175</v>
      </c>
      <c r="D27" s="1448" t="s">
        <v>688</v>
      </c>
    </row>
    <row r="28" spans="1:4">
      <c r="A28" s="1783" t="s">
        <v>1752</v>
      </c>
      <c r="B28" s="1785" t="str">
        <f>HLOOKUP(MTREF,Headings,21)</f>
        <v>Forecast 2024/25</v>
      </c>
      <c r="C28" s="1785" t="s">
        <v>1175</v>
      </c>
      <c r="D28" s="1448" t="s">
        <v>689</v>
      </c>
    </row>
    <row r="29" spans="1:4">
      <c r="A29" s="1783" t="s">
        <v>1753</v>
      </c>
      <c r="B29" s="1785" t="str">
        <f>HLOOKUP(MTREF,Headings,22)</f>
        <v>Forecast 2025/26</v>
      </c>
      <c r="C29" s="1785" t="s">
        <v>1175</v>
      </c>
      <c r="D29" s="1448" t="s">
        <v>690</v>
      </c>
    </row>
    <row r="30" spans="1:4">
      <c r="A30" s="1446" t="s">
        <v>1150</v>
      </c>
      <c r="B30" s="1447" t="s">
        <v>814</v>
      </c>
      <c r="C30" s="1322"/>
      <c r="D30" s="1324"/>
    </row>
    <row r="31" spans="1:4">
      <c r="A31" s="1446" t="s">
        <v>1090</v>
      </c>
      <c r="B31" s="1322"/>
      <c r="C31" s="1322"/>
      <c r="D31" s="1324"/>
    </row>
    <row r="32" spans="1:4">
      <c r="A32" s="1446" t="s">
        <v>858</v>
      </c>
      <c r="B32" s="1447" t="s">
        <v>859</v>
      </c>
      <c r="C32" s="1322"/>
      <c r="D32" s="1324"/>
    </row>
    <row r="33" spans="1:4">
      <c r="A33" s="1446" t="s">
        <v>860</v>
      </c>
      <c r="B33" s="1447" t="s">
        <v>444</v>
      </c>
      <c r="C33" s="1322"/>
      <c r="D33" s="1324"/>
    </row>
    <row r="34" spans="1:4">
      <c r="A34" s="1446" t="s">
        <v>1046</v>
      </c>
      <c r="B34" s="1447" t="s">
        <v>1047</v>
      </c>
      <c r="C34" s="1322"/>
      <c r="D34" s="1324"/>
    </row>
    <row r="35" spans="1:4">
      <c r="A35" s="1446" t="s">
        <v>985</v>
      </c>
      <c r="B35" s="1447" t="s">
        <v>956</v>
      </c>
      <c r="C35" s="1322"/>
      <c r="D35" s="1448" t="s">
        <v>986</v>
      </c>
    </row>
    <row r="36" spans="1:4">
      <c r="A36" s="1783" t="s">
        <v>1844</v>
      </c>
      <c r="B36" s="1785" t="str">
        <f>HLOOKUP(MTREF,Headings,23)</f>
        <v>Annual target 2011/12</v>
      </c>
      <c r="C36" s="1785"/>
      <c r="D36" s="1324"/>
    </row>
    <row r="37" spans="1:4">
      <c r="A37" s="1783" t="s">
        <v>1845</v>
      </c>
      <c r="B37" s="1785" t="str">
        <f>HLOOKUP(MTREF,Headings,24)</f>
        <v>Revised target 2011/12</v>
      </c>
      <c r="C37" s="1785"/>
      <c r="D37" s="1324"/>
    </row>
    <row r="38" spans="1:4">
      <c r="A38" s="1446" t="s">
        <v>1846</v>
      </c>
      <c r="B38" s="1447" t="s">
        <v>673</v>
      </c>
      <c r="C38" s="1322"/>
      <c r="D38" s="1324"/>
    </row>
    <row r="39" spans="1:4">
      <c r="A39" s="1446" t="s">
        <v>1847</v>
      </c>
      <c r="B39" s="1447" t="s">
        <v>674</v>
      </c>
      <c r="C39" s="1322"/>
      <c r="D39" s="1324"/>
    </row>
    <row r="40" spans="1:4">
      <c r="A40" s="1446" t="s">
        <v>1848</v>
      </c>
      <c r="B40" s="1447" t="s">
        <v>675</v>
      </c>
      <c r="C40" s="1322"/>
      <c r="D40" s="1324"/>
    </row>
    <row r="41" spans="1:4">
      <c r="A41" s="1446" t="s">
        <v>1849</v>
      </c>
      <c r="B41" s="1447" t="s">
        <v>671</v>
      </c>
      <c r="C41" s="1322"/>
      <c r="D41" s="1324"/>
    </row>
    <row r="42" spans="1:4">
      <c r="A42" s="1446" t="s">
        <v>672</v>
      </c>
      <c r="B42" s="1447" t="s">
        <v>1613</v>
      </c>
      <c r="C42" s="1322"/>
      <c r="D42" s="1324"/>
    </row>
    <row r="43" spans="1:4">
      <c r="A43" s="1446" t="s">
        <v>364</v>
      </c>
      <c r="B43" s="1447" t="s">
        <v>816</v>
      </c>
      <c r="C43" s="1322"/>
      <c r="D43" s="1324"/>
    </row>
    <row r="44" spans="1:4">
      <c r="A44" s="1446" t="s">
        <v>365</v>
      </c>
      <c r="B44" s="1447" t="s">
        <v>817</v>
      </c>
      <c r="C44" s="1322"/>
      <c r="D44" s="1324"/>
    </row>
    <row r="45" spans="1:4">
      <c r="A45" s="1446" t="s">
        <v>366</v>
      </c>
      <c r="B45" s="1447" t="s">
        <v>1396</v>
      </c>
      <c r="C45" s="1322"/>
      <c r="D45" s="1324"/>
    </row>
    <row r="46" spans="1:4">
      <c r="A46" s="1446" t="s">
        <v>1395</v>
      </c>
      <c r="B46" s="1447" t="s">
        <v>1453</v>
      </c>
      <c r="C46" s="1322"/>
      <c r="D46" s="1324"/>
    </row>
    <row r="47" spans="1:4">
      <c r="A47" s="1446" t="s">
        <v>1397</v>
      </c>
      <c r="B47" s="1449" t="s">
        <v>98</v>
      </c>
      <c r="C47" s="1322"/>
      <c r="D47" s="1324"/>
    </row>
    <row r="48" spans="1:4">
      <c r="A48" s="1446" t="s">
        <v>1398</v>
      </c>
      <c r="B48" s="1449" t="s">
        <v>100</v>
      </c>
      <c r="C48" s="1322"/>
      <c r="D48" s="1324"/>
    </row>
    <row r="49" spans="1:4">
      <c r="A49" s="1446" t="s">
        <v>1399</v>
      </c>
      <c r="B49" s="1449" t="s">
        <v>1283</v>
      </c>
      <c r="C49" s="1322"/>
      <c r="D49" s="1324"/>
    </row>
    <row r="50" spans="1:4">
      <c r="A50" s="1446" t="s">
        <v>99</v>
      </c>
      <c r="B50" s="1449" t="str">
        <f>Head3&amp;" Summary"</f>
        <v>2011/12 Medium Term Revenue &amp; Expenditure Framework Summary</v>
      </c>
      <c r="C50" s="1322"/>
      <c r="D50" s="1324"/>
    </row>
    <row r="51" spans="1:4">
      <c r="A51" s="1446" t="s">
        <v>677</v>
      </c>
      <c r="B51" s="1449" t="s">
        <v>680</v>
      </c>
      <c r="C51" s="1322"/>
      <c r="D51" s="1324"/>
    </row>
    <row r="52" spans="1:4">
      <c r="A52" s="1446" t="s">
        <v>678</v>
      </c>
      <c r="B52" s="1449" t="s">
        <v>679</v>
      </c>
      <c r="C52" s="1322"/>
      <c r="D52" s="1324"/>
    </row>
    <row r="53" spans="1:4">
      <c r="A53" s="1446" t="s">
        <v>1639</v>
      </c>
      <c r="B53" s="1450" t="s">
        <v>1640</v>
      </c>
      <c r="C53" s="1326"/>
      <c r="D53" s="1324"/>
    </row>
    <row r="54" spans="1:4">
      <c r="A54" s="1446" t="s">
        <v>1041</v>
      </c>
      <c r="B54" s="1449" t="s">
        <v>1763</v>
      </c>
      <c r="C54" s="1322"/>
      <c r="D54" s="1324"/>
    </row>
    <row r="55" spans="1:4">
      <c r="A55" s="1446" t="s">
        <v>413</v>
      </c>
      <c r="B55" s="1449" t="s">
        <v>936</v>
      </c>
      <c r="C55" s="1322"/>
      <c r="D55" s="1324"/>
    </row>
    <row r="56" spans="1:4">
      <c r="A56" s="1446" t="s">
        <v>1460</v>
      </c>
      <c r="B56" s="1325"/>
      <c r="C56" s="1322"/>
      <c r="D56" s="1324"/>
    </row>
    <row r="57" spans="1:4">
      <c r="A57" s="1446" t="s">
        <v>1461</v>
      </c>
      <c r="B57" s="1449" t="s">
        <v>623</v>
      </c>
      <c r="C57" s="1322"/>
      <c r="D57" s="1324"/>
    </row>
    <row r="58" spans="1:4">
      <c r="A58" s="1446" t="s">
        <v>618</v>
      </c>
      <c r="B58" s="1449" t="s">
        <v>622</v>
      </c>
      <c r="C58" s="1322"/>
      <c r="D58" s="1324"/>
    </row>
    <row r="59" spans="1:4">
      <c r="A59" s="1446" t="s">
        <v>619</v>
      </c>
      <c r="B59" s="1449" t="s">
        <v>484</v>
      </c>
      <c r="C59" s="1322"/>
      <c r="D59" s="1324"/>
    </row>
    <row r="60" spans="1:4">
      <c r="A60" s="1446" t="s">
        <v>620</v>
      </c>
      <c r="B60" s="1449" t="s">
        <v>624</v>
      </c>
      <c r="C60" s="1322"/>
      <c r="D60" s="1324"/>
    </row>
    <row r="61" spans="1:4">
      <c r="A61" s="1446" t="s">
        <v>621</v>
      </c>
      <c r="B61" s="1449" t="s">
        <v>491</v>
      </c>
      <c r="C61" s="1322"/>
      <c r="D61" s="1324"/>
    </row>
    <row r="62" spans="1:4">
      <c r="A62" s="1446" t="s">
        <v>1597</v>
      </c>
      <c r="B62" s="1449" t="s">
        <v>483</v>
      </c>
      <c r="C62" s="1322"/>
      <c r="D62" s="1324"/>
    </row>
    <row r="63" spans="1:4">
      <c r="A63" s="1446" t="s">
        <v>1783</v>
      </c>
      <c r="B63" s="1449" t="s">
        <v>1784</v>
      </c>
      <c r="C63" s="1322"/>
      <c r="D63" s="1324"/>
    </row>
    <row r="64" spans="1:4">
      <c r="A64" s="1446" t="s">
        <v>506</v>
      </c>
      <c r="B64" s="1449" t="s">
        <v>504</v>
      </c>
      <c r="C64" s="1322"/>
      <c r="D64" s="1324"/>
    </row>
    <row r="65" spans="1:4">
      <c r="A65" s="1446" t="s">
        <v>507</v>
      </c>
      <c r="B65" s="1449" t="s">
        <v>505</v>
      </c>
      <c r="C65" s="1322"/>
      <c r="D65" s="1324"/>
    </row>
    <row r="66" spans="1:4">
      <c r="A66" s="1446" t="s">
        <v>508</v>
      </c>
      <c r="B66" s="1449" t="s">
        <v>510</v>
      </c>
      <c r="C66" s="1322"/>
      <c r="D66" s="1324"/>
    </row>
    <row r="67" spans="1:4">
      <c r="A67" s="1446" t="s">
        <v>509</v>
      </c>
      <c r="B67" s="1449" t="s">
        <v>853</v>
      </c>
      <c r="C67" s="1322"/>
      <c r="D67" s="1324"/>
    </row>
    <row r="68" spans="1:4">
      <c r="A68" s="1446" t="s">
        <v>854</v>
      </c>
      <c r="B68" s="1449" t="s">
        <v>994</v>
      </c>
      <c r="C68" s="1322"/>
      <c r="D68" s="1324"/>
    </row>
    <row r="69" spans="1:4">
      <c r="A69" s="1446" t="s">
        <v>855</v>
      </c>
      <c r="B69" s="1449" t="s">
        <v>1350</v>
      </c>
      <c r="C69" s="1322"/>
      <c r="D69" s="1324"/>
    </row>
    <row r="70" spans="1:4">
      <c r="A70" s="1446" t="s">
        <v>1572</v>
      </c>
      <c r="B70" s="1449" t="s">
        <v>1571</v>
      </c>
      <c r="C70" s="1322"/>
      <c r="D70" s="1324"/>
    </row>
    <row r="71" spans="1:4">
      <c r="A71" s="1446" t="s">
        <v>1573</v>
      </c>
      <c r="B71" s="1449" t="s">
        <v>1336</v>
      </c>
      <c r="C71" s="1322"/>
      <c r="D71" s="1448" t="s">
        <v>1853</v>
      </c>
    </row>
    <row r="72" spans="1:4">
      <c r="A72" s="1446" t="s">
        <v>1574</v>
      </c>
      <c r="B72" s="1449" t="s">
        <v>1337</v>
      </c>
      <c r="C72" s="1322"/>
      <c r="D72" s="1448" t="s">
        <v>1854</v>
      </c>
    </row>
    <row r="73" spans="1:4">
      <c r="A73" s="1446" t="s">
        <v>1575</v>
      </c>
      <c r="B73" s="1449" t="s">
        <v>1338</v>
      </c>
      <c r="C73" s="1322"/>
      <c r="D73" s="1448" t="s">
        <v>1855</v>
      </c>
    </row>
    <row r="74" spans="1:4">
      <c r="A74" s="1446" t="s">
        <v>1576</v>
      </c>
      <c r="B74" s="1449" t="s">
        <v>1339</v>
      </c>
      <c r="C74" s="1322"/>
      <c r="D74" s="1448" t="s">
        <v>1856</v>
      </c>
    </row>
    <row r="75" spans="1:4">
      <c r="A75" s="1446" t="s">
        <v>1577</v>
      </c>
      <c r="B75" s="1449" t="s">
        <v>1340</v>
      </c>
      <c r="C75" s="1322"/>
      <c r="D75" s="1448" t="s">
        <v>1857</v>
      </c>
    </row>
    <row r="76" spans="1:4">
      <c r="A76" s="1446" t="s">
        <v>1405</v>
      </c>
      <c r="B76" s="1449" t="s">
        <v>1341</v>
      </c>
      <c r="C76" s="1322"/>
      <c r="D76" s="1448" t="s">
        <v>1858</v>
      </c>
    </row>
    <row r="77" spans="1:4">
      <c r="A77" s="1446" t="s">
        <v>1406</v>
      </c>
      <c r="B77" s="1449" t="s">
        <v>1342</v>
      </c>
      <c r="C77" s="1322"/>
      <c r="D77" s="1448" t="s">
        <v>1859</v>
      </c>
    </row>
    <row r="78" spans="1:4">
      <c r="A78" s="1446" t="s">
        <v>1407</v>
      </c>
      <c r="B78" s="1449" t="s">
        <v>1343</v>
      </c>
      <c r="C78" s="1322"/>
      <c r="D78" s="1448" t="s">
        <v>1860</v>
      </c>
    </row>
    <row r="79" spans="1:4">
      <c r="A79" s="1446" t="s">
        <v>1408</v>
      </c>
      <c r="B79" s="1449" t="s">
        <v>1344</v>
      </c>
      <c r="C79" s="1322"/>
      <c r="D79" s="1448" t="s">
        <v>1861</v>
      </c>
    </row>
    <row r="80" spans="1:4">
      <c r="A80" s="1446" t="s">
        <v>1409</v>
      </c>
      <c r="B80" s="1449" t="s">
        <v>1118</v>
      </c>
      <c r="C80" s="1322"/>
      <c r="D80" s="1448" t="s">
        <v>1417</v>
      </c>
    </row>
    <row r="81" spans="1:4">
      <c r="A81" s="1446" t="s">
        <v>1410</v>
      </c>
      <c r="B81" s="1449" t="s">
        <v>1119</v>
      </c>
      <c r="C81" s="1322"/>
      <c r="D81" s="1448" t="s">
        <v>1418</v>
      </c>
    </row>
    <row r="82" spans="1:4">
      <c r="A82" s="1446" t="s">
        <v>1411</v>
      </c>
      <c r="B82" s="1449" t="s">
        <v>1120</v>
      </c>
      <c r="C82" s="1322"/>
      <c r="D82" s="1448" t="s">
        <v>1419</v>
      </c>
    </row>
    <row r="83" spans="1:4">
      <c r="A83" s="1446" t="s">
        <v>1412</v>
      </c>
      <c r="B83" s="1449" t="s">
        <v>1121</v>
      </c>
      <c r="C83" s="1322"/>
      <c r="D83" s="1448" t="s">
        <v>1420</v>
      </c>
    </row>
    <row r="84" spans="1:4">
      <c r="A84" s="1446" t="s">
        <v>1852</v>
      </c>
      <c r="B84" s="1449" t="s">
        <v>1933</v>
      </c>
      <c r="C84" s="1322"/>
      <c r="D84" s="1448" t="s">
        <v>1421</v>
      </c>
    </row>
    <row r="85" spans="1:4">
      <c r="A85" s="1327"/>
      <c r="B85" s="1328"/>
      <c r="C85" s="1329"/>
      <c r="D85" s="1330"/>
    </row>
    <row r="86" spans="1:4">
      <c r="A86" s="1331"/>
      <c r="B86" s="1329"/>
      <c r="C86" s="1322"/>
      <c r="D86" s="1332"/>
    </row>
    <row r="87" spans="1:4">
      <c r="A87" s="2739" t="s">
        <v>1167</v>
      </c>
      <c r="B87" s="2740"/>
      <c r="C87" s="1333"/>
    </row>
    <row r="88" spans="1:4">
      <c r="A88" s="1451" t="s">
        <v>518</v>
      </c>
      <c r="B88" s="1452" t="s">
        <v>519</v>
      </c>
      <c r="C88" s="1322"/>
    </row>
    <row r="89" spans="1:4">
      <c r="A89" s="1335"/>
      <c r="B89" s="1453" t="s">
        <v>752</v>
      </c>
      <c r="C89" s="1322"/>
    </row>
    <row r="90" spans="1:4">
      <c r="A90" s="1331"/>
      <c r="B90" s="1454" t="s">
        <v>753</v>
      </c>
      <c r="C90" s="1322"/>
    </row>
    <row r="92" spans="1:4">
      <c r="A92" s="2739" t="s">
        <v>449</v>
      </c>
      <c r="B92" s="2745"/>
      <c r="C92" s="2745"/>
      <c r="D92" s="2740"/>
    </row>
    <row r="93" spans="1:4">
      <c r="A93" s="1787" t="s">
        <v>856</v>
      </c>
      <c r="B93" s="1788" t="str">
        <f>'Lookup and lists'!B28</f>
        <v>NC071 Ubuntu</v>
      </c>
      <c r="C93" s="1789"/>
      <c r="D93" s="1320"/>
    </row>
    <row r="94" spans="1:4">
      <c r="A94" s="1787" t="s">
        <v>944</v>
      </c>
      <c r="B94" s="1790">
        <v>2</v>
      </c>
      <c r="C94" s="1789" t="s">
        <v>945</v>
      </c>
      <c r="D94" s="1455">
        <v>1</v>
      </c>
    </row>
    <row r="95" spans="1:4">
      <c r="A95" s="1456" t="str">
        <f>IF((MuniEntities=1)*(MuniType=2),"YES","NO")</f>
        <v>NO</v>
      </c>
      <c r="B95" s="1184" t="s">
        <v>1093</v>
      </c>
      <c r="D95" s="1320"/>
    </row>
    <row r="96" spans="1:4">
      <c r="A96" s="1455" t="s">
        <v>1782</v>
      </c>
      <c r="B96" s="1184" t="s">
        <v>1568</v>
      </c>
      <c r="D96" s="1455" t="s">
        <v>1628</v>
      </c>
    </row>
    <row r="97" spans="1:6">
      <c r="A97" s="1455" t="s">
        <v>1351</v>
      </c>
      <c r="B97" s="1184" t="s">
        <v>1569</v>
      </c>
      <c r="D97" s="1455" t="s">
        <v>1353</v>
      </c>
    </row>
    <row r="98" spans="1:6">
      <c r="A98" s="1455" t="s">
        <v>1352</v>
      </c>
      <c r="B98" s="1184" t="s">
        <v>1570</v>
      </c>
      <c r="D98" s="1455" t="s">
        <v>1354</v>
      </c>
    </row>
    <row r="99" spans="1:6">
      <c r="A99" s="2743" t="s">
        <v>1168</v>
      </c>
      <c r="B99" s="2744"/>
      <c r="C99" s="1457" t="s">
        <v>1458</v>
      </c>
      <c r="D99" s="1458" t="s">
        <v>1457</v>
      </c>
      <c r="E99" s="1457" t="s">
        <v>1427</v>
      </c>
      <c r="F99" s="1458" t="s">
        <v>1427</v>
      </c>
    </row>
    <row r="100" spans="1:6">
      <c r="A100" s="1335"/>
      <c r="B100" s="1459" t="str">
        <f t="shared" ref="B100:B109" si="0">IF(Consolques="YES",E100,F100)</f>
        <v>Table A1 Budget Summary</v>
      </c>
      <c r="C100" s="1334"/>
      <c r="D100" s="1446" t="s">
        <v>1946</v>
      </c>
      <c r="E100" s="1184" t="str">
        <f>D100&amp;"Consolidated Budget Summary"</f>
        <v>Table A1 Consolidated Budget Summary</v>
      </c>
      <c r="F100" s="1184" t="str">
        <f>D100&amp;"Budget Summary"</f>
        <v>Table A1 Budget Summary</v>
      </c>
    </row>
    <row r="101" spans="1:6">
      <c r="A101" s="1335"/>
      <c r="B101" s="1459" t="str">
        <f t="shared" si="0"/>
        <v>Table A2 Budgeted Financial Performance (revenue and expenditure by standard classification)</v>
      </c>
      <c r="C101" s="1453" t="s">
        <v>668</v>
      </c>
      <c r="D101" s="1446" t="s">
        <v>1947</v>
      </c>
      <c r="E101" s="1184" t="str">
        <f>D101&amp;"Consolidated Budgeted Financial Performance (revenue and expenditure by standard classification)"</f>
        <v>Table A2 Consolidated Budgeted Financial Performance (revenue and expenditure by standard classification)</v>
      </c>
      <c r="F101" s="1184" t="str">
        <f>D101&amp;"Budgeted Financial Performance (revenue and expenditure by standard classification)"</f>
        <v>Table A2 Budgeted Financial Performance (revenue and expenditure by standard classification)</v>
      </c>
    </row>
    <row r="102" spans="1:6">
      <c r="A102" s="1335"/>
      <c r="B102" s="1459" t="str">
        <f t="shared" si="0"/>
        <v>Table A3 Budgeted Financial Performance (revenue and expenditure by municipal vote)</v>
      </c>
      <c r="C102" s="1323"/>
      <c r="D102" s="1446" t="s">
        <v>1948</v>
      </c>
      <c r="E102" s="1184" t="str">
        <f>D102&amp;"Consolidated Budgeted Financial Performance (revenue and expenditure by municipal vote)"</f>
        <v>Table A3 Consolidated Budgeted Financial Performance (revenue and expenditure by municipal vote)</v>
      </c>
      <c r="F102" s="1184" t="str">
        <f>D102&amp;"Budgeted Financial Performance (revenue and expenditure by municipal vote)"</f>
        <v>Table A3 Budgeted Financial Performance (revenue and expenditure by municipal vote)</v>
      </c>
    </row>
    <row r="103" spans="1:6">
      <c r="A103" s="1335"/>
      <c r="B103" s="1459" t="str">
        <f t="shared" si="0"/>
        <v>Table A4 Budgeted Financial Performance (revenue and expenditure)</v>
      </c>
      <c r="C103" s="1453" t="s">
        <v>667</v>
      </c>
      <c r="D103" s="1446" t="s">
        <v>1949</v>
      </c>
      <c r="E103" s="1184" t="str">
        <f>D103&amp;"Consolidated Budgeted Financial Performance (revenue and expenditure)"</f>
        <v>Table A4 Consolidated Budgeted Financial Performance (revenue and expenditure)</v>
      </c>
      <c r="F103" s="1184" t="str">
        <f>D103&amp;"Budgeted Financial Performance (revenue and expenditure)"</f>
        <v>Table A4 Budgeted Financial Performance (revenue and expenditure)</v>
      </c>
    </row>
    <row r="104" spans="1:6">
      <c r="A104" s="1335"/>
      <c r="B104" s="1447" t="str">
        <f t="shared" si="0"/>
        <v>Table A5 Budgeted Capital Expenditure by vote, standard classification and funding</v>
      </c>
      <c r="C104" s="1453" t="s">
        <v>670</v>
      </c>
      <c r="D104" s="1446" t="s">
        <v>1950</v>
      </c>
      <c r="E104" s="1184" t="str">
        <f>D104&amp;"Consolidated Budgeted Capital Expenditure by vote, standard classification and funding"</f>
        <v>Table A5 Consolidated Budgeted Capital Expenditure by vote, standard classification and funding</v>
      </c>
      <c r="F104" s="1184" t="str">
        <f>D104&amp;"Budgeted Capital Expenditure by vote, standard classification and funding"</f>
        <v>Table A5 Budgeted Capital Expenditure by vote, standard classification and funding</v>
      </c>
    </row>
    <row r="105" spans="1:6">
      <c r="A105" s="1335"/>
      <c r="B105" s="1447" t="str">
        <f t="shared" si="0"/>
        <v>Table A6 Budgeted Financial Position</v>
      </c>
      <c r="C105" s="1323"/>
      <c r="D105" s="1446" t="s">
        <v>1951</v>
      </c>
      <c r="E105" s="1184" t="str">
        <f>D105&amp;"Consolidated Budgeted Financial Position"</f>
        <v>Table A6 Consolidated Budgeted Financial Position</v>
      </c>
      <c r="F105" s="1184" t="str">
        <f>D105&amp;"Budgeted Financial Position"</f>
        <v>Table A6 Budgeted Financial Position</v>
      </c>
    </row>
    <row r="106" spans="1:6">
      <c r="A106" s="1335"/>
      <c r="B106" s="1447" t="str">
        <f t="shared" si="0"/>
        <v>Table A7 Budgeted Cash Flows</v>
      </c>
      <c r="C106" s="1323"/>
      <c r="D106" s="1446" t="s">
        <v>1952</v>
      </c>
      <c r="E106" s="1184" t="str">
        <f>D106&amp;"Consolidated Budgeted Cash Flows"</f>
        <v>Table A7 Consolidated Budgeted Cash Flows</v>
      </c>
      <c r="F106" s="1184" t="str">
        <f>D106&amp;"Budgeted Cash Flows"</f>
        <v>Table A7 Budgeted Cash Flows</v>
      </c>
    </row>
    <row r="107" spans="1:6">
      <c r="A107" s="1335"/>
      <c r="B107" s="1447" t="str">
        <f t="shared" si="0"/>
        <v>Table A8 Cash backed reserves/accumulated surplus reconciliation</v>
      </c>
      <c r="C107" s="1323"/>
      <c r="D107" s="1446" t="s">
        <v>1953</v>
      </c>
      <c r="E107" s="1460" t="str">
        <f>D107&amp;"Consolidated Cash backed reserves/accumulated surplus reconciliation"</f>
        <v>Table A8 Consolidated Cash backed reserves/accumulated surplus reconciliation</v>
      </c>
      <c r="F107" s="1460" t="str">
        <f>D107&amp;"Cash backed reserves/accumulated surplus reconciliation"</f>
        <v>Table A8 Cash backed reserves/accumulated surplus reconciliation</v>
      </c>
    </row>
    <row r="108" spans="1:6">
      <c r="A108" s="1335"/>
      <c r="B108" s="1447" t="str">
        <f t="shared" si="0"/>
        <v>Table A9 Asset Management</v>
      </c>
      <c r="C108" s="1323"/>
      <c r="D108" s="1446" t="s">
        <v>1954</v>
      </c>
      <c r="E108" s="1184" t="str">
        <f>D108&amp;"Consolidated Asset Management"</f>
        <v>Table A9 Consolidated Asset Management</v>
      </c>
      <c r="F108" s="1184" t="str">
        <f>D108&amp;"Asset Management"</f>
        <v>Table A9 Asset Management</v>
      </c>
    </row>
    <row r="109" spans="1:6">
      <c r="A109" s="1335"/>
      <c r="B109" s="1461" t="str">
        <f t="shared" si="0"/>
        <v>Table A10 Basic service delivery measurement</v>
      </c>
      <c r="C109" s="1336"/>
      <c r="D109" s="1462" t="s">
        <v>1955</v>
      </c>
      <c r="E109" s="1184" t="str">
        <f>D109&amp;"Consolidated basic service delivery measurement"</f>
        <v>Table A10 Consolidated basic service delivery measurement</v>
      </c>
      <c r="F109" s="1184" t="str">
        <f>D109&amp;"Basic service delivery measurement"</f>
        <v>Table A10 Basic service delivery measurement</v>
      </c>
    </row>
    <row r="110" spans="1:6">
      <c r="A110" s="2741" t="s">
        <v>1480</v>
      </c>
      <c r="B110" s="2742"/>
      <c r="C110" s="1463" t="str">
        <f>$C$99</f>
        <v>Chart x-ref</v>
      </c>
      <c r="D110" s="1463" t="str">
        <f>$D$99</f>
        <v>Sch/Tab/Ch</v>
      </c>
    </row>
    <row r="111" spans="1:6">
      <c r="A111" s="1464" t="s">
        <v>1481</v>
      </c>
      <c r="B111" s="1465" t="str">
        <f>A111&amp;" Supportinging detail to 'Budgeted Financial Performance'"</f>
        <v>Supporting Table SA1 Supportinging detail to 'Budgeted Financial Performance'</v>
      </c>
      <c r="C111" s="1337"/>
      <c r="D111" s="1337"/>
      <c r="E111" s="1322"/>
      <c r="F111" s="1322"/>
    </row>
    <row r="112" spans="1:6">
      <c r="A112" s="1446" t="s">
        <v>1482</v>
      </c>
      <c r="B112" s="1447" t="str">
        <f>IF(Consolques="YES",E112,F112)</f>
        <v>Supporting Table SA2 Matrix Financial Performance Budget (revenue source/expenditure type and dept.)</v>
      </c>
      <c r="C112" s="1324"/>
      <c r="D112" s="1324"/>
      <c r="E112" s="1447" t="str">
        <f>A112&amp;"Consolidated Matrix Financial Performance Budget (revenue source/expenditure type &amp; dept.)"</f>
        <v>Supporting Table SA2 Consolidated Matrix Financial Performance Budget (revenue source/expenditure type &amp; dept.)</v>
      </c>
      <c r="F112" s="1447" t="str">
        <f>A112&amp;"Matrix Financial Performance Budget (revenue source/expenditure type and dept.)"</f>
        <v>Supporting Table SA2 Matrix Financial Performance Budget (revenue source/expenditure type and dept.)</v>
      </c>
    </row>
    <row r="113" spans="1:6">
      <c r="A113" s="1446" t="s">
        <v>1483</v>
      </c>
      <c r="B113" s="1447" t="str">
        <f>A113&amp;"Supportinging detail to 'Budgeted Financial Position'"</f>
        <v>Supporting Table SA3 Supportinging detail to 'Budgeted Financial Position'</v>
      </c>
      <c r="C113" s="1324"/>
      <c r="D113" s="1324"/>
      <c r="E113" s="1322"/>
      <c r="F113" s="1322"/>
    </row>
    <row r="114" spans="1:6">
      <c r="A114" s="1446" t="s">
        <v>1484</v>
      </c>
      <c r="B114" s="1447" t="str">
        <f>A114&amp;"Reconciliation of IDP strategic objectives and budget (revenue)"</f>
        <v>Supporting Table SA4 Reconciliation of IDP strategic objectives and budget (revenue)</v>
      </c>
      <c r="C114" s="1448" t="s">
        <v>1442</v>
      </c>
      <c r="D114" s="1324"/>
      <c r="E114" s="1322"/>
      <c r="F114" s="1322"/>
    </row>
    <row r="115" spans="1:6">
      <c r="A115" s="1446" t="s">
        <v>41</v>
      </c>
      <c r="B115" s="1447" t="str">
        <f>A115&amp;"Reconciliation of IDP strategic objectives and budget (operating expenditure)"</f>
        <v>Supporting Table SA5 Reconciliation of IDP strategic objectives and budget (operating expenditure)</v>
      </c>
      <c r="C115" s="1448" t="s">
        <v>1443</v>
      </c>
      <c r="D115" s="1324"/>
      <c r="E115" s="1322"/>
      <c r="F115" s="1322"/>
    </row>
    <row r="116" spans="1:6">
      <c r="A116" s="1446" t="s">
        <v>42</v>
      </c>
      <c r="B116" s="1447" t="str">
        <f>A116&amp;"Reconciliation of IDP strategic objectives and budget (capital expenditure)"</f>
        <v>Supporting Table SA6 Reconciliation of IDP strategic objectives and budget (capital expenditure)</v>
      </c>
      <c r="C116" s="1448" t="s">
        <v>1444</v>
      </c>
      <c r="D116" s="1324"/>
      <c r="E116" s="1322"/>
      <c r="F116" s="1322"/>
    </row>
    <row r="117" spans="1:6">
      <c r="A117" s="1446" t="s">
        <v>43</v>
      </c>
      <c r="B117" s="1447" t="str">
        <f>A117&amp;" Measureable performance objectives"</f>
        <v>Supporting Table SA7 Measureable performance objectives</v>
      </c>
      <c r="C117" s="1324"/>
      <c r="D117" s="1324"/>
      <c r="E117" s="1322"/>
      <c r="F117" s="1322"/>
    </row>
    <row r="118" spans="1:6">
      <c r="A118" s="1446" t="s">
        <v>44</v>
      </c>
      <c r="B118" s="1447" t="str">
        <f>A118&amp;" Performance indicators and benchmarks"</f>
        <v>Supporting Table SA8 Performance indicators and benchmarks</v>
      </c>
      <c r="C118" s="1448" t="s">
        <v>669</v>
      </c>
      <c r="D118" s="1324"/>
      <c r="E118" s="1322"/>
      <c r="F118" s="1322"/>
    </row>
    <row r="119" spans="1:6">
      <c r="A119" s="1446" t="s">
        <v>45</v>
      </c>
      <c r="B119" s="1447" t="str">
        <f>A119&amp;" Social, economic and demographic statistics and assumptions"</f>
        <v>Supporting Table SA9 Social, economic and demographic statistics and assumptions</v>
      </c>
      <c r="C119" s="1324"/>
      <c r="D119" s="1324"/>
      <c r="E119" s="1322"/>
      <c r="F119" s="1322"/>
    </row>
    <row r="120" spans="1:6">
      <c r="A120" s="1446" t="s">
        <v>1057</v>
      </c>
      <c r="B120" s="1447" t="str">
        <f>A120&amp;" Funding measurement"</f>
        <v>Supporting Table SA10 Funding measurement</v>
      </c>
      <c r="C120" s="1448" t="s">
        <v>1445</v>
      </c>
      <c r="D120" s="1324"/>
      <c r="E120" s="1322"/>
      <c r="F120" s="1322"/>
    </row>
    <row r="121" spans="1:6">
      <c r="A121" s="1446" t="s">
        <v>1058</v>
      </c>
      <c r="B121" s="1459" t="str">
        <f>A121&amp;" Property rates summary"</f>
        <v>Supporting Table SA11 Property rates summary</v>
      </c>
      <c r="C121" s="1324"/>
      <c r="D121" s="1324"/>
      <c r="E121" s="1322"/>
      <c r="F121" s="1322"/>
    </row>
    <row r="122" spans="1:6">
      <c r="A122" s="1446" t="s">
        <v>1059</v>
      </c>
      <c r="B122" s="1459" t="str">
        <f>A122&amp;" Property rates by category (current year)"</f>
        <v>Supporting Table SA12 Property rates by category (current year)</v>
      </c>
      <c r="C122" s="1324"/>
      <c r="D122" s="1324"/>
      <c r="E122" s="1322"/>
      <c r="F122" s="1322"/>
    </row>
    <row r="123" spans="1:6">
      <c r="A123" s="1446" t="s">
        <v>1060</v>
      </c>
      <c r="B123" s="1459" t="str">
        <f>A123&amp;" Property rates by category (budget year)"</f>
        <v>Supporting Table SA13 Property rates by category (budget year)</v>
      </c>
      <c r="C123" s="1324"/>
      <c r="D123" s="1324"/>
      <c r="E123" s="1322"/>
      <c r="F123" s="1322"/>
    </row>
    <row r="124" spans="1:6">
      <c r="A124" s="1446" t="s">
        <v>1061</v>
      </c>
      <c r="B124" s="1459" t="str">
        <f>A124&amp;" Household bills"</f>
        <v>Supporting Table SA14 Household bills</v>
      </c>
      <c r="C124" s="1324"/>
      <c r="D124" s="1324"/>
      <c r="E124" s="1322"/>
      <c r="F124" s="1322"/>
    </row>
    <row r="125" spans="1:6">
      <c r="A125" s="1446" t="s">
        <v>1062</v>
      </c>
      <c r="B125" s="1447" t="str">
        <f>A125&amp;" Investment particulars by type"</f>
        <v>Supporting Table SA15 Investment particulars by type</v>
      </c>
      <c r="C125" s="1324"/>
      <c r="D125" s="1324"/>
      <c r="E125" s="1322"/>
      <c r="F125" s="1322"/>
    </row>
    <row r="126" spans="1:6">
      <c r="A126" s="1446" t="s">
        <v>1063</v>
      </c>
      <c r="B126" s="1447" t="str">
        <f>A126&amp;" Investment particulars by maturity"</f>
        <v>Supporting Table SA16 Investment particulars by maturity</v>
      </c>
      <c r="C126" s="1324"/>
      <c r="D126" s="1324"/>
      <c r="E126" s="1322"/>
      <c r="F126" s="1322"/>
    </row>
    <row r="127" spans="1:6">
      <c r="A127" s="1446" t="s">
        <v>1064</v>
      </c>
      <c r="B127" s="1447" t="str">
        <f>A127&amp;" Borrowing"</f>
        <v>Supporting Table SA17 Borrowing</v>
      </c>
      <c r="C127" s="1324"/>
      <c r="D127" s="1338"/>
      <c r="E127" s="1322"/>
      <c r="F127" s="1322"/>
    </row>
    <row r="128" spans="1:6">
      <c r="A128" s="1446" t="s">
        <v>1065</v>
      </c>
      <c r="B128" s="1447" t="str">
        <f>A128&amp;" Transfers and grant receipts"</f>
        <v>Supporting Table SA18 Transfers and grant receipts</v>
      </c>
      <c r="C128" s="1324"/>
      <c r="D128" s="1324"/>
      <c r="E128" s="1322"/>
      <c r="F128" s="1322"/>
    </row>
    <row r="129" spans="1:6">
      <c r="A129" s="1446" t="s">
        <v>1066</v>
      </c>
      <c r="B129" s="1447" t="str">
        <f>A129&amp;" Expenditure on transfers and grant programme"</f>
        <v>Supporting Table SA19 Expenditure on transfers and grant programme</v>
      </c>
      <c r="C129" s="1324"/>
      <c r="D129" s="1324"/>
      <c r="E129" s="1322"/>
      <c r="F129" s="1322"/>
    </row>
    <row r="130" spans="1:6">
      <c r="A130" s="1446" t="s">
        <v>1067</v>
      </c>
      <c r="B130" s="1447" t="str">
        <f>A130&amp;" Reconciliation of transfers, grant receipts and unspent funds"</f>
        <v>Supporting Table SA20 Reconciliation of transfers, grant receipts and unspent funds</v>
      </c>
      <c r="C130" s="1324"/>
      <c r="D130" s="1324"/>
      <c r="E130" s="1322"/>
      <c r="F130" s="1322"/>
    </row>
    <row r="131" spans="1:6">
      <c r="A131" s="1446" t="s">
        <v>1068</v>
      </c>
      <c r="B131" s="1447" t="str">
        <f>A131&amp;" Transfers and grants made by the municipality"</f>
        <v>Supporting Table SA21 Transfers and grants made by the municipality</v>
      </c>
      <c r="C131" s="1324"/>
      <c r="D131" s="1324"/>
      <c r="E131" s="1322"/>
      <c r="F131" s="1322"/>
    </row>
    <row r="132" spans="1:6">
      <c r="A132" s="1446" t="s">
        <v>1069</v>
      </c>
      <c r="B132" s="1447" t="str">
        <f>A132&amp;" Summary councillor and staff benefits"</f>
        <v>Supporting Table SA22 Summary councillor and staff benefits</v>
      </c>
      <c r="C132" s="1324"/>
      <c r="D132" s="1338"/>
      <c r="E132" s="1322"/>
      <c r="F132" s="1322"/>
    </row>
    <row r="133" spans="1:6">
      <c r="A133" s="1446" t="s">
        <v>1070</v>
      </c>
      <c r="B133" s="1447" t="str">
        <f>A133&amp;" Salaries, allowances &amp; benefits (political office bearers/councillors/senior managers)"</f>
        <v>Supporting Table SA23 Salaries, allowances &amp; benefits (political office bearers/councillors/senior managers)</v>
      </c>
      <c r="C133" s="1324"/>
      <c r="D133" s="1338"/>
      <c r="E133" s="1322"/>
      <c r="F133" s="1322"/>
    </row>
    <row r="134" spans="1:6">
      <c r="A134" s="1446" t="s">
        <v>1071</v>
      </c>
      <c r="B134" s="1447" t="str">
        <f>A134&amp;" Summary of personnel numbers"</f>
        <v>Supporting Table SA24 Summary of personnel numbers</v>
      </c>
      <c r="C134" s="1324"/>
      <c r="D134" s="1324"/>
      <c r="E134" s="1322"/>
      <c r="F134" s="1322"/>
    </row>
    <row r="135" spans="1:6">
      <c r="A135" s="1446" t="s">
        <v>1072</v>
      </c>
      <c r="B135" s="1459" t="str">
        <f t="shared" ref="B135:B141" si="1">IF(Consolques="YES",E135,F135)</f>
        <v>Supporting Table SA25 Budgeted monthly revenue and expenditure</v>
      </c>
      <c r="C135" s="1324"/>
      <c r="D135" s="1324"/>
      <c r="E135" s="1447" t="str">
        <f>A135&amp;" Consolidated budgeted monthly revenue and expenditure"</f>
        <v>Supporting Table SA25 Consolidated budgeted monthly revenue and expenditure</v>
      </c>
      <c r="F135" s="1447" t="str">
        <f>A135&amp;" Budgeted monthly revenue and expenditure"</f>
        <v>Supporting Table SA25 Budgeted monthly revenue and expenditure</v>
      </c>
    </row>
    <row r="136" spans="1:6">
      <c r="A136" s="1446" t="s">
        <v>1073</v>
      </c>
      <c r="B136" s="1459" t="str">
        <f t="shared" si="1"/>
        <v>Supporting Table SA26 Budgeted monthly revenue and expenditure (municipal vote)</v>
      </c>
      <c r="C136" s="1324"/>
      <c r="D136" s="1324"/>
      <c r="E136" s="1447" t="str">
        <f>A136&amp;" Consolidated budgeted monthly revenue and expenditure (municipal vote)"</f>
        <v>Supporting Table SA26 Consolidated budgeted monthly revenue and expenditure (municipal vote)</v>
      </c>
      <c r="F136" s="1447" t="str">
        <f>A136&amp;" Budgeted monthly revenue and expenditure (municipal vote)"</f>
        <v>Supporting Table SA26 Budgeted monthly revenue and expenditure (municipal vote)</v>
      </c>
    </row>
    <row r="137" spans="1:6">
      <c r="A137" s="1446" t="s">
        <v>1074</v>
      </c>
      <c r="B137" s="1459" t="str">
        <f t="shared" si="1"/>
        <v>Supporting Table SA27 Budgeted monthly revenue and expenditure (standard classification)</v>
      </c>
      <c r="C137" s="1324"/>
      <c r="D137" s="1324"/>
      <c r="E137" s="1447" t="str">
        <f>A137&amp;" Consolidated budgeted monthly revenue and expenditure (standard classification)"</f>
        <v>Supporting Table SA27 Consolidated budgeted monthly revenue and expenditure (standard classification)</v>
      </c>
      <c r="F137" s="1447" t="str">
        <f>A137&amp;" Budgeted monthly revenue and expenditure (standard classification)"</f>
        <v>Supporting Table SA27 Budgeted monthly revenue and expenditure (standard classification)</v>
      </c>
    </row>
    <row r="138" spans="1:6">
      <c r="A138" s="1446" t="s">
        <v>1075</v>
      </c>
      <c r="B138" s="1459" t="str">
        <f t="shared" si="1"/>
        <v>Supporting Table SA28 Budgeted monthly capital expenditure (municipal vote)</v>
      </c>
      <c r="C138" s="1324"/>
      <c r="D138" s="1324"/>
      <c r="E138" s="1447" t="str">
        <f>A138&amp;" Consolidated budgeted monthly capital expenditure (municipal vote)"</f>
        <v>Supporting Table SA28 Consolidated budgeted monthly capital expenditure (municipal vote)</v>
      </c>
      <c r="F138" s="1447" t="str">
        <f>A138&amp;" Budgeted monthly capital expenditure (municipal vote)"</f>
        <v>Supporting Table SA28 Budgeted monthly capital expenditure (municipal vote)</v>
      </c>
    </row>
    <row r="139" spans="1:6">
      <c r="A139" s="1446" t="s">
        <v>1076</v>
      </c>
      <c r="B139" s="1459" t="str">
        <f t="shared" si="1"/>
        <v>Supporting Table SA29 Budgeted monthly capital expenditure (standard classification)</v>
      </c>
      <c r="C139" s="1324"/>
      <c r="D139" s="1324"/>
      <c r="E139" s="1447" t="str">
        <f>A139&amp;" Consolidated budgeted monthly capital expenditure (standard classification)"</f>
        <v>Supporting Table SA29 Consolidated budgeted monthly capital expenditure (standard classification)</v>
      </c>
      <c r="F139" s="1447" t="str">
        <f>A139&amp;" Budgeted monthly capital expenditure (standard classification)"</f>
        <v>Supporting Table SA29 Budgeted monthly capital expenditure (standard classification)</v>
      </c>
    </row>
    <row r="140" spans="1:6">
      <c r="A140" s="1446" t="s">
        <v>1077</v>
      </c>
      <c r="B140" s="1459" t="str">
        <f t="shared" si="1"/>
        <v>Supporting Table SA30 Budgeted monthly cash flow</v>
      </c>
      <c r="C140" s="1324"/>
      <c r="D140" s="1324"/>
      <c r="E140" s="1447" t="str">
        <f>A140&amp;" Consolidated budgeted monthly cash flow"</f>
        <v>Supporting Table SA30 Consolidated budgeted monthly cash flow</v>
      </c>
      <c r="F140" s="1447" t="str">
        <f>A140&amp;" Budgeted monthly cash flow"</f>
        <v>Supporting Table SA30 Budgeted monthly cash flow</v>
      </c>
    </row>
    <row r="141" spans="1:6">
      <c r="A141" s="1446" t="s">
        <v>1078</v>
      </c>
      <c r="B141" s="1447" t="str">
        <f t="shared" si="1"/>
        <v>NOT REQUIRED - municipality does not have entities</v>
      </c>
      <c r="C141" s="1324"/>
      <c r="D141" s="1324"/>
      <c r="E141" s="1447" t="str">
        <f>A141&amp;" Aggregated entity budget"</f>
        <v>Supporting Table SA31 Aggregated entity budget</v>
      </c>
      <c r="F141" s="1447" t="s">
        <v>1094</v>
      </c>
    </row>
    <row r="142" spans="1:6">
      <c r="A142" s="1446" t="s">
        <v>1079</v>
      </c>
      <c r="B142" s="1447" t="str">
        <f>A142&amp;" List of external mechanisms"</f>
        <v>Supporting Table SA32 List of external mechanisms</v>
      </c>
      <c r="C142" s="1324"/>
      <c r="D142" s="1324"/>
      <c r="E142" s="1322"/>
      <c r="F142" s="1322"/>
    </row>
    <row r="143" spans="1:6">
      <c r="A143" s="1446" t="s">
        <v>1080</v>
      </c>
      <c r="B143" s="1447" t="str">
        <f>A143&amp;" Contracts having future budgetary implications"</f>
        <v>Supporting Table SA33 Contracts having future budgetary implications</v>
      </c>
      <c r="C143" s="1324"/>
      <c r="D143" s="1324"/>
      <c r="E143" s="1322"/>
      <c r="F143" s="1322"/>
    </row>
    <row r="144" spans="1:6">
      <c r="A144" s="1446" t="s">
        <v>1775</v>
      </c>
      <c r="B144" s="1447" t="str">
        <f t="shared" ref="B144:B149" si="2">IF(Consolques="YES",E144,F144)</f>
        <v>Supporting Table SA34a Capital expenditure on new assets by asset class</v>
      </c>
      <c r="C144" s="1324"/>
      <c r="D144" s="1324"/>
      <c r="E144" s="1447" t="str">
        <f>A144&amp;" Consolidated capital expenditure on new assets by asset class"</f>
        <v>Supporting Table SA34a Consolidated capital expenditure on new assets by asset class</v>
      </c>
      <c r="F144" s="1447" t="str">
        <f>A144&amp;" Capital expenditure on new assets by asset class"</f>
        <v>Supporting Table SA34a Capital expenditure on new assets by asset class</v>
      </c>
    </row>
    <row r="145" spans="1:6">
      <c r="A145" s="1446" t="s">
        <v>1776</v>
      </c>
      <c r="B145" s="1447" t="str">
        <f t="shared" si="2"/>
        <v>Supporting Table SA34b Capital expenditure on the renewal of existing assets by asset class</v>
      </c>
      <c r="C145" s="1324"/>
      <c r="D145" s="1324"/>
      <c r="E145" s="1447" t="str">
        <f>A145&amp;" Consolidated capital expenditure on existing assets by asset class"</f>
        <v>Supporting Table SA34b Consolidated capital expenditure on existing assets by asset class</v>
      </c>
      <c r="F145" s="1447" t="str">
        <f>A145&amp;" Capital expenditure on the renewal of existing assets by asset class"</f>
        <v>Supporting Table SA34b Capital expenditure on the renewal of existing assets by asset class</v>
      </c>
    </row>
    <row r="146" spans="1:6">
      <c r="A146" s="1446" t="s">
        <v>1777</v>
      </c>
      <c r="B146" s="1447" t="str">
        <f t="shared" si="2"/>
        <v>Supporting Table SA34c Repairs and maintenance expenditure by asset class</v>
      </c>
      <c r="C146" s="1324"/>
      <c r="D146" s="1324"/>
      <c r="E146" s="1447" t="str">
        <f>A146&amp;" Consolidated repairs and maintenance by asset class"</f>
        <v>Supporting Table SA34c Consolidated repairs and maintenance by asset class</v>
      </c>
      <c r="F146" s="1447" t="str">
        <f>A146&amp;" Repairs and maintenance expenditure by asset class"</f>
        <v>Supporting Table SA34c Repairs and maintenance expenditure by asset class</v>
      </c>
    </row>
    <row r="147" spans="1:6">
      <c r="A147" s="1446" t="s">
        <v>1081</v>
      </c>
      <c r="B147" s="1447" t="str">
        <f t="shared" si="2"/>
        <v>Supporting Table SA35 Future financial implications of the capital budget</v>
      </c>
      <c r="C147" s="1324"/>
      <c r="D147" s="1324"/>
      <c r="E147" s="1447" t="str">
        <f>A147&amp;" Consolidated future financial implications of the capital budget"</f>
        <v>Supporting Table SA35 Consolidated future financial implications of the capital budget</v>
      </c>
      <c r="F147" s="1447" t="str">
        <f>A147&amp; " Future financial implications of the capital budget"</f>
        <v>Supporting Table SA35 Future financial implications of the capital budget</v>
      </c>
    </row>
    <row r="148" spans="1:6">
      <c r="A148" s="1446" t="s">
        <v>1082</v>
      </c>
      <c r="B148" s="1447" t="str">
        <f t="shared" si="2"/>
        <v>Supporting Table SA36 Detailed capital budget</v>
      </c>
      <c r="C148" s="1324"/>
      <c r="D148" s="1324"/>
      <c r="E148" s="1447" t="str">
        <f>A148&amp;" Consolidated detailed capital budget"</f>
        <v>Supporting Table SA36 Consolidated detailed capital budget</v>
      </c>
      <c r="F148" s="1447" t="str">
        <f>A148&amp; " Detailed capital budget"</f>
        <v>Supporting Table SA36 Detailed capital budget</v>
      </c>
    </row>
    <row r="149" spans="1:6">
      <c r="A149" s="1446" t="s">
        <v>1083</v>
      </c>
      <c r="B149" s="1461" t="str">
        <f t="shared" si="2"/>
        <v>Supporting Table SA37 Projects delayed from previous financial year/s</v>
      </c>
      <c r="C149" s="1330"/>
      <c r="D149" s="1321"/>
      <c r="E149" s="1447" t="str">
        <f>A149&amp;" Consolidated projects delayed from previous financial year/s"</f>
        <v>Supporting Table SA37 Consolidated projects delayed from previous financial year/s</v>
      </c>
      <c r="F149" s="1447" t="str">
        <f>A149&amp; " Projects delayed from previous financial year/s"</f>
        <v>Supporting Table SA37 Projects delayed from previous financial year/s</v>
      </c>
    </row>
    <row r="150" spans="1:6">
      <c r="A150" s="1466" t="s">
        <v>1139</v>
      </c>
      <c r="B150" s="1467" t="s">
        <v>1459</v>
      </c>
      <c r="C150" s="1468" t="s">
        <v>1170</v>
      </c>
      <c r="D150" s="1327"/>
    </row>
    <row r="151" spans="1:6">
      <c r="A151" s="1469" t="s">
        <v>1958</v>
      </c>
      <c r="B151" s="1470" t="str">
        <f>A151&amp;"Revenue by Municipal Vote"</f>
        <v>Chart A1 Revenue by Municipal Vote</v>
      </c>
      <c r="C151" s="1337"/>
      <c r="D151" s="1339"/>
    </row>
    <row r="152" spans="1:6">
      <c r="A152" s="1469" t="s">
        <v>1959</v>
      </c>
      <c r="B152" s="1471" t="str">
        <f>A152&amp;"Expenditure by Municipal Vote"</f>
        <v>Chart A2 Expenditure by Municipal Vote</v>
      </c>
      <c r="C152" s="1324"/>
      <c r="D152" s="1332"/>
    </row>
    <row r="153" spans="1:6">
      <c r="A153" s="1469" t="s">
        <v>1960</v>
      </c>
      <c r="B153" s="1471" t="str">
        <f>A153&amp;"Revenue by Standard Classification"</f>
        <v>Chart A3 Revenue by Standard Classification</v>
      </c>
      <c r="C153" s="1448" t="s">
        <v>1169</v>
      </c>
      <c r="D153" s="1322"/>
    </row>
    <row r="154" spans="1:6">
      <c r="A154" s="1469" t="s">
        <v>1961</v>
      </c>
      <c r="B154" s="1471" t="str">
        <f>A154&amp;"Expenditure by Standard Classification"</f>
        <v>Chart A4 Expenditure by Standard Classification</v>
      </c>
      <c r="C154" s="1448" t="s">
        <v>1169</v>
      </c>
      <c r="D154" s="1322"/>
    </row>
    <row r="155" spans="1:6">
      <c r="A155" s="1469" t="s">
        <v>1962</v>
      </c>
      <c r="B155" s="1471" t="str">
        <f>A155&amp;"Revenue by Major Source (refer 'Minor' source for 'Other Revenue' allocation"</f>
        <v>Chart A5 Revenue by Major Source (refer 'Minor' source for 'Other Revenue' allocation</v>
      </c>
      <c r="C155" s="1448" t="s">
        <v>1171</v>
      </c>
      <c r="D155" s="1322"/>
    </row>
    <row r="156" spans="1:6">
      <c r="A156" s="1469" t="s">
        <v>1963</v>
      </c>
      <c r="B156" s="1471" t="str">
        <f>A156&amp;"Revenue by Minor Source (Other)"</f>
        <v>Chart A6 Revenue by Minor Source (Other)</v>
      </c>
      <c r="C156" s="1448" t="s">
        <v>1171</v>
      </c>
      <c r="D156" s="1322"/>
    </row>
    <row r="157" spans="1:6">
      <c r="A157" s="1469" t="s">
        <v>1964</v>
      </c>
      <c r="B157" s="1471" t="str">
        <f>A157&amp;"Expenditure by Major Type"</f>
        <v>Chart A7 Expenditure by Major Type</v>
      </c>
      <c r="C157" s="1448" t="s">
        <v>1171</v>
      </c>
      <c r="D157" s="1322"/>
    </row>
    <row r="158" spans="1:6">
      <c r="A158" s="1469" t="s">
        <v>1965</v>
      </c>
      <c r="B158" s="1471" t="str">
        <f>A158&amp;"Expenditure by Minor Type (Other)"</f>
        <v>Chart A8 Expenditure by Minor Type (Other)</v>
      </c>
      <c r="C158" s="1448" t="s">
        <v>1171</v>
      </c>
      <c r="D158" s="1322"/>
    </row>
    <row r="159" spans="1:6">
      <c r="A159" s="1469" t="s">
        <v>1966</v>
      </c>
      <c r="B159" s="1471" t="str">
        <f>A159&amp;"Capital Expenditure by Municipal Vote/Appropriation (Major)"</f>
        <v>Chart A9 Capital Expenditure by Municipal Vote/Appropriation (Major)</v>
      </c>
      <c r="C159" s="1448" t="s">
        <v>1172</v>
      </c>
      <c r="D159" s="1322"/>
    </row>
    <row r="160" spans="1:6">
      <c r="A160" s="1469" t="s">
        <v>1967</v>
      </c>
      <c r="B160" s="1471" t="str">
        <f>A160&amp;"Capital Expenditure by Municipal Vote/Appropriation (Minor)"</f>
        <v>Chart A10 Capital Expenditure by Municipal Vote/Appropriation (Minor)</v>
      </c>
      <c r="C160" s="1448" t="s">
        <v>1172</v>
      </c>
      <c r="D160" s="1322"/>
    </row>
    <row r="161" spans="1:4">
      <c r="A161" s="1469" t="s">
        <v>1968</v>
      </c>
      <c r="B161" s="1471" t="str">
        <f>A160&amp;"Capital Expenditure by Standard Classification"</f>
        <v>Chart A10 Capital Expenditure by Standard Classification</v>
      </c>
      <c r="C161" s="1448" t="s">
        <v>1172</v>
      </c>
      <c r="D161" s="1322"/>
    </row>
    <row r="162" spans="1:4">
      <c r="A162" s="1469" t="s">
        <v>1969</v>
      </c>
      <c r="B162" s="1471" t="str">
        <f>A162&amp;"Capital expenditure performance trend"</f>
        <v>Chart A12 Capital expenditure performance trend</v>
      </c>
      <c r="C162" s="1448" t="s">
        <v>1172</v>
      </c>
      <c r="D162" s="1322"/>
    </row>
    <row r="163" spans="1:4">
      <c r="A163" s="1469" t="s">
        <v>1970</v>
      </c>
      <c r="B163" s="1471" t="str">
        <f>A163&amp;"Capital funding by Source"</f>
        <v>Chart A13 Capital funding by Source</v>
      </c>
      <c r="C163" s="1448" t="s">
        <v>1172</v>
      </c>
      <c r="D163" s="1322"/>
    </row>
    <row r="164" spans="1:4">
      <c r="A164" s="1469" t="s">
        <v>1971</v>
      </c>
      <c r="B164" s="1471" t="str">
        <f>A164&amp;"Cash flow trend"</f>
        <v>Chart A14 Cash flow trend</v>
      </c>
      <c r="C164" s="1448" t="s">
        <v>1173</v>
      </c>
      <c r="D164" s="1322"/>
    </row>
    <row r="165" spans="1:4">
      <c r="A165" s="1469" t="s">
        <v>1972</v>
      </c>
      <c r="B165" s="1471" t="str">
        <f>A165&amp;"IDP Strategic Objective - Revenue"</f>
        <v>Chart A15 IDP Strategic Objective - Revenue</v>
      </c>
      <c r="C165" s="1448" t="s">
        <v>320</v>
      </c>
      <c r="D165" s="1322"/>
    </row>
    <row r="166" spans="1:4">
      <c r="A166" s="1469" t="s">
        <v>1973</v>
      </c>
      <c r="B166" s="1471" t="str">
        <f>A166&amp;"IDP Strategic Objective - Expenditure"</f>
        <v>Chart A16 IDP Strategic Objective - Expenditure</v>
      </c>
      <c r="C166" s="1448" t="s">
        <v>321</v>
      </c>
      <c r="D166" s="1322"/>
    </row>
    <row r="167" spans="1:4">
      <c r="A167" s="1469" t="s">
        <v>1974</v>
      </c>
      <c r="B167" s="1471" t="str">
        <f>A167&amp;"IDP Strategic Objective - Capital Expenditure"</f>
        <v>Chart A17 IDP Strategic Objective - Capital Expenditure</v>
      </c>
      <c r="C167" s="1448" t="s">
        <v>322</v>
      </c>
    </row>
    <row r="168" spans="1:4">
      <c r="A168" s="1469" t="s">
        <v>1975</v>
      </c>
      <c r="B168" s="1471" t="str">
        <f>A168&amp;"Debt (borrowing to Total Revenue)"</f>
        <v>Chart A18 Debt (borrowing to Total Revenue)</v>
      </c>
      <c r="C168" s="1448" t="s">
        <v>323</v>
      </c>
    </row>
    <row r="169" spans="1:4">
      <c r="A169" s="1469" t="s">
        <v>1976</v>
      </c>
      <c r="B169" s="1471" t="str">
        <f>A169&amp;"Debtors' trend analysis"</f>
        <v>Chart A19 Debtors' trend analysis</v>
      </c>
      <c r="C169" s="1448" t="s">
        <v>323</v>
      </c>
    </row>
    <row r="170" spans="1:4">
      <c r="A170" s="1469" t="s">
        <v>1977</v>
      </c>
      <c r="B170" s="1471" t="str">
        <f>A170&amp;"Distribution losses"</f>
        <v>Chart A20 Distribution losses</v>
      </c>
      <c r="C170" s="1448" t="s">
        <v>323</v>
      </c>
    </row>
    <row r="171" spans="1:4">
      <c r="A171" s="1469" t="s">
        <v>1978</v>
      </c>
      <c r="B171" s="1471" t="str">
        <f>A171&amp;"Borrowed funding of capital expenditure"</f>
        <v>Chart A21 Borrowed funding of capital expenditure</v>
      </c>
      <c r="C171" s="1448" t="s">
        <v>323</v>
      </c>
    </row>
    <row r="172" spans="1:4">
      <c r="A172" s="1469" t="s">
        <v>1979</v>
      </c>
      <c r="B172" s="1471" t="str">
        <f>A172&amp;"Expenditure analysis (% of Revenue)"</f>
        <v>Chart A22 Expenditure analysis (% of Revenue)</v>
      </c>
      <c r="C172" s="1448" t="s">
        <v>323</v>
      </c>
    </row>
    <row r="173" spans="1:4">
      <c r="A173" s="1462" t="s">
        <v>1980</v>
      </c>
      <c r="B173" s="1472" t="str">
        <f>A173&amp;"Increases in service charges"</f>
        <v>Chart A23 Increases in service charges</v>
      </c>
      <c r="C173" s="1473" t="s">
        <v>665</v>
      </c>
    </row>
    <row r="174" spans="1:4">
      <c r="A174" s="1319"/>
    </row>
    <row r="175" spans="1:4">
      <c r="A175" s="1319"/>
    </row>
    <row r="176" spans="1:4">
      <c r="A176" s="1319"/>
    </row>
    <row r="177" spans="4:5">
      <c r="D177" s="1332"/>
      <c r="E177" s="1322"/>
    </row>
  </sheetData>
  <mergeCells count="5">
    <mergeCell ref="A1:D1"/>
    <mergeCell ref="A87:B87"/>
    <mergeCell ref="A110:B110"/>
    <mergeCell ref="A99:B99"/>
    <mergeCell ref="A92:D92"/>
  </mergeCells>
  <phoneticPr fontId="3" type="noConversion"/>
  <printOptions horizontalCentered="1" verticalCentered="1"/>
  <pageMargins left="0.39370078740157483" right="0.15748031496062992" top="0.51181102362204722" bottom="0.55118110236220474" header="0.51181102362204722" footer="0.39370078740157483"/>
  <pageSetup paperSize="9" scale="3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786" r:id="rId4" name="Button 10">
              <controlPr defaultSize="0" print="0" autoFill="0" autoPict="0" macro="[0]!SaveForUsers">
                <anchor moveWithCells="1" sizeWithCells="1">
                  <from>
                    <xdr:col>4</xdr:col>
                    <xdr:colOff>285750</xdr:colOff>
                    <xdr:row>2</xdr:row>
                    <xdr:rowOff>9525</xdr:rowOff>
                  </from>
                  <to>
                    <xdr:col>4</xdr:col>
                    <xdr:colOff>1990725</xdr:colOff>
                    <xdr:row>4</xdr:row>
                    <xdr:rowOff>9525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enableFormatConditionsCalculation="0">
    <tabColor rgb="FFCCFFCC"/>
    <pageSetUpPr fitToPage="1"/>
  </sheetPr>
  <dimension ref="A1:L112"/>
  <sheetViews>
    <sheetView showGridLines="0" workbookViewId="0">
      <pane xSplit="2" ySplit="4" topLeftCell="C5" activePane="bottomRight" state="frozen"/>
      <selection activeCell="H27" sqref="H27"/>
      <selection pane="topRight" activeCell="H27" sqref="H27"/>
      <selection pane="bottomLeft" activeCell="H27" sqref="H27"/>
      <selection pane="bottomRight"/>
    </sheetView>
  </sheetViews>
  <sheetFormatPr defaultRowHeight="12.75"/>
  <cols>
    <col min="1" max="1" width="30.7109375" style="150" customWidth="1"/>
    <col min="2" max="2" width="3" style="233" hidden="1" customWidth="1"/>
    <col min="3" max="11" width="9.28515625" style="150" customWidth="1"/>
    <col min="12" max="12" width="9.85546875" style="150" customWidth="1"/>
    <col min="13" max="13" width="9.5703125" style="150" customWidth="1"/>
    <col min="14" max="14" width="9.85546875" style="150" customWidth="1"/>
    <col min="15" max="17" width="9.5703125" style="150" customWidth="1"/>
    <col min="18" max="18" width="9.85546875" style="150" customWidth="1"/>
    <col min="19" max="21" width="9.5703125" style="150" customWidth="1"/>
    <col min="22" max="23" width="9.85546875" style="150" customWidth="1"/>
    <col min="24" max="16384" width="9.140625" style="150"/>
  </cols>
  <sheetData>
    <row r="1" spans="1:11" ht="13.5">
      <c r="A1" s="148" t="str">
        <f>muni&amp;" - "&amp;TableA11</f>
        <v>NC071 Ubuntu - Supporting Table SA11 Property rates summary</v>
      </c>
      <c r="B1" s="148"/>
      <c r="C1" s="148"/>
      <c r="D1" s="148"/>
      <c r="E1" s="148"/>
      <c r="F1" s="148"/>
      <c r="G1" s="148"/>
      <c r="H1" s="148"/>
      <c r="I1" s="148"/>
      <c r="J1" s="148"/>
      <c r="K1" s="148"/>
    </row>
    <row r="2" spans="1:11" ht="28.5" customHeight="1">
      <c r="A2" s="2816" t="str">
        <f>desc</f>
        <v>Description</v>
      </c>
      <c r="B2" s="2798" t="str">
        <f>head27</f>
        <v>Ref</v>
      </c>
      <c r="C2" s="146" t="str">
        <f>head1b</f>
        <v>2007/8</v>
      </c>
      <c r="D2" s="151" t="str">
        <f>head1A</f>
        <v>2008/9</v>
      </c>
      <c r="E2" s="147" t="str">
        <f>Head1</f>
        <v>2009/10</v>
      </c>
      <c r="F2" s="2772" t="str">
        <f>Head2</f>
        <v>Current Year 2010/11</v>
      </c>
      <c r="G2" s="2773"/>
      <c r="H2" s="2777"/>
      <c r="I2" s="2769" t="str">
        <f>Head3</f>
        <v>2011/12 Medium Term Revenue &amp; Expenditure Framework</v>
      </c>
      <c r="J2" s="2770"/>
      <c r="K2" s="2771"/>
    </row>
    <row r="3" spans="1:11" ht="25.5">
      <c r="A3" s="2817"/>
      <c r="B3" s="2799"/>
      <c r="C3" s="155" t="str">
        <f>Head5</f>
        <v>Audited Outcome</v>
      </c>
      <c r="D3" s="153" t="str">
        <f>Head5</f>
        <v>Audited Outcome</v>
      </c>
      <c r="E3" s="154" t="str">
        <f>Head5</f>
        <v>Audited Outcome</v>
      </c>
      <c r="F3" s="152" t="str">
        <f>Head6</f>
        <v>Original Budget</v>
      </c>
      <c r="G3" s="153" t="str">
        <f>Head7</f>
        <v>Adjusted Budget</v>
      </c>
      <c r="H3" s="154" t="str">
        <f>Head8</f>
        <v>Full Year Forecast</v>
      </c>
      <c r="I3" s="152" t="str">
        <f>Head9</f>
        <v>Budget Year 2011/12</v>
      </c>
      <c r="J3" s="153" t="str">
        <f>Head10</f>
        <v>Budget Year +1 2012/13</v>
      </c>
      <c r="K3" s="154" t="str">
        <f>Head11</f>
        <v>Budget Year +2 2013/14</v>
      </c>
    </row>
    <row r="4" spans="1:11" ht="4.5" customHeight="1">
      <c r="A4" s="169"/>
      <c r="B4" s="2804"/>
      <c r="C4" s="158"/>
      <c r="D4" s="138"/>
      <c r="E4" s="157"/>
      <c r="F4" s="156"/>
      <c r="G4" s="138"/>
      <c r="H4" s="157"/>
      <c r="I4" s="156"/>
      <c r="J4" s="138"/>
      <c r="K4" s="157"/>
    </row>
    <row r="5" spans="1:11" ht="11.25" customHeight="1">
      <c r="A5" s="170" t="s">
        <v>794</v>
      </c>
      <c r="B5" s="577">
        <v>1</v>
      </c>
      <c r="C5" s="578"/>
      <c r="D5" s="578"/>
      <c r="E5" s="208"/>
      <c r="F5" s="579"/>
      <c r="G5" s="1648"/>
      <c r="H5" s="1649"/>
      <c r="I5" s="1650"/>
      <c r="J5" s="1648"/>
      <c r="K5" s="1651"/>
    </row>
    <row r="6" spans="1:11" ht="11.25" customHeight="1">
      <c r="A6" s="179" t="s">
        <v>793</v>
      </c>
      <c r="B6" s="541"/>
      <c r="C6" s="2066"/>
      <c r="D6" s="2066"/>
      <c r="E6" s="2067"/>
      <c r="F6" s="2068"/>
      <c r="G6" s="1652"/>
      <c r="H6" s="1653"/>
      <c r="I6" s="1654"/>
      <c r="J6" s="1652"/>
      <c r="K6" s="1655"/>
    </row>
    <row r="7" spans="1:11" ht="11.25" customHeight="1">
      <c r="A7" s="179" t="s">
        <v>691</v>
      </c>
      <c r="B7" s="541"/>
      <c r="C7" s="2069"/>
      <c r="D7" s="2069"/>
      <c r="E7" s="2070"/>
      <c r="F7" s="2071"/>
      <c r="G7" s="1656"/>
      <c r="H7" s="1657"/>
      <c r="I7" s="2054"/>
      <c r="J7" s="1660"/>
      <c r="K7" s="1661"/>
    </row>
    <row r="8" spans="1:11" ht="11.25" customHeight="1">
      <c r="A8" s="179" t="s">
        <v>426</v>
      </c>
      <c r="B8" s="581" t="s">
        <v>820</v>
      </c>
      <c r="C8" s="2056"/>
      <c r="D8" s="2056" t="s">
        <v>879</v>
      </c>
      <c r="E8" s="2058" t="s">
        <v>879</v>
      </c>
      <c r="F8" s="2072"/>
      <c r="G8" s="1658"/>
      <c r="H8" s="1659"/>
      <c r="I8" s="2055"/>
      <c r="J8" s="1660"/>
      <c r="K8" s="1661"/>
    </row>
    <row r="9" spans="1:11" ht="11.25" customHeight="1">
      <c r="A9" s="179" t="s">
        <v>1357</v>
      </c>
      <c r="B9" s="541"/>
      <c r="C9" s="2056"/>
      <c r="D9" s="2056" t="s">
        <v>443</v>
      </c>
      <c r="E9" s="2058" t="s">
        <v>443</v>
      </c>
      <c r="F9" s="2072"/>
      <c r="G9" s="1642"/>
      <c r="H9" s="1643"/>
      <c r="I9" s="2055"/>
      <c r="J9" s="1644"/>
      <c r="K9" s="1645"/>
    </row>
    <row r="10" spans="1:11" ht="11.25" customHeight="1">
      <c r="A10" s="179" t="s">
        <v>795</v>
      </c>
      <c r="B10" s="541"/>
      <c r="C10" s="2056"/>
      <c r="D10" s="2056"/>
      <c r="E10" s="2058"/>
      <c r="F10" s="2072"/>
      <c r="G10" s="2056"/>
      <c r="H10" s="2057"/>
      <c r="I10" s="2055"/>
      <c r="J10" s="2056"/>
      <c r="K10" s="2058"/>
    </row>
    <row r="11" spans="1:11" ht="11.25" customHeight="1">
      <c r="A11" s="179" t="s">
        <v>1358</v>
      </c>
      <c r="B11" s="581">
        <v>3</v>
      </c>
      <c r="C11" s="2059"/>
      <c r="D11" s="2073"/>
      <c r="E11" s="2074"/>
      <c r="F11" s="2075"/>
      <c r="G11" s="2059"/>
      <c r="H11" s="2060"/>
      <c r="I11" s="2061"/>
      <c r="J11" s="2059"/>
      <c r="K11" s="2062"/>
    </row>
    <row r="12" spans="1:11" ht="11.25" customHeight="1">
      <c r="A12" s="304" t="s">
        <v>1359</v>
      </c>
      <c r="B12" s="549">
        <v>3</v>
      </c>
      <c r="C12" s="2063"/>
      <c r="D12" s="2076"/>
      <c r="E12" s="2077"/>
      <c r="F12" s="2075"/>
      <c r="G12" s="2063"/>
      <c r="H12" s="2064"/>
      <c r="I12" s="2061"/>
      <c r="J12" s="2063"/>
      <c r="K12" s="2065"/>
    </row>
    <row r="13" spans="1:11" ht="11.25" customHeight="1">
      <c r="A13" s="304" t="s">
        <v>1360</v>
      </c>
      <c r="B13" s="549">
        <v>3</v>
      </c>
      <c r="C13" s="2063"/>
      <c r="D13" s="2076"/>
      <c r="E13" s="2077"/>
      <c r="F13" s="2075"/>
      <c r="G13" s="2063"/>
      <c r="H13" s="2064"/>
      <c r="I13" s="2061"/>
      <c r="J13" s="2063"/>
      <c r="K13" s="2065"/>
    </row>
    <row r="14" spans="1:11" ht="11.25" customHeight="1">
      <c r="A14" s="304" t="s">
        <v>1361</v>
      </c>
      <c r="B14" s="549">
        <v>3</v>
      </c>
      <c r="C14" s="2063"/>
      <c r="D14" s="2076"/>
      <c r="E14" s="2077"/>
      <c r="F14" s="2075"/>
      <c r="G14" s="2063"/>
      <c r="H14" s="2064"/>
      <c r="I14" s="2061"/>
      <c r="J14" s="2063"/>
      <c r="K14" s="2065"/>
    </row>
    <row r="15" spans="1:11" ht="11.25" customHeight="1">
      <c r="A15" s="304" t="s">
        <v>1693</v>
      </c>
      <c r="B15" s="582">
        <v>4</v>
      </c>
      <c r="C15" s="2063"/>
      <c r="D15" s="2076"/>
      <c r="E15" s="2077"/>
      <c r="F15" s="2075"/>
      <c r="G15" s="2063"/>
      <c r="H15" s="2064"/>
      <c r="I15" s="2061"/>
      <c r="J15" s="2063"/>
      <c r="K15" s="2065"/>
    </row>
    <row r="16" spans="1:11" ht="11.25" customHeight="1">
      <c r="A16" s="179" t="s">
        <v>692</v>
      </c>
      <c r="B16" s="541"/>
      <c r="C16" s="2056"/>
      <c r="D16" s="2056" t="s">
        <v>879</v>
      </c>
      <c r="E16" s="2058" t="s">
        <v>879</v>
      </c>
      <c r="F16" s="2072"/>
      <c r="G16" s="1642"/>
      <c r="H16" s="1643"/>
      <c r="I16" s="2055"/>
      <c r="J16" s="1644"/>
      <c r="K16" s="1645"/>
    </row>
    <row r="17" spans="1:11" ht="11.25" customHeight="1">
      <c r="A17" s="179" t="s">
        <v>424</v>
      </c>
      <c r="B17" s="541"/>
      <c r="C17" s="2063"/>
      <c r="D17" s="2076"/>
      <c r="E17" s="2077" t="s">
        <v>3090</v>
      </c>
      <c r="F17" s="2075"/>
      <c r="G17" s="1642"/>
      <c r="H17" s="1643"/>
      <c r="I17" s="2061"/>
      <c r="J17" s="1646"/>
      <c r="K17" s="1647"/>
    </row>
    <row r="18" spans="1:11" ht="11.25" customHeight="1">
      <c r="A18" s="179" t="s">
        <v>427</v>
      </c>
      <c r="B18" s="581">
        <v>5</v>
      </c>
      <c r="C18" s="2076"/>
      <c r="D18" s="2076"/>
      <c r="E18" s="2077">
        <f>[5]SA11!$F$18</f>
        <v>4841</v>
      </c>
      <c r="F18" s="2075"/>
      <c r="G18" s="2076"/>
      <c r="H18" s="2081"/>
      <c r="I18" s="2061"/>
      <c r="J18" s="2063"/>
      <c r="K18" s="2065"/>
    </row>
    <row r="19" spans="1:11" ht="11.25" customHeight="1">
      <c r="A19" s="179" t="s">
        <v>428</v>
      </c>
      <c r="B19" s="581">
        <v>5</v>
      </c>
      <c r="C19" s="2076"/>
      <c r="D19" s="2076"/>
      <c r="E19" s="2077"/>
      <c r="F19" s="2075"/>
      <c r="G19" s="2076"/>
      <c r="H19" s="2081"/>
      <c r="I19" s="2061"/>
      <c r="J19" s="2063"/>
      <c r="K19" s="2065"/>
    </row>
    <row r="20" spans="1:11" ht="11.25" customHeight="1">
      <c r="A20" s="179" t="s">
        <v>429</v>
      </c>
      <c r="B20" s="581"/>
      <c r="C20" s="2076"/>
      <c r="D20" s="2076"/>
      <c r="E20" s="2077"/>
      <c r="F20" s="2075"/>
      <c r="G20" s="2076"/>
      <c r="H20" s="2081"/>
      <c r="I20" s="2061"/>
      <c r="J20" s="2063"/>
      <c r="K20" s="2065"/>
    </row>
    <row r="21" spans="1:11" ht="11.25" customHeight="1">
      <c r="A21" s="179" t="s">
        <v>785</v>
      </c>
      <c r="B21" s="541"/>
      <c r="C21" s="2063"/>
      <c r="D21" s="2076"/>
      <c r="E21" s="2077"/>
      <c r="F21" s="2075"/>
      <c r="G21" s="2076"/>
      <c r="H21" s="2081"/>
      <c r="I21" s="2061"/>
      <c r="J21" s="2063"/>
      <c r="K21" s="2065"/>
    </row>
    <row r="22" spans="1:11" ht="11.25" customHeight="1">
      <c r="A22" s="179" t="s">
        <v>786</v>
      </c>
      <c r="B22" s="541"/>
      <c r="C22" s="2063"/>
      <c r="D22" s="2076"/>
      <c r="E22" s="2077"/>
      <c r="F22" s="2075"/>
      <c r="G22" s="2063"/>
      <c r="H22" s="2064"/>
      <c r="I22" s="2061"/>
      <c r="J22" s="2063"/>
      <c r="K22" s="2065"/>
    </row>
    <row r="23" spans="1:11" ht="11.25" customHeight="1">
      <c r="A23" s="179" t="s">
        <v>384</v>
      </c>
      <c r="B23" s="541"/>
      <c r="C23" s="2063"/>
      <c r="D23" s="2076"/>
      <c r="E23" s="2077"/>
      <c r="F23" s="2075"/>
      <c r="G23" s="2063"/>
      <c r="H23" s="2064"/>
      <c r="I23" s="2061"/>
      <c r="J23" s="2063"/>
      <c r="K23" s="2065"/>
    </row>
    <row r="24" spans="1:11" ht="11.25" customHeight="1">
      <c r="A24" s="179" t="s">
        <v>385</v>
      </c>
      <c r="B24" s="541"/>
      <c r="C24" s="2063"/>
      <c r="D24" s="2076"/>
      <c r="E24" s="2077"/>
      <c r="F24" s="2075"/>
      <c r="G24" s="2063"/>
      <c r="H24" s="2064"/>
      <c r="I24" s="2061"/>
      <c r="J24" s="2063"/>
      <c r="K24" s="2065"/>
    </row>
    <row r="25" spans="1:11" ht="11.25" customHeight="1">
      <c r="A25" s="179" t="s">
        <v>796</v>
      </c>
      <c r="B25" s="541">
        <v>8</v>
      </c>
      <c r="C25" s="2063"/>
      <c r="D25" s="2076">
        <f>[5]SA11!$E$25</f>
        <v>0</v>
      </c>
      <c r="E25" s="2077">
        <f>[5]SA11!$F$25</f>
        <v>0</v>
      </c>
      <c r="F25" s="2075"/>
      <c r="G25" s="2063"/>
      <c r="H25" s="2064"/>
      <c r="I25" s="2061"/>
      <c r="J25" s="2063"/>
      <c r="K25" s="2065"/>
    </row>
    <row r="26" spans="1:11" ht="11.25" customHeight="1">
      <c r="A26" s="179" t="s">
        <v>784</v>
      </c>
      <c r="B26" s="541">
        <v>8</v>
      </c>
      <c r="C26" s="2063"/>
      <c r="D26" s="2076"/>
      <c r="E26" s="2077"/>
      <c r="F26" s="2075"/>
      <c r="G26" s="2063"/>
      <c r="H26" s="2064"/>
      <c r="I26" s="2061"/>
      <c r="J26" s="2063"/>
      <c r="K26" s="2065"/>
    </row>
    <row r="27" spans="1:11" ht="11.25" customHeight="1">
      <c r="A27" s="179" t="s">
        <v>1646</v>
      </c>
      <c r="B27" s="541"/>
      <c r="C27" s="2076"/>
      <c r="D27" s="2076"/>
      <c r="E27" s="2077"/>
      <c r="F27" s="2075"/>
      <c r="G27" s="2076"/>
      <c r="H27" s="2081"/>
      <c r="I27" s="2061"/>
      <c r="J27" s="2063"/>
      <c r="K27" s="2065"/>
    </row>
    <row r="28" spans="1:11" ht="11.25" customHeight="1">
      <c r="A28" s="179" t="s">
        <v>547</v>
      </c>
      <c r="B28" s="581">
        <v>5</v>
      </c>
      <c r="C28" s="2078"/>
      <c r="D28" s="2078"/>
      <c r="E28" s="2079"/>
      <c r="F28" s="2080"/>
      <c r="G28" s="2078"/>
      <c r="H28" s="2082"/>
      <c r="I28" s="2083"/>
      <c r="J28" s="2084"/>
      <c r="K28" s="2085"/>
    </row>
    <row r="29" spans="1:11" ht="11.25" customHeight="1">
      <c r="A29" s="179" t="s">
        <v>1499</v>
      </c>
      <c r="B29" s="581"/>
      <c r="C29" s="2078"/>
      <c r="D29" s="2078"/>
      <c r="E29" s="2079"/>
      <c r="F29" s="2080"/>
      <c r="G29" s="2078"/>
      <c r="H29" s="2082"/>
      <c r="I29" s="2083"/>
      <c r="J29" s="2084"/>
      <c r="K29" s="2085"/>
    </row>
    <row r="30" spans="1:11" ht="11.25" customHeight="1">
      <c r="A30" s="170" t="s">
        <v>1647</v>
      </c>
      <c r="B30" s="581"/>
      <c r="C30" s="583"/>
      <c r="D30" s="583"/>
      <c r="E30" s="584"/>
      <c r="F30" s="585"/>
      <c r="G30" s="583"/>
      <c r="H30" s="586"/>
      <c r="I30" s="587"/>
      <c r="J30" s="492"/>
      <c r="K30" s="194"/>
    </row>
    <row r="31" spans="1:11" ht="11.25" customHeight="1">
      <c r="A31" s="179" t="s">
        <v>548</v>
      </c>
      <c r="B31" s="581"/>
      <c r="C31" s="2078"/>
      <c r="D31" s="2078"/>
      <c r="E31" s="2079"/>
      <c r="F31" s="2080"/>
      <c r="G31" s="2078"/>
      <c r="H31" s="2082"/>
      <c r="I31" s="2083"/>
      <c r="J31" s="2084"/>
      <c r="K31" s="2085"/>
    </row>
    <row r="32" spans="1:11" ht="11.25" customHeight="1">
      <c r="A32" s="179" t="s">
        <v>549</v>
      </c>
      <c r="B32" s="581"/>
      <c r="C32" s="2078"/>
      <c r="D32" s="2078"/>
      <c r="E32" s="2079"/>
      <c r="F32" s="2080"/>
      <c r="G32" s="2078"/>
      <c r="H32" s="2082"/>
      <c r="I32" s="2083"/>
      <c r="J32" s="2084"/>
      <c r="K32" s="2085"/>
    </row>
    <row r="33" spans="1:11" ht="11.25" customHeight="1">
      <c r="A33" s="179" t="s">
        <v>550</v>
      </c>
      <c r="B33" s="581"/>
      <c r="C33" s="2078"/>
      <c r="D33" s="2078"/>
      <c r="E33" s="2079"/>
      <c r="F33" s="2080"/>
      <c r="G33" s="2078"/>
      <c r="H33" s="2082"/>
      <c r="I33" s="2083"/>
      <c r="J33" s="2084"/>
      <c r="K33" s="2085"/>
    </row>
    <row r="34" spans="1:11" ht="11.25" customHeight="1">
      <c r="A34" s="179" t="s">
        <v>551</v>
      </c>
      <c r="B34" s="581"/>
      <c r="C34" s="2078"/>
      <c r="D34" s="2078"/>
      <c r="E34" s="2079"/>
      <c r="F34" s="2080"/>
      <c r="G34" s="2078"/>
      <c r="H34" s="2082"/>
      <c r="I34" s="2083"/>
      <c r="J34" s="2084"/>
      <c r="K34" s="2085"/>
    </row>
    <row r="35" spans="1:11" ht="11.25" customHeight="1">
      <c r="A35" s="179" t="s">
        <v>552</v>
      </c>
      <c r="B35" s="581"/>
      <c r="C35" s="2078"/>
      <c r="D35" s="2078"/>
      <c r="E35" s="2079"/>
      <c r="F35" s="2080"/>
      <c r="G35" s="2078"/>
      <c r="H35" s="2082"/>
      <c r="I35" s="2083"/>
      <c r="J35" s="2084"/>
      <c r="K35" s="2085"/>
    </row>
    <row r="36" spans="1:11" ht="11.25" customHeight="1">
      <c r="A36" s="179" t="s">
        <v>553</v>
      </c>
      <c r="B36" s="581"/>
      <c r="C36" s="2078"/>
      <c r="D36" s="2078"/>
      <c r="E36" s="2079"/>
      <c r="F36" s="2080"/>
      <c r="G36" s="2078"/>
      <c r="H36" s="2082"/>
      <c r="I36" s="2083"/>
      <c r="J36" s="2084"/>
      <c r="K36" s="2085"/>
    </row>
    <row r="37" spans="1:11" ht="11.25" customHeight="1">
      <c r="A37" s="305" t="s">
        <v>1648</v>
      </c>
      <c r="B37" s="581"/>
      <c r="C37" s="588">
        <f>SUM(C31:C36)</f>
        <v>0</v>
      </c>
      <c r="D37" s="588">
        <f t="shared" ref="D37:K37" si="0">SUM(D31:D36)</f>
        <v>0</v>
      </c>
      <c r="E37" s="589">
        <f t="shared" si="0"/>
        <v>0</v>
      </c>
      <c r="F37" s="590">
        <f t="shared" si="0"/>
        <v>0</v>
      </c>
      <c r="G37" s="588">
        <f t="shared" si="0"/>
        <v>0</v>
      </c>
      <c r="H37" s="591">
        <f t="shared" si="0"/>
        <v>0</v>
      </c>
      <c r="I37" s="592">
        <f t="shared" si="0"/>
        <v>0</v>
      </c>
      <c r="J37" s="593">
        <f t="shared" si="0"/>
        <v>0</v>
      </c>
      <c r="K37" s="594">
        <f t="shared" si="0"/>
        <v>0</v>
      </c>
    </row>
    <row r="38" spans="1:11" ht="15.75" customHeight="1">
      <c r="A38" s="179" t="s">
        <v>1551</v>
      </c>
      <c r="B38" s="581">
        <v>5</v>
      </c>
      <c r="C38" s="2084"/>
      <c r="D38" s="2084"/>
      <c r="E38" s="2085"/>
      <c r="F38" s="2086"/>
      <c r="G38" s="2084"/>
      <c r="H38" s="2087"/>
      <c r="I38" s="2083"/>
      <c r="J38" s="2084"/>
      <c r="K38" s="2085"/>
    </row>
    <row r="39" spans="1:11" ht="11.25" customHeight="1">
      <c r="A39" s="179" t="s">
        <v>1552</v>
      </c>
      <c r="B39" s="581">
        <v>5</v>
      </c>
      <c r="C39" s="2084"/>
      <c r="D39" s="2084"/>
      <c r="E39" s="2085"/>
      <c r="F39" s="2086"/>
      <c r="G39" s="2084"/>
      <c r="H39" s="2087"/>
      <c r="I39" s="2088"/>
      <c r="J39" s="2084"/>
      <c r="K39" s="2085"/>
    </row>
    <row r="40" spans="1:11" ht="11.25" customHeight="1">
      <c r="A40" s="304" t="s">
        <v>1553</v>
      </c>
      <c r="B40" s="581">
        <v>5</v>
      </c>
      <c r="C40" s="2084"/>
      <c r="D40" s="2084"/>
      <c r="E40" s="2085"/>
      <c r="F40" s="2086"/>
      <c r="G40" s="2084"/>
      <c r="H40" s="2087"/>
      <c r="I40" s="2083"/>
      <c r="J40" s="2084"/>
      <c r="K40" s="2085"/>
    </row>
    <row r="41" spans="1:11" ht="11.25" customHeight="1">
      <c r="A41" s="304" t="s">
        <v>1554</v>
      </c>
      <c r="B41" s="581">
        <v>5</v>
      </c>
      <c r="C41" s="2084"/>
      <c r="D41" s="2078"/>
      <c r="E41" s="2085"/>
      <c r="F41" s="2086"/>
      <c r="G41" s="2078"/>
      <c r="H41" s="2082"/>
      <c r="I41" s="2083"/>
      <c r="J41" s="2084"/>
      <c r="K41" s="2085"/>
    </row>
    <row r="42" spans="1:11" ht="5.0999999999999996" customHeight="1">
      <c r="A42" s="380"/>
      <c r="B42" s="581"/>
      <c r="C42" s="1860"/>
      <c r="D42" s="2089"/>
      <c r="E42" s="2090"/>
      <c r="F42" s="2091"/>
      <c r="G42" s="2089"/>
      <c r="H42" s="2092"/>
      <c r="I42" s="2093"/>
      <c r="J42" s="1860"/>
      <c r="K42" s="1861"/>
    </row>
    <row r="43" spans="1:11" ht="11.25" customHeight="1">
      <c r="A43" s="598" t="s">
        <v>1649</v>
      </c>
      <c r="B43" s="599"/>
      <c r="C43" s="600"/>
      <c r="D43" s="600"/>
      <c r="E43" s="601"/>
      <c r="F43" s="602"/>
      <c r="G43" s="600"/>
      <c r="H43" s="603"/>
      <c r="I43" s="604"/>
      <c r="J43" s="600"/>
      <c r="K43" s="601"/>
    </row>
    <row r="44" spans="1:11" ht="26.25" customHeight="1">
      <c r="A44" s="452" t="s">
        <v>1550</v>
      </c>
      <c r="B44" s="541"/>
      <c r="C44" s="2056"/>
      <c r="D44" s="2056" t="s">
        <v>443</v>
      </c>
      <c r="E44" s="2058" t="s">
        <v>443</v>
      </c>
      <c r="F44" s="2056" t="s">
        <v>443</v>
      </c>
      <c r="G44" s="1662"/>
      <c r="H44" s="1663"/>
      <c r="I44" s="2056"/>
      <c r="J44" s="1662"/>
      <c r="K44" s="1666"/>
    </row>
    <row r="45" spans="1:11" ht="11.25" customHeight="1">
      <c r="A45" s="179" t="s">
        <v>790</v>
      </c>
      <c r="B45" s="541">
        <v>5</v>
      </c>
      <c r="C45" s="2056"/>
      <c r="D45" s="2056" t="s">
        <v>443</v>
      </c>
      <c r="E45" s="2058" t="s">
        <v>443</v>
      </c>
      <c r="F45" s="2056" t="s">
        <v>443</v>
      </c>
      <c r="G45" s="1664"/>
      <c r="H45" s="1665"/>
      <c r="I45" s="2056"/>
      <c r="J45" s="1664"/>
      <c r="K45" s="1667"/>
    </row>
    <row r="46" spans="1:11" ht="11.25" customHeight="1">
      <c r="A46" s="179" t="s">
        <v>791</v>
      </c>
      <c r="B46" s="541"/>
      <c r="C46" s="2056"/>
      <c r="D46" s="2056"/>
      <c r="E46" s="2058"/>
      <c r="F46" s="2072"/>
      <c r="G46" s="2056"/>
      <c r="H46" s="2057"/>
      <c r="I46" s="2055"/>
      <c r="J46" s="2056"/>
      <c r="K46" s="2058"/>
    </row>
    <row r="47" spans="1:11" ht="11.25" customHeight="1">
      <c r="A47" s="179" t="s">
        <v>792</v>
      </c>
      <c r="B47" s="541"/>
      <c r="C47" s="2056"/>
      <c r="D47" s="2056"/>
      <c r="E47" s="2058"/>
      <c r="F47" s="2072"/>
      <c r="G47" s="1664"/>
      <c r="H47" s="1665"/>
      <c r="I47" s="2055"/>
      <c r="J47" s="1664"/>
      <c r="K47" s="1667"/>
    </row>
    <row r="48" spans="1:11" ht="11.25" customHeight="1">
      <c r="A48" s="179" t="s">
        <v>164</v>
      </c>
      <c r="B48" s="541"/>
      <c r="C48" s="2056"/>
      <c r="D48" s="2056"/>
      <c r="E48" s="2058"/>
      <c r="F48" s="2072"/>
      <c r="G48" s="2056"/>
      <c r="H48" s="2057"/>
      <c r="I48" s="2055"/>
      <c r="J48" s="2056"/>
      <c r="K48" s="2058"/>
    </row>
    <row r="49" spans="1:12" ht="11.25" customHeight="1">
      <c r="A49" s="179" t="s">
        <v>425</v>
      </c>
      <c r="B49" s="541"/>
      <c r="C49" s="2056"/>
      <c r="D49" s="2056" t="s">
        <v>443</v>
      </c>
      <c r="E49" s="2058" t="s">
        <v>443</v>
      </c>
      <c r="F49" s="2072" t="s">
        <v>443</v>
      </c>
      <c r="G49" s="1664"/>
      <c r="H49" s="1665"/>
      <c r="I49" s="2055"/>
      <c r="J49" s="1664"/>
      <c r="K49" s="1667"/>
    </row>
    <row r="50" spans="1:12" ht="11.25" customHeight="1">
      <c r="A50" s="179" t="s">
        <v>433</v>
      </c>
      <c r="B50" s="541"/>
      <c r="C50" s="1805"/>
      <c r="D50" s="1805">
        <v>1365000</v>
      </c>
      <c r="E50" s="1820">
        <v>1365000</v>
      </c>
      <c r="F50" s="1821">
        <f>[5]SA11!$I$50</f>
        <v>3036296</v>
      </c>
      <c r="G50" s="1664"/>
      <c r="H50" s="1665"/>
      <c r="I50" s="1822"/>
      <c r="J50" s="1664"/>
      <c r="K50" s="1667"/>
    </row>
    <row r="51" spans="1:12" ht="11.25" customHeight="1">
      <c r="A51" s="179" t="s">
        <v>554</v>
      </c>
      <c r="B51" s="541"/>
      <c r="C51" s="2094"/>
      <c r="D51" s="2094"/>
      <c r="E51" s="2095"/>
      <c r="F51" s="2096"/>
      <c r="G51" s="1664"/>
      <c r="H51" s="1665"/>
      <c r="I51" s="2097"/>
      <c r="J51" s="1664"/>
      <c r="K51" s="1667"/>
    </row>
    <row r="52" spans="1:12" ht="5.0999999999999996" customHeight="1">
      <c r="A52" s="187"/>
      <c r="B52" s="541"/>
      <c r="C52" s="492"/>
      <c r="D52" s="492"/>
      <c r="E52" s="194"/>
      <c r="F52" s="491"/>
      <c r="G52" s="1664"/>
      <c r="H52" s="1665"/>
      <c r="I52" s="1863"/>
      <c r="J52" s="1664"/>
      <c r="K52" s="1667"/>
    </row>
    <row r="53" spans="1:12" ht="11.25" customHeight="1">
      <c r="A53" s="170" t="s">
        <v>695</v>
      </c>
      <c r="B53" s="541"/>
      <c r="C53" s="492"/>
      <c r="D53" s="492"/>
      <c r="E53" s="194"/>
      <c r="F53" s="491"/>
      <c r="G53" s="1664"/>
      <c r="H53" s="1665"/>
      <c r="I53" s="338"/>
      <c r="J53" s="1664"/>
      <c r="K53" s="1667"/>
    </row>
    <row r="54" spans="1:12" ht="11.25" customHeight="1">
      <c r="A54" s="304" t="s">
        <v>1555</v>
      </c>
      <c r="B54" s="581">
        <v>6</v>
      </c>
      <c r="C54" s="1805"/>
      <c r="D54" s="1805">
        <v>3750000</v>
      </c>
      <c r="E54" s="1820">
        <v>3750000</v>
      </c>
      <c r="F54" s="1821">
        <f>[5]SA11!$I$54</f>
        <v>4500000</v>
      </c>
      <c r="G54" s="1805"/>
      <c r="H54" s="1808"/>
      <c r="I54" s="1822">
        <f>[5]SA11!$J$54</f>
        <v>4500000</v>
      </c>
      <c r="J54" s="1805"/>
      <c r="K54" s="1820"/>
      <c r="L54" s="345"/>
    </row>
    <row r="55" spans="1:12" ht="11.25" customHeight="1">
      <c r="A55" s="304" t="s">
        <v>1556</v>
      </c>
      <c r="B55" s="581">
        <v>6</v>
      </c>
      <c r="C55" s="1805"/>
      <c r="D55" s="1805">
        <v>2889000</v>
      </c>
      <c r="E55" s="1820">
        <v>4457000</v>
      </c>
      <c r="F55" s="1821">
        <f>[5]SA11!$I$55</f>
        <v>4500000</v>
      </c>
      <c r="G55" s="1805"/>
      <c r="H55" s="1808"/>
      <c r="I55" s="1822">
        <f>[5]SA11!$J$55</f>
        <v>4500000</v>
      </c>
      <c r="J55" s="1805"/>
      <c r="K55" s="1820"/>
      <c r="L55" s="345"/>
    </row>
    <row r="56" spans="1:12" ht="11.25" customHeight="1">
      <c r="A56" s="179" t="s">
        <v>1689</v>
      </c>
      <c r="B56" s="581"/>
      <c r="C56" s="2098"/>
      <c r="D56" s="2098"/>
      <c r="E56" s="2099"/>
      <c r="F56" s="2100"/>
      <c r="G56" s="2098"/>
      <c r="H56" s="2101"/>
      <c r="I56" s="2102"/>
      <c r="J56" s="2094"/>
      <c r="K56" s="2095"/>
    </row>
    <row r="57" spans="1:12" ht="11.25" customHeight="1">
      <c r="A57" s="179" t="s">
        <v>1599</v>
      </c>
      <c r="B57" s="581">
        <v>7</v>
      </c>
      <c r="C57" s="2103"/>
      <c r="D57" s="2103"/>
      <c r="E57" s="2104"/>
      <c r="F57" s="2105"/>
      <c r="G57" s="2103"/>
      <c r="H57" s="2106"/>
      <c r="I57" s="2107"/>
      <c r="J57" s="1805"/>
      <c r="K57" s="1820"/>
    </row>
    <row r="58" spans="1:12" ht="15.75" customHeight="1">
      <c r="A58" s="179" t="s">
        <v>434</v>
      </c>
      <c r="B58" s="581"/>
      <c r="C58" s="2108"/>
      <c r="D58" s="2108"/>
      <c r="E58" s="2109"/>
      <c r="F58" s="2110"/>
      <c r="G58" s="2108"/>
      <c r="H58" s="2111"/>
      <c r="I58" s="2112"/>
      <c r="J58" s="1810"/>
      <c r="K58" s="2113"/>
    </row>
    <row r="59" spans="1:12" ht="11.25" customHeight="1">
      <c r="A59" s="179" t="s">
        <v>544</v>
      </c>
      <c r="B59" s="581"/>
      <c r="C59" s="2103"/>
      <c r="D59" s="2103"/>
      <c r="E59" s="2104"/>
      <c r="F59" s="2105"/>
      <c r="G59" s="2103"/>
      <c r="H59" s="2106"/>
      <c r="I59" s="2107"/>
      <c r="J59" s="1805"/>
      <c r="K59" s="1820"/>
    </row>
    <row r="60" spans="1:12" ht="11.25" customHeight="1">
      <c r="A60" s="179" t="s">
        <v>545</v>
      </c>
      <c r="B60" s="581"/>
      <c r="C60" s="2103"/>
      <c r="D60" s="2103"/>
      <c r="E60" s="2104"/>
      <c r="F60" s="2105"/>
      <c r="G60" s="2103"/>
      <c r="H60" s="2106"/>
      <c r="I60" s="2107"/>
      <c r="J60" s="1805"/>
      <c r="K60" s="1820"/>
    </row>
    <row r="61" spans="1:12" ht="11.25" customHeight="1">
      <c r="A61" s="179" t="s">
        <v>546</v>
      </c>
      <c r="B61" s="581"/>
      <c r="C61" s="2103"/>
      <c r="D61" s="2103"/>
      <c r="E61" s="2104"/>
      <c r="F61" s="2105"/>
      <c r="G61" s="2103"/>
      <c r="H61" s="2106"/>
      <c r="I61" s="2107"/>
      <c r="J61" s="1805"/>
      <c r="K61" s="1820"/>
    </row>
    <row r="62" spans="1:12" ht="11.25" customHeight="1">
      <c r="A62" s="179" t="s">
        <v>1598</v>
      </c>
      <c r="B62" s="581"/>
      <c r="C62" s="2114"/>
      <c r="D62" s="2114"/>
      <c r="E62" s="2115"/>
      <c r="F62" s="2116"/>
      <c r="G62" s="2114"/>
      <c r="H62" s="2117"/>
      <c r="I62" s="2118"/>
      <c r="J62" s="1839"/>
      <c r="K62" s="1840"/>
    </row>
    <row r="63" spans="1:12" ht="11.25" customHeight="1">
      <c r="A63" s="305" t="s">
        <v>693</v>
      </c>
      <c r="B63" s="581"/>
      <c r="C63" s="369">
        <f>SUM(C58:C62)</f>
        <v>0</v>
      </c>
      <c r="D63" s="369">
        <f t="shared" ref="D63:K63" si="1">SUM(D58:D62)</f>
        <v>0</v>
      </c>
      <c r="E63" s="319">
        <f t="shared" si="1"/>
        <v>0</v>
      </c>
      <c r="F63" s="370">
        <f t="shared" si="1"/>
        <v>0</v>
      </c>
      <c r="G63" s="369">
        <f t="shared" si="1"/>
        <v>0</v>
      </c>
      <c r="H63" s="608">
        <f t="shared" si="1"/>
        <v>0</v>
      </c>
      <c r="I63" s="371">
        <f t="shared" si="1"/>
        <v>0</v>
      </c>
      <c r="J63" s="369">
        <f t="shared" si="1"/>
        <v>0</v>
      </c>
      <c r="K63" s="319">
        <f t="shared" si="1"/>
        <v>0</v>
      </c>
    </row>
    <row r="64" spans="1:12" ht="5.0999999999999996" customHeight="1">
      <c r="A64" s="310"/>
      <c r="B64" s="609"/>
      <c r="C64" s="610"/>
      <c r="D64" s="610"/>
      <c r="E64" s="611"/>
      <c r="F64" s="612"/>
      <c r="G64" s="613"/>
      <c r="H64" s="614"/>
      <c r="I64" s="615"/>
      <c r="J64" s="610"/>
      <c r="K64" s="611"/>
    </row>
    <row r="65" spans="1:11" s="693" customFormat="1" hidden="1">
      <c r="A65" s="1220" t="str">
        <f>head27a</f>
        <v>References</v>
      </c>
      <c r="B65" s="1033"/>
      <c r="C65" s="1037"/>
      <c r="D65" s="1037"/>
      <c r="E65" s="1037"/>
      <c r="F65" s="1037"/>
      <c r="G65" s="1037"/>
      <c r="H65" s="1037"/>
      <c r="I65" s="1037"/>
      <c r="J65" s="1037"/>
      <c r="K65" s="1037"/>
    </row>
    <row r="66" spans="1:11" s="693" customFormat="1" hidden="1">
      <c r="A66" s="1204" t="s">
        <v>1688</v>
      </c>
      <c r="B66" s="1052"/>
      <c r="C66" s="1052"/>
      <c r="D66" s="1052"/>
      <c r="E66" s="1052"/>
      <c r="F66" s="1052"/>
      <c r="G66" s="1052"/>
      <c r="H66" s="1052"/>
      <c r="I66" s="1052"/>
      <c r="J66" s="1052"/>
      <c r="K66" s="1052"/>
    </row>
    <row r="67" spans="1:11" s="693" customFormat="1" hidden="1">
      <c r="A67" s="1201" t="s">
        <v>1690</v>
      </c>
      <c r="B67" s="1052"/>
      <c r="C67" s="1052"/>
      <c r="D67" s="1052"/>
      <c r="E67" s="1052"/>
      <c r="F67" s="1052"/>
      <c r="G67" s="1052"/>
      <c r="H67" s="1052"/>
      <c r="I67" s="1052"/>
      <c r="J67" s="1052"/>
      <c r="K67" s="1052"/>
    </row>
    <row r="68" spans="1:11" s="693" customFormat="1" hidden="1">
      <c r="A68" s="1201" t="s">
        <v>1691</v>
      </c>
      <c r="B68" s="1052"/>
      <c r="C68" s="1052"/>
      <c r="D68" s="1052"/>
      <c r="E68" s="1053"/>
      <c r="F68" s="1053"/>
      <c r="G68" s="1052"/>
      <c r="H68" s="1052"/>
      <c r="I68" s="1052"/>
      <c r="J68" s="1052"/>
      <c r="K68" s="1052"/>
    </row>
    <row r="69" spans="1:11" s="693" customFormat="1" hidden="1">
      <c r="A69" s="1201" t="s">
        <v>1692</v>
      </c>
      <c r="B69" s="1052"/>
      <c r="C69" s="1052"/>
      <c r="D69" s="1052"/>
      <c r="E69" s="1053"/>
      <c r="F69" s="1053"/>
      <c r="G69" s="1052"/>
      <c r="H69" s="1052"/>
      <c r="I69" s="1052"/>
      <c r="J69" s="1052"/>
      <c r="K69" s="1052"/>
    </row>
    <row r="70" spans="1:11" s="693" customFormat="1" hidden="1">
      <c r="A70" s="1204" t="s">
        <v>1713</v>
      </c>
      <c r="B70" s="1052"/>
      <c r="C70" s="1052"/>
      <c r="D70" s="1052"/>
      <c r="E70" s="1053"/>
      <c r="F70" s="1053"/>
      <c r="G70" s="1052"/>
      <c r="H70" s="1052"/>
      <c r="I70" s="1052"/>
      <c r="J70" s="1052"/>
      <c r="K70" s="1052"/>
    </row>
    <row r="71" spans="1:11" s="693" customFormat="1" hidden="1">
      <c r="A71" s="1204" t="str">
        <f>"6. Current and budget year must reconcile to "&amp;'Template names'!F103</f>
        <v>6. Current and budget year must reconcile to Table A4 Budgeted Financial Performance (revenue and expenditure)</v>
      </c>
      <c r="B71" s="1052"/>
      <c r="C71" s="1052"/>
      <c r="D71" s="1052"/>
      <c r="E71" s="1053"/>
      <c r="F71" s="1053"/>
      <c r="G71" s="1052"/>
      <c r="H71" s="1052"/>
      <c r="I71" s="1052"/>
      <c r="J71" s="1052"/>
      <c r="K71" s="1052"/>
    </row>
    <row r="72" spans="1:11" s="693" customFormat="1" hidden="1">
      <c r="A72" s="1204" t="s">
        <v>694</v>
      </c>
      <c r="B72" s="1052"/>
      <c r="C72" s="1052"/>
      <c r="D72" s="1052"/>
      <c r="E72" s="1053"/>
      <c r="F72" s="1053"/>
      <c r="G72" s="1052"/>
      <c r="H72" s="1052"/>
      <c r="I72" s="1052"/>
      <c r="J72" s="1052"/>
      <c r="K72" s="1052"/>
    </row>
    <row r="73" spans="1:11" hidden="1">
      <c r="A73" s="1204" t="s">
        <v>1711</v>
      </c>
      <c r="B73" s="232"/>
      <c r="C73" s="232"/>
      <c r="D73" s="232"/>
      <c r="E73" s="334"/>
      <c r="F73" s="334"/>
      <c r="G73" s="232"/>
      <c r="H73" s="232"/>
      <c r="I73" s="232"/>
      <c r="J73" s="232"/>
      <c r="K73" s="232"/>
    </row>
    <row r="74" spans="1:11" hidden="1">
      <c r="A74" s="232"/>
      <c r="B74" s="232"/>
      <c r="C74" s="232"/>
      <c r="D74" s="232"/>
      <c r="E74" s="334"/>
      <c r="F74" s="334"/>
      <c r="G74" s="232"/>
      <c r="H74" s="232"/>
      <c r="I74" s="232"/>
      <c r="J74" s="232"/>
      <c r="K74" s="232"/>
    </row>
    <row r="75" spans="1:11" hidden="1">
      <c r="A75" s="232"/>
      <c r="B75" s="222"/>
      <c r="C75" s="226"/>
      <c r="D75" s="226"/>
      <c r="E75" s="227"/>
      <c r="F75" s="227"/>
      <c r="G75" s="227"/>
      <c r="H75" s="227"/>
      <c r="I75" s="227"/>
      <c r="J75" s="227"/>
      <c r="K75" s="227"/>
    </row>
    <row r="76" spans="1:11" hidden="1">
      <c r="A76" s="232"/>
      <c r="B76" s="222"/>
      <c r="C76" s="226"/>
      <c r="D76" s="226"/>
      <c r="E76" s="227"/>
      <c r="F76" s="227"/>
      <c r="G76" s="227"/>
      <c r="H76" s="227"/>
      <c r="I76" s="227"/>
      <c r="J76" s="227"/>
      <c r="K76" s="227"/>
    </row>
    <row r="77" spans="1:11" hidden="1">
      <c r="A77" s="232"/>
      <c r="B77" s="222"/>
      <c r="C77" s="226"/>
      <c r="D77" s="226"/>
      <c r="E77" s="227"/>
      <c r="F77" s="227"/>
      <c r="G77" s="227"/>
      <c r="H77" s="227"/>
      <c r="I77" s="227"/>
      <c r="J77" s="227"/>
      <c r="K77" s="227"/>
    </row>
    <row r="78" spans="1:11" hidden="1">
      <c r="A78" s="232"/>
      <c r="B78" s="222"/>
      <c r="C78" s="226"/>
      <c r="D78" s="226"/>
      <c r="E78" s="227"/>
      <c r="F78" s="227"/>
      <c r="G78" s="227"/>
      <c r="H78" s="227"/>
      <c r="I78" s="227"/>
      <c r="J78" s="227"/>
      <c r="K78" s="227"/>
    </row>
    <row r="79" spans="1:11" ht="11.25" hidden="1" customHeight="1">
      <c r="A79" s="232"/>
      <c r="B79" s="222"/>
      <c r="C79" s="232"/>
      <c r="D79" s="232"/>
      <c r="E79" s="232"/>
      <c r="F79" s="232"/>
      <c r="G79" s="232"/>
    </row>
    <row r="80" spans="1:11" ht="11.25" hidden="1" customHeight="1">
      <c r="A80" s="232"/>
      <c r="B80" s="232"/>
      <c r="C80" s="232"/>
      <c r="D80" s="232"/>
      <c r="E80" s="232"/>
      <c r="F80" s="232"/>
      <c r="G80" s="232"/>
    </row>
    <row r="81" spans="1:7" ht="11.25" hidden="1" customHeight="1">
      <c r="A81" s="232"/>
      <c r="B81" s="232"/>
      <c r="C81" s="232"/>
      <c r="D81" s="232"/>
      <c r="E81" s="232"/>
      <c r="F81" s="232"/>
      <c r="G81" s="232"/>
    </row>
    <row r="82" spans="1:7" ht="11.25" hidden="1" customHeight="1">
      <c r="A82" s="232"/>
      <c r="B82" s="232"/>
      <c r="C82" s="232"/>
      <c r="D82" s="232"/>
      <c r="E82" s="232"/>
      <c r="F82" s="232"/>
      <c r="G82" s="232"/>
    </row>
    <row r="83" spans="1:7" ht="11.25" hidden="1" customHeight="1">
      <c r="A83" s="232"/>
      <c r="B83" s="222"/>
      <c r="C83" s="232"/>
      <c r="D83" s="232"/>
      <c r="E83" s="232"/>
      <c r="F83" s="232"/>
      <c r="G83" s="232"/>
    </row>
    <row r="84" spans="1:7" ht="11.25" hidden="1" customHeight="1"/>
    <row r="85" spans="1:7" ht="11.25" hidden="1" customHeight="1"/>
    <row r="86" spans="1:7" ht="11.25" customHeight="1"/>
    <row r="87" spans="1:7" ht="11.25" customHeight="1"/>
    <row r="88" spans="1:7" ht="11.25" customHeight="1"/>
    <row r="89" spans="1:7" ht="11.25" customHeight="1"/>
    <row r="90" spans="1:7" ht="11.25" customHeight="1"/>
    <row r="91" spans="1:7" ht="11.25" customHeight="1"/>
    <row r="92" spans="1:7" ht="11.25" customHeight="1"/>
    <row r="93" spans="1:7" ht="11.25" customHeight="1"/>
    <row r="94" spans="1:7" ht="11.25" customHeight="1"/>
    <row r="95" spans="1:7" ht="11.25" customHeight="1"/>
    <row r="96" spans="1:7"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sheetData>
  <sheetProtection sheet="1" objects="1" scenarios="1"/>
  <mergeCells count="4">
    <mergeCell ref="F2:H2"/>
    <mergeCell ref="I2:K2"/>
    <mergeCell ref="B2:B4"/>
    <mergeCell ref="A2:A3"/>
  </mergeCells>
  <phoneticPr fontId="3" type="noConversion"/>
  <dataValidations xWindow="491" yWindow="324" count="1">
    <dataValidation type="list" showInputMessage="1" showErrorMessage="1" promptTitle="Guidance" prompt="Select Yes, No or 'blank'" sqref="C8:F9 I16 C16:F16 I8:I9 C49:F49 C44:F47 I49 I44:I47 G46:H46 J46:K46">
      <formula1>List1</formula1>
    </dataValidation>
  </dataValidations>
  <pageMargins left="0.37" right="0.2" top="0.6" bottom="0.5" header="0.5" footer="0.5"/>
  <pageSetup paperSize="9" scale="87" orientation="portrait" blackAndWhite="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enableFormatConditionsCalculation="0">
    <tabColor rgb="FFFF0000"/>
  </sheetPr>
  <dimension ref="A1:S146"/>
  <sheetViews>
    <sheetView showGridLines="0" workbookViewId="0">
      <pane xSplit="2" ySplit="2" topLeftCell="C7" activePane="bottomRight" state="frozen"/>
      <selection activeCell="H27" sqref="H27"/>
      <selection pane="topRight" activeCell="H27" sqref="H27"/>
      <selection pane="bottomLeft" activeCell="H27" sqref="H27"/>
      <selection pane="bottomRight" activeCell="O34" sqref="O33:O34"/>
    </sheetView>
  </sheetViews>
  <sheetFormatPr defaultRowHeight="12.75"/>
  <cols>
    <col min="1" max="1" width="30.7109375" style="150" customWidth="1"/>
    <col min="2" max="2" width="3" style="638" hidden="1" customWidth="1"/>
    <col min="3" max="18" width="8.140625" style="150" customWidth="1"/>
    <col min="19" max="19" width="9.85546875" style="150" customWidth="1"/>
    <col min="20" max="20" width="9.5703125" style="150" customWidth="1"/>
    <col min="21" max="21" width="9.85546875" style="150" customWidth="1"/>
    <col min="22" max="24" width="9.5703125" style="150" customWidth="1"/>
    <col min="25" max="25" width="9.85546875" style="150" customWidth="1"/>
    <col min="26" max="28" width="9.5703125" style="150" customWidth="1"/>
    <col min="29" max="30" width="9.85546875" style="150" customWidth="1"/>
    <col min="31" max="16384" width="9.140625" style="150"/>
  </cols>
  <sheetData>
    <row r="1" spans="1:18" ht="13.5">
      <c r="A1" s="148" t="str">
        <f>muni&amp;" - "&amp;TableA13</f>
        <v>NC071 Ubuntu - Supporting Table SA13 Property rates by category (budget year)</v>
      </c>
      <c r="B1" s="617"/>
      <c r="C1" s="148"/>
      <c r="D1" s="148"/>
      <c r="E1" s="148"/>
      <c r="F1" s="148"/>
      <c r="G1" s="148"/>
      <c r="H1" s="148"/>
      <c r="I1" s="148"/>
      <c r="J1" s="148"/>
      <c r="K1" s="148"/>
      <c r="L1" s="148"/>
      <c r="M1" s="148"/>
      <c r="N1" s="148"/>
      <c r="O1" s="148"/>
      <c r="P1" s="148"/>
      <c r="Q1" s="148"/>
      <c r="R1" s="148"/>
    </row>
    <row r="2" spans="1:18" ht="38.25">
      <c r="A2" s="618" t="str">
        <f>desc</f>
        <v>Description</v>
      </c>
      <c r="B2" s="619" t="str">
        <f>head27</f>
        <v>Ref</v>
      </c>
      <c r="C2" s="498" t="s">
        <v>1140</v>
      </c>
      <c r="D2" s="498" t="s">
        <v>1141</v>
      </c>
      <c r="E2" s="498" t="s">
        <v>1142</v>
      </c>
      <c r="F2" s="498" t="s">
        <v>1143</v>
      </c>
      <c r="G2" s="498" t="s">
        <v>1557</v>
      </c>
      <c r="H2" s="498" t="s">
        <v>1650</v>
      </c>
      <c r="I2" s="498" t="s">
        <v>1558</v>
      </c>
      <c r="J2" s="498" t="s">
        <v>1144</v>
      </c>
      <c r="K2" s="498" t="s">
        <v>430</v>
      </c>
      <c r="L2" s="498" t="s">
        <v>1145</v>
      </c>
      <c r="M2" s="498" t="s">
        <v>431</v>
      </c>
      <c r="N2" s="498" t="s">
        <v>1651</v>
      </c>
      <c r="O2" s="498" t="s">
        <v>1146</v>
      </c>
      <c r="P2" s="498" t="s">
        <v>432</v>
      </c>
      <c r="Q2" s="498" t="s">
        <v>1652</v>
      </c>
      <c r="R2" s="620" t="s">
        <v>1653</v>
      </c>
    </row>
    <row r="3" spans="1:18" ht="11.25" customHeight="1">
      <c r="A3" s="235" t="str">
        <f>Head9</f>
        <v>Budget Year 2011/12</v>
      </c>
      <c r="B3" s="171"/>
      <c r="C3" s="621"/>
      <c r="D3" s="621"/>
      <c r="E3" s="621"/>
      <c r="F3" s="621"/>
      <c r="G3" s="621"/>
      <c r="H3" s="621"/>
      <c r="I3" s="621"/>
      <c r="J3" s="621"/>
      <c r="K3" s="621"/>
      <c r="L3" s="621"/>
      <c r="M3" s="621"/>
      <c r="N3" s="621"/>
      <c r="O3" s="621"/>
      <c r="P3" s="621"/>
      <c r="Q3" s="621"/>
      <c r="R3" s="622"/>
    </row>
    <row r="4" spans="1:18" ht="11.25" customHeight="1">
      <c r="A4" s="235" t="s">
        <v>794</v>
      </c>
      <c r="B4" s="171"/>
      <c r="C4" s="621"/>
      <c r="D4" s="621"/>
      <c r="E4" s="621"/>
      <c r="F4" s="621"/>
      <c r="G4" s="621"/>
      <c r="H4" s="621"/>
      <c r="I4" s="621"/>
      <c r="J4" s="621"/>
      <c r="K4" s="621"/>
      <c r="L4" s="621"/>
      <c r="M4" s="621"/>
      <c r="N4" s="621"/>
      <c r="O4" s="621"/>
      <c r="P4" s="621"/>
      <c r="Q4" s="621"/>
      <c r="R4" s="622"/>
    </row>
    <row r="5" spans="1:18" ht="11.25" customHeight="1">
      <c r="A5" s="236" t="s">
        <v>427</v>
      </c>
      <c r="B5" s="171"/>
      <c r="C5" s="1850">
        <f>'[5]SA12 &amp;13'!$C$5</f>
        <v>3009</v>
      </c>
      <c r="D5" s="1850"/>
      <c r="E5" s="1850"/>
      <c r="F5" s="1850">
        <f>'[5]SA12 &amp;13'!$F$5</f>
        <v>1434</v>
      </c>
      <c r="G5" s="1850">
        <f>'[5]SA12 &amp;13'!$G$5</f>
        <v>67</v>
      </c>
      <c r="H5" s="1850">
        <f>'[5]SA12 &amp;13'!$H$5</f>
        <v>331</v>
      </c>
      <c r="I5" s="1850"/>
      <c r="J5" s="1850"/>
      <c r="K5" s="1850"/>
      <c r="L5" s="1850"/>
      <c r="M5" s="1850"/>
      <c r="N5" s="1850"/>
      <c r="O5" s="1850"/>
      <c r="P5" s="1850"/>
      <c r="Q5" s="1850"/>
      <c r="R5" s="2119"/>
    </row>
    <row r="6" spans="1:18" ht="11.25" customHeight="1">
      <c r="A6" s="236" t="s">
        <v>1496</v>
      </c>
      <c r="B6" s="171"/>
      <c r="C6" s="1850"/>
      <c r="D6" s="1850"/>
      <c r="E6" s="1850"/>
      <c r="F6" s="1850"/>
      <c r="G6" s="1850"/>
      <c r="H6" s="1850"/>
      <c r="I6" s="1850"/>
      <c r="J6" s="1850"/>
      <c r="K6" s="1850"/>
      <c r="L6" s="1850"/>
      <c r="M6" s="1850"/>
      <c r="N6" s="1850"/>
      <c r="O6" s="1850"/>
      <c r="P6" s="1850"/>
      <c r="Q6" s="1850"/>
      <c r="R6" s="2119"/>
    </row>
    <row r="7" spans="1:18" ht="11.25" customHeight="1">
      <c r="A7" s="236" t="s">
        <v>429</v>
      </c>
      <c r="B7" s="171"/>
      <c r="C7" s="1850"/>
      <c r="D7" s="1850"/>
      <c r="E7" s="1850"/>
      <c r="F7" s="1850"/>
      <c r="G7" s="1850"/>
      <c r="H7" s="1850"/>
      <c r="I7" s="1850"/>
      <c r="J7" s="1850"/>
      <c r="K7" s="1850"/>
      <c r="L7" s="1850"/>
      <c r="M7" s="1850"/>
      <c r="N7" s="1850"/>
      <c r="O7" s="1850"/>
      <c r="P7" s="1850"/>
      <c r="Q7" s="1850"/>
      <c r="R7" s="2119"/>
    </row>
    <row r="8" spans="1:18" ht="11.25" customHeight="1">
      <c r="A8" s="236" t="s">
        <v>785</v>
      </c>
      <c r="B8" s="171"/>
      <c r="C8" s="1850"/>
      <c r="D8" s="1850"/>
      <c r="E8" s="1850"/>
      <c r="F8" s="1850"/>
      <c r="G8" s="1850"/>
      <c r="H8" s="1850"/>
      <c r="I8" s="1850"/>
      <c r="J8" s="1850"/>
      <c r="K8" s="1850"/>
      <c r="L8" s="1850"/>
      <c r="M8" s="1850"/>
      <c r="N8" s="1850"/>
      <c r="O8" s="1850"/>
      <c r="P8" s="1850"/>
      <c r="Q8" s="1850"/>
      <c r="R8" s="2119"/>
    </row>
    <row r="9" spans="1:18" ht="11.25" customHeight="1">
      <c r="A9" s="236" t="s">
        <v>1497</v>
      </c>
      <c r="B9" s="171"/>
      <c r="C9" s="1850"/>
      <c r="D9" s="1850"/>
      <c r="E9" s="1850"/>
      <c r="F9" s="1850"/>
      <c r="G9" s="1850"/>
      <c r="H9" s="1850"/>
      <c r="I9" s="1850"/>
      <c r="J9" s="1850"/>
      <c r="K9" s="1850"/>
      <c r="L9" s="1850"/>
      <c r="M9" s="1850"/>
      <c r="N9" s="1850"/>
      <c r="O9" s="1850"/>
      <c r="P9" s="1850"/>
      <c r="Q9" s="1850"/>
      <c r="R9" s="2119"/>
    </row>
    <row r="10" spans="1:18" ht="11.25" customHeight="1">
      <c r="A10" s="236" t="s">
        <v>786</v>
      </c>
      <c r="B10" s="171"/>
      <c r="C10" s="1850"/>
      <c r="D10" s="1850"/>
      <c r="E10" s="1850"/>
      <c r="F10" s="1850"/>
      <c r="G10" s="1850"/>
      <c r="H10" s="1850"/>
      <c r="I10" s="1850"/>
      <c r="J10" s="1850"/>
      <c r="K10" s="1850"/>
      <c r="L10" s="1850"/>
      <c r="M10" s="1850"/>
      <c r="N10" s="1850"/>
      <c r="O10" s="1850"/>
      <c r="P10" s="1850"/>
      <c r="Q10" s="1850"/>
      <c r="R10" s="2119"/>
    </row>
    <row r="11" spans="1:18" ht="11.25" customHeight="1">
      <c r="A11" s="236" t="s">
        <v>381</v>
      </c>
      <c r="B11" s="171"/>
      <c r="C11" s="1850"/>
      <c r="D11" s="1850"/>
      <c r="E11" s="1850"/>
      <c r="F11" s="1850"/>
      <c r="G11" s="1850"/>
      <c r="H11" s="1850"/>
      <c r="I11" s="1850"/>
      <c r="J11" s="1850"/>
      <c r="K11" s="1850"/>
      <c r="L11" s="1850"/>
      <c r="M11" s="1850"/>
      <c r="N11" s="1850"/>
      <c r="O11" s="1850"/>
      <c r="P11" s="1850"/>
      <c r="Q11" s="1850"/>
      <c r="R11" s="2119"/>
    </row>
    <row r="12" spans="1:18" ht="11.25" customHeight="1">
      <c r="A12" s="236" t="s">
        <v>382</v>
      </c>
      <c r="B12" s="171"/>
      <c r="C12" s="1850"/>
      <c r="D12" s="1850"/>
      <c r="E12" s="1850"/>
      <c r="F12" s="1850"/>
      <c r="G12" s="1850"/>
      <c r="H12" s="1850"/>
      <c r="I12" s="1850"/>
      <c r="J12" s="1850"/>
      <c r="K12" s="1850"/>
      <c r="L12" s="1850"/>
      <c r="M12" s="1850"/>
      <c r="N12" s="1850"/>
      <c r="O12" s="1850"/>
      <c r="P12" s="1850"/>
      <c r="Q12" s="1850"/>
      <c r="R12" s="2119"/>
    </row>
    <row r="13" spans="1:18" ht="11.25" customHeight="1">
      <c r="A13" s="236" t="s">
        <v>383</v>
      </c>
      <c r="B13" s="171"/>
      <c r="C13" s="1850"/>
      <c r="D13" s="1850"/>
      <c r="E13" s="1850"/>
      <c r="F13" s="1850"/>
      <c r="G13" s="1850"/>
      <c r="H13" s="1850"/>
      <c r="I13" s="1850"/>
      <c r="J13" s="1850"/>
      <c r="K13" s="1850"/>
      <c r="L13" s="1850"/>
      <c r="M13" s="1850"/>
      <c r="N13" s="1850"/>
      <c r="O13" s="1850"/>
      <c r="P13" s="1850"/>
      <c r="Q13" s="1850"/>
      <c r="R13" s="2119"/>
    </row>
    <row r="14" spans="1:18" ht="11.25" customHeight="1">
      <c r="A14" s="236" t="s">
        <v>796</v>
      </c>
      <c r="B14" s="171">
        <v>5</v>
      </c>
      <c r="C14" s="1850"/>
      <c r="D14" s="1850"/>
      <c r="E14" s="1850"/>
      <c r="F14" s="1850"/>
      <c r="G14" s="1850"/>
      <c r="H14" s="1850"/>
      <c r="I14" s="1850"/>
      <c r="J14" s="1850"/>
      <c r="K14" s="1850"/>
      <c r="L14" s="1850"/>
      <c r="M14" s="1850"/>
      <c r="N14" s="1850"/>
      <c r="O14" s="1850"/>
      <c r="P14" s="1850"/>
      <c r="Q14" s="1850"/>
      <c r="R14" s="2119"/>
    </row>
    <row r="15" spans="1:18" ht="11.25" customHeight="1">
      <c r="A15" s="236" t="s">
        <v>784</v>
      </c>
      <c r="B15" s="171">
        <v>5</v>
      </c>
      <c r="C15" s="1850"/>
      <c r="D15" s="1850"/>
      <c r="E15" s="1850"/>
      <c r="F15" s="1850"/>
      <c r="G15" s="1850"/>
      <c r="H15" s="1850"/>
      <c r="I15" s="1850"/>
      <c r="J15" s="1850"/>
      <c r="K15" s="1850"/>
      <c r="L15" s="1850"/>
      <c r="M15" s="1850"/>
      <c r="N15" s="1850"/>
      <c r="O15" s="1850"/>
      <c r="P15" s="1850"/>
      <c r="Q15" s="1850"/>
      <c r="R15" s="2119"/>
    </row>
    <row r="16" spans="1:18" ht="11.25" customHeight="1">
      <c r="A16" s="240" t="s">
        <v>1498</v>
      </c>
      <c r="B16" s="324"/>
      <c r="C16" s="1845"/>
      <c r="D16" s="1845"/>
      <c r="E16" s="1845"/>
      <c r="F16" s="1845"/>
      <c r="G16" s="1845"/>
      <c r="H16" s="1845"/>
      <c r="I16" s="1860"/>
      <c r="J16" s="1845"/>
      <c r="K16" s="1845"/>
      <c r="L16" s="1845"/>
      <c r="M16" s="1845"/>
      <c r="N16" s="1845"/>
      <c r="O16" s="1845"/>
      <c r="P16" s="1845"/>
      <c r="Q16" s="1845"/>
      <c r="R16" s="2120"/>
    </row>
    <row r="17" spans="1:18" ht="11.25" customHeight="1">
      <c r="A17" s="236" t="s">
        <v>1794</v>
      </c>
      <c r="B17" s="171"/>
      <c r="C17" s="2056"/>
      <c r="D17" s="2056"/>
      <c r="E17" s="2056"/>
      <c r="F17" s="2056"/>
      <c r="G17" s="2056"/>
      <c r="H17" s="2056"/>
      <c r="I17" s="2056"/>
      <c r="J17" s="2056"/>
      <c r="K17" s="2056"/>
      <c r="L17" s="2056"/>
      <c r="M17" s="2056"/>
      <c r="N17" s="2056"/>
      <c r="O17" s="2056"/>
      <c r="P17" s="2056"/>
      <c r="Q17" s="2056"/>
      <c r="R17" s="2057"/>
    </row>
    <row r="18" spans="1:18" ht="11.25" customHeight="1">
      <c r="A18" s="236" t="s">
        <v>1795</v>
      </c>
      <c r="B18" s="171"/>
      <c r="C18" s="2056"/>
      <c r="D18" s="2121"/>
      <c r="E18" s="2121"/>
      <c r="F18" s="2121"/>
      <c r="G18" s="2121"/>
      <c r="H18" s="2121"/>
      <c r="I18" s="2121"/>
      <c r="J18" s="2121"/>
      <c r="K18" s="2121"/>
      <c r="L18" s="2121"/>
      <c r="M18" s="2121"/>
      <c r="N18" s="2121"/>
      <c r="O18" s="2121"/>
      <c r="P18" s="2121"/>
      <c r="Q18" s="2121"/>
      <c r="R18" s="2122"/>
    </row>
    <row r="19" spans="1:18" ht="11.25" customHeight="1">
      <c r="A19" s="236" t="s">
        <v>1796</v>
      </c>
      <c r="B19" s="171"/>
      <c r="C19" s="2056"/>
      <c r="D19" s="2056"/>
      <c r="E19" s="2056"/>
      <c r="F19" s="2056"/>
      <c r="G19" s="2056"/>
      <c r="H19" s="2056"/>
      <c r="I19" s="2056"/>
      <c r="J19" s="2056"/>
      <c r="K19" s="2056"/>
      <c r="L19" s="2056"/>
      <c r="M19" s="2056"/>
      <c r="N19" s="2056"/>
      <c r="O19" s="2056"/>
      <c r="P19" s="2056"/>
      <c r="Q19" s="2056"/>
      <c r="R19" s="2057"/>
    </row>
    <row r="20" spans="1:18" ht="11.25" customHeight="1">
      <c r="A20" s="236" t="s">
        <v>1797</v>
      </c>
      <c r="B20" s="171"/>
      <c r="C20" s="2056"/>
      <c r="D20" s="2056"/>
      <c r="E20" s="2056"/>
      <c r="F20" s="2056"/>
      <c r="G20" s="2056"/>
      <c r="H20" s="2056"/>
      <c r="I20" s="2056"/>
      <c r="J20" s="2056"/>
      <c r="K20" s="2056"/>
      <c r="L20" s="2056"/>
      <c r="M20" s="2056"/>
      <c r="N20" s="2056"/>
      <c r="O20" s="2056"/>
      <c r="P20" s="2056"/>
      <c r="Q20" s="2056"/>
      <c r="R20" s="2057"/>
    </row>
    <row r="21" spans="1:18" ht="11.25" customHeight="1">
      <c r="A21" s="236" t="s">
        <v>164</v>
      </c>
      <c r="B21" s="171"/>
      <c r="C21" s="2056"/>
      <c r="D21" s="2056"/>
      <c r="E21" s="2056"/>
      <c r="F21" s="2056"/>
      <c r="G21" s="2056"/>
      <c r="H21" s="2056"/>
      <c r="I21" s="2056"/>
      <c r="J21" s="2056"/>
      <c r="K21" s="2056"/>
      <c r="L21" s="2056"/>
      <c r="M21" s="2056"/>
      <c r="N21" s="2056"/>
      <c r="O21" s="2056"/>
      <c r="P21" s="2056"/>
      <c r="Q21" s="2056"/>
      <c r="R21" s="2057"/>
    </row>
    <row r="22" spans="1:18" ht="11.25" customHeight="1">
      <c r="A22" s="236" t="s">
        <v>709</v>
      </c>
      <c r="B22" s="623"/>
      <c r="C22" s="2056"/>
      <c r="D22" s="2056"/>
      <c r="E22" s="2056"/>
      <c r="F22" s="2056"/>
      <c r="G22" s="2056"/>
      <c r="H22" s="2056"/>
      <c r="I22" s="2056"/>
      <c r="J22" s="2056"/>
      <c r="K22" s="2056"/>
      <c r="L22" s="2056"/>
      <c r="M22" s="2056"/>
      <c r="N22" s="2056"/>
      <c r="O22" s="2056"/>
      <c r="P22" s="2056"/>
      <c r="Q22" s="2056"/>
      <c r="R22" s="2057"/>
    </row>
    <row r="23" spans="1:18" ht="11.25" customHeight="1">
      <c r="A23" s="236" t="s">
        <v>710</v>
      </c>
      <c r="B23" s="623"/>
      <c r="C23" s="2056" t="s">
        <v>879</v>
      </c>
      <c r="D23" s="2056"/>
      <c r="E23" s="2056"/>
      <c r="F23" s="2056" t="s">
        <v>443</v>
      </c>
      <c r="G23" s="2056" t="s">
        <v>879</v>
      </c>
      <c r="H23" s="2056" t="s">
        <v>879</v>
      </c>
      <c r="I23" s="2056"/>
      <c r="J23" s="2056"/>
      <c r="K23" s="2056"/>
      <c r="L23" s="2056"/>
      <c r="M23" s="2056"/>
      <c r="N23" s="2056"/>
      <c r="O23" s="2056"/>
      <c r="P23" s="2056"/>
      <c r="Q23" s="2056"/>
      <c r="R23" s="2057"/>
    </row>
    <row r="24" spans="1:18" ht="11.25" customHeight="1">
      <c r="A24" s="236" t="s">
        <v>319</v>
      </c>
      <c r="B24" s="623"/>
      <c r="C24" s="2056"/>
      <c r="D24" s="2056"/>
      <c r="E24" s="2056"/>
      <c r="F24" s="2056"/>
      <c r="G24" s="2056"/>
      <c r="H24" s="2056"/>
      <c r="I24" s="2056"/>
      <c r="J24" s="2056"/>
      <c r="K24" s="2056"/>
      <c r="L24" s="2056"/>
      <c r="M24" s="2056"/>
      <c r="N24" s="2056"/>
      <c r="O24" s="2056"/>
      <c r="P24" s="2056"/>
      <c r="Q24" s="2056"/>
      <c r="R24" s="2057"/>
    </row>
    <row r="25" spans="1:18" ht="11.25" customHeight="1">
      <c r="A25" s="235" t="s">
        <v>1647</v>
      </c>
      <c r="B25" s="171"/>
      <c r="C25" s="583"/>
      <c r="D25" s="583"/>
      <c r="E25" s="583"/>
      <c r="F25" s="583"/>
      <c r="G25" s="583"/>
      <c r="H25" s="583"/>
      <c r="I25" s="583"/>
      <c r="J25" s="583"/>
      <c r="K25" s="583"/>
      <c r="L25" s="583"/>
      <c r="M25" s="583"/>
      <c r="N25" s="583"/>
      <c r="O25" s="583"/>
      <c r="P25" s="583"/>
      <c r="Q25" s="583"/>
      <c r="R25" s="586"/>
    </row>
    <row r="26" spans="1:18" ht="11.25" customHeight="1">
      <c r="A26" s="236" t="s">
        <v>548</v>
      </c>
      <c r="B26" s="171"/>
      <c r="C26" s="2078"/>
      <c r="D26" s="2078"/>
      <c r="E26" s="2078"/>
      <c r="F26" s="2078"/>
      <c r="G26" s="2078"/>
      <c r="H26" s="2078"/>
      <c r="I26" s="2078"/>
      <c r="J26" s="2078"/>
      <c r="K26" s="2078"/>
      <c r="L26" s="2078"/>
      <c r="M26" s="2078"/>
      <c r="N26" s="2078"/>
      <c r="O26" s="2078"/>
      <c r="P26" s="2078"/>
      <c r="Q26" s="2078"/>
      <c r="R26" s="2082"/>
    </row>
    <row r="27" spans="1:18" ht="11.25" customHeight="1">
      <c r="A27" s="236" t="s">
        <v>549</v>
      </c>
      <c r="B27" s="171"/>
      <c r="C27" s="2078"/>
      <c r="D27" s="2078"/>
      <c r="E27" s="2078"/>
      <c r="F27" s="2078"/>
      <c r="G27" s="2078"/>
      <c r="H27" s="2078"/>
      <c r="I27" s="2078"/>
      <c r="J27" s="2078"/>
      <c r="K27" s="2078"/>
      <c r="L27" s="2078"/>
      <c r="M27" s="2078"/>
      <c r="N27" s="2078"/>
      <c r="O27" s="2078"/>
      <c r="P27" s="2078"/>
      <c r="Q27" s="2078"/>
      <c r="R27" s="2082"/>
    </row>
    <row r="28" spans="1:18" ht="11.25" customHeight="1">
      <c r="A28" s="236" t="s">
        <v>550</v>
      </c>
      <c r="B28" s="171"/>
      <c r="C28" s="2078"/>
      <c r="D28" s="2078"/>
      <c r="E28" s="2078"/>
      <c r="F28" s="2078"/>
      <c r="G28" s="2078"/>
      <c r="H28" s="2078"/>
      <c r="I28" s="2078"/>
      <c r="J28" s="2078"/>
      <c r="K28" s="2078"/>
      <c r="L28" s="2078"/>
      <c r="M28" s="2078"/>
      <c r="N28" s="2078"/>
      <c r="O28" s="2078"/>
      <c r="P28" s="2078"/>
      <c r="Q28" s="2078"/>
      <c r="R28" s="2082"/>
    </row>
    <row r="29" spans="1:18" ht="11.25" customHeight="1">
      <c r="A29" s="236" t="s">
        <v>551</v>
      </c>
      <c r="B29" s="171"/>
      <c r="C29" s="2078">
        <f>249271.2+86182.5</f>
        <v>335453.7</v>
      </c>
      <c r="D29" s="2078"/>
      <c r="E29" s="2078"/>
      <c r="F29" s="2078"/>
      <c r="G29" s="2078"/>
      <c r="H29" s="2078"/>
      <c r="I29" s="2078"/>
      <c r="J29" s="2078"/>
      <c r="K29" s="2078"/>
      <c r="L29" s="2078"/>
      <c r="M29" s="2078"/>
      <c r="N29" s="2078"/>
      <c r="O29" s="2078"/>
      <c r="P29" s="2078"/>
      <c r="Q29" s="2078"/>
      <c r="R29" s="2082"/>
    </row>
    <row r="30" spans="1:18" ht="11.25" customHeight="1">
      <c r="A30" s="236" t="s">
        <v>552</v>
      </c>
      <c r="B30" s="171"/>
      <c r="C30" s="2078"/>
      <c r="D30" s="2078"/>
      <c r="E30" s="2078"/>
      <c r="F30" s="2078"/>
      <c r="G30" s="2078"/>
      <c r="H30" s="2078"/>
      <c r="I30" s="2078"/>
      <c r="J30" s="2078"/>
      <c r="K30" s="2078"/>
      <c r="L30" s="2078"/>
      <c r="M30" s="2078"/>
      <c r="N30" s="2078"/>
      <c r="O30" s="2078"/>
      <c r="P30" s="2078"/>
      <c r="Q30" s="2078"/>
      <c r="R30" s="2082"/>
    </row>
    <row r="31" spans="1:18" ht="11.25" customHeight="1">
      <c r="A31" s="236" t="s">
        <v>553</v>
      </c>
      <c r="B31" s="623">
        <v>2</v>
      </c>
      <c r="C31" s="2078">
        <v>2794864.63</v>
      </c>
      <c r="D31" s="2078"/>
      <c r="E31" s="2078"/>
      <c r="F31" s="2078"/>
      <c r="G31" s="2078"/>
      <c r="H31" s="2078"/>
      <c r="I31" s="2078"/>
      <c r="J31" s="2078"/>
      <c r="K31" s="2078"/>
      <c r="L31" s="2078"/>
      <c r="M31" s="2078"/>
      <c r="N31" s="2078"/>
      <c r="O31" s="2078"/>
      <c r="P31" s="2078"/>
      <c r="Q31" s="2078"/>
      <c r="R31" s="2082"/>
    </row>
    <row r="32" spans="1:18" ht="11.25" customHeight="1">
      <c r="A32" s="251" t="s">
        <v>1648</v>
      </c>
      <c r="B32" s="171"/>
      <c r="C32" s="624"/>
      <c r="D32" s="624"/>
      <c r="E32" s="624"/>
      <c r="F32" s="624"/>
      <c r="G32" s="624"/>
      <c r="H32" s="624"/>
      <c r="I32" s="624"/>
      <c r="J32" s="624"/>
      <c r="K32" s="624"/>
      <c r="L32" s="624"/>
      <c r="M32" s="624"/>
      <c r="N32" s="624"/>
      <c r="O32" s="624"/>
      <c r="P32" s="624"/>
      <c r="Q32" s="624"/>
      <c r="R32" s="625"/>
    </row>
    <row r="33" spans="1:19" ht="15.75" customHeight="1">
      <c r="A33" s="236" t="s">
        <v>1551</v>
      </c>
      <c r="B33" s="171">
        <v>6</v>
      </c>
      <c r="C33" s="2084"/>
      <c r="D33" s="2084"/>
      <c r="E33" s="2084"/>
      <c r="F33" s="2084"/>
      <c r="G33" s="2084"/>
      <c r="H33" s="2084"/>
      <c r="I33" s="2084"/>
      <c r="J33" s="2084"/>
      <c r="K33" s="2084"/>
      <c r="L33" s="2084"/>
      <c r="M33" s="2084"/>
      <c r="N33" s="2084"/>
      <c r="O33" s="2084"/>
      <c r="P33" s="2084"/>
      <c r="Q33" s="2084"/>
      <c r="R33" s="2087"/>
    </row>
    <row r="34" spans="1:19" ht="11.25" customHeight="1">
      <c r="A34" s="236" t="s">
        <v>1552</v>
      </c>
      <c r="B34" s="171">
        <v>6</v>
      </c>
      <c r="C34" s="2084"/>
      <c r="D34" s="2084"/>
      <c r="E34" s="2084"/>
      <c r="F34" s="2084"/>
      <c r="G34" s="2084"/>
      <c r="H34" s="2084"/>
      <c r="I34" s="2084"/>
      <c r="J34" s="2084"/>
      <c r="K34" s="2084"/>
      <c r="L34" s="2084"/>
      <c r="M34" s="2084"/>
      <c r="N34" s="2084"/>
      <c r="O34" s="2084"/>
      <c r="P34" s="2084"/>
      <c r="Q34" s="2084"/>
      <c r="R34" s="2087"/>
    </row>
    <row r="35" spans="1:19" ht="11.25" customHeight="1">
      <c r="A35" s="236" t="s">
        <v>1553</v>
      </c>
      <c r="B35" s="171">
        <v>6</v>
      </c>
      <c r="C35" s="2084"/>
      <c r="D35" s="2084"/>
      <c r="E35" s="2084"/>
      <c r="F35" s="2084"/>
      <c r="G35" s="2084"/>
      <c r="H35" s="2084"/>
      <c r="I35" s="2084"/>
      <c r="J35" s="2084"/>
      <c r="K35" s="2084"/>
      <c r="L35" s="2084"/>
      <c r="M35" s="2084"/>
      <c r="N35" s="2084"/>
      <c r="O35" s="2084"/>
      <c r="P35" s="2084"/>
      <c r="Q35" s="2084"/>
      <c r="R35" s="2087"/>
    </row>
    <row r="36" spans="1:19" ht="11.25" customHeight="1">
      <c r="A36" s="236" t="s">
        <v>1554</v>
      </c>
      <c r="B36" s="1501">
        <v>6</v>
      </c>
      <c r="C36" s="2123"/>
      <c r="D36" s="2123"/>
      <c r="E36" s="2123"/>
      <c r="F36" s="2123"/>
      <c r="G36" s="2123"/>
      <c r="H36" s="2123"/>
      <c r="I36" s="2123"/>
      <c r="J36" s="2123"/>
      <c r="K36" s="2123"/>
      <c r="L36" s="2123"/>
      <c r="M36" s="2123"/>
      <c r="N36" s="2123"/>
      <c r="O36" s="2123"/>
      <c r="P36" s="2123"/>
      <c r="Q36" s="2123"/>
      <c r="R36" s="2124"/>
    </row>
    <row r="37" spans="1:19" ht="15.75" customHeight="1">
      <c r="A37" s="626" t="s">
        <v>1649</v>
      </c>
      <c r="B37" s="627"/>
      <c r="C37" s="628"/>
      <c r="D37" s="628"/>
      <c r="E37" s="628"/>
      <c r="F37" s="628"/>
      <c r="G37" s="628"/>
      <c r="H37" s="628"/>
      <c r="I37" s="628"/>
      <c r="J37" s="628"/>
      <c r="K37" s="628"/>
      <c r="L37" s="628"/>
      <c r="M37" s="628"/>
      <c r="N37" s="628"/>
      <c r="O37" s="628"/>
      <c r="P37" s="628"/>
      <c r="Q37" s="628"/>
      <c r="R37" s="629"/>
    </row>
    <row r="38" spans="1:19" ht="11.25" customHeight="1">
      <c r="A38" s="240" t="s">
        <v>318</v>
      </c>
      <c r="B38" s="630">
        <v>3</v>
      </c>
      <c r="C38" s="2125">
        <f>'[5]SA12 &amp;13'!$C$38</f>
        <v>1.1010000000000001E-2</v>
      </c>
      <c r="D38" s="2125"/>
      <c r="E38" s="2125">
        <f>'[5]SA12 &amp;13'!$E$38</f>
        <v>1.1010000000000001E-2</v>
      </c>
      <c r="F38" s="2125">
        <f>'[5]SA12 &amp;13'!$F$38</f>
        <v>2.7499999999999998E-3</v>
      </c>
      <c r="G38" s="2125">
        <f>'[5]SA12 &amp;13'!$G$38</f>
        <v>1.1010000000000001E-2</v>
      </c>
      <c r="H38" s="2125">
        <f>'[5]SA12 &amp;13'!$H$38</f>
        <v>1.1010000000000001E-2</v>
      </c>
      <c r="I38" s="2125"/>
      <c r="J38" s="2125"/>
      <c r="K38" s="2125"/>
      <c r="L38" s="2125"/>
      <c r="M38" s="2125"/>
      <c r="N38" s="2125"/>
      <c r="O38" s="2125"/>
      <c r="P38" s="2125"/>
      <c r="Q38" s="2125"/>
      <c r="R38" s="2126"/>
      <c r="S38" s="345"/>
    </row>
    <row r="39" spans="1:19" ht="11.25" customHeight="1">
      <c r="A39" s="240" t="s">
        <v>1555</v>
      </c>
      <c r="B39" s="630"/>
      <c r="C39" s="1805"/>
      <c r="D39" s="1805"/>
      <c r="E39" s="1805"/>
      <c r="F39" s="1805"/>
      <c r="G39" s="1805"/>
      <c r="H39" s="1805"/>
      <c r="I39" s="1805"/>
      <c r="J39" s="1805"/>
      <c r="K39" s="1805"/>
      <c r="L39" s="1805"/>
      <c r="M39" s="1805"/>
      <c r="N39" s="1805"/>
      <c r="O39" s="1805"/>
      <c r="P39" s="1805"/>
      <c r="Q39" s="1805"/>
      <c r="R39" s="1808"/>
      <c r="S39" s="631">
        <f>SUM(C39:R39)</f>
        <v>0</v>
      </c>
    </row>
    <row r="40" spans="1:19" ht="11.25" customHeight="1">
      <c r="A40" s="240" t="s">
        <v>1556</v>
      </c>
      <c r="B40" s="630"/>
      <c r="C40" s="1805"/>
      <c r="D40" s="1805"/>
      <c r="E40" s="1805"/>
      <c r="F40" s="1805"/>
      <c r="G40" s="1805"/>
      <c r="H40" s="1805"/>
      <c r="I40" s="1805"/>
      <c r="J40" s="1805"/>
      <c r="K40" s="1805"/>
      <c r="L40" s="1805"/>
      <c r="M40" s="1805"/>
      <c r="N40" s="1805"/>
      <c r="O40" s="1805"/>
      <c r="P40" s="1805"/>
      <c r="Q40" s="1805"/>
      <c r="R40" s="1808"/>
      <c r="S40" s="631">
        <f>SUM(C40:R40)</f>
        <v>0</v>
      </c>
    </row>
    <row r="41" spans="1:19" ht="11.25" customHeight="1">
      <c r="A41" s="240" t="s">
        <v>1689</v>
      </c>
      <c r="B41" s="630">
        <v>4</v>
      </c>
      <c r="C41" s="2098">
        <f>'[5]SA12 &amp;13'!$C$41</f>
        <v>0.75</v>
      </c>
      <c r="D41" s="2098"/>
      <c r="E41" s="2098">
        <f>'[5]SA12 &amp;13'!$E$41</f>
        <v>0.75</v>
      </c>
      <c r="F41" s="2098">
        <f>'[5]SA12 &amp;13'!$F$41</f>
        <v>0.4</v>
      </c>
      <c r="G41" s="2098">
        <f>'[5]SA12 &amp;13'!$G$41</f>
        <v>0.75</v>
      </c>
      <c r="H41" s="2098">
        <f>'[5]SA12 &amp;13'!$H$41</f>
        <v>1</v>
      </c>
      <c r="I41" s="2098"/>
      <c r="J41" s="2098"/>
      <c r="K41" s="2098"/>
      <c r="L41" s="2098"/>
      <c r="M41" s="2098"/>
      <c r="N41" s="2098"/>
      <c r="O41" s="2098"/>
      <c r="P41" s="2098"/>
      <c r="Q41" s="2098"/>
      <c r="R41" s="2101"/>
    </row>
    <row r="42" spans="1:19" ht="11.25" customHeight="1">
      <c r="A42" s="240" t="s">
        <v>1599</v>
      </c>
      <c r="B42" s="630"/>
      <c r="C42" s="1823"/>
      <c r="D42" s="1823"/>
      <c r="E42" s="1823"/>
      <c r="F42" s="1823"/>
      <c r="G42" s="1823"/>
      <c r="H42" s="1823"/>
      <c r="I42" s="1823"/>
      <c r="J42" s="1823"/>
      <c r="K42" s="1823"/>
      <c r="L42" s="1823"/>
      <c r="M42" s="1823"/>
      <c r="N42" s="1823"/>
      <c r="O42" s="1823"/>
      <c r="P42" s="1823"/>
      <c r="Q42" s="1823"/>
      <c r="R42" s="1828"/>
      <c r="S42" s="345"/>
    </row>
    <row r="43" spans="1:19" ht="15.75" customHeight="1">
      <c r="A43" s="240" t="s">
        <v>434</v>
      </c>
      <c r="B43" s="630"/>
      <c r="C43" s="2127"/>
      <c r="D43" s="2127"/>
      <c r="E43" s="2127"/>
      <c r="F43" s="2127"/>
      <c r="G43" s="2127"/>
      <c r="H43" s="2127"/>
      <c r="I43" s="2127"/>
      <c r="J43" s="2127"/>
      <c r="K43" s="2127"/>
      <c r="L43" s="2127"/>
      <c r="M43" s="2127"/>
      <c r="N43" s="2127"/>
      <c r="O43" s="2127"/>
      <c r="P43" s="2127"/>
      <c r="Q43" s="2127"/>
      <c r="R43" s="2128"/>
      <c r="S43" s="345"/>
    </row>
    <row r="44" spans="1:19" ht="11.25" customHeight="1">
      <c r="A44" s="240" t="s">
        <v>544</v>
      </c>
      <c r="B44" s="630"/>
      <c r="C44" s="1823"/>
      <c r="D44" s="1823"/>
      <c r="E44" s="1823"/>
      <c r="F44" s="1823"/>
      <c r="G44" s="1823"/>
      <c r="H44" s="1823"/>
      <c r="I44" s="1823"/>
      <c r="J44" s="1823"/>
      <c r="K44" s="1823"/>
      <c r="L44" s="1823"/>
      <c r="M44" s="1823"/>
      <c r="N44" s="1823"/>
      <c r="O44" s="1823"/>
      <c r="P44" s="1823"/>
      <c r="Q44" s="1823"/>
      <c r="R44" s="1828"/>
      <c r="S44" s="345"/>
    </row>
    <row r="45" spans="1:19" ht="11.25" customHeight="1">
      <c r="A45" s="240" t="s">
        <v>545</v>
      </c>
      <c r="B45" s="630"/>
      <c r="C45" s="1823">
        <f>'[5]SA12 &amp;13'!$C$45</f>
        <v>556606</v>
      </c>
      <c r="D45" s="1823"/>
      <c r="E45" s="1823"/>
      <c r="F45" s="1823"/>
      <c r="G45" s="1823"/>
      <c r="H45" s="1823"/>
      <c r="I45" s="1823"/>
      <c r="J45" s="1823"/>
      <c r="K45" s="1823"/>
      <c r="L45" s="1823"/>
      <c r="M45" s="1823"/>
      <c r="N45" s="1823"/>
      <c r="O45" s="1823"/>
      <c r="P45" s="1823"/>
      <c r="Q45" s="1823"/>
      <c r="R45" s="1828"/>
      <c r="S45" s="345"/>
    </row>
    <row r="46" spans="1:19" ht="11.25" customHeight="1">
      <c r="A46" s="240" t="s">
        <v>546</v>
      </c>
      <c r="B46" s="630"/>
      <c r="C46" s="1823">
        <f>'[5]SA12 &amp;13'!$C$46</f>
        <v>424375</v>
      </c>
      <c r="D46" s="1823"/>
      <c r="E46" s="1823"/>
      <c r="F46" s="1823"/>
      <c r="G46" s="1823"/>
      <c r="H46" s="1823"/>
      <c r="I46" s="1823"/>
      <c r="J46" s="1823"/>
      <c r="K46" s="1823"/>
      <c r="L46" s="1823"/>
      <c r="M46" s="1823"/>
      <c r="N46" s="1823"/>
      <c r="O46" s="1823"/>
      <c r="P46" s="1823"/>
      <c r="Q46" s="1823"/>
      <c r="R46" s="1828"/>
      <c r="S46" s="345"/>
    </row>
    <row r="47" spans="1:19" ht="11.25" customHeight="1">
      <c r="A47" s="240" t="s">
        <v>1598</v>
      </c>
      <c r="B47" s="630"/>
      <c r="C47" s="1823"/>
      <c r="D47" s="1823"/>
      <c r="E47" s="1823"/>
      <c r="F47" s="1823"/>
      <c r="G47" s="1823"/>
      <c r="H47" s="1823"/>
      <c r="I47" s="1823"/>
      <c r="J47" s="1823"/>
      <c r="K47" s="1823"/>
      <c r="L47" s="1823"/>
      <c r="M47" s="1823"/>
      <c r="N47" s="1823"/>
      <c r="O47" s="1823"/>
      <c r="P47" s="1823"/>
      <c r="Q47" s="1823"/>
      <c r="R47" s="1828"/>
      <c r="S47" s="345"/>
    </row>
    <row r="48" spans="1:19" ht="11.25" customHeight="1">
      <c r="A48" s="634" t="s">
        <v>693</v>
      </c>
      <c r="B48" s="623"/>
      <c r="C48" s="632"/>
      <c r="D48" s="632"/>
      <c r="E48" s="632"/>
      <c r="F48" s="632"/>
      <c r="G48" s="632"/>
      <c r="H48" s="632"/>
      <c r="I48" s="632"/>
      <c r="J48" s="632"/>
      <c r="K48" s="632"/>
      <c r="L48" s="632"/>
      <c r="M48" s="632"/>
      <c r="N48" s="632"/>
      <c r="O48" s="632"/>
      <c r="P48" s="632"/>
      <c r="Q48" s="632"/>
      <c r="R48" s="633"/>
      <c r="S48" s="345"/>
    </row>
    <row r="49" spans="1:18" ht="5.0999999999999996" customHeight="1">
      <c r="A49" s="635"/>
      <c r="B49" s="373"/>
      <c r="C49" s="613"/>
      <c r="D49" s="613"/>
      <c r="E49" s="613"/>
      <c r="F49" s="613"/>
      <c r="G49" s="613"/>
      <c r="H49" s="613"/>
      <c r="I49" s="613"/>
      <c r="J49" s="613"/>
      <c r="K49" s="613"/>
      <c r="L49" s="613"/>
      <c r="M49" s="613"/>
      <c r="N49" s="613"/>
      <c r="O49" s="613"/>
      <c r="P49" s="613"/>
      <c r="Q49" s="613"/>
      <c r="R49" s="614"/>
    </row>
    <row r="50" spans="1:18" s="693" customFormat="1" hidden="1">
      <c r="A50" s="1234" t="str">
        <f>head27a</f>
        <v>References</v>
      </c>
      <c r="B50" s="1066"/>
      <c r="C50" s="1037"/>
      <c r="D50" s="1037"/>
      <c r="E50" s="1037"/>
      <c r="F50" s="1037"/>
      <c r="G50" s="1037"/>
      <c r="H50" s="1037"/>
      <c r="I50" s="1037"/>
      <c r="J50" s="1037"/>
      <c r="K50" s="1037"/>
      <c r="L50" s="1037"/>
      <c r="M50" s="1037"/>
      <c r="N50" s="1037"/>
      <c r="O50" s="1037"/>
      <c r="P50" s="1037"/>
      <c r="Q50" s="1037"/>
      <c r="R50" s="1037"/>
    </row>
    <row r="51" spans="1:18" s="693" customFormat="1" hidden="1">
      <c r="A51" s="1344" t="s">
        <v>556</v>
      </c>
      <c r="B51" s="1066"/>
      <c r="C51" s="1037"/>
      <c r="D51" s="1037"/>
      <c r="E51" s="1037"/>
      <c r="F51" s="1037"/>
      <c r="G51" s="1037"/>
      <c r="H51" s="1037"/>
      <c r="I51" s="1037"/>
      <c r="J51" s="1037"/>
      <c r="K51" s="1037"/>
      <c r="L51" s="1037"/>
      <c r="M51" s="1037"/>
      <c r="N51" s="1037"/>
      <c r="O51" s="1037"/>
      <c r="P51" s="1037"/>
      <c r="Q51" s="1037"/>
      <c r="R51" s="1037"/>
    </row>
    <row r="52" spans="1:18" s="693" customFormat="1" hidden="1">
      <c r="A52" s="1344" t="s">
        <v>557</v>
      </c>
      <c r="B52" s="1066"/>
      <c r="C52" s="1037"/>
      <c r="D52" s="1037"/>
      <c r="E52" s="1037"/>
      <c r="F52" s="1037"/>
      <c r="G52" s="1037"/>
      <c r="H52" s="1037"/>
      <c r="I52" s="1037"/>
      <c r="J52" s="1037"/>
      <c r="K52" s="1037"/>
      <c r="L52" s="1037"/>
      <c r="M52" s="1037"/>
      <c r="N52" s="1037"/>
      <c r="O52" s="1037"/>
      <c r="P52" s="1037"/>
      <c r="Q52" s="1037"/>
      <c r="R52" s="1037"/>
    </row>
    <row r="53" spans="1:18" s="693" customFormat="1" hidden="1">
      <c r="A53" s="1235" t="s">
        <v>558</v>
      </c>
      <c r="B53" s="1066"/>
      <c r="C53" s="1037"/>
      <c r="D53" s="1037"/>
      <c r="E53" s="1037"/>
      <c r="F53" s="1037"/>
      <c r="G53" s="1037"/>
      <c r="H53" s="1037"/>
      <c r="I53" s="1037"/>
      <c r="J53" s="1037"/>
      <c r="K53" s="1037"/>
      <c r="L53" s="1037"/>
      <c r="M53" s="1037"/>
      <c r="N53" s="1037"/>
      <c r="O53" s="1037"/>
      <c r="P53" s="1037"/>
      <c r="Q53" s="1037"/>
      <c r="R53" s="1037"/>
    </row>
    <row r="54" spans="1:18" s="693" customFormat="1" hidden="1">
      <c r="A54" s="1344" t="s">
        <v>559</v>
      </c>
      <c r="B54" s="1066"/>
      <c r="C54" s="1037"/>
      <c r="D54" s="1037"/>
      <c r="E54" s="1037"/>
      <c r="F54" s="1037"/>
      <c r="G54" s="1037"/>
      <c r="H54" s="1037"/>
      <c r="I54" s="1037"/>
      <c r="J54" s="1037"/>
      <c r="K54" s="1037"/>
      <c r="L54" s="1037"/>
      <c r="M54" s="1037"/>
      <c r="N54" s="1037"/>
      <c r="O54" s="1037"/>
      <c r="P54" s="1037"/>
      <c r="Q54" s="1037"/>
      <c r="R54" s="1037"/>
    </row>
    <row r="55" spans="1:18" s="693" customFormat="1" hidden="1">
      <c r="A55" s="1201" t="s">
        <v>1712</v>
      </c>
      <c r="B55" s="1066"/>
      <c r="C55" s="1037"/>
      <c r="D55" s="1037"/>
      <c r="E55" s="1037"/>
      <c r="F55" s="1037"/>
      <c r="G55" s="1037"/>
      <c r="H55" s="1037"/>
      <c r="I55" s="1037"/>
      <c r="J55" s="1037"/>
      <c r="K55" s="1037"/>
      <c r="L55" s="1037"/>
      <c r="M55" s="1037"/>
      <c r="N55" s="1037"/>
      <c r="O55" s="1037"/>
      <c r="P55" s="1037"/>
      <c r="Q55" s="1037"/>
      <c r="R55" s="1037"/>
    </row>
    <row r="56" spans="1:18" s="693" customFormat="1" hidden="1">
      <c r="A56" s="1201" t="s">
        <v>1714</v>
      </c>
      <c r="B56" s="1066"/>
      <c r="C56" s="1037"/>
      <c r="D56" s="1037"/>
      <c r="E56" s="1037"/>
      <c r="F56" s="1037"/>
      <c r="G56" s="1037"/>
      <c r="H56" s="1037"/>
      <c r="I56" s="1037"/>
      <c r="J56" s="1037"/>
      <c r="K56" s="1037"/>
      <c r="L56" s="1037"/>
      <c r="M56" s="1037"/>
      <c r="N56" s="1037"/>
      <c r="O56" s="1037"/>
      <c r="P56" s="1037"/>
      <c r="Q56" s="1037"/>
      <c r="R56" s="1037"/>
    </row>
    <row r="57" spans="1:18" ht="15.75" hidden="1" customHeight="1">
      <c r="A57" s="617" t="str">
        <f>muni&amp;" - "&amp;TableA12</f>
        <v>NC071 Ubuntu - Supporting Table SA12 Property rates by category (current year)</v>
      </c>
      <c r="B57" s="617"/>
      <c r="C57" s="148"/>
      <c r="D57" s="148"/>
      <c r="E57" s="148"/>
      <c r="F57" s="148"/>
      <c r="G57" s="148"/>
      <c r="H57" s="148"/>
      <c r="I57" s="148"/>
      <c r="J57" s="148"/>
      <c r="K57" s="148"/>
      <c r="L57" s="148"/>
      <c r="M57" s="148"/>
      <c r="N57" s="148"/>
      <c r="O57" s="148"/>
      <c r="P57" s="148"/>
      <c r="Q57" s="148"/>
      <c r="R57" s="148"/>
    </row>
    <row r="58" spans="1:18" ht="38.25" hidden="1" customHeight="1">
      <c r="A58" s="618" t="str">
        <f>A2</f>
        <v>Description</v>
      </c>
      <c r="B58" s="619" t="str">
        <f t="shared" ref="B58:R58" si="0">B2</f>
        <v>Ref</v>
      </c>
      <c r="C58" s="498" t="str">
        <f t="shared" si="0"/>
        <v>Resi.</v>
      </c>
      <c r="D58" s="498" t="str">
        <f t="shared" si="0"/>
        <v>Indust.</v>
      </c>
      <c r="E58" s="498" t="str">
        <f t="shared" si="0"/>
        <v>Bus. &amp; Comm.</v>
      </c>
      <c r="F58" s="498" t="str">
        <f t="shared" si="0"/>
        <v>Farm props.</v>
      </c>
      <c r="G58" s="498" t="str">
        <f t="shared" si="0"/>
        <v xml:space="preserve">State-owned </v>
      </c>
      <c r="H58" s="498" t="str">
        <f t="shared" si="0"/>
        <v>Muni props.</v>
      </c>
      <c r="I58" s="498" t="str">
        <f t="shared" si="0"/>
        <v>Public service infra.</v>
      </c>
      <c r="J58" s="498" t="str">
        <f t="shared" si="0"/>
        <v>Private owned towns</v>
      </c>
      <c r="K58" s="498" t="str">
        <f t="shared" si="0"/>
        <v>Formal &amp; Informal Settle.</v>
      </c>
      <c r="L58" s="498" t="str">
        <f t="shared" si="0"/>
        <v>Comm. Land</v>
      </c>
      <c r="M58" s="498" t="str">
        <f t="shared" si="0"/>
        <v>State trust land</v>
      </c>
      <c r="N58" s="498" t="str">
        <f t="shared" si="0"/>
        <v>Section 8(2)(n) (note 1)</v>
      </c>
      <c r="O58" s="498" t="str">
        <f t="shared" si="0"/>
        <v>Protect. Areas</v>
      </c>
      <c r="P58" s="498" t="str">
        <f t="shared" si="0"/>
        <v>National Monum/ts</v>
      </c>
      <c r="Q58" s="498" t="str">
        <f t="shared" si="0"/>
        <v>Public benefit organs.</v>
      </c>
      <c r="R58" s="620" t="str">
        <f t="shared" si="0"/>
        <v>Mining Props.</v>
      </c>
    </row>
    <row r="59" spans="1:18" ht="11.25" hidden="1" customHeight="1">
      <c r="A59" s="235" t="str">
        <f>Head2</f>
        <v>Current Year 2010/11</v>
      </c>
      <c r="B59" s="171"/>
      <c r="C59" s="621"/>
      <c r="D59" s="621"/>
      <c r="E59" s="621"/>
      <c r="F59" s="621"/>
      <c r="G59" s="621"/>
      <c r="H59" s="621"/>
      <c r="I59" s="621"/>
      <c r="J59" s="621"/>
      <c r="K59" s="621"/>
      <c r="L59" s="621"/>
      <c r="M59" s="621"/>
      <c r="N59" s="621"/>
      <c r="O59" s="621"/>
      <c r="P59" s="621"/>
      <c r="Q59" s="621"/>
      <c r="R59" s="622"/>
    </row>
    <row r="60" spans="1:18" ht="11.25" hidden="1" customHeight="1">
      <c r="A60" s="235" t="str">
        <f t="shared" ref="A60:A71" si="1">A4</f>
        <v>Valuation:</v>
      </c>
      <c r="B60" s="171"/>
      <c r="C60" s="621"/>
      <c r="D60" s="621"/>
      <c r="E60" s="621"/>
      <c r="F60" s="621"/>
      <c r="G60" s="621"/>
      <c r="H60" s="621"/>
      <c r="I60" s="621"/>
      <c r="J60" s="621"/>
      <c r="K60" s="621"/>
      <c r="L60" s="621"/>
      <c r="M60" s="621"/>
      <c r="N60" s="621"/>
      <c r="O60" s="621"/>
      <c r="P60" s="621"/>
      <c r="Q60" s="621"/>
      <c r="R60" s="622"/>
    </row>
    <row r="61" spans="1:18" ht="11.25" hidden="1" customHeight="1">
      <c r="A61" s="236" t="str">
        <f t="shared" si="1"/>
        <v>No. of properties</v>
      </c>
      <c r="B61" s="171"/>
      <c r="C61" s="1850"/>
      <c r="D61" s="1850"/>
      <c r="E61" s="1850"/>
      <c r="F61" s="1850"/>
      <c r="G61" s="1850"/>
      <c r="H61" s="1850"/>
      <c r="I61" s="1850"/>
      <c r="J61" s="1850"/>
      <c r="K61" s="1850"/>
      <c r="L61" s="1850"/>
      <c r="M61" s="1850"/>
      <c r="N61" s="1850"/>
      <c r="O61" s="1850"/>
      <c r="P61" s="1850"/>
      <c r="Q61" s="1850"/>
      <c r="R61" s="2119"/>
    </row>
    <row r="62" spans="1:18" ht="11.25" hidden="1" customHeight="1">
      <c r="A62" s="236" t="str">
        <f t="shared" si="1"/>
        <v>No. of sectional title property values</v>
      </c>
      <c r="B62" s="171"/>
      <c r="C62" s="1850"/>
      <c r="D62" s="1850"/>
      <c r="E62" s="1850"/>
      <c r="F62" s="1850"/>
      <c r="G62" s="1850"/>
      <c r="H62" s="1850"/>
      <c r="I62" s="1850"/>
      <c r="J62" s="1850"/>
      <c r="K62" s="1850"/>
      <c r="L62" s="1850"/>
      <c r="M62" s="1850"/>
      <c r="N62" s="1850"/>
      <c r="O62" s="1850"/>
      <c r="P62" s="1850"/>
      <c r="Q62" s="1850"/>
      <c r="R62" s="2119"/>
    </row>
    <row r="63" spans="1:18" ht="11.25" hidden="1" customHeight="1">
      <c r="A63" s="236" t="str">
        <f t="shared" si="1"/>
        <v>No. of unreasonably difficult properties s7(2)</v>
      </c>
      <c r="B63" s="171"/>
      <c r="C63" s="1850"/>
      <c r="D63" s="1850"/>
      <c r="E63" s="1850"/>
      <c r="F63" s="1850"/>
      <c r="G63" s="1850"/>
      <c r="H63" s="1850"/>
      <c r="I63" s="1850"/>
      <c r="J63" s="1850"/>
      <c r="K63" s="1850"/>
      <c r="L63" s="1850"/>
      <c r="M63" s="1850"/>
      <c r="N63" s="1850"/>
      <c r="O63" s="1850"/>
      <c r="P63" s="1850"/>
      <c r="Q63" s="1850"/>
      <c r="R63" s="2119"/>
    </row>
    <row r="64" spans="1:18" ht="11.25" hidden="1" customHeight="1">
      <c r="A64" s="236" t="str">
        <f t="shared" si="1"/>
        <v>No. of supplementary valuations</v>
      </c>
      <c r="B64" s="171"/>
      <c r="C64" s="1850"/>
      <c r="D64" s="1850"/>
      <c r="E64" s="1850"/>
      <c r="F64" s="1850"/>
      <c r="G64" s="1850"/>
      <c r="H64" s="1850"/>
      <c r="I64" s="1850"/>
      <c r="J64" s="1850"/>
      <c r="K64" s="1850"/>
      <c r="L64" s="1850"/>
      <c r="M64" s="1850"/>
      <c r="N64" s="1850"/>
      <c r="O64" s="1850"/>
      <c r="P64" s="1850"/>
      <c r="Q64" s="1850"/>
      <c r="R64" s="2119"/>
    </row>
    <row r="65" spans="1:18" ht="11.25" hidden="1" customHeight="1">
      <c r="A65" s="236" t="str">
        <f t="shared" si="1"/>
        <v>Supplementary valuation (Rm)</v>
      </c>
      <c r="B65" s="171"/>
      <c r="C65" s="1850"/>
      <c r="D65" s="1850"/>
      <c r="E65" s="1850"/>
      <c r="F65" s="1850"/>
      <c r="G65" s="1850"/>
      <c r="H65" s="1850"/>
      <c r="I65" s="1850"/>
      <c r="J65" s="1850"/>
      <c r="K65" s="1850"/>
      <c r="L65" s="1850"/>
      <c r="M65" s="1850"/>
      <c r="N65" s="1850"/>
      <c r="O65" s="1850"/>
      <c r="P65" s="1850"/>
      <c r="Q65" s="1850"/>
      <c r="R65" s="2119"/>
    </row>
    <row r="66" spans="1:18" ht="11.25" hidden="1" customHeight="1">
      <c r="A66" s="236" t="str">
        <f t="shared" si="1"/>
        <v>No. of valuation roll amendments</v>
      </c>
      <c r="B66" s="171"/>
      <c r="C66" s="1850"/>
      <c r="D66" s="1850"/>
      <c r="E66" s="1850"/>
      <c r="F66" s="1850"/>
      <c r="G66" s="1850"/>
      <c r="H66" s="1850"/>
      <c r="I66" s="1850"/>
      <c r="J66" s="1850"/>
      <c r="K66" s="1850"/>
      <c r="L66" s="1850"/>
      <c r="M66" s="1850"/>
      <c r="N66" s="1850"/>
      <c r="O66" s="1850"/>
      <c r="P66" s="1850"/>
      <c r="Q66" s="1850"/>
      <c r="R66" s="2119"/>
    </row>
    <row r="67" spans="1:18" ht="11.25" hidden="1" customHeight="1">
      <c r="A67" s="236" t="str">
        <f t="shared" si="1"/>
        <v>No. of objections by rate-payers</v>
      </c>
      <c r="B67" s="171"/>
      <c r="C67" s="1850"/>
      <c r="D67" s="1850"/>
      <c r="E67" s="1850"/>
      <c r="F67" s="1850"/>
      <c r="G67" s="1850"/>
      <c r="H67" s="1850"/>
      <c r="I67" s="1850"/>
      <c r="J67" s="1850"/>
      <c r="K67" s="1850"/>
      <c r="L67" s="1850"/>
      <c r="M67" s="1850"/>
      <c r="N67" s="1850"/>
      <c r="O67" s="1850"/>
      <c r="P67" s="1850"/>
      <c r="Q67" s="1850"/>
      <c r="R67" s="2119"/>
    </row>
    <row r="68" spans="1:18" ht="11.25" hidden="1" customHeight="1">
      <c r="A68" s="236" t="str">
        <f t="shared" si="1"/>
        <v>No. of appeals by rate-payers</v>
      </c>
      <c r="B68" s="171"/>
      <c r="C68" s="1850"/>
      <c r="D68" s="1850"/>
      <c r="E68" s="1850"/>
      <c r="F68" s="1850"/>
      <c r="G68" s="1850"/>
      <c r="H68" s="1850"/>
      <c r="I68" s="1850"/>
      <c r="J68" s="1850"/>
      <c r="K68" s="1850"/>
      <c r="L68" s="1850"/>
      <c r="M68" s="1850"/>
      <c r="N68" s="1850"/>
      <c r="O68" s="1850"/>
      <c r="P68" s="1850"/>
      <c r="Q68" s="1850"/>
      <c r="R68" s="2119"/>
    </row>
    <row r="69" spans="1:18" ht="11.25" hidden="1" customHeight="1">
      <c r="A69" s="236" t="str">
        <f t="shared" si="1"/>
        <v>No. of appeals by rate-payers finalised</v>
      </c>
      <c r="B69" s="171"/>
      <c r="C69" s="1850"/>
      <c r="D69" s="1850"/>
      <c r="E69" s="1850"/>
      <c r="F69" s="1850"/>
      <c r="G69" s="1850"/>
      <c r="H69" s="1850"/>
      <c r="I69" s="1850"/>
      <c r="J69" s="1850"/>
      <c r="K69" s="1850"/>
      <c r="L69" s="1850"/>
      <c r="M69" s="1850"/>
      <c r="N69" s="1850"/>
      <c r="O69" s="1850"/>
      <c r="P69" s="1850"/>
      <c r="Q69" s="1850"/>
      <c r="R69" s="2119"/>
    </row>
    <row r="70" spans="1:18" ht="11.25" hidden="1" customHeight="1">
      <c r="A70" s="236" t="str">
        <f t="shared" si="1"/>
        <v>No. of successful objections</v>
      </c>
      <c r="B70" s="171">
        <v>5</v>
      </c>
      <c r="C70" s="1850"/>
      <c r="D70" s="1850"/>
      <c r="E70" s="1850"/>
      <c r="F70" s="1850"/>
      <c r="G70" s="1850"/>
      <c r="H70" s="1850"/>
      <c r="I70" s="1850"/>
      <c r="J70" s="1850"/>
      <c r="K70" s="1850"/>
      <c r="L70" s="1850"/>
      <c r="M70" s="1850"/>
      <c r="N70" s="1850"/>
      <c r="O70" s="1850"/>
      <c r="P70" s="1850"/>
      <c r="Q70" s="1850"/>
      <c r="R70" s="2119"/>
    </row>
    <row r="71" spans="1:18" ht="11.25" customHeight="1">
      <c r="A71" s="236" t="str">
        <f t="shared" si="1"/>
        <v>No. of successful objections &gt; 10%</v>
      </c>
      <c r="B71" s="171">
        <v>5</v>
      </c>
      <c r="C71" s="1850"/>
      <c r="D71" s="1850"/>
      <c r="E71" s="1850"/>
      <c r="F71" s="1850"/>
      <c r="G71" s="1850"/>
      <c r="H71" s="1850"/>
      <c r="I71" s="1850"/>
      <c r="J71" s="1850"/>
      <c r="K71" s="1850"/>
      <c r="L71" s="1850"/>
      <c r="M71" s="1850"/>
      <c r="N71" s="1850"/>
      <c r="O71" s="1850"/>
      <c r="P71" s="1850"/>
      <c r="Q71" s="1850"/>
      <c r="R71" s="2119"/>
    </row>
    <row r="72" spans="1:18" ht="11.25" customHeight="1">
      <c r="A72" s="240" t="str">
        <f t="shared" ref="A72:A104" si="2">A16</f>
        <v>Estimated no. of properties not valued</v>
      </c>
      <c r="B72" s="324"/>
      <c r="C72" s="1845"/>
      <c r="D72" s="1845"/>
      <c r="E72" s="1845"/>
      <c r="F72" s="1845"/>
      <c r="G72" s="1845"/>
      <c r="H72" s="1845"/>
      <c r="I72" s="1860"/>
      <c r="J72" s="1845"/>
      <c r="K72" s="1845"/>
      <c r="L72" s="1845"/>
      <c r="M72" s="1845"/>
      <c r="N72" s="1845"/>
      <c r="O72" s="1845"/>
      <c r="P72" s="1845"/>
      <c r="Q72" s="1845"/>
      <c r="R72" s="2120"/>
    </row>
    <row r="73" spans="1:18" ht="11.25" customHeight="1">
      <c r="A73" s="236" t="str">
        <f t="shared" si="2"/>
        <v>Years since last valuation (select)</v>
      </c>
      <c r="B73" s="171"/>
      <c r="C73" s="2056"/>
      <c r="D73" s="2056"/>
      <c r="E73" s="2056"/>
      <c r="F73" s="2056"/>
      <c r="G73" s="2056"/>
      <c r="H73" s="2056"/>
      <c r="I73" s="2056"/>
      <c r="J73" s="2056"/>
      <c r="K73" s="2056"/>
      <c r="L73" s="2056"/>
      <c r="M73" s="2056"/>
      <c r="N73" s="2056"/>
      <c r="O73" s="2056"/>
      <c r="P73" s="2056"/>
      <c r="Q73" s="2056"/>
      <c r="R73" s="2057"/>
    </row>
    <row r="74" spans="1:18" ht="11.25" customHeight="1">
      <c r="A74" s="236" t="str">
        <f t="shared" si="2"/>
        <v>Frequency of valuation (select)</v>
      </c>
      <c r="B74" s="171"/>
      <c r="C74" s="2121"/>
      <c r="D74" s="2121"/>
      <c r="E74" s="2121"/>
      <c r="F74" s="2121"/>
      <c r="G74" s="2121"/>
      <c r="H74" s="2121"/>
      <c r="I74" s="2121"/>
      <c r="J74" s="2121"/>
      <c r="K74" s="2121"/>
      <c r="L74" s="2121"/>
      <c r="M74" s="2121"/>
      <c r="N74" s="2121"/>
      <c r="O74" s="2121"/>
      <c r="P74" s="2121"/>
      <c r="Q74" s="2121"/>
      <c r="R74" s="2122"/>
    </row>
    <row r="75" spans="1:18" ht="11.25" customHeight="1">
      <c r="A75" s="236" t="str">
        <f t="shared" si="2"/>
        <v>Method of valuation used (select)</v>
      </c>
      <c r="B75" s="171"/>
      <c r="C75" s="2056"/>
      <c r="D75" s="2056"/>
      <c r="E75" s="2056"/>
      <c r="F75" s="2056"/>
      <c r="G75" s="2056"/>
      <c r="H75" s="2056"/>
      <c r="I75" s="2056"/>
      <c r="J75" s="2056"/>
      <c r="K75" s="2056"/>
      <c r="L75" s="2056"/>
      <c r="M75" s="2056"/>
      <c r="N75" s="2056"/>
      <c r="O75" s="2056"/>
      <c r="P75" s="2056"/>
      <c r="Q75" s="2056"/>
      <c r="R75" s="2057"/>
    </row>
    <row r="76" spans="1:18" ht="11.25" customHeight="1">
      <c r="A76" s="236" t="str">
        <f t="shared" si="2"/>
        <v>Base of valuation (select)</v>
      </c>
      <c r="B76" s="171"/>
      <c r="C76" s="2056"/>
      <c r="D76" s="2056"/>
      <c r="E76" s="2056"/>
      <c r="F76" s="2056"/>
      <c r="G76" s="2056"/>
      <c r="H76" s="2056"/>
      <c r="I76" s="2056"/>
      <c r="J76" s="2056"/>
      <c r="K76" s="2056"/>
      <c r="L76" s="2056"/>
      <c r="M76" s="2056"/>
      <c r="N76" s="2056"/>
      <c r="O76" s="2056"/>
      <c r="P76" s="2056"/>
      <c r="Q76" s="2056"/>
      <c r="R76" s="2057"/>
    </row>
    <row r="77" spans="1:18" ht="11.25" customHeight="1">
      <c r="A77" s="236" t="str">
        <f t="shared" si="2"/>
        <v>Phasing-in properties s21 (number)</v>
      </c>
      <c r="B77" s="171"/>
      <c r="C77" s="2056"/>
      <c r="D77" s="2056"/>
      <c r="E77" s="2056"/>
      <c r="F77" s="2056"/>
      <c r="G77" s="2056"/>
      <c r="H77" s="2056"/>
      <c r="I77" s="2056"/>
      <c r="J77" s="2056"/>
      <c r="K77" s="2056"/>
      <c r="L77" s="2056"/>
      <c r="M77" s="2056"/>
      <c r="N77" s="2056"/>
      <c r="O77" s="2056"/>
      <c r="P77" s="2056"/>
      <c r="Q77" s="2056"/>
      <c r="R77" s="2057"/>
    </row>
    <row r="78" spans="1:18" ht="11.25" customHeight="1">
      <c r="A78" s="236" t="str">
        <f t="shared" si="2"/>
        <v>Combination of rating types used? (Y/N)</v>
      </c>
      <c r="B78" s="623"/>
      <c r="C78" s="2056"/>
      <c r="D78" s="2056"/>
      <c r="E78" s="2056"/>
      <c r="F78" s="2056"/>
      <c r="G78" s="2056"/>
      <c r="H78" s="2056"/>
      <c r="I78" s="2056"/>
      <c r="J78" s="2056"/>
      <c r="K78" s="2056"/>
      <c r="L78" s="2056"/>
      <c r="M78" s="2056"/>
      <c r="N78" s="2056"/>
      <c r="O78" s="2056"/>
      <c r="P78" s="2056"/>
      <c r="Q78" s="2056"/>
      <c r="R78" s="2057"/>
    </row>
    <row r="79" spans="1:18" ht="11.25" customHeight="1">
      <c r="A79" s="236" t="str">
        <f t="shared" si="2"/>
        <v>Flat rate used? (Y/N)</v>
      </c>
      <c r="B79" s="623"/>
      <c r="C79" s="2056"/>
      <c r="D79" s="2056"/>
      <c r="E79" s="2056"/>
      <c r="F79" s="2056"/>
      <c r="G79" s="2056"/>
      <c r="H79" s="2056"/>
      <c r="I79" s="2056"/>
      <c r="J79" s="2056"/>
      <c r="K79" s="2056"/>
      <c r="L79" s="2056"/>
      <c r="M79" s="2056"/>
      <c r="N79" s="2056"/>
      <c r="O79" s="2056"/>
      <c r="P79" s="2056"/>
      <c r="Q79" s="2056"/>
      <c r="R79" s="2057"/>
    </row>
    <row r="80" spans="1:18" ht="11.25" customHeight="1">
      <c r="A80" s="236" t="str">
        <f t="shared" si="2"/>
        <v>Is balance rated by uniform rate/variable rate?</v>
      </c>
      <c r="B80" s="623"/>
      <c r="C80" s="2056"/>
      <c r="D80" s="2056"/>
      <c r="E80" s="2056"/>
      <c r="F80" s="2056"/>
      <c r="G80" s="2056"/>
      <c r="H80" s="2056"/>
      <c r="I80" s="2056"/>
      <c r="J80" s="2056"/>
      <c r="K80" s="2056"/>
      <c r="L80" s="2056"/>
      <c r="M80" s="2056"/>
      <c r="N80" s="2056"/>
      <c r="O80" s="2056"/>
      <c r="P80" s="2056"/>
      <c r="Q80" s="2056"/>
      <c r="R80" s="2057"/>
    </row>
    <row r="81" spans="1:18" ht="11.25" customHeight="1">
      <c r="A81" s="235" t="str">
        <f t="shared" si="2"/>
        <v>Valuation reductions:</v>
      </c>
      <c r="B81" s="171"/>
      <c r="C81" s="583"/>
      <c r="D81" s="583"/>
      <c r="E81" s="583"/>
      <c r="F81" s="583"/>
      <c r="G81" s="583"/>
      <c r="H81" s="583"/>
      <c r="I81" s="583"/>
      <c r="J81" s="583"/>
      <c r="K81" s="583"/>
      <c r="L81" s="583"/>
      <c r="M81" s="583"/>
      <c r="N81" s="583"/>
      <c r="O81" s="583"/>
      <c r="P81" s="583"/>
      <c r="Q81" s="583"/>
      <c r="R81" s="586"/>
    </row>
    <row r="82" spans="1:18" ht="11.25" customHeight="1">
      <c r="A82" s="236" t="str">
        <f t="shared" si="2"/>
        <v>Valuation reductions-public infrastructure (Rm)</v>
      </c>
      <c r="B82" s="171"/>
      <c r="C82" s="2078"/>
      <c r="D82" s="2078"/>
      <c r="E82" s="2078"/>
      <c r="F82" s="2078"/>
      <c r="G82" s="2078"/>
      <c r="H82" s="2078"/>
      <c r="I82" s="2078"/>
      <c r="J82" s="2078"/>
      <c r="K82" s="2078"/>
      <c r="L82" s="2078"/>
      <c r="M82" s="2078"/>
      <c r="N82" s="2078"/>
      <c r="O82" s="2078"/>
      <c r="P82" s="2078"/>
      <c r="Q82" s="2078"/>
      <c r="R82" s="2082"/>
    </row>
    <row r="83" spans="1:18" ht="11.25" customHeight="1">
      <c r="A83" s="236" t="str">
        <f t="shared" si="2"/>
        <v>Valuation reductions-nature reserves/park (Rm)</v>
      </c>
      <c r="B83" s="171"/>
      <c r="C83" s="2078"/>
      <c r="D83" s="2078"/>
      <c r="E83" s="2078"/>
      <c r="F83" s="2078"/>
      <c r="G83" s="2078"/>
      <c r="H83" s="2078"/>
      <c r="I83" s="2078"/>
      <c r="J83" s="2078"/>
      <c r="K83" s="2078"/>
      <c r="L83" s="2078"/>
      <c r="M83" s="2078"/>
      <c r="N83" s="2078"/>
      <c r="O83" s="2078"/>
      <c r="P83" s="2078"/>
      <c r="Q83" s="2078"/>
      <c r="R83" s="2082"/>
    </row>
    <row r="84" spans="1:18" ht="11.25" customHeight="1">
      <c r="A84" s="236" t="str">
        <f t="shared" si="2"/>
        <v>Valuation reductions-mineral rights (Rm)</v>
      </c>
      <c r="B84" s="171"/>
      <c r="C84" s="2078"/>
      <c r="D84" s="2078"/>
      <c r="E84" s="2078"/>
      <c r="F84" s="2078"/>
      <c r="G84" s="2078"/>
      <c r="H84" s="2078"/>
      <c r="I84" s="2078"/>
      <c r="J84" s="2078"/>
      <c r="K84" s="2078"/>
      <c r="L84" s="2078"/>
      <c r="M84" s="2078"/>
      <c r="N84" s="2078"/>
      <c r="O84" s="2078"/>
      <c r="P84" s="2078"/>
      <c r="Q84" s="2078"/>
      <c r="R84" s="2082"/>
    </row>
    <row r="85" spans="1:18" ht="11.25" customHeight="1">
      <c r="A85" s="236" t="str">
        <f t="shared" si="2"/>
        <v>Valuation reductions-R15,000 threshold (Rm)</v>
      </c>
      <c r="B85" s="171"/>
      <c r="C85" s="2078"/>
      <c r="D85" s="2078"/>
      <c r="E85" s="2078"/>
      <c r="F85" s="2078"/>
      <c r="G85" s="2078"/>
      <c r="H85" s="2078"/>
      <c r="I85" s="2078"/>
      <c r="J85" s="2078"/>
      <c r="K85" s="2078"/>
      <c r="L85" s="2078"/>
      <c r="M85" s="2078"/>
      <c r="N85" s="2078"/>
      <c r="O85" s="2078"/>
      <c r="P85" s="2078"/>
      <c r="Q85" s="2078"/>
      <c r="R85" s="2082"/>
    </row>
    <row r="86" spans="1:18" ht="11.25" customHeight="1">
      <c r="A86" s="236" t="str">
        <f t="shared" si="2"/>
        <v>Valuation reductions-public worship (Rm)</v>
      </c>
      <c r="B86" s="171"/>
      <c r="C86" s="2078"/>
      <c r="D86" s="2078"/>
      <c r="E86" s="2078"/>
      <c r="F86" s="2078"/>
      <c r="G86" s="2078"/>
      <c r="H86" s="2078"/>
      <c r="I86" s="2078"/>
      <c r="J86" s="2078"/>
      <c r="K86" s="2078"/>
      <c r="L86" s="2078"/>
      <c r="M86" s="2078"/>
      <c r="N86" s="2078"/>
      <c r="O86" s="2078"/>
      <c r="P86" s="2078"/>
      <c r="Q86" s="2078"/>
      <c r="R86" s="2082"/>
    </row>
    <row r="87" spans="1:18" ht="11.25" customHeight="1">
      <c r="A87" s="236" t="str">
        <f t="shared" si="2"/>
        <v>Valuation reductions-other (Rm)</v>
      </c>
      <c r="B87" s="623">
        <f>B31</f>
        <v>2</v>
      </c>
      <c r="C87" s="2078"/>
      <c r="D87" s="2078"/>
      <c r="E87" s="2078"/>
      <c r="F87" s="2078"/>
      <c r="G87" s="2078"/>
      <c r="H87" s="2078"/>
      <c r="I87" s="2078"/>
      <c r="J87" s="2078"/>
      <c r="K87" s="2078"/>
      <c r="L87" s="2078"/>
      <c r="M87" s="2078"/>
      <c r="N87" s="2078"/>
      <c r="O87" s="2078"/>
      <c r="P87" s="2078"/>
      <c r="Q87" s="2078"/>
      <c r="R87" s="2082"/>
    </row>
    <row r="88" spans="1:18" ht="11.25" customHeight="1">
      <c r="A88" s="251" t="str">
        <f t="shared" si="2"/>
        <v>Total valuation reductions:</v>
      </c>
      <c r="B88" s="171"/>
      <c r="C88" s="624">
        <v>0</v>
      </c>
      <c r="D88" s="624">
        <v>0</v>
      </c>
      <c r="E88" s="624">
        <v>0</v>
      </c>
      <c r="F88" s="624">
        <v>0</v>
      </c>
      <c r="G88" s="624">
        <v>0</v>
      </c>
      <c r="H88" s="624">
        <v>0</v>
      </c>
      <c r="I88" s="624">
        <v>0</v>
      </c>
      <c r="J88" s="624">
        <v>0</v>
      </c>
      <c r="K88" s="624">
        <v>0</v>
      </c>
      <c r="L88" s="624">
        <v>0</v>
      </c>
      <c r="M88" s="624">
        <v>0</v>
      </c>
      <c r="N88" s="624">
        <v>0</v>
      </c>
      <c r="O88" s="624">
        <v>0</v>
      </c>
      <c r="P88" s="624">
        <v>0</v>
      </c>
      <c r="Q88" s="624">
        <v>0</v>
      </c>
      <c r="R88" s="625">
        <v>0</v>
      </c>
    </row>
    <row r="89" spans="1:18" ht="11.25" customHeight="1">
      <c r="A89" s="236" t="str">
        <f t="shared" si="2"/>
        <v>Total value used for rating (Rm)</v>
      </c>
      <c r="B89" s="171">
        <v>6</v>
      </c>
      <c r="C89" s="2084"/>
      <c r="D89" s="2084"/>
      <c r="E89" s="2084"/>
      <c r="F89" s="2084"/>
      <c r="G89" s="2084"/>
      <c r="H89" s="2084"/>
      <c r="I89" s="2084"/>
      <c r="J89" s="2084"/>
      <c r="K89" s="2084"/>
      <c r="L89" s="2084"/>
      <c r="M89" s="2084"/>
      <c r="N89" s="2084"/>
      <c r="O89" s="2084"/>
      <c r="P89" s="2084"/>
      <c r="Q89" s="2084"/>
      <c r="R89" s="2087"/>
    </row>
    <row r="90" spans="1:18" ht="11.25" customHeight="1">
      <c r="A90" s="236" t="str">
        <f t="shared" si="2"/>
        <v>Total land value (Rm)</v>
      </c>
      <c r="B90" s="171">
        <v>6</v>
      </c>
      <c r="C90" s="2084"/>
      <c r="D90" s="2084"/>
      <c r="E90" s="2084"/>
      <c r="F90" s="2084"/>
      <c r="G90" s="2084"/>
      <c r="H90" s="2084"/>
      <c r="I90" s="2084"/>
      <c r="J90" s="2084"/>
      <c r="K90" s="2084"/>
      <c r="L90" s="2084"/>
      <c r="M90" s="2084"/>
      <c r="N90" s="2084"/>
      <c r="O90" s="2084"/>
      <c r="P90" s="2084"/>
      <c r="Q90" s="2084"/>
      <c r="R90" s="2087"/>
    </row>
    <row r="91" spans="1:18" ht="11.25" customHeight="1">
      <c r="A91" s="236" t="str">
        <f t="shared" si="2"/>
        <v>Total value of improvements (Rm)</v>
      </c>
      <c r="B91" s="171">
        <v>6</v>
      </c>
      <c r="C91" s="2084"/>
      <c r="D91" s="2084"/>
      <c r="E91" s="2084"/>
      <c r="F91" s="2084"/>
      <c r="G91" s="2084"/>
      <c r="H91" s="2084"/>
      <c r="I91" s="2084"/>
      <c r="J91" s="2084"/>
      <c r="K91" s="2084"/>
      <c r="L91" s="2084"/>
      <c r="M91" s="2084"/>
      <c r="N91" s="2084"/>
      <c r="O91" s="2084"/>
      <c r="P91" s="2084"/>
      <c r="Q91" s="2084"/>
      <c r="R91" s="2087"/>
    </row>
    <row r="92" spans="1:18" ht="11.25" customHeight="1">
      <c r="A92" s="236" t="str">
        <f t="shared" si="2"/>
        <v>Total market value (Rm)</v>
      </c>
      <c r="B92" s="1501">
        <v>6</v>
      </c>
      <c r="C92" s="2123"/>
      <c r="D92" s="2123"/>
      <c r="E92" s="2123"/>
      <c r="F92" s="2123"/>
      <c r="G92" s="2123"/>
      <c r="H92" s="2123"/>
      <c r="I92" s="2123"/>
      <c r="J92" s="2123"/>
      <c r="K92" s="2123"/>
      <c r="L92" s="2123"/>
      <c r="M92" s="2123"/>
      <c r="N92" s="2123"/>
      <c r="O92" s="2123"/>
      <c r="P92" s="2123"/>
      <c r="Q92" s="2123"/>
      <c r="R92" s="2124"/>
    </row>
    <row r="93" spans="1:18" ht="11.25" customHeight="1">
      <c r="A93" s="626" t="str">
        <f t="shared" si="2"/>
        <v>Rating:</v>
      </c>
      <c r="B93" s="627"/>
      <c r="C93" s="628"/>
      <c r="D93" s="628"/>
      <c r="E93" s="628"/>
      <c r="F93" s="628"/>
      <c r="G93" s="628"/>
      <c r="H93" s="628"/>
      <c r="I93" s="628"/>
      <c r="J93" s="628"/>
      <c r="K93" s="628"/>
      <c r="L93" s="628"/>
      <c r="M93" s="628"/>
      <c r="N93" s="628"/>
      <c r="O93" s="628"/>
      <c r="P93" s="628"/>
      <c r="Q93" s="628"/>
      <c r="R93" s="629"/>
    </row>
    <row r="94" spans="1:18" ht="11.25" customHeight="1">
      <c r="A94" s="240" t="str">
        <f t="shared" si="2"/>
        <v>Average rate</v>
      </c>
      <c r="B94" s="630">
        <f>B38</f>
        <v>3</v>
      </c>
      <c r="C94" s="2125"/>
      <c r="D94" s="2125"/>
      <c r="E94" s="2125"/>
      <c r="F94" s="2125"/>
      <c r="G94" s="2125"/>
      <c r="H94" s="2125"/>
      <c r="I94" s="2125"/>
      <c r="J94" s="2125"/>
      <c r="K94" s="2125"/>
      <c r="L94" s="2125"/>
      <c r="M94" s="2125"/>
      <c r="N94" s="2125"/>
      <c r="O94" s="2125"/>
      <c r="P94" s="2125"/>
      <c r="Q94" s="2125"/>
      <c r="R94" s="2126"/>
    </row>
    <row r="95" spans="1:18" ht="11.25" customHeight="1">
      <c r="A95" s="240" t="str">
        <f t="shared" si="2"/>
        <v>Rate revenue budget (R '000)</v>
      </c>
      <c r="B95" s="630"/>
      <c r="C95" s="1805"/>
      <c r="D95" s="1805"/>
      <c r="E95" s="1805"/>
      <c r="F95" s="1805"/>
      <c r="G95" s="1805"/>
      <c r="H95" s="1805"/>
      <c r="I95" s="1805"/>
      <c r="J95" s="1805"/>
      <c r="K95" s="1805"/>
      <c r="L95" s="1805"/>
      <c r="M95" s="1805"/>
      <c r="N95" s="1805"/>
      <c r="O95" s="1805"/>
      <c r="P95" s="1805"/>
      <c r="Q95" s="1805"/>
      <c r="R95" s="1808"/>
    </row>
    <row r="96" spans="1:18" ht="11.25" customHeight="1">
      <c r="A96" s="240" t="str">
        <f t="shared" si="2"/>
        <v>Rate revenue expected to collect (R'000)</v>
      </c>
      <c r="B96" s="630"/>
      <c r="C96" s="1805"/>
      <c r="D96" s="1805"/>
      <c r="E96" s="1805"/>
      <c r="F96" s="1805"/>
      <c r="G96" s="1805"/>
      <c r="H96" s="1805"/>
      <c r="I96" s="1805"/>
      <c r="J96" s="1805"/>
      <c r="K96" s="1805"/>
      <c r="L96" s="1805"/>
      <c r="M96" s="1805"/>
      <c r="N96" s="1805"/>
      <c r="O96" s="1805"/>
      <c r="P96" s="1805"/>
      <c r="Q96" s="1805"/>
      <c r="R96" s="1808"/>
    </row>
    <row r="97" spans="1:18" ht="11.25" customHeight="1">
      <c r="A97" s="240" t="str">
        <f t="shared" si="2"/>
        <v>Expected cash collection rate (%)</v>
      </c>
      <c r="B97" s="630">
        <f>B41</f>
        <v>4</v>
      </c>
      <c r="C97" s="2098"/>
      <c r="D97" s="2098"/>
      <c r="E97" s="2098"/>
      <c r="F97" s="2098"/>
      <c r="G97" s="2098"/>
      <c r="H97" s="2098"/>
      <c r="I97" s="2098"/>
      <c r="J97" s="2098"/>
      <c r="K97" s="2098"/>
      <c r="L97" s="2098"/>
      <c r="M97" s="2098"/>
      <c r="N97" s="2098"/>
      <c r="O97" s="2098"/>
      <c r="P97" s="2098"/>
      <c r="Q97" s="2098"/>
      <c r="R97" s="2101"/>
    </row>
    <row r="98" spans="1:18" ht="11.25" customHeight="1">
      <c r="A98" s="240" t="str">
        <f t="shared" si="2"/>
        <v>Special rating areas (R'000)</v>
      </c>
      <c r="B98" s="630"/>
      <c r="C98" s="1823"/>
      <c r="D98" s="1823"/>
      <c r="E98" s="1823"/>
      <c r="F98" s="1823"/>
      <c r="G98" s="1823"/>
      <c r="H98" s="1823"/>
      <c r="I98" s="1823"/>
      <c r="J98" s="1823"/>
      <c r="K98" s="1823"/>
      <c r="L98" s="1823"/>
      <c r="M98" s="1823"/>
      <c r="N98" s="1823"/>
      <c r="O98" s="1823"/>
      <c r="P98" s="1823"/>
      <c r="Q98" s="1823"/>
      <c r="R98" s="1828"/>
    </row>
    <row r="99" spans="1:18" ht="11.25" customHeight="1">
      <c r="A99" s="240" t="str">
        <f t="shared" si="2"/>
        <v>Rebates, exemptions - indigent (R'000)</v>
      </c>
      <c r="B99" s="630"/>
      <c r="C99" s="2127"/>
      <c r="D99" s="2127"/>
      <c r="E99" s="2127"/>
      <c r="F99" s="2127"/>
      <c r="G99" s="2127"/>
      <c r="H99" s="2127"/>
      <c r="I99" s="2127"/>
      <c r="J99" s="2127"/>
      <c r="K99" s="2127"/>
      <c r="L99" s="2127"/>
      <c r="M99" s="2127"/>
      <c r="N99" s="2127"/>
      <c r="O99" s="2127"/>
      <c r="P99" s="2127"/>
      <c r="Q99" s="2127"/>
      <c r="R99" s="2128"/>
    </row>
    <row r="100" spans="1:18" ht="11.25" customHeight="1">
      <c r="A100" s="240" t="str">
        <f t="shared" si="2"/>
        <v>Rebates, exemptions - pensioners (R'000)</v>
      </c>
      <c r="B100" s="630"/>
      <c r="C100" s="1823"/>
      <c r="D100" s="1823"/>
      <c r="E100" s="1823"/>
      <c r="F100" s="1823"/>
      <c r="G100" s="1823"/>
      <c r="H100" s="1823"/>
      <c r="I100" s="1823"/>
      <c r="J100" s="1823"/>
      <c r="K100" s="1823"/>
      <c r="L100" s="1823"/>
      <c r="M100" s="1823"/>
      <c r="N100" s="1823"/>
      <c r="O100" s="1823"/>
      <c r="P100" s="1823"/>
      <c r="Q100" s="1823"/>
      <c r="R100" s="1828"/>
    </row>
    <row r="101" spans="1:18" ht="11.25" customHeight="1">
      <c r="A101" s="240" t="str">
        <f t="shared" si="2"/>
        <v>Rebates, exemptions - bona fide farm. (R'000)</v>
      </c>
      <c r="B101" s="630"/>
      <c r="C101" s="1823"/>
      <c r="D101" s="1823"/>
      <c r="E101" s="1823"/>
      <c r="F101" s="1823"/>
      <c r="G101" s="1823"/>
      <c r="H101" s="1823"/>
      <c r="I101" s="1823"/>
      <c r="J101" s="1823"/>
      <c r="K101" s="1823"/>
      <c r="L101" s="1823"/>
      <c r="M101" s="1823"/>
      <c r="N101" s="1823"/>
      <c r="O101" s="1823"/>
      <c r="P101" s="1823"/>
      <c r="Q101" s="1823"/>
      <c r="R101" s="1828"/>
    </row>
    <row r="102" spans="1:18" ht="11.25" customHeight="1">
      <c r="A102" s="240" t="str">
        <f t="shared" si="2"/>
        <v>Rebates, exemptions - other (R'000)</v>
      </c>
      <c r="B102" s="630"/>
      <c r="C102" s="1823"/>
      <c r="D102" s="1823"/>
      <c r="E102" s="1823"/>
      <c r="F102" s="1823"/>
      <c r="G102" s="1823"/>
      <c r="H102" s="1823"/>
      <c r="I102" s="1823"/>
      <c r="J102" s="1823"/>
      <c r="K102" s="1823"/>
      <c r="L102" s="1823"/>
      <c r="M102" s="1823"/>
      <c r="N102" s="1823"/>
      <c r="O102" s="1823"/>
      <c r="P102" s="1823"/>
      <c r="Q102" s="1823"/>
      <c r="R102" s="1828"/>
    </row>
    <row r="103" spans="1:18" ht="11.25" customHeight="1">
      <c r="A103" s="240" t="str">
        <f t="shared" si="2"/>
        <v>Phase-in reductions/discounts (R'000)</v>
      </c>
      <c r="B103" s="630"/>
      <c r="C103" s="1823"/>
      <c r="D103" s="1823"/>
      <c r="E103" s="1823"/>
      <c r="F103" s="1823"/>
      <c r="G103" s="1823"/>
      <c r="H103" s="1823"/>
      <c r="I103" s="1823"/>
      <c r="J103" s="1823"/>
      <c r="K103" s="1823"/>
      <c r="L103" s="1823"/>
      <c r="M103" s="1823"/>
      <c r="N103" s="1823"/>
      <c r="O103" s="1823"/>
      <c r="P103" s="1823"/>
      <c r="Q103" s="1823"/>
      <c r="R103" s="1828"/>
    </row>
    <row r="104" spans="1:18" ht="11.25" customHeight="1">
      <c r="A104" s="634" t="str">
        <f t="shared" si="2"/>
        <v>Total rebates,exemptns,reductns,discs (R'000)</v>
      </c>
      <c r="B104" s="623"/>
      <c r="C104" s="632"/>
      <c r="D104" s="632"/>
      <c r="E104" s="632"/>
      <c r="F104" s="632"/>
      <c r="G104" s="632"/>
      <c r="H104" s="632"/>
      <c r="I104" s="632"/>
      <c r="J104" s="632"/>
      <c r="K104" s="632"/>
      <c r="L104" s="632"/>
      <c r="M104" s="632"/>
      <c r="N104" s="632"/>
      <c r="O104" s="632"/>
      <c r="P104" s="632"/>
      <c r="Q104" s="632"/>
      <c r="R104" s="633"/>
    </row>
    <row r="105" spans="1:18" ht="5.0999999999999996" customHeight="1">
      <c r="A105" s="635"/>
      <c r="B105" s="373"/>
      <c r="C105" s="613"/>
      <c r="D105" s="613"/>
      <c r="E105" s="613"/>
      <c r="F105" s="613"/>
      <c r="G105" s="613"/>
      <c r="H105" s="613"/>
      <c r="I105" s="613"/>
      <c r="J105" s="613"/>
      <c r="K105" s="613"/>
      <c r="L105" s="613"/>
      <c r="M105" s="613"/>
      <c r="N105" s="613"/>
      <c r="O105" s="613"/>
      <c r="P105" s="613"/>
      <c r="Q105" s="613"/>
      <c r="R105" s="614"/>
    </row>
    <row r="106" spans="1:18" s="693" customFormat="1">
      <c r="A106" s="1234" t="str">
        <f>head27a</f>
        <v>References</v>
      </c>
      <c r="B106" s="1066"/>
      <c r="C106" s="1037"/>
      <c r="D106" s="1037"/>
      <c r="E106" s="1037"/>
      <c r="F106" s="1037"/>
      <c r="G106" s="1037"/>
      <c r="H106" s="1037"/>
      <c r="I106" s="1037"/>
      <c r="J106" s="1037"/>
      <c r="K106" s="1037"/>
      <c r="L106" s="1037"/>
      <c r="M106" s="1037"/>
      <c r="N106" s="1037"/>
      <c r="O106" s="1037"/>
      <c r="P106" s="1037"/>
      <c r="Q106" s="1037"/>
      <c r="R106" s="1037"/>
    </row>
    <row r="107" spans="1:18" s="693" customFormat="1">
      <c r="A107" s="1344" t="s">
        <v>556</v>
      </c>
      <c r="B107" s="1066"/>
      <c r="C107" s="1037"/>
      <c r="D107" s="1037"/>
      <c r="E107" s="1037"/>
      <c r="F107" s="1037"/>
      <c r="G107" s="1037"/>
      <c r="H107" s="1037"/>
      <c r="I107" s="1037"/>
      <c r="J107" s="1037"/>
      <c r="K107" s="1037"/>
      <c r="L107" s="1037"/>
      <c r="M107" s="1037"/>
      <c r="N107" s="1037"/>
      <c r="O107" s="1037"/>
      <c r="P107" s="1037"/>
      <c r="Q107" s="1037"/>
      <c r="R107" s="1037"/>
    </row>
    <row r="108" spans="1:18" s="693" customFormat="1">
      <c r="A108" s="1344" t="s">
        <v>557</v>
      </c>
      <c r="B108" s="1066"/>
      <c r="C108" s="1037"/>
      <c r="D108" s="1037"/>
      <c r="E108" s="1037"/>
      <c r="F108" s="1037"/>
      <c r="G108" s="1037"/>
      <c r="H108" s="1037"/>
      <c r="I108" s="1037"/>
      <c r="J108" s="1037"/>
      <c r="K108" s="1037"/>
      <c r="L108" s="1037"/>
      <c r="M108" s="1037"/>
      <c r="N108" s="1037"/>
      <c r="O108" s="1037"/>
      <c r="P108" s="1037"/>
      <c r="Q108" s="1037"/>
      <c r="R108" s="1037"/>
    </row>
    <row r="109" spans="1:18" s="693" customFormat="1">
      <c r="A109" s="1235" t="s">
        <v>558</v>
      </c>
      <c r="B109" s="1066"/>
      <c r="C109" s="1037"/>
      <c r="D109" s="1037"/>
      <c r="E109" s="1037"/>
      <c r="F109" s="1037"/>
      <c r="G109" s="1037"/>
      <c r="H109" s="1037"/>
      <c r="I109" s="1037"/>
      <c r="J109" s="1037"/>
      <c r="K109" s="1037"/>
      <c r="L109" s="1037"/>
      <c r="M109" s="1037"/>
      <c r="N109" s="1037"/>
      <c r="O109" s="1037"/>
      <c r="P109" s="1037"/>
      <c r="Q109" s="1037"/>
      <c r="R109" s="1037"/>
    </row>
    <row r="110" spans="1:18" s="693" customFormat="1">
      <c r="A110" s="1344" t="s">
        <v>559</v>
      </c>
      <c r="B110" s="1066"/>
      <c r="C110" s="1037"/>
      <c r="D110" s="1037"/>
      <c r="E110" s="1037"/>
      <c r="F110" s="1037"/>
      <c r="G110" s="1037"/>
      <c r="H110" s="1037"/>
      <c r="I110" s="1037"/>
      <c r="J110" s="1037"/>
      <c r="K110" s="1037"/>
      <c r="L110" s="1037"/>
      <c r="M110" s="1037"/>
      <c r="N110" s="1037"/>
      <c r="O110" s="1037"/>
      <c r="P110" s="1037"/>
      <c r="Q110" s="1037"/>
      <c r="R110" s="1037"/>
    </row>
    <row r="111" spans="1:18">
      <c r="A111" s="1201" t="s">
        <v>1712</v>
      </c>
      <c r="B111" s="636"/>
      <c r="C111" s="226"/>
      <c r="D111" s="226"/>
      <c r="E111" s="226"/>
      <c r="F111" s="226"/>
      <c r="G111" s="227"/>
      <c r="H111" s="227"/>
      <c r="I111" s="227"/>
      <c r="J111" s="227"/>
      <c r="K111" s="227"/>
      <c r="L111" s="227"/>
      <c r="M111" s="227"/>
      <c r="N111" s="227"/>
      <c r="O111" s="227"/>
      <c r="P111" s="227"/>
      <c r="Q111" s="227"/>
      <c r="R111" s="227"/>
    </row>
    <row r="112" spans="1:18">
      <c r="A112" s="1201" t="s">
        <v>1714</v>
      </c>
      <c r="B112" s="636"/>
      <c r="C112" s="226"/>
      <c r="D112" s="226"/>
      <c r="E112" s="226"/>
      <c r="F112" s="226"/>
      <c r="G112" s="227"/>
      <c r="H112" s="227"/>
      <c r="I112" s="227"/>
      <c r="J112" s="227"/>
      <c r="K112" s="227"/>
      <c r="L112" s="227"/>
      <c r="M112" s="227"/>
      <c r="N112" s="227"/>
      <c r="O112" s="227"/>
      <c r="P112" s="227"/>
      <c r="Q112" s="227"/>
      <c r="R112" s="227"/>
    </row>
    <row r="113" spans="1:9" ht="11.25" customHeight="1">
      <c r="A113" s="232"/>
      <c r="B113" s="636"/>
      <c r="C113" s="232"/>
      <c r="D113" s="232"/>
      <c r="E113" s="232"/>
      <c r="F113" s="232"/>
      <c r="G113" s="232"/>
      <c r="H113" s="232"/>
      <c r="I113" s="232"/>
    </row>
    <row r="114" spans="1:9" ht="11.25" customHeight="1">
      <c r="A114" s="232"/>
      <c r="B114" s="637"/>
      <c r="C114" s="232"/>
      <c r="D114" s="232"/>
      <c r="E114" s="232"/>
      <c r="F114" s="232"/>
      <c r="G114" s="232"/>
      <c r="H114" s="232"/>
      <c r="I114" s="232"/>
    </row>
    <row r="115" spans="1:9" ht="11.25" customHeight="1">
      <c r="A115" s="232"/>
      <c r="B115" s="637"/>
      <c r="C115" s="232"/>
      <c r="D115" s="232"/>
      <c r="E115" s="232"/>
      <c r="F115" s="232"/>
      <c r="G115" s="232"/>
      <c r="H115" s="232"/>
      <c r="I115" s="232"/>
    </row>
    <row r="116" spans="1:9" ht="11.25" customHeight="1">
      <c r="A116" s="232"/>
      <c r="B116" s="637"/>
      <c r="C116" s="232"/>
      <c r="D116" s="232"/>
      <c r="E116" s="232"/>
      <c r="F116" s="232"/>
      <c r="G116" s="232"/>
      <c r="H116" s="232"/>
      <c r="I116" s="232"/>
    </row>
    <row r="117" spans="1:9" ht="11.25" customHeight="1">
      <c r="A117" s="232"/>
      <c r="B117" s="636"/>
      <c r="C117" s="232"/>
      <c r="D117" s="232"/>
      <c r="E117" s="232"/>
      <c r="F117" s="232"/>
      <c r="G117" s="232"/>
      <c r="H117" s="232"/>
      <c r="I117" s="232"/>
    </row>
    <row r="118" spans="1:9" ht="11.25" customHeight="1"/>
    <row r="119" spans="1:9" ht="11.25" customHeight="1"/>
    <row r="120" spans="1:9" ht="11.25" customHeight="1"/>
    <row r="121" spans="1:9" ht="11.25" customHeight="1"/>
    <row r="122" spans="1:9" ht="11.25" customHeight="1"/>
    <row r="123" spans="1:9" ht="11.25" customHeight="1"/>
    <row r="124" spans="1:9" ht="11.25" customHeight="1"/>
    <row r="125" spans="1:9" ht="11.25" customHeight="1"/>
    <row r="126" spans="1:9" ht="11.25" customHeight="1"/>
    <row r="127" spans="1:9" ht="11.25" customHeight="1"/>
    <row r="128" spans="1:9"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sheetData>
  <sheetProtection sheet="1" objects="1" scenarios="1"/>
  <phoneticPr fontId="3" type="noConversion"/>
  <dataValidations xWindow="281" yWindow="416" count="6">
    <dataValidation type="list" allowBlank="1" showInputMessage="1" showErrorMessage="1" promptTitle="Select" prompt="Select one" sqref="C18:R18">
      <formula1>List3</formula1>
    </dataValidation>
    <dataValidation type="list" allowBlank="1" showInputMessage="1" showErrorMessage="1" promptTitle="Select" prompt="Select one" sqref="C17:R17 C73:R74">
      <formula1>List2</formula1>
    </dataValidation>
    <dataValidation type="list" allowBlank="1" showInputMessage="1" showErrorMessage="1" promptTitle="Select" prompt="Select one" sqref="C19:R19 C75:R75">
      <formula1>List4</formula1>
    </dataValidation>
    <dataValidation type="list" allowBlank="1" showInputMessage="1" showErrorMessage="1" promptTitle="Select" prompt="Select one" sqref="C20:R20 C76:R76">
      <formula1>List5</formula1>
    </dataValidation>
    <dataValidation type="list" showInputMessage="1" showErrorMessage="1" promptTitle="Guidance" prompt="Select Yes or No" sqref="C78:R79 C22:R23">
      <formula1>List6</formula1>
    </dataValidation>
    <dataValidation type="list" showInputMessage="1" showErrorMessage="1" promptTitle="Guidance" prompt="Select Uniform or Variable" sqref="C24:R24 C80:R80">
      <formula1>List7</formula1>
    </dataValidation>
  </dataValidations>
  <printOptions horizontalCentered="1"/>
  <pageMargins left="0" right="0" top="0.59055118110236227" bottom="0.24" header="0.51181102362204722" footer="0.23622047244094491"/>
  <pageSetup paperSize="9" scale="80" orientation="landscape" r:id="rId1"/>
  <headerFooter alignWithMargins="0"/>
  <rowBreaks count="1" manualBreakCount="1">
    <brk id="56"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enableFormatConditionsCalculation="0">
    <tabColor rgb="FFCCFFCC"/>
    <pageSetUpPr fitToPage="1"/>
  </sheetPr>
  <dimension ref="A1:AN118"/>
  <sheetViews>
    <sheetView showGridLines="0" workbookViewId="0">
      <pane xSplit="2" ySplit="4" topLeftCell="C32" activePane="bottomRight" state="frozen"/>
      <selection activeCell="H27" sqref="H27"/>
      <selection pane="topRight" activeCell="H27" sqref="H27"/>
      <selection pane="bottomLeft" activeCell="H27" sqref="H27"/>
      <selection pane="bottomRight" activeCell="J43" sqref="J43"/>
    </sheetView>
  </sheetViews>
  <sheetFormatPr defaultRowHeight="12.75"/>
  <cols>
    <col min="1" max="1" width="30.7109375" style="150" customWidth="1"/>
    <col min="2" max="2" width="3" style="233" hidden="1" customWidth="1"/>
    <col min="3" max="12" width="9.28515625" style="150" customWidth="1"/>
    <col min="13" max="16384" width="9.140625" style="150"/>
  </cols>
  <sheetData>
    <row r="1" spans="1:12" ht="13.5">
      <c r="A1" s="148" t="str">
        <f>muni&amp;" - "&amp;TableA14</f>
        <v>NC071 Ubuntu - Supporting Table SA14 Household bills</v>
      </c>
      <c r="B1" s="148"/>
      <c r="C1" s="148"/>
      <c r="D1" s="148"/>
      <c r="E1" s="148"/>
      <c r="F1" s="148"/>
      <c r="G1" s="148"/>
      <c r="H1" s="148"/>
      <c r="I1" s="148"/>
      <c r="J1" s="148"/>
      <c r="K1" s="148"/>
      <c r="L1" s="148"/>
    </row>
    <row r="2" spans="1:12" ht="27" customHeight="1">
      <c r="A2" s="2796" t="str">
        <f>desc</f>
        <v>Description</v>
      </c>
      <c r="B2" s="2798" t="str">
        <f>head27</f>
        <v>Ref</v>
      </c>
      <c r="C2" s="151" t="str">
        <f>head1b</f>
        <v>2007/8</v>
      </c>
      <c r="D2" s="151" t="str">
        <f>head1A</f>
        <v>2008/9</v>
      </c>
      <c r="E2" s="147" t="str">
        <f>Head1</f>
        <v>2009/10</v>
      </c>
      <c r="F2" s="2772" t="str">
        <f>Head2</f>
        <v>Current Year 2010/11</v>
      </c>
      <c r="G2" s="2773"/>
      <c r="H2" s="2773"/>
      <c r="I2" s="639" t="str">
        <f>Head3</f>
        <v>2011/12 Medium Term Revenue &amp; Expenditure Framework</v>
      </c>
      <c r="J2" s="640"/>
      <c r="K2" s="641"/>
      <c r="L2" s="642"/>
    </row>
    <row r="3" spans="1:12" ht="25.5">
      <c r="A3" s="2797"/>
      <c r="B3" s="2799"/>
      <c r="C3" s="153" t="str">
        <f>Head5</f>
        <v>Audited Outcome</v>
      </c>
      <c r="D3" s="153" t="str">
        <f>Head5</f>
        <v>Audited Outcome</v>
      </c>
      <c r="E3" s="154" t="str">
        <f>Head5</f>
        <v>Audited Outcome</v>
      </c>
      <c r="F3" s="152" t="str">
        <f>Head6</f>
        <v>Original Budget</v>
      </c>
      <c r="G3" s="153" t="str">
        <f>Head7</f>
        <v>Adjusted Budget</v>
      </c>
      <c r="H3" s="155" t="str">
        <f>Head8</f>
        <v>Full Year Forecast</v>
      </c>
      <c r="I3" s="643" t="str">
        <f>Head9</f>
        <v>Budget Year 2011/12</v>
      </c>
      <c r="J3" s="155" t="str">
        <f>Head9</f>
        <v>Budget Year 2011/12</v>
      </c>
      <c r="K3" s="644" t="str">
        <f>Head10</f>
        <v>Budget Year +1 2012/13</v>
      </c>
      <c r="L3" s="154" t="str">
        <f>Head11</f>
        <v>Budget Year +2 2013/14</v>
      </c>
    </row>
    <row r="4" spans="1:12">
      <c r="A4" s="169" t="s">
        <v>1387</v>
      </c>
      <c r="B4" s="2804"/>
      <c r="C4" s="138"/>
      <c r="D4" s="138"/>
      <c r="E4" s="157"/>
      <c r="F4" s="156"/>
      <c r="G4" s="138"/>
      <c r="H4" s="158"/>
      <c r="I4" s="140" t="s">
        <v>878</v>
      </c>
      <c r="J4" s="158"/>
      <c r="K4" s="138"/>
      <c r="L4" s="157"/>
    </row>
    <row r="5" spans="1:12" ht="25.5">
      <c r="A5" s="510" t="s">
        <v>1154</v>
      </c>
      <c r="B5" s="645">
        <v>1</v>
      </c>
      <c r="C5" s="646"/>
      <c r="D5" s="646"/>
      <c r="E5" s="647"/>
      <c r="F5" s="648"/>
      <c r="G5" s="646"/>
      <c r="H5" s="649"/>
      <c r="I5" s="650"/>
      <c r="J5" s="649"/>
      <c r="K5" s="646"/>
      <c r="L5" s="647"/>
    </row>
    <row r="6" spans="1:12">
      <c r="A6" s="282" t="s">
        <v>848</v>
      </c>
      <c r="B6" s="651"/>
      <c r="C6" s="652"/>
      <c r="D6" s="652"/>
      <c r="E6" s="653"/>
      <c r="F6" s="654"/>
      <c r="G6" s="652"/>
      <c r="H6" s="655"/>
      <c r="I6" s="656"/>
      <c r="J6" s="655"/>
      <c r="K6" s="652"/>
      <c r="L6" s="653"/>
    </row>
    <row r="7" spans="1:12">
      <c r="A7" s="285" t="s">
        <v>566</v>
      </c>
      <c r="B7" s="651"/>
      <c r="C7" s="2129">
        <f>[5]SA14!$D$7</f>
        <v>162.80000000000001</v>
      </c>
      <c r="D7" s="2129">
        <f>[5]SA14!$E$7</f>
        <v>172.85</v>
      </c>
      <c r="E7" s="2130">
        <f>[5]SA14!$F$7</f>
        <v>183.56</v>
      </c>
      <c r="F7" s="2131">
        <v>429.84</v>
      </c>
      <c r="G7" s="2129">
        <v>429.84</v>
      </c>
      <c r="H7" s="2132">
        <v>429.54</v>
      </c>
      <c r="I7" s="2133">
        <v>0.06</v>
      </c>
      <c r="J7" s="2132">
        <f>H7*106%</f>
        <v>455.31240000000003</v>
      </c>
      <c r="K7" s="2129">
        <f>J7*106%</f>
        <v>482.63114400000006</v>
      </c>
      <c r="L7" s="2130">
        <f>K7*106%</f>
        <v>511.58901264000008</v>
      </c>
    </row>
    <row r="8" spans="1:12">
      <c r="A8" s="285" t="s">
        <v>1668</v>
      </c>
      <c r="B8" s="651"/>
      <c r="C8" s="2129">
        <f>[5]SA14!$D$8</f>
        <v>43</v>
      </c>
      <c r="D8" s="2129">
        <f>[5]SA14!$E$8</f>
        <v>45</v>
      </c>
      <c r="E8" s="2130">
        <f>[5]SA14!$F$8</f>
        <v>47.79</v>
      </c>
      <c r="F8" s="2131">
        <v>50</v>
      </c>
      <c r="G8" s="2129">
        <v>50</v>
      </c>
      <c r="H8" s="2132">
        <v>50</v>
      </c>
      <c r="I8" s="2133">
        <v>0.5</v>
      </c>
      <c r="J8" s="2132">
        <f>H8*150%</f>
        <v>75</v>
      </c>
      <c r="K8" s="2129">
        <f t="shared" ref="K8:L8" si="0">J8*106%</f>
        <v>79.5</v>
      </c>
      <c r="L8" s="2130">
        <f t="shared" si="0"/>
        <v>84.27000000000001</v>
      </c>
    </row>
    <row r="9" spans="1:12">
      <c r="A9" s="285" t="s">
        <v>1669</v>
      </c>
      <c r="B9" s="651"/>
      <c r="C9" s="2129">
        <f>[5]SA14!$D$9</f>
        <v>578.85</v>
      </c>
      <c r="D9" s="2129">
        <f>[5]SA14!$E$9</f>
        <v>675.89</v>
      </c>
      <c r="E9" s="2130">
        <f>[5]SA14!$F$9</f>
        <v>717.79</v>
      </c>
      <c r="F9" s="2131">
        <v>1389</v>
      </c>
      <c r="G9" s="2129">
        <v>1389</v>
      </c>
      <c r="H9" s="2132">
        <v>1389</v>
      </c>
      <c r="I9" s="2133">
        <v>0.20380000000000001</v>
      </c>
      <c r="J9" s="2132">
        <f>H9*120.38%</f>
        <v>1672.0781999999999</v>
      </c>
      <c r="K9" s="2129">
        <f>J9*120.38%</f>
        <v>2012.84773716</v>
      </c>
      <c r="L9" s="2130">
        <f>K9*120.38%</f>
        <v>2423.0661059932081</v>
      </c>
    </row>
    <row r="10" spans="1:12">
      <c r="A10" s="285" t="s">
        <v>1670</v>
      </c>
      <c r="B10" s="651"/>
      <c r="C10" s="2129">
        <f>[5]SA14!$D$10</f>
        <v>30.75</v>
      </c>
      <c r="D10" s="2129">
        <f>[5]SA14!$E$10</f>
        <v>30.75</v>
      </c>
      <c r="E10" s="2130">
        <f>[5]SA14!$F$10</f>
        <v>32.65</v>
      </c>
      <c r="F10" s="2131">
        <v>32.799999999999997</v>
      </c>
      <c r="G10" s="2129">
        <v>32.799999999999997</v>
      </c>
      <c r="H10" s="2132">
        <v>32.799999999999997</v>
      </c>
      <c r="I10" s="2133">
        <v>0.06</v>
      </c>
      <c r="J10" s="2132">
        <f>H10*106%</f>
        <v>34.768000000000001</v>
      </c>
      <c r="K10" s="2129">
        <f t="shared" ref="K10:L10" si="1">J10*106%</f>
        <v>36.854080000000003</v>
      </c>
      <c r="L10" s="2130">
        <f t="shared" si="1"/>
        <v>39.065324800000006</v>
      </c>
    </row>
    <row r="11" spans="1:12">
      <c r="A11" s="285" t="s">
        <v>875</v>
      </c>
      <c r="B11" s="651"/>
      <c r="C11" s="2129">
        <f>[5]SA14!$D$11</f>
        <v>134.25</v>
      </c>
      <c r="D11" s="2129">
        <f>[5]SA14!$E$11</f>
        <v>157.85</v>
      </c>
      <c r="E11" s="2130">
        <f>[5]SA14!$F$11</f>
        <v>167.63</v>
      </c>
      <c r="F11" s="2131">
        <v>277.75</v>
      </c>
      <c r="G11" s="2129">
        <v>277.75</v>
      </c>
      <c r="H11" s="2132">
        <v>277.75</v>
      </c>
      <c r="I11" s="2133">
        <v>0.06</v>
      </c>
      <c r="J11" s="2132">
        <f>H11*106%</f>
        <v>294.41500000000002</v>
      </c>
      <c r="K11" s="2129">
        <f t="shared" ref="K11:L11" si="2">J11*106%</f>
        <v>312.07990000000001</v>
      </c>
      <c r="L11" s="2130">
        <f t="shared" si="2"/>
        <v>330.80469400000004</v>
      </c>
    </row>
    <row r="12" spans="1:12">
      <c r="A12" s="285" t="s">
        <v>1019</v>
      </c>
      <c r="B12" s="651"/>
      <c r="C12" s="2129">
        <f>[5]SA14!$D$12</f>
        <v>60.5</v>
      </c>
      <c r="D12" s="2129">
        <f>[5]SA14!$E$12</f>
        <v>72.45</v>
      </c>
      <c r="E12" s="2130">
        <f>[5]SA14!$F$12</f>
        <v>76.94</v>
      </c>
      <c r="F12" s="2131">
        <v>76.8</v>
      </c>
      <c r="G12" s="2129">
        <v>76.8</v>
      </c>
      <c r="H12" s="2132">
        <v>76.8</v>
      </c>
      <c r="I12" s="2133">
        <v>0.06</v>
      </c>
      <c r="J12" s="2132">
        <f>H12*106%</f>
        <v>81.408000000000001</v>
      </c>
      <c r="K12" s="2129">
        <f t="shared" ref="K12:L12" si="3">J12*106%</f>
        <v>86.292480000000012</v>
      </c>
      <c r="L12" s="2130">
        <f t="shared" si="3"/>
        <v>91.470028800000023</v>
      </c>
    </row>
    <row r="13" spans="1:12">
      <c r="A13" s="285" t="s">
        <v>698</v>
      </c>
      <c r="B13" s="651"/>
      <c r="C13" s="2129">
        <f>[5]SA14!$D$13</f>
        <v>60.5</v>
      </c>
      <c r="D13" s="2129">
        <f>[5]SA14!$E$13</f>
        <v>72.45</v>
      </c>
      <c r="E13" s="2130">
        <f>[5]SA14!$F$13</f>
        <v>76.94</v>
      </c>
      <c r="F13" s="2131">
        <v>76.8</v>
      </c>
      <c r="G13" s="2129">
        <v>76.8</v>
      </c>
      <c r="H13" s="2132">
        <v>76.8</v>
      </c>
      <c r="I13" s="2133">
        <v>0.06</v>
      </c>
      <c r="J13" s="2132">
        <f>H13*106%</f>
        <v>81.408000000000001</v>
      </c>
      <c r="K13" s="2129">
        <f t="shared" ref="K13:L13" si="4">J13*106%</f>
        <v>86.292480000000012</v>
      </c>
      <c r="L13" s="2130">
        <f t="shared" si="4"/>
        <v>91.470028800000023</v>
      </c>
    </row>
    <row r="14" spans="1:12">
      <c r="A14" s="285" t="s">
        <v>297</v>
      </c>
      <c r="B14" s="651"/>
      <c r="C14" s="2129"/>
      <c r="D14" s="2129"/>
      <c r="E14" s="2130"/>
      <c r="F14" s="2131"/>
      <c r="G14" s="2129"/>
      <c r="H14" s="2132"/>
      <c r="I14" s="2133"/>
      <c r="J14" s="2132"/>
      <c r="K14" s="2129"/>
      <c r="L14" s="2130"/>
    </row>
    <row r="15" spans="1:12">
      <c r="A15" s="657" t="s">
        <v>138</v>
      </c>
      <c r="B15" s="651"/>
      <c r="C15" s="658">
        <f>SUM(C7:C14)</f>
        <v>1070.6500000000001</v>
      </c>
      <c r="D15" s="658">
        <f>SUM(D7:D14)</f>
        <v>1227.24</v>
      </c>
      <c r="E15" s="659">
        <f>SUM(E7:E14)</f>
        <v>1303.3000000000002</v>
      </c>
      <c r="F15" s="660">
        <f>SUM(F7:F14)</f>
        <v>2332.9900000000002</v>
      </c>
      <c r="G15" s="658">
        <f t="shared" ref="G15:L15" si="5">SUM(G7:G14)</f>
        <v>2332.9900000000002</v>
      </c>
      <c r="H15" s="661">
        <f t="shared" si="5"/>
        <v>2332.6900000000005</v>
      </c>
      <c r="I15" s="662">
        <f>IF(ISERROR(ROUND((J15-F15)/F15,3)),0,(ROUND((J15-F15)/F15,3)))</f>
        <v>0.155</v>
      </c>
      <c r="J15" s="661">
        <f t="shared" si="5"/>
        <v>2694.3895999999995</v>
      </c>
      <c r="K15" s="658">
        <f t="shared" si="5"/>
        <v>3096.4978211600005</v>
      </c>
      <c r="L15" s="659">
        <f t="shared" si="5"/>
        <v>3571.7351950332077</v>
      </c>
    </row>
    <row r="16" spans="1:12">
      <c r="A16" s="285" t="s">
        <v>847</v>
      </c>
      <c r="B16" s="651"/>
      <c r="C16" s="2129"/>
      <c r="D16" s="2129"/>
      <c r="E16" s="2130"/>
      <c r="F16" s="2131"/>
      <c r="G16" s="2129"/>
      <c r="H16" s="2132"/>
      <c r="I16" s="2133"/>
      <c r="J16" s="2132"/>
      <c r="K16" s="2129"/>
      <c r="L16" s="2130"/>
    </row>
    <row r="17" spans="1:12">
      <c r="A17" s="282" t="s">
        <v>876</v>
      </c>
      <c r="B17" s="651"/>
      <c r="C17" s="658">
        <f>SUM(C15:C16)</f>
        <v>1070.6500000000001</v>
      </c>
      <c r="D17" s="658">
        <f>SUM(D15:D16)</f>
        <v>1227.24</v>
      </c>
      <c r="E17" s="659">
        <f>SUM(E15:E16)</f>
        <v>1303.3000000000002</v>
      </c>
      <c r="F17" s="660">
        <f>SUM(F15:F16)</f>
        <v>2332.9900000000002</v>
      </c>
      <c r="G17" s="658">
        <f t="shared" ref="G17:L17" si="6">SUM(G15:G16)</f>
        <v>2332.9900000000002</v>
      </c>
      <c r="H17" s="661">
        <f t="shared" si="6"/>
        <v>2332.6900000000005</v>
      </c>
      <c r="I17" s="662">
        <f>IF(ISERROR(ROUND((J17-F17)/F17,3)),0,(ROUND((J17-F17)/F17,3)))</f>
        <v>0.155</v>
      </c>
      <c r="J17" s="661">
        <f t="shared" si="6"/>
        <v>2694.3895999999995</v>
      </c>
      <c r="K17" s="658">
        <f t="shared" si="6"/>
        <v>3096.4978211600005</v>
      </c>
      <c r="L17" s="659">
        <f t="shared" si="6"/>
        <v>3571.7351950332077</v>
      </c>
    </row>
    <row r="18" spans="1:12">
      <c r="A18" s="663" t="s">
        <v>133</v>
      </c>
      <c r="B18" s="651"/>
      <c r="C18" s="664"/>
      <c r="D18" s="665">
        <f>IF(ISERROR((D17/C17)-1),0,((D17/C17)-1))</f>
        <v>0.14625694671461242</v>
      </c>
      <c r="E18" s="666">
        <f>IF(ISERROR((E17/D17)-1),0,((E17/D17)-1))</f>
        <v>6.1976467520615586E-2</v>
      </c>
      <c r="F18" s="667">
        <f>IF(ISERROR((F17/E17)-1),0,((F17/E17)-1))</f>
        <v>0.79006368449320941</v>
      </c>
      <c r="G18" s="665">
        <f>IF(ISERROR((G17/F17)-1),0,((G17/F17)-1))</f>
        <v>0</v>
      </c>
      <c r="H18" s="668">
        <f>IF(ISERROR((H17/G17)-1),0,((H17/G17)-1))</f>
        <v>-1.2859034972279026E-4</v>
      </c>
      <c r="I18" s="669"/>
      <c r="J18" s="668">
        <f>IF(ISERROR((J17/H17)-1),0,((J17/H17)-1))</f>
        <v>0.15505686567867949</v>
      </c>
      <c r="K18" s="665">
        <f>IF(ISERROR((K17/J17)-1),0,((K17/J17)-1))</f>
        <v>0.1492390785504818</v>
      </c>
      <c r="L18" s="666">
        <f>IF(ISERROR((L17/K17)-1),0,((L17/K17)-1))</f>
        <v>0.15347576562969301</v>
      </c>
    </row>
    <row r="19" spans="1:12" ht="5.0999999999999996" customHeight="1">
      <c r="A19" s="510"/>
      <c r="B19" s="651"/>
      <c r="C19" s="670"/>
      <c r="D19" s="670"/>
      <c r="E19" s="671"/>
      <c r="F19" s="672"/>
      <c r="G19" s="670"/>
      <c r="H19" s="673"/>
      <c r="I19" s="656"/>
      <c r="J19" s="673"/>
      <c r="K19" s="670"/>
      <c r="L19" s="671"/>
    </row>
    <row r="20" spans="1:12" ht="25.5" customHeight="1">
      <c r="A20" s="674" t="s">
        <v>806</v>
      </c>
      <c r="B20" s="675">
        <v>2</v>
      </c>
      <c r="C20" s="676"/>
      <c r="D20" s="676"/>
      <c r="E20" s="677"/>
      <c r="F20" s="678"/>
      <c r="G20" s="676"/>
      <c r="H20" s="679"/>
      <c r="I20" s="680"/>
      <c r="J20" s="679"/>
      <c r="K20" s="676"/>
      <c r="L20" s="677"/>
    </row>
    <row r="21" spans="1:12" ht="11.25" customHeight="1">
      <c r="A21" s="282" t="str">
        <f>A6</f>
        <v>Rates and services charges:</v>
      </c>
      <c r="B21" s="651"/>
      <c r="C21" s="652"/>
      <c r="D21" s="652"/>
      <c r="E21" s="653"/>
      <c r="F21" s="654"/>
      <c r="G21" s="652"/>
      <c r="H21" s="655"/>
      <c r="I21" s="656"/>
      <c r="J21" s="655"/>
      <c r="K21" s="652"/>
      <c r="L21" s="653"/>
    </row>
    <row r="22" spans="1:12" ht="11.25" customHeight="1">
      <c r="A22" s="285" t="str">
        <f t="shared" ref="A22:A31" si="7">A7</f>
        <v>Property rates</v>
      </c>
      <c r="B22" s="651"/>
      <c r="C22" s="2129">
        <f>[5]SA14!$D$22</f>
        <v>125.95</v>
      </c>
      <c r="D22" s="2129">
        <f>[5]SA14!$E$22</f>
        <v>133.75</v>
      </c>
      <c r="E22" s="2130">
        <f>[5]SA14!$F$22</f>
        <v>142.04</v>
      </c>
      <c r="F22" s="2131">
        <v>313.14</v>
      </c>
      <c r="G22" s="2129">
        <v>313.14</v>
      </c>
      <c r="H22" s="2132">
        <v>313.14</v>
      </c>
      <c r="I22" s="2133">
        <v>0.06</v>
      </c>
      <c r="J22" s="2132">
        <f>H22*106%</f>
        <v>331.92840000000001</v>
      </c>
      <c r="K22" s="2129">
        <f>J22*106%</f>
        <v>351.84410400000002</v>
      </c>
      <c r="L22" s="2130">
        <f>K22*106%</f>
        <v>372.95475024000001</v>
      </c>
    </row>
    <row r="23" spans="1:12" ht="11.25" customHeight="1">
      <c r="A23" s="285" t="str">
        <f t="shared" si="7"/>
        <v>Electricity: Basic levy</v>
      </c>
      <c r="B23" s="651"/>
      <c r="C23" s="2129">
        <f>[5]SA14!$D$23</f>
        <v>43</v>
      </c>
      <c r="D23" s="2129">
        <f>[5]SA14!$E$23</f>
        <v>45</v>
      </c>
      <c r="E23" s="2130">
        <f>[5]SA14!$F$23</f>
        <v>47.79</v>
      </c>
      <c r="F23" s="2131">
        <v>50</v>
      </c>
      <c r="G23" s="2129">
        <v>50</v>
      </c>
      <c r="H23" s="2132">
        <v>50</v>
      </c>
      <c r="I23" s="2133">
        <v>0.5</v>
      </c>
      <c r="J23" s="2132">
        <f>H23*150%</f>
        <v>75</v>
      </c>
      <c r="K23" s="2129">
        <f t="shared" ref="K23:L23" si="8">J23*106%</f>
        <v>79.5</v>
      </c>
      <c r="L23" s="2130">
        <f t="shared" si="8"/>
        <v>84.27000000000001</v>
      </c>
    </row>
    <row r="24" spans="1:12" ht="11.25" customHeight="1">
      <c r="A24" s="285" t="str">
        <f t="shared" si="7"/>
        <v>Electricity: Consumption</v>
      </c>
      <c r="B24" s="651"/>
      <c r="C24" s="2129">
        <f>[5]SA14!$D$24</f>
        <v>431.25</v>
      </c>
      <c r="D24" s="2129">
        <f>[5]SA14!$E$24</f>
        <v>592.04999999999995</v>
      </c>
      <c r="E24" s="2130">
        <f>[5]SA14!$F$24</f>
        <v>628.75</v>
      </c>
      <c r="F24" s="2131">
        <v>551.25</v>
      </c>
      <c r="G24" s="2129">
        <v>551.25</v>
      </c>
      <c r="H24" s="2132">
        <v>551.25</v>
      </c>
      <c r="I24" s="2133">
        <v>0.20380000000000001</v>
      </c>
      <c r="J24" s="2132">
        <f>H24*120.38%</f>
        <v>663.59474999999998</v>
      </c>
      <c r="K24" s="2129">
        <f>J24*120.38%</f>
        <v>798.83536004999996</v>
      </c>
      <c r="L24" s="2130">
        <f>K24*120.38%</f>
        <v>961.6380064281899</v>
      </c>
    </row>
    <row r="25" spans="1:12" ht="11.25" customHeight="1">
      <c r="A25" s="285" t="str">
        <f t="shared" si="7"/>
        <v>Water: Basic levy</v>
      </c>
      <c r="B25" s="651"/>
      <c r="C25" s="2129">
        <f>[5]SA14!$D$25</f>
        <v>30.75</v>
      </c>
      <c r="D25" s="2129">
        <f>[5]SA14!$E$25</f>
        <v>30.75</v>
      </c>
      <c r="E25" s="2130">
        <f>[5]SA14!$F$25</f>
        <v>32.65</v>
      </c>
      <c r="F25" s="2131">
        <v>32.799999999999997</v>
      </c>
      <c r="G25" s="2129">
        <v>32.799999999999997</v>
      </c>
      <c r="H25" s="2132">
        <v>32.799999999999997</v>
      </c>
      <c r="I25" s="2133">
        <v>0.06</v>
      </c>
      <c r="J25" s="2132">
        <f>H25*106%</f>
        <v>34.768000000000001</v>
      </c>
      <c r="K25" s="2129">
        <f t="shared" ref="K25:L25" si="9">J25*106%</f>
        <v>36.854080000000003</v>
      </c>
      <c r="L25" s="2130">
        <f t="shared" si="9"/>
        <v>39.065324800000006</v>
      </c>
    </row>
    <row r="26" spans="1:12" ht="11.25" customHeight="1">
      <c r="A26" s="285" t="str">
        <f t="shared" si="7"/>
        <v>Water: Consumption</v>
      </c>
      <c r="B26" s="651"/>
      <c r="C26" s="2129">
        <f>[5]SA14!$D$26</f>
        <v>49.6</v>
      </c>
      <c r="D26" s="2129">
        <f>[5]SA14!$E$26</f>
        <v>69.75</v>
      </c>
      <c r="E26" s="2130">
        <f>[5]SA14!$F$26</f>
        <v>95.52</v>
      </c>
      <c r="F26" s="2131">
        <v>116.2</v>
      </c>
      <c r="G26" s="2129">
        <v>116.2</v>
      </c>
      <c r="H26" s="2132">
        <v>116.2</v>
      </c>
      <c r="I26" s="2133">
        <v>0.06</v>
      </c>
      <c r="J26" s="2132">
        <f>H26*106%</f>
        <v>123.17200000000001</v>
      </c>
      <c r="K26" s="2129">
        <f t="shared" ref="K26:L26" si="10">J26*106%</f>
        <v>130.56232000000003</v>
      </c>
      <c r="L26" s="2130">
        <f t="shared" si="10"/>
        <v>138.39605920000002</v>
      </c>
    </row>
    <row r="27" spans="1:12" ht="11.25" customHeight="1">
      <c r="A27" s="285" t="str">
        <f t="shared" si="7"/>
        <v>Sanitation</v>
      </c>
      <c r="B27" s="651"/>
      <c r="C27" s="2129">
        <f>[5]SA14!$D$27</f>
        <v>60.5</v>
      </c>
      <c r="D27" s="2129">
        <f>[5]SA14!$E$27</f>
        <v>72.45</v>
      </c>
      <c r="E27" s="2130">
        <f>[5]SA14!$F$27</f>
        <v>76.94</v>
      </c>
      <c r="F27" s="2131">
        <v>76.8</v>
      </c>
      <c r="G27" s="2129">
        <v>76.8</v>
      </c>
      <c r="H27" s="2132">
        <v>76.8</v>
      </c>
      <c r="I27" s="2133">
        <v>0.06</v>
      </c>
      <c r="J27" s="2132">
        <f>H27*106%</f>
        <v>81.408000000000001</v>
      </c>
      <c r="K27" s="2129">
        <f t="shared" ref="K27:L27" si="11">J27*106%</f>
        <v>86.292480000000012</v>
      </c>
      <c r="L27" s="2130">
        <f t="shared" si="11"/>
        <v>91.470028800000023</v>
      </c>
    </row>
    <row r="28" spans="1:12" ht="11.25" customHeight="1">
      <c r="A28" s="285" t="str">
        <f t="shared" si="7"/>
        <v>Refuse removal</v>
      </c>
      <c r="B28" s="651"/>
      <c r="C28" s="2129">
        <f>[5]SA14!$D$28</f>
        <v>60.5</v>
      </c>
      <c r="D28" s="2129">
        <f>[5]SA14!$E$28</f>
        <v>92.45</v>
      </c>
      <c r="E28" s="2130">
        <f>[5]SA14!$F$28</f>
        <v>76.94</v>
      </c>
      <c r="F28" s="2131">
        <v>76.8</v>
      </c>
      <c r="G28" s="2129">
        <v>76.8</v>
      </c>
      <c r="H28" s="2132">
        <v>76.8</v>
      </c>
      <c r="I28" s="2133">
        <v>0.06</v>
      </c>
      <c r="J28" s="2132">
        <f>H28*106%</f>
        <v>81.408000000000001</v>
      </c>
      <c r="K28" s="2129">
        <f t="shared" ref="K28:L28" si="12">J28*106%</f>
        <v>86.292480000000012</v>
      </c>
      <c r="L28" s="2130">
        <f t="shared" si="12"/>
        <v>91.470028800000023</v>
      </c>
    </row>
    <row r="29" spans="1:12" ht="11.25" customHeight="1">
      <c r="A29" s="285" t="str">
        <f t="shared" si="7"/>
        <v>Other</v>
      </c>
      <c r="B29" s="651"/>
      <c r="C29" s="2129"/>
      <c r="D29" s="2129"/>
      <c r="E29" s="2130"/>
      <c r="F29" s="2131"/>
      <c r="G29" s="2129"/>
      <c r="H29" s="2132"/>
      <c r="I29" s="2133"/>
      <c r="J29" s="2132"/>
      <c r="K29" s="2129"/>
      <c r="L29" s="2130"/>
    </row>
    <row r="30" spans="1:12" ht="11.25" customHeight="1">
      <c r="A30" s="657" t="str">
        <f t="shared" si="7"/>
        <v>sub-total</v>
      </c>
      <c r="B30" s="681"/>
      <c r="C30" s="658">
        <f t="shared" ref="C30:H30" si="13">SUM(C22:C29)</f>
        <v>801.55000000000007</v>
      </c>
      <c r="D30" s="658">
        <f t="shared" si="13"/>
        <v>1036.2</v>
      </c>
      <c r="E30" s="659">
        <f t="shared" si="13"/>
        <v>1100.6299999999999</v>
      </c>
      <c r="F30" s="660">
        <f t="shared" si="13"/>
        <v>1216.9899999999998</v>
      </c>
      <c r="G30" s="658">
        <f t="shared" si="13"/>
        <v>1216.9899999999998</v>
      </c>
      <c r="H30" s="661">
        <f t="shared" si="13"/>
        <v>1216.9899999999998</v>
      </c>
      <c r="I30" s="662">
        <f>IF(ISERROR(ROUND((J30-F30)/F30,3)),0,(ROUND((J30-F30)/F30,3)))</f>
        <v>0.14299999999999999</v>
      </c>
      <c r="J30" s="661">
        <f>SUM(J22:J29)</f>
        <v>1391.2791499999998</v>
      </c>
      <c r="K30" s="658">
        <f>SUM(K22:K29)</f>
        <v>1570.1808240500002</v>
      </c>
      <c r="L30" s="659">
        <f>SUM(L22:L29)</f>
        <v>1779.2641982681898</v>
      </c>
    </row>
    <row r="31" spans="1:12" ht="11.25" customHeight="1">
      <c r="A31" s="285" t="str">
        <f t="shared" si="7"/>
        <v>VAT on Services</v>
      </c>
      <c r="B31" s="651"/>
      <c r="C31" s="2129"/>
      <c r="D31" s="2129"/>
      <c r="E31" s="2130"/>
      <c r="F31" s="2131"/>
      <c r="G31" s="2129"/>
      <c r="H31" s="2132"/>
      <c r="I31" s="2133"/>
      <c r="J31" s="2132"/>
      <c r="K31" s="2129"/>
      <c r="L31" s="2130"/>
    </row>
    <row r="32" spans="1:12" ht="11.25" customHeight="1">
      <c r="A32" s="282" t="s">
        <v>877</v>
      </c>
      <c r="B32" s="651"/>
      <c r="C32" s="658">
        <f t="shared" ref="C32:H32" si="14">SUM(C30:C31)</f>
        <v>801.55000000000007</v>
      </c>
      <c r="D32" s="658">
        <f t="shared" si="14"/>
        <v>1036.2</v>
      </c>
      <c r="E32" s="659">
        <f t="shared" si="14"/>
        <v>1100.6299999999999</v>
      </c>
      <c r="F32" s="660">
        <f t="shared" si="14"/>
        <v>1216.9899999999998</v>
      </c>
      <c r="G32" s="658">
        <f t="shared" si="14"/>
        <v>1216.9899999999998</v>
      </c>
      <c r="H32" s="661">
        <f t="shared" si="14"/>
        <v>1216.9899999999998</v>
      </c>
      <c r="I32" s="662">
        <f>IF(ISERROR(ROUND((J32-F32)/F32,3)),0,(ROUND((J32-F32)/F32,3)))</f>
        <v>0.14299999999999999</v>
      </c>
      <c r="J32" s="661">
        <f>SUM(J30:J31)</f>
        <v>1391.2791499999998</v>
      </c>
      <c r="K32" s="658">
        <f>SUM(K30:K31)</f>
        <v>1570.1808240500002</v>
      </c>
      <c r="L32" s="659">
        <f>SUM(L30:L31)</f>
        <v>1779.2641982681898</v>
      </c>
    </row>
    <row r="33" spans="1:15" ht="11.25" customHeight="1">
      <c r="A33" s="663" t="s">
        <v>133</v>
      </c>
      <c r="B33" s="651"/>
      <c r="C33" s="664"/>
      <c r="D33" s="665">
        <f>IF(ISERROR((D32/C32)-1),0,((D32/C32)-1))</f>
        <v>0.29274530596968362</v>
      </c>
      <c r="E33" s="666">
        <f>IF(ISERROR((E32/D32)-1),0,((E32/D32)-1))</f>
        <v>6.2179116000771861E-2</v>
      </c>
      <c r="F33" s="667">
        <f>IF(ISERROR((F32/E32)-1),0,((F32/E32)-1))</f>
        <v>0.10572126872791032</v>
      </c>
      <c r="G33" s="665">
        <f>IF(ISERROR((G32/F32)-1),0,((G32/F32)-1))</f>
        <v>0</v>
      </c>
      <c r="H33" s="668">
        <f>IF(ISERROR((H32/G32)-1),0,((H32/G32)-1))</f>
        <v>0</v>
      </c>
      <c r="I33" s="669"/>
      <c r="J33" s="668">
        <f>IF(ISERROR((J32/H32)-1),0,((J32/H32)-1))</f>
        <v>0.14321329674031835</v>
      </c>
      <c r="K33" s="665">
        <f>IF(ISERROR((K32/J32)-1),0,((K32/J32)-1))</f>
        <v>0.12858790707098589</v>
      </c>
      <c r="L33" s="666">
        <f>IF(ISERROR((L32/K32)-1),0,((L32/K32)-1))</f>
        <v>0.13315878720190755</v>
      </c>
    </row>
    <row r="34" spans="1:15" ht="4.5" customHeight="1">
      <c r="A34" s="510"/>
      <c r="B34" s="651"/>
      <c r="C34" s="670"/>
      <c r="D34" s="670"/>
      <c r="E34" s="671">
        <f>IF(ISERROR((E33/D33)-1),0,((E33/D33)-1))</f>
        <v>-0.78759995554903606</v>
      </c>
      <c r="F34" s="672">
        <f>IF(ISERROR((F33/E33)-1),0,((F33/E33)-1))</f>
        <v>0.70026972925440023</v>
      </c>
      <c r="G34" s="670">
        <f>IF(ISERROR((G33/F33)-1),0,((G33/F33)-1))</f>
        <v>-1</v>
      </c>
      <c r="H34" s="673">
        <f>IF(ISERROR((H33/G33)-1),0,((H33/G33)-1))</f>
        <v>0</v>
      </c>
      <c r="I34" s="656"/>
      <c r="J34" s="673"/>
      <c r="K34" s="670"/>
      <c r="L34" s="671"/>
    </row>
    <row r="35" spans="1:15" ht="25.5" customHeight="1">
      <c r="A35" s="674" t="s">
        <v>1927</v>
      </c>
      <c r="B35" s="675">
        <v>3</v>
      </c>
      <c r="C35" s="676"/>
      <c r="D35" s="676"/>
      <c r="E35" s="677"/>
      <c r="F35" s="678"/>
      <c r="G35" s="676"/>
      <c r="H35" s="679"/>
      <c r="I35" s="680"/>
      <c r="J35" s="679"/>
      <c r="K35" s="676"/>
      <c r="L35" s="677"/>
    </row>
    <row r="36" spans="1:15">
      <c r="A36" s="282" t="str">
        <f>A6</f>
        <v>Rates and services charges:</v>
      </c>
      <c r="B36" s="651"/>
      <c r="C36" s="652"/>
      <c r="D36" s="652"/>
      <c r="E36" s="653"/>
      <c r="F36" s="654"/>
      <c r="G36" s="652"/>
      <c r="H36" s="655"/>
      <c r="I36" s="656"/>
      <c r="J36" s="655"/>
      <c r="K36" s="652"/>
      <c r="L36" s="653"/>
    </row>
    <row r="37" spans="1:15">
      <c r="A37" s="285" t="str">
        <f t="shared" ref="A37:A46" si="15">A7</f>
        <v>Property rates</v>
      </c>
      <c r="B37" s="651"/>
      <c r="C37" s="2129">
        <f>[5]SA14!$D$37</f>
        <v>82.1</v>
      </c>
      <c r="D37" s="2129">
        <f>[5]SA14!$E$37</f>
        <v>87.15</v>
      </c>
      <c r="E37" s="2130">
        <f>[5]SA14!$F$37</f>
        <v>92.55</v>
      </c>
      <c r="F37" s="2131">
        <v>217.16</v>
      </c>
      <c r="G37" s="2129">
        <v>217.16</v>
      </c>
      <c r="H37" s="2132">
        <v>217.16</v>
      </c>
      <c r="I37" s="2133">
        <v>0.06</v>
      </c>
      <c r="J37" s="2132">
        <f>H37*106%</f>
        <v>230.18960000000001</v>
      </c>
      <c r="K37" s="2129">
        <f>J37*106%</f>
        <v>244.00097600000004</v>
      </c>
      <c r="L37" s="2130">
        <f>K37*106%</f>
        <v>258.64103456000004</v>
      </c>
      <c r="O37" s="345"/>
    </row>
    <row r="38" spans="1:15">
      <c r="A38" s="285" t="str">
        <f t="shared" si="15"/>
        <v>Electricity: Basic levy</v>
      </c>
      <c r="B38" s="651"/>
      <c r="C38" s="2129"/>
      <c r="D38" s="2129"/>
      <c r="E38" s="2130"/>
      <c r="F38" s="2131"/>
      <c r="G38" s="2129"/>
      <c r="H38" s="2132"/>
      <c r="I38" s="2133"/>
      <c r="J38" s="2132"/>
      <c r="K38" s="2129"/>
      <c r="L38" s="2130"/>
    </row>
    <row r="39" spans="1:15">
      <c r="A39" s="285" t="str">
        <f t="shared" si="15"/>
        <v>Electricity: Consumption</v>
      </c>
      <c r="B39" s="651"/>
      <c r="C39" s="2129">
        <f>[5]SA14!$D$39</f>
        <v>251.8</v>
      </c>
      <c r="D39" s="2129">
        <f>[5]SA14!$E$39</f>
        <v>232.25</v>
      </c>
      <c r="E39" s="2130">
        <f>[5]SA14!$F$39</f>
        <v>246.64</v>
      </c>
      <c r="F39" s="2131">
        <v>200</v>
      </c>
      <c r="G39" s="2129">
        <v>200</v>
      </c>
      <c r="H39" s="2132">
        <v>200</v>
      </c>
      <c r="I39" s="2133">
        <v>0.20380000000000001</v>
      </c>
      <c r="J39" s="2132">
        <f>H39*120.38%</f>
        <v>240.76</v>
      </c>
      <c r="K39" s="2129">
        <f>J39*120.38%</f>
        <v>289.826888</v>
      </c>
      <c r="L39" s="2130">
        <f>K39*120.38%</f>
        <v>348.89360777439998</v>
      </c>
    </row>
    <row r="40" spans="1:15">
      <c r="A40" s="285" t="str">
        <f t="shared" si="15"/>
        <v>Water: Basic levy</v>
      </c>
      <c r="B40" s="651"/>
      <c r="C40" s="2129">
        <f>[5]SA14!$D$40</f>
        <v>30.75</v>
      </c>
      <c r="D40" s="2129">
        <f>[5]SA14!$E$40</f>
        <v>30.75</v>
      </c>
      <c r="E40" s="2130">
        <f>[5]SA14!$F$40</f>
        <v>32.65</v>
      </c>
      <c r="F40" s="2131">
        <v>32.799999999999997</v>
      </c>
      <c r="G40" s="2129">
        <v>32.799999999999997</v>
      </c>
      <c r="H40" s="2132">
        <v>32.799999999999997</v>
      </c>
      <c r="I40" s="2133">
        <v>0.5</v>
      </c>
      <c r="J40" s="2132">
        <f>H40*150%</f>
        <v>49.199999999999996</v>
      </c>
      <c r="K40" s="2129">
        <f>J40*106%</f>
        <v>52.152000000000001</v>
      </c>
      <c r="L40" s="2130">
        <f>K40*106%</f>
        <v>55.281120000000001</v>
      </c>
    </row>
    <row r="41" spans="1:15">
      <c r="A41" s="285" t="str">
        <f t="shared" si="15"/>
        <v>Water: Consumption</v>
      </c>
      <c r="B41" s="651"/>
      <c r="C41" s="2129">
        <f>[5]SA14!$D$41</f>
        <v>43.95</v>
      </c>
      <c r="D41" s="2129">
        <f>[5]SA14!$E$41</f>
        <v>48.65</v>
      </c>
      <c r="E41" s="2130">
        <f>[5]SA14!$F$41</f>
        <v>51.66</v>
      </c>
      <c r="F41" s="2131">
        <v>23.9</v>
      </c>
      <c r="G41" s="2129">
        <v>23.9</v>
      </c>
      <c r="H41" s="2132">
        <v>23.9</v>
      </c>
      <c r="I41" s="2133">
        <v>0.06</v>
      </c>
      <c r="J41" s="2132">
        <f>H41*106%</f>
        <v>25.334</v>
      </c>
      <c r="K41" s="2129">
        <f t="shared" ref="K41:L41" si="16">J41*106%</f>
        <v>26.854040000000001</v>
      </c>
      <c r="L41" s="2130">
        <f t="shared" si="16"/>
        <v>28.465282400000003</v>
      </c>
    </row>
    <row r="42" spans="1:15">
      <c r="A42" s="285" t="str">
        <f t="shared" si="15"/>
        <v>Sanitation</v>
      </c>
      <c r="B42" s="651"/>
      <c r="C42" s="2129">
        <f>[5]SA14!$D$42</f>
        <v>60.5</v>
      </c>
      <c r="D42" s="2129">
        <f>[5]SA14!$E$42</f>
        <v>72.45</v>
      </c>
      <c r="E42" s="2130">
        <f>[5]SA14!$F$42</f>
        <v>76.94</v>
      </c>
      <c r="F42" s="2131">
        <v>76.8</v>
      </c>
      <c r="G42" s="2129">
        <v>76.8</v>
      </c>
      <c r="H42" s="2132">
        <v>76.8</v>
      </c>
      <c r="I42" s="2133">
        <v>0.06</v>
      </c>
      <c r="J42" s="2132">
        <f>H42*106%</f>
        <v>81.408000000000001</v>
      </c>
      <c r="K42" s="2129">
        <f t="shared" ref="K42:L42" si="17">J42*106%</f>
        <v>86.292480000000012</v>
      </c>
      <c r="L42" s="2130">
        <f t="shared" si="17"/>
        <v>91.470028800000023</v>
      </c>
    </row>
    <row r="43" spans="1:15">
      <c r="A43" s="285" t="str">
        <f t="shared" si="15"/>
        <v>Refuse removal</v>
      </c>
      <c r="B43" s="651"/>
      <c r="C43" s="2129">
        <f>[5]SA14!$D$43</f>
        <v>60.5</v>
      </c>
      <c r="D43" s="2129">
        <f>[5]SA14!$E$43</f>
        <v>72.45</v>
      </c>
      <c r="E43" s="2130">
        <f>[5]SA14!$F$43</f>
        <v>76.94</v>
      </c>
      <c r="F43" s="2131">
        <v>76.8</v>
      </c>
      <c r="G43" s="2129">
        <v>76.8</v>
      </c>
      <c r="H43" s="2132">
        <v>76.8</v>
      </c>
      <c r="I43" s="2133">
        <v>0.06</v>
      </c>
      <c r="J43" s="2132">
        <f>H43*106%</f>
        <v>81.408000000000001</v>
      </c>
      <c r="K43" s="2129">
        <f t="shared" ref="K43:L43" si="18">J43*106%</f>
        <v>86.292480000000012</v>
      </c>
      <c r="L43" s="2130">
        <f t="shared" si="18"/>
        <v>91.470028800000023</v>
      </c>
    </row>
    <row r="44" spans="1:15">
      <c r="A44" s="285" t="str">
        <f t="shared" si="15"/>
        <v>Other</v>
      </c>
      <c r="B44" s="651"/>
      <c r="C44" s="2129"/>
      <c r="D44" s="2129"/>
      <c r="E44" s="2130"/>
      <c r="F44" s="2131"/>
      <c r="G44" s="2129"/>
      <c r="H44" s="2132"/>
      <c r="I44" s="2133"/>
      <c r="J44" s="2132"/>
      <c r="K44" s="2129"/>
      <c r="L44" s="2130"/>
    </row>
    <row r="45" spans="1:15">
      <c r="A45" s="657" t="str">
        <f t="shared" si="15"/>
        <v>sub-total</v>
      </c>
      <c r="B45" s="681"/>
      <c r="C45" s="658">
        <f>SUM(C37:C44)</f>
        <v>529.59999999999991</v>
      </c>
      <c r="D45" s="658">
        <f>SUM(D37:D44)</f>
        <v>543.69999999999993</v>
      </c>
      <c r="E45" s="659">
        <f>SUM(E37:E44)</f>
        <v>577.38</v>
      </c>
      <c r="F45" s="660">
        <f>SUM(F37:F44)</f>
        <v>627.45999999999992</v>
      </c>
      <c r="G45" s="658">
        <f t="shared" ref="G45:L45" si="19">SUM(G37:G44)</f>
        <v>627.45999999999992</v>
      </c>
      <c r="H45" s="661">
        <f t="shared" si="19"/>
        <v>627.45999999999992</v>
      </c>
      <c r="I45" s="662">
        <f>IF(ISERROR(ROUND((J45-F45)/F45,3)),0,(ROUND((J45-F45)/F45,3)))</f>
        <v>0.129</v>
      </c>
      <c r="J45" s="661">
        <f t="shared" si="19"/>
        <v>708.29960000000005</v>
      </c>
      <c r="K45" s="658">
        <f t="shared" si="19"/>
        <v>785.41886400000021</v>
      </c>
      <c r="L45" s="659">
        <f t="shared" si="19"/>
        <v>874.22110233440003</v>
      </c>
    </row>
    <row r="46" spans="1:15">
      <c r="A46" s="285" t="str">
        <f t="shared" si="15"/>
        <v>VAT on Services</v>
      </c>
      <c r="B46" s="651"/>
      <c r="C46" s="2129"/>
      <c r="D46" s="2129"/>
      <c r="E46" s="2130"/>
      <c r="F46" s="2131"/>
      <c r="G46" s="2129"/>
      <c r="H46" s="2132"/>
      <c r="I46" s="2133"/>
      <c r="J46" s="2132"/>
      <c r="K46" s="2129"/>
      <c r="L46" s="2130"/>
    </row>
    <row r="47" spans="1:15">
      <c r="A47" s="282" t="s">
        <v>877</v>
      </c>
      <c r="B47" s="651"/>
      <c r="C47" s="658">
        <f>SUM(C45:C46)</f>
        <v>529.59999999999991</v>
      </c>
      <c r="D47" s="658">
        <f>SUM(D45:D46)</f>
        <v>543.69999999999993</v>
      </c>
      <c r="E47" s="659">
        <f>SUM(E45:E46)</f>
        <v>577.38</v>
      </c>
      <c r="F47" s="660">
        <f>SUM(F45:F46)</f>
        <v>627.45999999999992</v>
      </c>
      <c r="G47" s="658">
        <f t="shared" ref="G47:L47" si="20">SUM(G45:G46)</f>
        <v>627.45999999999992</v>
      </c>
      <c r="H47" s="661">
        <f t="shared" si="20"/>
        <v>627.45999999999992</v>
      </c>
      <c r="I47" s="662">
        <f>IF(ISERROR(ROUND((J47-F47)/F47,3)),0,(ROUND((J47-F47)/F47,3)))</f>
        <v>0.129</v>
      </c>
      <c r="J47" s="661">
        <f t="shared" si="20"/>
        <v>708.29960000000005</v>
      </c>
      <c r="K47" s="658">
        <f t="shared" si="20"/>
        <v>785.41886400000021</v>
      </c>
      <c r="L47" s="659">
        <f t="shared" si="20"/>
        <v>874.22110233440003</v>
      </c>
    </row>
    <row r="48" spans="1:15">
      <c r="A48" s="663" t="str">
        <f>A18</f>
        <v>% increase/-decrease</v>
      </c>
      <c r="B48" s="651"/>
      <c r="C48" s="664"/>
      <c r="D48" s="665">
        <f>IF(ISERROR((D47/C47)-1),0,((D47/C47)-1))</f>
        <v>2.6623867069486495E-2</v>
      </c>
      <c r="E48" s="666">
        <f>IF(ISERROR((E47/D47)-1),0,((E47/D47)-1))</f>
        <v>6.1945926062166867E-2</v>
      </c>
      <c r="F48" s="667">
        <f>IF(ISERROR((F47/E47)-1),0,((F47/E47)-1))</f>
        <v>8.6736637916103643E-2</v>
      </c>
      <c r="G48" s="665">
        <f>IF(ISERROR((G47/F47)-1),0,((G47/F47)-1))</f>
        <v>0</v>
      </c>
      <c r="H48" s="668">
        <f>IF(ISERROR((H47/G47)-1),0,((H47/G47)-1))</f>
        <v>0</v>
      </c>
      <c r="I48" s="669"/>
      <c r="J48" s="668">
        <f>IF(ISERROR((J47/H47)-1),0,((J47/H47)-1))</f>
        <v>0.12883626047875585</v>
      </c>
      <c r="K48" s="665">
        <f>IF(ISERROR((K47/J47)-1),0,((K47/J47)-1))</f>
        <v>0.10887944028205032</v>
      </c>
      <c r="L48" s="666">
        <f>IF(ISERROR((L47/K47)-1),0,((L47/K47)-1))</f>
        <v>0.11306354151229026</v>
      </c>
    </row>
    <row r="49" spans="1:40" ht="5.0999999999999996" customHeight="1">
      <c r="A49" s="682"/>
      <c r="B49" s="683"/>
      <c r="C49" s="683"/>
      <c r="D49" s="683"/>
      <c r="E49" s="684"/>
      <c r="F49" s="685"/>
      <c r="G49" s="683"/>
      <c r="H49" s="686"/>
      <c r="I49" s="687"/>
      <c r="J49" s="686"/>
      <c r="K49" s="683"/>
      <c r="L49" s="684"/>
    </row>
    <row r="50" spans="1:40" s="693" customFormat="1" hidden="1">
      <c r="A50" s="1161" t="str">
        <f>head27a</f>
        <v>References</v>
      </c>
      <c r="B50" s="1043"/>
      <c r="C50" s="692"/>
      <c r="D50" s="692"/>
      <c r="E50" s="692"/>
      <c r="F50" s="1067"/>
      <c r="G50" s="692"/>
      <c r="H50" s="692"/>
      <c r="I50" s="692"/>
      <c r="J50" s="692"/>
      <c r="K50" s="692"/>
    </row>
    <row r="51" spans="1:40" s="693" customFormat="1" hidden="1">
      <c r="A51" s="1345" t="s">
        <v>1667</v>
      </c>
      <c r="B51" s="1068"/>
      <c r="C51" s="1069"/>
      <c r="D51" s="1069"/>
      <c r="E51" s="1069"/>
      <c r="F51" s="1069"/>
      <c r="G51" s="1069"/>
      <c r="H51" s="1069"/>
      <c r="I51" s="1069"/>
      <c r="J51" s="1069"/>
      <c r="K51" s="1069"/>
      <c r="L51" s="1069"/>
      <c r="M51" s="1069"/>
      <c r="N51" s="1069"/>
      <c r="O51" s="1069"/>
      <c r="P51" s="1069"/>
      <c r="Q51" s="1069"/>
      <c r="R51" s="1069"/>
      <c r="S51" s="1069"/>
      <c r="T51" s="1069"/>
      <c r="U51" s="1069"/>
      <c r="V51" s="1069"/>
      <c r="W51" s="1069"/>
      <c r="X51" s="1069"/>
      <c r="Y51" s="1069"/>
      <c r="Z51" s="1069"/>
      <c r="AA51" s="1069"/>
      <c r="AB51" s="1069"/>
      <c r="AC51" s="1069"/>
      <c r="AD51" s="1069"/>
      <c r="AE51" s="1069"/>
      <c r="AF51" s="1069"/>
      <c r="AG51" s="1069"/>
      <c r="AH51" s="1069"/>
      <c r="AI51" s="1069"/>
      <c r="AJ51" s="1069"/>
      <c r="AK51" s="1069"/>
      <c r="AL51" s="1069"/>
      <c r="AM51" s="1069"/>
      <c r="AN51" s="1069"/>
    </row>
    <row r="52" spans="1:40" s="693" customFormat="1" hidden="1">
      <c r="A52" s="1345" t="s">
        <v>886</v>
      </c>
      <c r="B52" s="1068"/>
      <c r="C52" s="1069"/>
      <c r="D52" s="1069"/>
      <c r="E52" s="1069"/>
      <c r="F52" s="1069"/>
      <c r="G52" s="1069"/>
      <c r="H52" s="1069"/>
      <c r="I52" s="1069"/>
      <c r="J52" s="1069"/>
      <c r="K52" s="1069"/>
      <c r="L52" s="1069"/>
      <c r="M52" s="1069"/>
      <c r="N52" s="1069"/>
      <c r="O52" s="1069"/>
      <c r="P52" s="1069"/>
      <c r="Q52" s="1069"/>
      <c r="R52" s="1069"/>
      <c r="S52" s="1069"/>
      <c r="T52" s="1069"/>
      <c r="U52" s="1069"/>
      <c r="V52" s="1069"/>
      <c r="W52" s="1069"/>
      <c r="X52" s="1069"/>
      <c r="Y52" s="1069"/>
      <c r="Z52" s="1069"/>
      <c r="AA52" s="1069"/>
      <c r="AB52" s="1069"/>
      <c r="AC52" s="1069"/>
      <c r="AD52" s="1069"/>
      <c r="AE52" s="1069"/>
      <c r="AF52" s="1069"/>
      <c r="AG52" s="1069"/>
      <c r="AH52" s="1069"/>
      <c r="AI52" s="1069"/>
      <c r="AJ52" s="1069"/>
      <c r="AK52" s="1069"/>
      <c r="AL52" s="1069"/>
      <c r="AM52" s="1069"/>
      <c r="AN52" s="1069"/>
    </row>
    <row r="53" spans="1:40" s="693" customFormat="1" hidden="1">
      <c r="A53" s="1345" t="s">
        <v>1368</v>
      </c>
      <c r="B53" s="1068"/>
      <c r="C53" s="1069"/>
      <c r="D53" s="1069"/>
      <c r="E53" s="1069"/>
      <c r="F53" s="1069"/>
      <c r="G53" s="1069"/>
      <c r="H53" s="1069"/>
      <c r="I53" s="1069"/>
      <c r="J53" s="1069"/>
      <c r="K53" s="1069"/>
      <c r="L53" s="1069"/>
      <c r="M53" s="1069"/>
      <c r="N53" s="1069"/>
      <c r="O53" s="1069"/>
      <c r="P53" s="1069"/>
      <c r="Q53" s="1069"/>
      <c r="R53" s="1069"/>
      <c r="S53" s="1069"/>
      <c r="T53" s="1069"/>
      <c r="U53" s="1069"/>
      <c r="V53" s="1069"/>
      <c r="W53" s="1069"/>
      <c r="X53" s="1069"/>
      <c r="Y53" s="1069"/>
      <c r="Z53" s="1069"/>
      <c r="AA53" s="1069"/>
      <c r="AB53" s="1069"/>
      <c r="AC53" s="1069"/>
      <c r="AD53" s="1069"/>
      <c r="AE53" s="1069"/>
      <c r="AF53" s="1069"/>
      <c r="AG53" s="1069"/>
      <c r="AH53" s="1069"/>
      <c r="AI53" s="1069"/>
      <c r="AJ53" s="1069"/>
      <c r="AK53" s="1069"/>
      <c r="AL53" s="1069"/>
      <c r="AM53" s="1069"/>
      <c r="AN53" s="1069"/>
    </row>
    <row r="54" spans="1:40" hidden="1"/>
    <row r="55" spans="1:40" hidden="1">
      <c r="A55" s="691"/>
      <c r="B55" s="688"/>
      <c r="C55" s="689"/>
      <c r="D55" s="689"/>
      <c r="E55" s="689"/>
      <c r="F55" s="690"/>
      <c r="G55" s="689"/>
      <c r="H55" s="689"/>
      <c r="I55" s="689"/>
      <c r="J55" s="689"/>
      <c r="K55" s="692"/>
      <c r="L55" s="693"/>
      <c r="M55" s="693"/>
      <c r="N55" s="693"/>
      <c r="O55" s="693"/>
      <c r="P55" s="693"/>
      <c r="Q55" s="693"/>
      <c r="R55" s="693"/>
      <c r="S55" s="693"/>
      <c r="T55" s="693"/>
      <c r="U55" s="693"/>
      <c r="V55" s="693"/>
      <c r="W55" s="693"/>
      <c r="X55" s="693"/>
      <c r="Y55" s="693"/>
      <c r="Z55" s="693"/>
      <c r="AA55" s="693"/>
      <c r="AB55" s="693"/>
      <c r="AC55" s="693"/>
      <c r="AD55" s="693"/>
      <c r="AE55" s="693"/>
      <c r="AF55" s="693"/>
      <c r="AG55" s="693"/>
      <c r="AH55" s="693"/>
      <c r="AI55" s="693"/>
      <c r="AJ55" s="693"/>
      <c r="AK55" s="693"/>
      <c r="AL55" s="693"/>
      <c r="AM55" s="693"/>
      <c r="AN55" s="693"/>
    </row>
    <row r="56" spans="1:40" hidden="1">
      <c r="A56" s="691"/>
      <c r="B56" s="688"/>
      <c r="C56" s="689"/>
      <c r="D56" s="689"/>
      <c r="E56" s="689"/>
      <c r="F56" s="690"/>
      <c r="G56" s="689"/>
      <c r="H56" s="689"/>
      <c r="I56" s="689"/>
      <c r="J56" s="689"/>
      <c r="K56" s="692"/>
      <c r="L56" s="693"/>
      <c r="M56" s="693"/>
      <c r="N56" s="693"/>
      <c r="O56" s="693"/>
      <c r="P56" s="693"/>
      <c r="Q56" s="693"/>
      <c r="R56" s="693"/>
      <c r="S56" s="693"/>
      <c r="T56" s="693"/>
      <c r="U56" s="693"/>
      <c r="V56" s="693"/>
      <c r="W56" s="693"/>
      <c r="X56" s="693"/>
      <c r="Y56" s="693"/>
      <c r="Z56" s="693"/>
      <c r="AA56" s="693"/>
      <c r="AB56" s="693"/>
      <c r="AC56" s="693"/>
      <c r="AD56" s="693"/>
      <c r="AE56" s="693"/>
      <c r="AF56" s="693"/>
      <c r="AG56" s="693"/>
      <c r="AH56" s="693"/>
      <c r="AI56" s="693"/>
      <c r="AJ56" s="693"/>
      <c r="AK56" s="693"/>
      <c r="AL56" s="693"/>
      <c r="AM56" s="693"/>
      <c r="AN56" s="693"/>
    </row>
    <row r="57" spans="1:40" hidden="1">
      <c r="A57" s="691"/>
      <c r="B57" s="688"/>
      <c r="C57" s="689"/>
      <c r="D57" s="689"/>
      <c r="E57" s="689"/>
      <c r="F57" s="690"/>
      <c r="G57" s="689"/>
      <c r="H57" s="689"/>
      <c r="I57" s="689"/>
      <c r="J57" s="689"/>
      <c r="K57" s="692"/>
      <c r="L57" s="693"/>
      <c r="M57" s="693"/>
      <c r="N57" s="693"/>
      <c r="O57" s="693"/>
      <c r="P57" s="693"/>
      <c r="Q57" s="693"/>
      <c r="R57" s="693"/>
      <c r="S57" s="693"/>
      <c r="T57" s="693"/>
      <c r="U57" s="693"/>
      <c r="V57" s="693"/>
      <c r="W57" s="693"/>
      <c r="X57" s="693"/>
      <c r="Y57" s="693"/>
      <c r="Z57" s="693"/>
      <c r="AA57" s="693"/>
      <c r="AB57" s="693"/>
      <c r="AC57" s="693"/>
      <c r="AD57" s="693"/>
      <c r="AE57" s="693"/>
      <c r="AF57" s="693"/>
      <c r="AG57" s="693"/>
      <c r="AH57" s="693"/>
      <c r="AI57" s="693"/>
      <c r="AJ57" s="693"/>
      <c r="AK57" s="693"/>
      <c r="AL57" s="693"/>
      <c r="AM57" s="693"/>
      <c r="AN57" s="693"/>
    </row>
    <row r="58" spans="1:40" hidden="1">
      <c r="K58" s="692"/>
      <c r="L58" s="693"/>
      <c r="M58" s="693"/>
      <c r="N58" s="693"/>
      <c r="O58" s="693"/>
      <c r="P58" s="693"/>
      <c r="Q58" s="693"/>
      <c r="R58" s="693"/>
      <c r="S58" s="693"/>
      <c r="T58" s="693"/>
      <c r="U58" s="693"/>
      <c r="V58" s="693"/>
      <c r="W58" s="693"/>
      <c r="X58" s="693"/>
      <c r="Y58" s="693"/>
      <c r="Z58" s="693"/>
      <c r="AA58" s="693"/>
      <c r="AB58" s="693"/>
      <c r="AC58" s="693"/>
      <c r="AD58" s="693"/>
      <c r="AE58" s="693"/>
      <c r="AF58" s="693"/>
      <c r="AG58" s="693"/>
      <c r="AH58" s="693"/>
      <c r="AI58" s="693"/>
      <c r="AJ58" s="693"/>
      <c r="AK58" s="693"/>
      <c r="AL58" s="693"/>
      <c r="AM58" s="693"/>
      <c r="AN58" s="693"/>
    </row>
    <row r="59" spans="1:40" hidden="1">
      <c r="K59" s="692"/>
      <c r="L59" s="693"/>
      <c r="M59" s="693"/>
      <c r="N59" s="693"/>
      <c r="O59" s="693"/>
      <c r="P59" s="693"/>
      <c r="Q59" s="693"/>
      <c r="R59" s="693"/>
      <c r="S59" s="693"/>
      <c r="T59" s="693"/>
      <c r="U59" s="693"/>
      <c r="V59" s="693"/>
      <c r="W59" s="693"/>
      <c r="X59" s="693"/>
      <c r="Y59" s="693"/>
      <c r="Z59" s="693"/>
      <c r="AA59" s="693"/>
      <c r="AB59" s="693"/>
      <c r="AC59" s="693"/>
      <c r="AD59" s="693"/>
      <c r="AE59" s="693"/>
      <c r="AF59" s="693"/>
      <c r="AG59" s="693"/>
      <c r="AH59" s="693"/>
      <c r="AI59" s="693"/>
      <c r="AJ59" s="693"/>
      <c r="AK59" s="693"/>
      <c r="AL59" s="693"/>
      <c r="AM59" s="693"/>
      <c r="AN59" s="693"/>
    </row>
    <row r="60" spans="1:40" hidden="1">
      <c r="K60" s="692"/>
      <c r="L60" s="693"/>
      <c r="M60" s="693"/>
      <c r="N60" s="693"/>
      <c r="O60" s="693"/>
      <c r="P60" s="693"/>
      <c r="Q60" s="693"/>
      <c r="R60" s="693"/>
      <c r="S60" s="693"/>
      <c r="T60" s="693"/>
      <c r="U60" s="693"/>
      <c r="V60" s="693"/>
      <c r="W60" s="693"/>
      <c r="X60" s="693"/>
      <c r="Y60" s="693"/>
      <c r="Z60" s="693"/>
      <c r="AA60" s="693"/>
      <c r="AB60" s="693"/>
      <c r="AC60" s="693"/>
      <c r="AD60" s="693"/>
      <c r="AE60" s="693"/>
      <c r="AF60" s="693"/>
      <c r="AG60" s="693"/>
      <c r="AH60" s="693"/>
      <c r="AI60" s="693"/>
      <c r="AJ60" s="693"/>
      <c r="AK60" s="693"/>
      <c r="AL60" s="693"/>
      <c r="AM60" s="693"/>
      <c r="AN60" s="693"/>
    </row>
    <row r="61" spans="1:40" hidden="1">
      <c r="K61" s="692"/>
      <c r="L61" s="693"/>
      <c r="M61" s="693"/>
      <c r="N61" s="693"/>
      <c r="O61" s="693"/>
      <c r="P61" s="693"/>
      <c r="Q61" s="693"/>
      <c r="R61" s="693"/>
      <c r="S61" s="693"/>
      <c r="T61" s="693"/>
      <c r="U61" s="693"/>
      <c r="V61" s="693"/>
      <c r="W61" s="693"/>
      <c r="X61" s="693"/>
      <c r="Y61" s="693"/>
      <c r="Z61" s="693"/>
      <c r="AA61" s="693"/>
      <c r="AB61" s="693"/>
      <c r="AC61" s="693"/>
      <c r="AD61" s="693"/>
      <c r="AE61" s="693"/>
      <c r="AF61" s="693"/>
      <c r="AG61" s="693"/>
      <c r="AH61" s="693"/>
      <c r="AI61" s="693"/>
      <c r="AJ61" s="693"/>
      <c r="AK61" s="693"/>
      <c r="AL61" s="693"/>
      <c r="AM61" s="693"/>
      <c r="AN61" s="693"/>
    </row>
    <row r="62" spans="1:40" hidden="1">
      <c r="K62" s="692"/>
      <c r="L62" s="693"/>
      <c r="M62" s="693"/>
      <c r="N62" s="693"/>
      <c r="O62" s="693"/>
      <c r="P62" s="693"/>
      <c r="Q62" s="693"/>
      <c r="R62" s="693"/>
      <c r="S62" s="693"/>
      <c r="T62" s="693"/>
      <c r="U62" s="693"/>
      <c r="V62" s="693"/>
      <c r="W62" s="693"/>
      <c r="X62" s="693"/>
      <c r="Y62" s="693"/>
      <c r="Z62" s="693"/>
      <c r="AA62" s="693"/>
      <c r="AB62" s="693"/>
      <c r="AC62" s="693"/>
      <c r="AD62" s="693"/>
      <c r="AE62" s="693"/>
      <c r="AF62" s="693"/>
      <c r="AG62" s="693"/>
      <c r="AH62" s="693"/>
      <c r="AI62" s="693"/>
      <c r="AJ62" s="693"/>
      <c r="AK62" s="693"/>
      <c r="AL62" s="693"/>
      <c r="AM62" s="693"/>
      <c r="AN62" s="693"/>
    </row>
    <row r="63" spans="1:40" hidden="1">
      <c r="K63" s="692"/>
      <c r="L63" s="693"/>
      <c r="M63" s="693"/>
      <c r="N63" s="693"/>
      <c r="O63" s="693"/>
      <c r="P63" s="693"/>
      <c r="Q63" s="693"/>
      <c r="R63" s="693"/>
      <c r="S63" s="693"/>
      <c r="T63" s="693"/>
      <c r="U63" s="693"/>
      <c r="V63" s="693"/>
      <c r="W63" s="693"/>
      <c r="X63" s="693"/>
      <c r="Y63" s="693"/>
      <c r="Z63" s="693"/>
      <c r="AA63" s="693"/>
      <c r="AB63" s="693"/>
      <c r="AC63" s="693"/>
      <c r="AD63" s="693"/>
      <c r="AE63" s="693"/>
      <c r="AF63" s="693"/>
      <c r="AG63" s="693"/>
      <c r="AH63" s="693"/>
      <c r="AI63" s="693"/>
      <c r="AJ63" s="693"/>
      <c r="AK63" s="693"/>
      <c r="AL63" s="693"/>
      <c r="AM63" s="693"/>
      <c r="AN63" s="693"/>
    </row>
    <row r="64" spans="1:40" hidden="1">
      <c r="K64" s="692"/>
      <c r="L64" s="693"/>
      <c r="M64" s="693"/>
      <c r="N64" s="693"/>
      <c r="O64" s="693"/>
      <c r="P64" s="693"/>
      <c r="Q64" s="693"/>
      <c r="R64" s="693"/>
      <c r="S64" s="693"/>
      <c r="T64" s="693"/>
      <c r="U64" s="693"/>
      <c r="V64" s="693"/>
      <c r="W64" s="693"/>
      <c r="X64" s="693"/>
      <c r="Y64" s="693"/>
      <c r="Z64" s="693"/>
      <c r="AA64" s="693"/>
      <c r="AB64" s="693"/>
      <c r="AC64" s="693"/>
      <c r="AD64" s="693"/>
      <c r="AE64" s="693"/>
      <c r="AF64" s="693"/>
      <c r="AG64" s="693"/>
      <c r="AH64" s="693"/>
      <c r="AI64" s="693"/>
      <c r="AJ64" s="693"/>
      <c r="AK64" s="693"/>
      <c r="AL64" s="693"/>
      <c r="AM64" s="693"/>
      <c r="AN64" s="693"/>
    </row>
    <row r="65" spans="11:40" hidden="1">
      <c r="K65" s="692"/>
      <c r="L65" s="693"/>
      <c r="M65" s="693"/>
      <c r="N65" s="693"/>
      <c r="O65" s="693"/>
      <c r="P65" s="693"/>
      <c r="Q65" s="693"/>
      <c r="R65" s="693"/>
      <c r="S65" s="693"/>
      <c r="T65" s="693"/>
      <c r="U65" s="693"/>
      <c r="V65" s="693"/>
      <c r="W65" s="693"/>
      <c r="X65" s="693"/>
      <c r="Y65" s="693"/>
      <c r="Z65" s="693"/>
      <c r="AA65" s="693"/>
      <c r="AB65" s="693"/>
      <c r="AC65" s="693"/>
      <c r="AD65" s="693"/>
      <c r="AE65" s="693"/>
      <c r="AF65" s="693"/>
      <c r="AG65" s="693"/>
      <c r="AH65" s="693"/>
      <c r="AI65" s="693"/>
      <c r="AJ65" s="693"/>
      <c r="AK65" s="693"/>
      <c r="AL65" s="693"/>
      <c r="AM65" s="693"/>
      <c r="AN65" s="693"/>
    </row>
    <row r="66" spans="11:40" hidden="1">
      <c r="K66" s="692"/>
      <c r="L66" s="693"/>
      <c r="M66" s="693"/>
      <c r="N66" s="693"/>
      <c r="O66" s="693"/>
      <c r="P66" s="693"/>
      <c r="Q66" s="693"/>
      <c r="R66" s="693"/>
      <c r="S66" s="693"/>
      <c r="T66" s="693"/>
      <c r="U66" s="693"/>
      <c r="V66" s="693"/>
      <c r="W66" s="693"/>
      <c r="X66" s="693"/>
      <c r="Y66" s="693"/>
      <c r="Z66" s="693"/>
      <c r="AA66" s="693"/>
      <c r="AB66" s="693"/>
      <c r="AC66" s="693"/>
      <c r="AD66" s="693"/>
      <c r="AE66" s="693"/>
      <c r="AF66" s="693"/>
      <c r="AG66" s="693"/>
      <c r="AH66" s="693"/>
      <c r="AI66" s="693"/>
      <c r="AJ66" s="693"/>
      <c r="AK66" s="693"/>
      <c r="AL66" s="693"/>
      <c r="AM66" s="693"/>
      <c r="AN66" s="693"/>
    </row>
    <row r="67" spans="11:40" hidden="1">
      <c r="K67" s="692"/>
      <c r="L67" s="693"/>
      <c r="M67" s="693"/>
      <c r="N67" s="693"/>
      <c r="O67" s="693"/>
      <c r="P67" s="693"/>
      <c r="Q67" s="693"/>
      <c r="R67" s="693"/>
      <c r="S67" s="693"/>
      <c r="T67" s="693"/>
      <c r="U67" s="693"/>
      <c r="V67" s="693"/>
      <c r="W67" s="693"/>
      <c r="X67" s="693"/>
      <c r="Y67" s="693"/>
      <c r="Z67" s="693"/>
      <c r="AA67" s="693"/>
      <c r="AB67" s="693"/>
      <c r="AC67" s="693"/>
      <c r="AD67" s="693"/>
      <c r="AE67" s="693"/>
      <c r="AF67" s="693"/>
      <c r="AG67" s="693"/>
      <c r="AH67" s="693"/>
      <c r="AI67" s="693"/>
      <c r="AJ67" s="693"/>
      <c r="AK67" s="693"/>
      <c r="AL67" s="693"/>
      <c r="AM67" s="693"/>
      <c r="AN67" s="693"/>
    </row>
    <row r="68" spans="11:40" hidden="1">
      <c r="K68" s="692"/>
      <c r="L68" s="693"/>
      <c r="M68" s="693"/>
      <c r="N68" s="693"/>
      <c r="O68" s="693"/>
      <c r="P68" s="693"/>
      <c r="Q68" s="693"/>
      <c r="R68" s="693"/>
      <c r="S68" s="693"/>
      <c r="T68" s="693"/>
      <c r="U68" s="693"/>
      <c r="V68" s="693"/>
      <c r="W68" s="693"/>
      <c r="X68" s="693"/>
      <c r="Y68" s="693"/>
      <c r="Z68" s="693"/>
      <c r="AA68" s="693"/>
      <c r="AB68" s="693"/>
      <c r="AC68" s="693"/>
      <c r="AD68" s="693"/>
      <c r="AE68" s="693"/>
      <c r="AF68" s="693"/>
      <c r="AG68" s="693"/>
      <c r="AH68" s="693"/>
      <c r="AI68" s="693"/>
      <c r="AJ68" s="693"/>
      <c r="AK68" s="693"/>
      <c r="AL68" s="693"/>
      <c r="AM68" s="693"/>
      <c r="AN68" s="693"/>
    </row>
    <row r="69" spans="11:40" hidden="1">
      <c r="K69" s="692"/>
      <c r="L69" s="693"/>
      <c r="M69" s="693"/>
      <c r="N69" s="693"/>
      <c r="O69" s="693"/>
      <c r="P69" s="693"/>
      <c r="Q69" s="693"/>
      <c r="R69" s="693"/>
      <c r="S69" s="693"/>
      <c r="T69" s="693"/>
      <c r="U69" s="693"/>
      <c r="V69" s="693"/>
      <c r="W69" s="693"/>
      <c r="X69" s="693"/>
      <c r="Y69" s="693"/>
      <c r="Z69" s="693"/>
      <c r="AA69" s="693"/>
      <c r="AB69" s="693"/>
      <c r="AC69" s="693"/>
      <c r="AD69" s="693"/>
      <c r="AE69" s="693"/>
      <c r="AF69" s="693"/>
      <c r="AG69" s="693"/>
      <c r="AH69" s="693"/>
      <c r="AI69" s="693"/>
      <c r="AJ69" s="693"/>
      <c r="AK69" s="693"/>
      <c r="AL69" s="693"/>
      <c r="AM69" s="693"/>
      <c r="AN69" s="693"/>
    </row>
    <row r="70" spans="11:40" hidden="1">
      <c r="K70" s="692"/>
      <c r="L70" s="693"/>
      <c r="M70" s="693"/>
      <c r="N70" s="693"/>
      <c r="O70" s="693"/>
      <c r="P70" s="693"/>
      <c r="Q70" s="693"/>
      <c r="R70" s="693"/>
      <c r="S70" s="693"/>
      <c r="T70" s="693"/>
      <c r="U70" s="693"/>
      <c r="V70" s="693"/>
      <c r="W70" s="693"/>
      <c r="X70" s="693"/>
      <c r="Y70" s="693"/>
      <c r="Z70" s="693"/>
      <c r="AA70" s="693"/>
      <c r="AB70" s="693"/>
      <c r="AC70" s="693"/>
      <c r="AD70" s="693"/>
      <c r="AE70" s="693"/>
      <c r="AF70" s="693"/>
      <c r="AG70" s="693"/>
      <c r="AH70" s="693"/>
      <c r="AI70" s="693"/>
      <c r="AJ70" s="693"/>
      <c r="AK70" s="693"/>
      <c r="AL70" s="693"/>
      <c r="AM70" s="693"/>
      <c r="AN70" s="693"/>
    </row>
    <row r="71" spans="11:40">
      <c r="K71" s="692"/>
      <c r="L71" s="693"/>
      <c r="M71" s="693"/>
      <c r="N71" s="693"/>
      <c r="O71" s="693"/>
      <c r="P71" s="693"/>
      <c r="Q71" s="693"/>
      <c r="R71" s="693"/>
      <c r="S71" s="693"/>
      <c r="T71" s="693"/>
      <c r="U71" s="693"/>
      <c r="V71" s="693"/>
      <c r="W71" s="693"/>
      <c r="X71" s="693"/>
      <c r="Y71" s="693"/>
      <c r="Z71" s="693"/>
      <c r="AA71" s="693"/>
      <c r="AB71" s="693"/>
      <c r="AC71" s="693"/>
      <c r="AD71" s="693"/>
      <c r="AE71" s="693"/>
      <c r="AF71" s="693"/>
      <c r="AG71" s="693"/>
      <c r="AH71" s="693"/>
      <c r="AI71" s="693"/>
      <c r="AJ71" s="693"/>
      <c r="AK71" s="693"/>
      <c r="AL71" s="693"/>
      <c r="AM71" s="693"/>
      <c r="AN71" s="693"/>
    </row>
    <row r="72" spans="11:40">
      <c r="K72" s="692"/>
      <c r="L72" s="693"/>
      <c r="M72" s="693"/>
      <c r="N72" s="693"/>
      <c r="O72" s="693"/>
      <c r="P72" s="693"/>
      <c r="Q72" s="693"/>
      <c r="R72" s="693"/>
      <c r="S72" s="693"/>
      <c r="T72" s="693"/>
      <c r="U72" s="693"/>
      <c r="V72" s="693"/>
      <c r="W72" s="693"/>
      <c r="X72" s="693"/>
      <c r="Y72" s="693"/>
      <c r="Z72" s="693"/>
      <c r="AA72" s="693"/>
      <c r="AB72" s="693"/>
      <c r="AC72" s="693"/>
      <c r="AD72" s="693"/>
      <c r="AE72" s="693"/>
      <c r="AF72" s="693"/>
      <c r="AG72" s="693"/>
      <c r="AH72" s="693"/>
      <c r="AI72" s="693"/>
      <c r="AJ72" s="693"/>
      <c r="AK72" s="693"/>
      <c r="AL72" s="693"/>
      <c r="AM72" s="693"/>
      <c r="AN72" s="693"/>
    </row>
    <row r="73" spans="11:40">
      <c r="K73" s="692"/>
      <c r="L73" s="693"/>
      <c r="M73" s="693"/>
      <c r="N73" s="693"/>
      <c r="O73" s="693"/>
      <c r="P73" s="693"/>
      <c r="Q73" s="693"/>
      <c r="R73" s="693"/>
      <c r="S73" s="693"/>
      <c r="T73" s="693"/>
      <c r="U73" s="693"/>
      <c r="V73" s="693"/>
      <c r="W73" s="693"/>
      <c r="X73" s="693"/>
      <c r="Y73" s="693"/>
      <c r="Z73" s="693"/>
      <c r="AA73" s="693"/>
      <c r="AB73" s="693"/>
      <c r="AC73" s="693"/>
      <c r="AD73" s="693"/>
      <c r="AE73" s="693"/>
      <c r="AF73" s="693"/>
      <c r="AG73" s="693"/>
      <c r="AH73" s="693"/>
      <c r="AI73" s="693"/>
      <c r="AJ73" s="693"/>
      <c r="AK73" s="693"/>
      <c r="AL73" s="693"/>
      <c r="AM73" s="693"/>
      <c r="AN73" s="693"/>
    </row>
    <row r="74" spans="11:40">
      <c r="K74" s="692"/>
      <c r="L74" s="693"/>
      <c r="M74" s="693"/>
      <c r="N74" s="693"/>
      <c r="O74" s="693"/>
      <c r="P74" s="693"/>
      <c r="Q74" s="693"/>
      <c r="R74" s="693"/>
      <c r="S74" s="693"/>
      <c r="T74" s="693"/>
      <c r="U74" s="693"/>
      <c r="V74" s="693"/>
      <c r="W74" s="693"/>
      <c r="X74" s="693"/>
      <c r="Y74" s="693"/>
      <c r="Z74" s="693"/>
      <c r="AA74" s="693"/>
      <c r="AB74" s="693"/>
      <c r="AC74" s="693"/>
      <c r="AD74" s="693"/>
      <c r="AE74" s="693"/>
      <c r="AF74" s="693"/>
      <c r="AG74" s="693"/>
      <c r="AH74" s="693"/>
      <c r="AI74" s="693"/>
      <c r="AJ74" s="693"/>
      <c r="AK74" s="693"/>
      <c r="AL74" s="693"/>
      <c r="AM74" s="693"/>
      <c r="AN74" s="693"/>
    </row>
    <row r="75" spans="11:40">
      <c r="K75" s="692"/>
      <c r="L75" s="693"/>
      <c r="M75" s="693"/>
      <c r="N75" s="693"/>
      <c r="O75" s="693"/>
      <c r="P75" s="693"/>
      <c r="Q75" s="693"/>
      <c r="R75" s="693"/>
      <c r="S75" s="693"/>
      <c r="T75" s="693"/>
      <c r="U75" s="693"/>
      <c r="V75" s="693"/>
      <c r="W75" s="693"/>
      <c r="X75" s="693"/>
      <c r="Y75" s="693"/>
      <c r="Z75" s="693"/>
      <c r="AA75" s="693"/>
      <c r="AB75" s="693"/>
      <c r="AC75" s="693"/>
      <c r="AD75" s="693"/>
      <c r="AE75" s="693"/>
      <c r="AF75" s="693"/>
      <c r="AG75" s="693"/>
      <c r="AH75" s="693"/>
      <c r="AI75" s="693"/>
      <c r="AJ75" s="693"/>
      <c r="AK75" s="693"/>
      <c r="AL75" s="693"/>
      <c r="AM75" s="693"/>
      <c r="AN75" s="693"/>
    </row>
    <row r="76" spans="11:40">
      <c r="K76" s="692"/>
      <c r="L76" s="693"/>
      <c r="M76" s="693"/>
      <c r="N76" s="693"/>
      <c r="O76" s="693"/>
      <c r="P76" s="693"/>
      <c r="Q76" s="693"/>
      <c r="R76" s="693"/>
      <c r="S76" s="693"/>
      <c r="T76" s="693"/>
      <c r="U76" s="693"/>
      <c r="V76" s="693"/>
      <c r="W76" s="693"/>
      <c r="X76" s="693"/>
      <c r="Y76" s="693"/>
      <c r="Z76" s="693"/>
      <c r="AA76" s="693"/>
      <c r="AB76" s="693"/>
      <c r="AC76" s="693"/>
      <c r="AD76" s="693"/>
      <c r="AE76" s="693"/>
      <c r="AF76" s="693"/>
      <c r="AG76" s="693"/>
      <c r="AH76" s="693"/>
      <c r="AI76" s="693"/>
      <c r="AJ76" s="693"/>
      <c r="AK76" s="693"/>
      <c r="AL76" s="693"/>
      <c r="AM76" s="693"/>
      <c r="AN76" s="693"/>
    </row>
    <row r="77" spans="11:40">
      <c r="K77" s="692"/>
      <c r="L77" s="693"/>
      <c r="M77" s="693"/>
      <c r="N77" s="693"/>
      <c r="O77" s="693"/>
      <c r="P77" s="693"/>
      <c r="Q77" s="693"/>
      <c r="R77" s="693"/>
      <c r="S77" s="693"/>
      <c r="T77" s="693"/>
      <c r="U77" s="693"/>
      <c r="V77" s="693"/>
      <c r="W77" s="693"/>
      <c r="X77" s="693"/>
      <c r="Y77" s="693"/>
      <c r="Z77" s="693"/>
      <c r="AA77" s="693"/>
      <c r="AB77" s="693"/>
      <c r="AC77" s="693"/>
      <c r="AD77" s="693"/>
      <c r="AE77" s="693"/>
      <c r="AF77" s="693"/>
      <c r="AG77" s="693"/>
      <c r="AH77" s="693"/>
      <c r="AI77" s="693"/>
      <c r="AJ77" s="693"/>
      <c r="AK77" s="693"/>
      <c r="AL77" s="693"/>
      <c r="AM77" s="693"/>
      <c r="AN77" s="693"/>
    </row>
    <row r="78" spans="11:40">
      <c r="K78" s="692"/>
      <c r="L78" s="693"/>
      <c r="M78" s="693"/>
      <c r="N78" s="693"/>
      <c r="O78" s="693"/>
      <c r="P78" s="693"/>
      <c r="Q78" s="693"/>
      <c r="R78" s="693"/>
      <c r="S78" s="693"/>
      <c r="T78" s="693"/>
      <c r="U78" s="693"/>
      <c r="V78" s="693"/>
      <c r="W78" s="693"/>
      <c r="X78" s="693"/>
      <c r="Y78" s="693"/>
      <c r="Z78" s="693"/>
      <c r="AA78" s="693"/>
      <c r="AB78" s="693"/>
      <c r="AC78" s="693"/>
      <c r="AD78" s="693"/>
      <c r="AE78" s="693"/>
      <c r="AF78" s="693"/>
      <c r="AG78" s="693"/>
      <c r="AH78" s="693"/>
      <c r="AI78" s="693"/>
      <c r="AJ78" s="693"/>
      <c r="AK78" s="693"/>
      <c r="AL78" s="693"/>
      <c r="AM78" s="693"/>
      <c r="AN78" s="693"/>
    </row>
    <row r="79" spans="11:40">
      <c r="K79" s="692"/>
      <c r="L79" s="693"/>
      <c r="M79" s="693"/>
      <c r="N79" s="693"/>
      <c r="O79" s="693"/>
      <c r="P79" s="693"/>
      <c r="Q79" s="693"/>
      <c r="R79" s="693"/>
      <c r="S79" s="693"/>
      <c r="T79" s="693"/>
      <c r="U79" s="693"/>
      <c r="V79" s="693"/>
      <c r="W79" s="693"/>
      <c r="X79" s="693"/>
      <c r="Y79" s="693"/>
      <c r="Z79" s="693"/>
      <c r="AA79" s="693"/>
      <c r="AB79" s="693"/>
      <c r="AC79" s="693"/>
      <c r="AD79" s="693"/>
      <c r="AE79" s="693"/>
      <c r="AF79" s="693"/>
      <c r="AG79" s="693"/>
      <c r="AH79" s="693"/>
      <c r="AI79" s="693"/>
      <c r="AJ79" s="693"/>
      <c r="AK79" s="693"/>
      <c r="AL79" s="693"/>
      <c r="AM79" s="693"/>
      <c r="AN79" s="693"/>
    </row>
    <row r="80" spans="11:40">
      <c r="K80" s="692"/>
      <c r="L80" s="693"/>
      <c r="M80" s="693"/>
      <c r="N80" s="693"/>
      <c r="O80" s="693"/>
      <c r="P80" s="693"/>
      <c r="Q80" s="693"/>
      <c r="R80" s="693"/>
      <c r="S80" s="693"/>
      <c r="T80" s="693"/>
      <c r="U80" s="693"/>
      <c r="V80" s="693"/>
      <c r="W80" s="693"/>
      <c r="X80" s="693"/>
      <c r="Y80" s="693"/>
      <c r="Z80" s="693"/>
      <c r="AA80" s="693"/>
      <c r="AB80" s="693"/>
      <c r="AC80" s="693"/>
      <c r="AD80" s="693"/>
      <c r="AE80" s="693"/>
      <c r="AF80" s="693"/>
      <c r="AG80" s="693"/>
      <c r="AH80" s="693"/>
      <c r="AI80" s="693"/>
      <c r="AJ80" s="693"/>
      <c r="AK80" s="693"/>
      <c r="AL80" s="693"/>
      <c r="AM80" s="693"/>
      <c r="AN80" s="693"/>
    </row>
    <row r="81" spans="11:40">
      <c r="K81" s="692"/>
      <c r="L81" s="693"/>
      <c r="M81" s="693"/>
      <c r="N81" s="693"/>
      <c r="O81" s="693"/>
      <c r="P81" s="693"/>
      <c r="Q81" s="693"/>
      <c r="R81" s="693"/>
      <c r="S81" s="693"/>
      <c r="T81" s="693"/>
      <c r="U81" s="693"/>
      <c r="V81" s="693"/>
      <c r="W81" s="693"/>
      <c r="X81" s="693"/>
      <c r="Y81" s="693"/>
      <c r="Z81" s="693"/>
      <c r="AA81" s="693"/>
      <c r="AB81" s="693"/>
      <c r="AC81" s="693"/>
      <c r="AD81" s="693"/>
      <c r="AE81" s="693"/>
      <c r="AF81" s="693"/>
      <c r="AG81" s="693"/>
      <c r="AH81" s="693"/>
      <c r="AI81" s="693"/>
      <c r="AJ81" s="693"/>
      <c r="AK81" s="693"/>
      <c r="AL81" s="693"/>
      <c r="AM81" s="693"/>
      <c r="AN81" s="693"/>
    </row>
    <row r="82" spans="11:40">
      <c r="K82" s="692"/>
      <c r="L82" s="693"/>
      <c r="M82" s="693"/>
      <c r="N82" s="693"/>
      <c r="O82" s="693"/>
      <c r="P82" s="693"/>
      <c r="Q82" s="693"/>
      <c r="R82" s="693"/>
      <c r="S82" s="693"/>
      <c r="T82" s="693"/>
      <c r="U82" s="693"/>
      <c r="V82" s="693"/>
      <c r="W82" s="693"/>
      <c r="X82" s="693"/>
      <c r="Y82" s="693"/>
      <c r="Z82" s="693"/>
      <c r="AA82" s="693"/>
      <c r="AB82" s="693"/>
      <c r="AC82" s="693"/>
      <c r="AD82" s="693"/>
      <c r="AE82" s="693"/>
      <c r="AF82" s="693"/>
      <c r="AG82" s="693"/>
      <c r="AH82" s="693"/>
      <c r="AI82" s="693"/>
      <c r="AJ82" s="693"/>
      <c r="AK82" s="693"/>
      <c r="AL82" s="693"/>
      <c r="AM82" s="693"/>
      <c r="AN82" s="693"/>
    </row>
    <row r="83" spans="11:40">
      <c r="K83" s="692"/>
      <c r="L83" s="693"/>
      <c r="M83" s="693"/>
      <c r="N83" s="693"/>
      <c r="O83" s="693"/>
      <c r="P83" s="693"/>
      <c r="Q83" s="693"/>
      <c r="R83" s="693"/>
      <c r="S83" s="693"/>
      <c r="T83" s="693"/>
      <c r="U83" s="693"/>
      <c r="V83" s="693"/>
      <c r="W83" s="693"/>
      <c r="X83" s="693"/>
      <c r="Y83" s="693"/>
      <c r="Z83" s="693"/>
      <c r="AA83" s="693"/>
      <c r="AB83" s="693"/>
      <c r="AC83" s="693"/>
      <c r="AD83" s="693"/>
      <c r="AE83" s="693"/>
      <c r="AF83" s="693"/>
      <c r="AG83" s="693"/>
      <c r="AH83" s="693"/>
      <c r="AI83" s="693"/>
      <c r="AJ83" s="693"/>
      <c r="AK83" s="693"/>
      <c r="AL83" s="693"/>
      <c r="AM83" s="693"/>
      <c r="AN83" s="693"/>
    </row>
    <row r="84" spans="11:40">
      <c r="K84" s="692"/>
      <c r="L84" s="693"/>
      <c r="M84" s="693"/>
      <c r="N84" s="693"/>
      <c r="O84" s="693"/>
      <c r="P84" s="693"/>
      <c r="Q84" s="693"/>
      <c r="R84" s="693"/>
      <c r="S84" s="693"/>
      <c r="T84" s="693"/>
      <c r="U84" s="693"/>
      <c r="V84" s="693"/>
      <c r="W84" s="693"/>
      <c r="X84" s="693"/>
      <c r="Y84" s="693"/>
      <c r="Z84" s="693"/>
      <c r="AA84" s="693"/>
      <c r="AB84" s="693"/>
      <c r="AC84" s="693"/>
      <c r="AD84" s="693"/>
      <c r="AE84" s="693"/>
      <c r="AF84" s="693"/>
      <c r="AG84" s="693"/>
      <c r="AH84" s="693"/>
      <c r="AI84" s="693"/>
      <c r="AJ84" s="693"/>
      <c r="AK84" s="693"/>
      <c r="AL84" s="693"/>
      <c r="AM84" s="693"/>
      <c r="AN84" s="693"/>
    </row>
    <row r="85" spans="11:40">
      <c r="K85" s="692"/>
      <c r="L85" s="693"/>
      <c r="M85" s="693"/>
      <c r="N85" s="693"/>
      <c r="O85" s="693"/>
      <c r="P85" s="693"/>
      <c r="Q85" s="693"/>
      <c r="R85" s="693"/>
      <c r="S85" s="693"/>
      <c r="T85" s="693"/>
      <c r="U85" s="693"/>
      <c r="V85" s="693"/>
      <c r="W85" s="693"/>
      <c r="X85" s="693"/>
      <c r="Y85" s="693"/>
      <c r="Z85" s="693"/>
      <c r="AA85" s="693"/>
      <c r="AB85" s="693"/>
      <c r="AC85" s="693"/>
      <c r="AD85" s="693"/>
      <c r="AE85" s="693"/>
      <c r="AF85" s="693"/>
      <c r="AG85" s="693"/>
      <c r="AH85" s="693"/>
      <c r="AI85" s="693"/>
      <c r="AJ85" s="693"/>
      <c r="AK85" s="693"/>
      <c r="AL85" s="693"/>
      <c r="AM85" s="693"/>
      <c r="AN85" s="693"/>
    </row>
    <row r="86" spans="11:40">
      <c r="K86" s="692"/>
      <c r="L86" s="693"/>
      <c r="M86" s="693"/>
      <c r="N86" s="693"/>
      <c r="O86" s="693"/>
      <c r="P86" s="693"/>
      <c r="Q86" s="693"/>
      <c r="R86" s="693"/>
      <c r="S86" s="693"/>
      <c r="T86" s="693"/>
      <c r="U86" s="693"/>
      <c r="V86" s="693"/>
      <c r="W86" s="693"/>
      <c r="X86" s="693"/>
      <c r="Y86" s="693"/>
      <c r="Z86" s="693"/>
      <c r="AA86" s="693"/>
      <c r="AB86" s="693"/>
      <c r="AC86" s="693"/>
      <c r="AD86" s="693"/>
      <c r="AE86" s="693"/>
      <c r="AF86" s="693"/>
      <c r="AG86" s="693"/>
      <c r="AH86" s="693"/>
      <c r="AI86" s="693"/>
      <c r="AJ86" s="693"/>
      <c r="AK86" s="693"/>
      <c r="AL86" s="693"/>
      <c r="AM86" s="693"/>
      <c r="AN86" s="693"/>
    </row>
    <row r="87" spans="11:40">
      <c r="K87" s="692"/>
      <c r="L87" s="693"/>
      <c r="M87" s="693"/>
      <c r="N87" s="693"/>
      <c r="O87" s="693"/>
      <c r="P87" s="693"/>
      <c r="Q87" s="693"/>
      <c r="R87" s="693"/>
      <c r="S87" s="693"/>
      <c r="T87" s="693"/>
      <c r="U87" s="693"/>
      <c r="V87" s="693"/>
      <c r="W87" s="693"/>
      <c r="X87" s="693"/>
      <c r="Y87" s="693"/>
      <c r="Z87" s="693"/>
      <c r="AA87" s="693"/>
      <c r="AB87" s="693"/>
      <c r="AC87" s="693"/>
      <c r="AD87" s="693"/>
      <c r="AE87" s="693"/>
      <c r="AF87" s="693"/>
      <c r="AG87" s="693"/>
      <c r="AH87" s="693"/>
      <c r="AI87" s="693"/>
      <c r="AJ87" s="693"/>
      <c r="AK87" s="693"/>
      <c r="AL87" s="693"/>
      <c r="AM87" s="693"/>
      <c r="AN87" s="693"/>
    </row>
    <row r="88" spans="11:40">
      <c r="K88" s="692"/>
      <c r="L88" s="693"/>
      <c r="M88" s="693"/>
      <c r="N88" s="693"/>
      <c r="O88" s="693"/>
      <c r="P88" s="693"/>
      <c r="Q88" s="693"/>
      <c r="R88" s="693"/>
      <c r="S88" s="693"/>
      <c r="T88" s="693"/>
      <c r="U88" s="693"/>
      <c r="V88" s="693"/>
      <c r="W88" s="693"/>
      <c r="X88" s="693"/>
      <c r="Y88" s="693"/>
      <c r="Z88" s="693"/>
      <c r="AA88" s="693"/>
      <c r="AB88" s="693"/>
      <c r="AC88" s="693"/>
      <c r="AD88" s="693"/>
      <c r="AE88" s="693"/>
      <c r="AF88" s="693"/>
      <c r="AG88" s="693"/>
      <c r="AH88" s="693"/>
      <c r="AI88" s="693"/>
      <c r="AJ88" s="693"/>
      <c r="AK88" s="693"/>
      <c r="AL88" s="693"/>
      <c r="AM88" s="693"/>
      <c r="AN88" s="693"/>
    </row>
    <row r="89" spans="11:40">
      <c r="K89" s="692"/>
      <c r="L89" s="693"/>
      <c r="M89" s="693"/>
      <c r="N89" s="693"/>
      <c r="O89" s="693"/>
      <c r="P89" s="693"/>
      <c r="Q89" s="693"/>
      <c r="R89" s="693"/>
      <c r="S89" s="693"/>
      <c r="T89" s="693"/>
      <c r="U89" s="693"/>
      <c r="V89" s="693"/>
      <c r="W89" s="693"/>
      <c r="X89" s="693"/>
      <c r="Y89" s="693"/>
      <c r="Z89" s="693"/>
      <c r="AA89" s="693"/>
      <c r="AB89" s="693"/>
      <c r="AC89" s="693"/>
      <c r="AD89" s="693"/>
      <c r="AE89" s="693"/>
      <c r="AF89" s="693"/>
      <c r="AG89" s="693"/>
      <c r="AH89" s="693"/>
      <c r="AI89" s="693"/>
      <c r="AJ89" s="693"/>
      <c r="AK89" s="693"/>
      <c r="AL89" s="693"/>
      <c r="AM89" s="693"/>
      <c r="AN89" s="693"/>
    </row>
    <row r="90" spans="11:40">
      <c r="K90" s="692"/>
      <c r="L90" s="693"/>
      <c r="M90" s="693"/>
      <c r="N90" s="693"/>
      <c r="O90" s="693"/>
      <c r="P90" s="693"/>
      <c r="Q90" s="693"/>
      <c r="R90" s="693"/>
      <c r="S90" s="693"/>
      <c r="T90" s="693"/>
      <c r="U90" s="693"/>
      <c r="V90" s="693"/>
      <c r="W90" s="693"/>
      <c r="X90" s="693"/>
      <c r="Y90" s="693"/>
      <c r="Z90" s="693"/>
      <c r="AA90" s="693"/>
      <c r="AB90" s="693"/>
      <c r="AC90" s="693"/>
      <c r="AD90" s="693"/>
      <c r="AE90" s="693"/>
      <c r="AF90" s="693"/>
      <c r="AG90" s="693"/>
      <c r="AH90" s="693"/>
      <c r="AI90" s="693"/>
      <c r="AJ90" s="693"/>
      <c r="AK90" s="693"/>
      <c r="AL90" s="693"/>
      <c r="AM90" s="693"/>
      <c r="AN90" s="693"/>
    </row>
    <row r="91" spans="11:40">
      <c r="K91" s="692"/>
      <c r="L91" s="693"/>
      <c r="M91" s="693"/>
      <c r="N91" s="693"/>
      <c r="O91" s="693"/>
      <c r="P91" s="693"/>
      <c r="Q91" s="693"/>
      <c r="R91" s="693"/>
      <c r="S91" s="693"/>
      <c r="T91" s="693"/>
      <c r="U91" s="693"/>
      <c r="V91" s="693"/>
      <c r="W91" s="693"/>
      <c r="X91" s="693"/>
      <c r="Y91" s="693"/>
      <c r="Z91" s="693"/>
      <c r="AA91" s="693"/>
      <c r="AB91" s="693"/>
      <c r="AC91" s="693"/>
      <c r="AD91" s="693"/>
      <c r="AE91" s="693"/>
      <c r="AF91" s="693"/>
      <c r="AG91" s="693"/>
      <c r="AH91" s="693"/>
      <c r="AI91" s="693"/>
      <c r="AJ91" s="693"/>
      <c r="AK91" s="693"/>
      <c r="AL91" s="693"/>
      <c r="AM91" s="693"/>
      <c r="AN91" s="693"/>
    </row>
    <row r="92" spans="11:40">
      <c r="K92" s="692"/>
      <c r="L92" s="693"/>
      <c r="M92" s="693"/>
      <c r="N92" s="693"/>
      <c r="O92" s="693"/>
      <c r="P92" s="693"/>
      <c r="Q92" s="693"/>
      <c r="R92" s="693"/>
      <c r="S92" s="693"/>
      <c r="T92" s="693"/>
      <c r="U92" s="693"/>
      <c r="V92" s="693"/>
      <c r="W92" s="693"/>
      <c r="X92" s="693"/>
      <c r="Y92" s="693"/>
      <c r="Z92" s="693"/>
      <c r="AA92" s="693"/>
      <c r="AB92" s="693"/>
      <c r="AC92" s="693"/>
      <c r="AD92" s="693"/>
      <c r="AE92" s="693"/>
      <c r="AF92" s="693"/>
      <c r="AG92" s="693"/>
      <c r="AH92" s="693"/>
      <c r="AI92" s="693"/>
      <c r="AJ92" s="693"/>
      <c r="AK92" s="693"/>
      <c r="AL92" s="693"/>
      <c r="AM92" s="693"/>
      <c r="AN92" s="693"/>
    </row>
    <row r="93" spans="11:40">
      <c r="K93" s="692"/>
      <c r="L93" s="693"/>
      <c r="M93" s="693"/>
      <c r="N93" s="693"/>
      <c r="O93" s="693"/>
      <c r="P93" s="693"/>
      <c r="Q93" s="693"/>
      <c r="R93" s="693"/>
      <c r="S93" s="693"/>
      <c r="T93" s="693"/>
      <c r="U93" s="693"/>
      <c r="V93" s="693"/>
      <c r="W93" s="693"/>
      <c r="X93" s="693"/>
      <c r="Y93" s="693"/>
      <c r="Z93" s="693"/>
      <c r="AA93" s="693"/>
      <c r="AB93" s="693"/>
      <c r="AC93" s="693"/>
      <c r="AD93" s="693"/>
      <c r="AE93" s="693"/>
      <c r="AF93" s="693"/>
      <c r="AG93" s="693"/>
      <c r="AH93" s="693"/>
      <c r="AI93" s="693"/>
      <c r="AJ93" s="693"/>
      <c r="AK93" s="693"/>
      <c r="AL93" s="693"/>
      <c r="AM93" s="693"/>
      <c r="AN93" s="693"/>
    </row>
    <row r="94" spans="11:40">
      <c r="K94" s="692"/>
      <c r="L94" s="693"/>
      <c r="M94" s="693"/>
      <c r="N94" s="693"/>
      <c r="O94" s="693"/>
      <c r="P94" s="693"/>
      <c r="Q94" s="693"/>
      <c r="R94" s="693"/>
      <c r="S94" s="693"/>
      <c r="T94" s="693"/>
      <c r="U94" s="693"/>
      <c r="V94" s="693"/>
      <c r="W94" s="693"/>
      <c r="X94" s="693"/>
      <c r="Y94" s="693"/>
      <c r="Z94" s="693"/>
      <c r="AA94" s="693"/>
      <c r="AB94" s="693"/>
      <c r="AC94" s="693"/>
      <c r="AD94" s="693"/>
      <c r="AE94" s="693"/>
      <c r="AF94" s="693"/>
      <c r="AG94" s="693"/>
      <c r="AH94" s="693"/>
      <c r="AI94" s="693"/>
      <c r="AJ94" s="693"/>
      <c r="AK94" s="693"/>
      <c r="AL94" s="693"/>
      <c r="AM94" s="693"/>
      <c r="AN94" s="693"/>
    </row>
    <row r="95" spans="11:40">
      <c r="K95" s="692"/>
      <c r="L95" s="693"/>
      <c r="M95" s="693"/>
      <c r="N95" s="693"/>
      <c r="O95" s="693"/>
      <c r="P95" s="693"/>
      <c r="Q95" s="693"/>
      <c r="R95" s="693"/>
      <c r="S95" s="693"/>
      <c r="T95" s="693"/>
      <c r="U95" s="693"/>
      <c r="V95" s="693"/>
      <c r="W95" s="693"/>
      <c r="X95" s="693"/>
      <c r="Y95" s="693"/>
      <c r="Z95" s="693"/>
      <c r="AA95" s="693"/>
      <c r="AB95" s="693"/>
      <c r="AC95" s="693"/>
      <c r="AD95" s="693"/>
      <c r="AE95" s="693"/>
      <c r="AF95" s="693"/>
      <c r="AG95" s="693"/>
      <c r="AH95" s="693"/>
      <c r="AI95" s="693"/>
      <c r="AJ95" s="693"/>
      <c r="AK95" s="693"/>
      <c r="AL95" s="693"/>
      <c r="AM95" s="693"/>
      <c r="AN95" s="693"/>
    </row>
    <row r="96" spans="11:40">
      <c r="K96" s="692"/>
      <c r="L96" s="693"/>
      <c r="M96" s="693"/>
      <c r="N96" s="693"/>
      <c r="O96" s="693"/>
      <c r="P96" s="693"/>
      <c r="Q96" s="693"/>
      <c r="R96" s="693"/>
      <c r="S96" s="693"/>
      <c r="T96" s="693"/>
      <c r="U96" s="693"/>
      <c r="V96" s="693"/>
      <c r="W96" s="693"/>
      <c r="X96" s="693"/>
      <c r="Y96" s="693"/>
      <c r="Z96" s="693"/>
      <c r="AA96" s="693"/>
      <c r="AB96" s="693"/>
      <c r="AC96" s="693"/>
      <c r="AD96" s="693"/>
      <c r="AE96" s="693"/>
      <c r="AF96" s="693"/>
      <c r="AG96" s="693"/>
      <c r="AH96" s="693"/>
      <c r="AI96" s="693"/>
      <c r="AJ96" s="693"/>
      <c r="AK96" s="693"/>
      <c r="AL96" s="693"/>
      <c r="AM96" s="693"/>
      <c r="AN96" s="693"/>
    </row>
    <row r="97" spans="11:40">
      <c r="K97" s="692"/>
      <c r="L97" s="693"/>
      <c r="M97" s="693"/>
      <c r="N97" s="693"/>
      <c r="O97" s="693"/>
      <c r="P97" s="693"/>
      <c r="Q97" s="693"/>
      <c r="R97" s="693"/>
      <c r="S97" s="693"/>
      <c r="T97" s="693"/>
      <c r="U97" s="693"/>
      <c r="V97" s="693"/>
      <c r="W97" s="693"/>
      <c r="X97" s="693"/>
      <c r="Y97" s="693"/>
      <c r="Z97" s="693"/>
      <c r="AA97" s="693"/>
      <c r="AB97" s="693"/>
      <c r="AC97" s="693"/>
      <c r="AD97" s="693"/>
      <c r="AE97" s="693"/>
      <c r="AF97" s="693"/>
      <c r="AG97" s="693"/>
      <c r="AH97" s="693"/>
      <c r="AI97" s="693"/>
      <c r="AJ97" s="693"/>
      <c r="AK97" s="693"/>
      <c r="AL97" s="693"/>
      <c r="AM97" s="693"/>
      <c r="AN97" s="693"/>
    </row>
    <row r="98" spans="11:40">
      <c r="K98" s="692"/>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693"/>
      <c r="AK98" s="693"/>
      <c r="AL98" s="693"/>
      <c r="AM98" s="693"/>
      <c r="AN98" s="693"/>
    </row>
    <row r="99" spans="11:40">
      <c r="K99" s="692"/>
      <c r="L99" s="693"/>
      <c r="M99" s="693"/>
      <c r="N99" s="693"/>
      <c r="O99" s="693"/>
      <c r="P99" s="693"/>
      <c r="Q99" s="693"/>
      <c r="R99" s="693"/>
      <c r="S99" s="693"/>
      <c r="T99" s="693"/>
      <c r="U99" s="693"/>
      <c r="V99" s="693"/>
      <c r="W99" s="693"/>
      <c r="X99" s="693"/>
      <c r="Y99" s="693"/>
      <c r="Z99" s="693"/>
      <c r="AA99" s="693"/>
      <c r="AB99" s="693"/>
      <c r="AC99" s="693"/>
      <c r="AD99" s="693"/>
      <c r="AE99" s="693"/>
      <c r="AF99" s="693"/>
      <c r="AG99" s="693"/>
      <c r="AH99" s="693"/>
      <c r="AI99" s="693"/>
      <c r="AJ99" s="693"/>
      <c r="AK99" s="693"/>
      <c r="AL99" s="693"/>
      <c r="AM99" s="693"/>
      <c r="AN99" s="693"/>
    </row>
    <row r="100" spans="11:40">
      <c r="K100" s="692"/>
      <c r="L100" s="693"/>
      <c r="M100" s="693"/>
      <c r="N100" s="693"/>
      <c r="O100" s="693"/>
      <c r="P100" s="693"/>
      <c r="Q100" s="693"/>
      <c r="R100" s="693"/>
      <c r="S100" s="693"/>
      <c r="T100" s="693"/>
      <c r="U100" s="693"/>
      <c r="V100" s="693"/>
      <c r="W100" s="693"/>
      <c r="X100" s="693"/>
      <c r="Y100" s="693"/>
      <c r="Z100" s="693"/>
      <c r="AA100" s="693"/>
      <c r="AB100" s="693"/>
      <c r="AC100" s="693"/>
      <c r="AD100" s="693"/>
      <c r="AE100" s="693"/>
      <c r="AF100" s="693"/>
      <c r="AG100" s="693"/>
      <c r="AH100" s="693"/>
      <c r="AI100" s="693"/>
      <c r="AJ100" s="693"/>
      <c r="AK100" s="693"/>
      <c r="AL100" s="693"/>
      <c r="AM100" s="693"/>
      <c r="AN100" s="693"/>
    </row>
    <row r="101" spans="11:40">
      <c r="K101" s="692"/>
      <c r="L101" s="693"/>
      <c r="M101" s="693"/>
      <c r="N101" s="693"/>
      <c r="O101" s="693"/>
      <c r="P101" s="693"/>
      <c r="Q101" s="693"/>
      <c r="R101" s="693"/>
      <c r="S101" s="693"/>
      <c r="T101" s="693"/>
      <c r="U101" s="693"/>
      <c r="V101" s="693"/>
      <c r="W101" s="693"/>
      <c r="X101" s="693"/>
      <c r="Y101" s="693"/>
      <c r="Z101" s="693"/>
      <c r="AA101" s="693"/>
      <c r="AB101" s="693"/>
      <c r="AC101" s="693"/>
      <c r="AD101" s="693"/>
      <c r="AE101" s="693"/>
      <c r="AF101" s="693"/>
      <c r="AG101" s="693"/>
      <c r="AH101" s="693"/>
      <c r="AI101" s="693"/>
      <c r="AJ101" s="693"/>
      <c r="AK101" s="693"/>
      <c r="AL101" s="693"/>
      <c r="AM101" s="693"/>
      <c r="AN101" s="693"/>
    </row>
    <row r="102" spans="11:40">
      <c r="K102" s="692"/>
      <c r="L102" s="693"/>
      <c r="M102" s="693"/>
      <c r="N102" s="693"/>
      <c r="O102" s="693"/>
      <c r="P102" s="693"/>
      <c r="Q102" s="693"/>
      <c r="R102" s="693"/>
      <c r="S102" s="693"/>
      <c r="T102" s="693"/>
      <c r="U102" s="693"/>
      <c r="V102" s="693"/>
      <c r="W102" s="693"/>
      <c r="X102" s="693"/>
      <c r="Y102" s="693"/>
      <c r="Z102" s="693"/>
      <c r="AA102" s="693"/>
      <c r="AB102" s="693"/>
      <c r="AC102" s="693"/>
      <c r="AD102" s="693"/>
      <c r="AE102" s="693"/>
      <c r="AF102" s="693"/>
      <c r="AG102" s="693"/>
      <c r="AH102" s="693"/>
      <c r="AI102" s="693"/>
      <c r="AJ102" s="693"/>
      <c r="AK102" s="693"/>
      <c r="AL102" s="693"/>
      <c r="AM102" s="693"/>
      <c r="AN102" s="693"/>
    </row>
    <row r="103" spans="11:40">
      <c r="K103" s="692"/>
      <c r="L103" s="693"/>
      <c r="M103" s="693"/>
      <c r="N103" s="693"/>
      <c r="O103" s="693"/>
      <c r="P103" s="693"/>
      <c r="Q103" s="693"/>
      <c r="R103" s="693"/>
      <c r="S103" s="693"/>
      <c r="T103" s="693"/>
      <c r="U103" s="693"/>
      <c r="V103" s="693"/>
      <c r="W103" s="693"/>
      <c r="X103" s="693"/>
      <c r="Y103" s="693"/>
      <c r="Z103" s="693"/>
      <c r="AA103" s="693"/>
      <c r="AB103" s="693"/>
      <c r="AC103" s="693"/>
      <c r="AD103" s="693"/>
      <c r="AE103" s="693"/>
      <c r="AF103" s="693"/>
      <c r="AG103" s="693"/>
      <c r="AH103" s="693"/>
      <c r="AI103" s="693"/>
      <c r="AJ103" s="693"/>
      <c r="AK103" s="693"/>
      <c r="AL103" s="693"/>
      <c r="AM103" s="693"/>
      <c r="AN103" s="693"/>
    </row>
    <row r="104" spans="11:40">
      <c r="K104" s="692"/>
      <c r="L104" s="693"/>
      <c r="M104" s="693"/>
      <c r="N104" s="693"/>
      <c r="O104" s="693"/>
      <c r="P104" s="693"/>
      <c r="Q104" s="693"/>
      <c r="R104" s="693"/>
      <c r="S104" s="693"/>
      <c r="T104" s="693"/>
      <c r="U104" s="693"/>
      <c r="V104" s="693"/>
      <c r="W104" s="693"/>
      <c r="X104" s="693"/>
      <c r="Y104" s="693"/>
      <c r="Z104" s="693"/>
      <c r="AA104" s="693"/>
      <c r="AB104" s="693"/>
      <c r="AC104" s="693"/>
      <c r="AD104" s="693"/>
      <c r="AE104" s="693"/>
      <c r="AF104" s="693"/>
      <c r="AG104" s="693"/>
      <c r="AH104" s="693"/>
      <c r="AI104" s="693"/>
      <c r="AJ104" s="693"/>
      <c r="AK104" s="693"/>
      <c r="AL104" s="693"/>
      <c r="AM104" s="693"/>
      <c r="AN104" s="693"/>
    </row>
    <row r="105" spans="11:40">
      <c r="K105" s="692"/>
      <c r="L105" s="693"/>
      <c r="M105" s="693"/>
      <c r="N105" s="693"/>
      <c r="O105" s="693"/>
      <c r="P105" s="693"/>
      <c r="Q105" s="693"/>
      <c r="R105" s="693"/>
      <c r="S105" s="693"/>
      <c r="T105" s="693"/>
      <c r="U105" s="693"/>
      <c r="V105" s="693"/>
      <c r="W105" s="693"/>
      <c r="X105" s="693"/>
      <c r="Y105" s="693"/>
      <c r="Z105" s="693"/>
      <c r="AA105" s="693"/>
      <c r="AB105" s="693"/>
      <c r="AC105" s="693"/>
      <c r="AD105" s="693"/>
      <c r="AE105" s="693"/>
      <c r="AF105" s="693"/>
      <c r="AG105" s="693"/>
      <c r="AH105" s="693"/>
      <c r="AI105" s="693"/>
      <c r="AJ105" s="693"/>
      <c r="AK105" s="693"/>
      <c r="AL105" s="693"/>
      <c r="AM105" s="693"/>
      <c r="AN105" s="693"/>
    </row>
    <row r="106" spans="11:40">
      <c r="K106" s="692"/>
      <c r="L106" s="693"/>
      <c r="M106" s="693"/>
      <c r="N106" s="693"/>
      <c r="O106" s="693"/>
      <c r="P106" s="693"/>
      <c r="Q106" s="693"/>
      <c r="R106" s="693"/>
      <c r="S106" s="693"/>
      <c r="T106" s="693"/>
      <c r="U106" s="693"/>
      <c r="V106" s="693"/>
      <c r="W106" s="693"/>
      <c r="X106" s="693"/>
      <c r="Y106" s="693"/>
      <c r="Z106" s="693"/>
      <c r="AA106" s="693"/>
      <c r="AB106" s="693"/>
      <c r="AC106" s="693"/>
      <c r="AD106" s="693"/>
      <c r="AE106" s="693"/>
      <c r="AF106" s="693"/>
      <c r="AG106" s="693"/>
      <c r="AH106" s="693"/>
      <c r="AI106" s="693"/>
      <c r="AJ106" s="693"/>
      <c r="AK106" s="693"/>
      <c r="AL106" s="693"/>
      <c r="AM106" s="693"/>
      <c r="AN106" s="693"/>
    </row>
    <row r="107" spans="11:40">
      <c r="K107" s="692"/>
      <c r="L107" s="693"/>
      <c r="M107" s="693"/>
      <c r="N107" s="693"/>
      <c r="O107" s="693"/>
      <c r="P107" s="693"/>
      <c r="Q107" s="693"/>
      <c r="R107" s="693"/>
      <c r="S107" s="693"/>
      <c r="T107" s="693"/>
      <c r="U107" s="693"/>
      <c r="V107" s="693"/>
      <c r="W107" s="693"/>
      <c r="X107" s="693"/>
      <c r="Y107" s="693"/>
      <c r="Z107" s="693"/>
      <c r="AA107" s="693"/>
      <c r="AB107" s="693"/>
      <c r="AC107" s="693"/>
      <c r="AD107" s="693"/>
      <c r="AE107" s="693"/>
      <c r="AF107" s="693"/>
      <c r="AG107" s="693"/>
      <c r="AH107" s="693"/>
      <c r="AI107" s="693"/>
      <c r="AJ107" s="693"/>
      <c r="AK107" s="693"/>
      <c r="AL107" s="693"/>
      <c r="AM107" s="693"/>
      <c r="AN107" s="693"/>
    </row>
    <row r="108" spans="11:40">
      <c r="K108" s="692"/>
      <c r="L108" s="693"/>
      <c r="M108" s="693"/>
      <c r="N108" s="693"/>
      <c r="O108" s="693"/>
      <c r="P108" s="693"/>
      <c r="Q108" s="693"/>
      <c r="R108" s="693"/>
      <c r="S108" s="693"/>
      <c r="T108" s="693"/>
      <c r="U108" s="693"/>
      <c r="V108" s="693"/>
      <c r="W108" s="693"/>
      <c r="X108" s="693"/>
      <c r="Y108" s="693"/>
      <c r="Z108" s="693"/>
      <c r="AA108" s="693"/>
      <c r="AB108" s="693"/>
      <c r="AC108" s="693"/>
      <c r="AD108" s="693"/>
      <c r="AE108" s="693"/>
      <c r="AF108" s="693"/>
      <c r="AG108" s="693"/>
      <c r="AH108" s="693"/>
      <c r="AI108" s="693"/>
      <c r="AJ108" s="693"/>
      <c r="AK108" s="693"/>
      <c r="AL108" s="693"/>
      <c r="AM108" s="693"/>
      <c r="AN108" s="693"/>
    </row>
    <row r="109" spans="11:40">
      <c r="K109" s="692"/>
      <c r="L109" s="693"/>
      <c r="M109" s="693"/>
      <c r="N109" s="693"/>
      <c r="O109" s="693"/>
      <c r="P109" s="693"/>
      <c r="Q109" s="693"/>
      <c r="R109" s="693"/>
      <c r="S109" s="693"/>
      <c r="T109" s="693"/>
      <c r="U109" s="693"/>
      <c r="V109" s="693"/>
      <c r="W109" s="693"/>
      <c r="X109" s="693"/>
      <c r="Y109" s="693"/>
      <c r="Z109" s="693"/>
      <c r="AA109" s="693"/>
      <c r="AB109" s="693"/>
      <c r="AC109" s="693"/>
      <c r="AD109" s="693"/>
      <c r="AE109" s="693"/>
      <c r="AF109" s="693"/>
      <c r="AG109" s="693"/>
      <c r="AH109" s="693"/>
      <c r="AI109" s="693"/>
      <c r="AJ109" s="693"/>
      <c r="AK109" s="693"/>
      <c r="AL109" s="693"/>
      <c r="AM109" s="693"/>
      <c r="AN109" s="693"/>
    </row>
    <row r="110" spans="11:40">
      <c r="K110" s="692"/>
      <c r="L110" s="693"/>
      <c r="M110" s="693"/>
      <c r="N110" s="693"/>
      <c r="O110" s="693"/>
      <c r="P110" s="693"/>
      <c r="Q110" s="693"/>
      <c r="R110" s="693"/>
      <c r="S110" s="693"/>
      <c r="T110" s="693"/>
      <c r="U110" s="693"/>
      <c r="V110" s="693"/>
      <c r="W110" s="693"/>
      <c r="X110" s="693"/>
      <c r="Y110" s="693"/>
      <c r="Z110" s="693"/>
      <c r="AA110" s="693"/>
      <c r="AB110" s="693"/>
      <c r="AC110" s="693"/>
      <c r="AD110" s="693"/>
      <c r="AE110" s="693"/>
      <c r="AF110" s="693"/>
      <c r="AG110" s="693"/>
      <c r="AH110" s="693"/>
      <c r="AI110" s="693"/>
      <c r="AJ110" s="693"/>
      <c r="AK110" s="693"/>
      <c r="AL110" s="693"/>
      <c r="AM110" s="693"/>
      <c r="AN110" s="693"/>
    </row>
    <row r="111" spans="11:40">
      <c r="K111" s="692"/>
      <c r="L111" s="693"/>
      <c r="M111" s="693"/>
      <c r="N111" s="693"/>
      <c r="O111" s="693"/>
      <c r="P111" s="693"/>
      <c r="Q111" s="693"/>
      <c r="R111" s="693"/>
      <c r="S111" s="693"/>
      <c r="T111" s="693"/>
      <c r="U111" s="693"/>
      <c r="V111" s="693"/>
      <c r="W111" s="693"/>
      <c r="X111" s="693"/>
      <c r="Y111" s="693"/>
      <c r="Z111" s="693"/>
      <c r="AA111" s="693"/>
      <c r="AB111" s="693"/>
      <c r="AC111" s="693"/>
      <c r="AD111" s="693"/>
      <c r="AE111" s="693"/>
      <c r="AF111" s="693"/>
      <c r="AG111" s="693"/>
      <c r="AH111" s="693"/>
      <c r="AI111" s="693"/>
      <c r="AJ111" s="693"/>
      <c r="AK111" s="693"/>
      <c r="AL111" s="693"/>
      <c r="AM111" s="693"/>
      <c r="AN111" s="693"/>
    </row>
    <row r="112" spans="11:40">
      <c r="K112" s="692"/>
      <c r="L112" s="693"/>
      <c r="M112" s="693"/>
      <c r="N112" s="693"/>
      <c r="O112" s="693"/>
      <c r="P112" s="693"/>
      <c r="Q112" s="693"/>
      <c r="R112" s="693"/>
      <c r="S112" s="693"/>
      <c r="T112" s="693"/>
      <c r="U112" s="693"/>
      <c r="V112" s="693"/>
      <c r="W112" s="693"/>
      <c r="X112" s="693"/>
      <c r="Y112" s="693"/>
      <c r="Z112" s="693"/>
      <c r="AA112" s="693"/>
      <c r="AB112" s="693"/>
      <c r="AC112" s="693"/>
      <c r="AD112" s="693"/>
      <c r="AE112" s="693"/>
      <c r="AF112" s="693"/>
      <c r="AG112" s="693"/>
      <c r="AH112" s="693"/>
      <c r="AI112" s="693"/>
      <c r="AJ112" s="693"/>
      <c r="AK112" s="693"/>
      <c r="AL112" s="693"/>
      <c r="AM112" s="693"/>
      <c r="AN112" s="693"/>
    </row>
    <row r="113" spans="11:40">
      <c r="K113" s="692"/>
      <c r="L113" s="693"/>
      <c r="M113" s="693"/>
      <c r="N113" s="693"/>
      <c r="O113" s="693"/>
      <c r="P113" s="693"/>
      <c r="Q113" s="693"/>
      <c r="R113" s="693"/>
      <c r="S113" s="693"/>
      <c r="T113" s="693"/>
      <c r="U113" s="693"/>
      <c r="V113" s="693"/>
      <c r="W113" s="693"/>
      <c r="X113" s="693"/>
      <c r="Y113" s="693"/>
      <c r="Z113" s="693"/>
      <c r="AA113" s="693"/>
      <c r="AB113" s="693"/>
      <c r="AC113" s="693"/>
      <c r="AD113" s="693"/>
      <c r="AE113" s="693"/>
      <c r="AF113" s="693"/>
      <c r="AG113" s="693"/>
      <c r="AH113" s="693"/>
      <c r="AI113" s="693"/>
      <c r="AJ113" s="693"/>
      <c r="AK113" s="693"/>
      <c r="AL113" s="693"/>
      <c r="AM113" s="693"/>
      <c r="AN113" s="693"/>
    </row>
    <row r="114" spans="11:40">
      <c r="K114" s="692"/>
      <c r="L114" s="693"/>
      <c r="M114" s="693"/>
      <c r="N114" s="693"/>
      <c r="O114" s="693"/>
      <c r="P114" s="693"/>
      <c r="Q114" s="693"/>
      <c r="R114" s="693"/>
      <c r="S114" s="693"/>
      <c r="T114" s="693"/>
      <c r="U114" s="693"/>
      <c r="V114" s="693"/>
      <c r="W114" s="693"/>
      <c r="X114" s="693"/>
      <c r="Y114" s="693"/>
      <c r="Z114" s="693"/>
      <c r="AA114" s="693"/>
      <c r="AB114" s="693"/>
      <c r="AC114" s="693"/>
      <c r="AD114" s="693"/>
      <c r="AE114" s="693"/>
      <c r="AF114" s="693"/>
      <c r="AG114" s="693"/>
      <c r="AH114" s="693"/>
      <c r="AI114" s="693"/>
      <c r="AJ114" s="693"/>
      <c r="AK114" s="693"/>
      <c r="AL114" s="693"/>
      <c r="AM114" s="693"/>
      <c r="AN114" s="693"/>
    </row>
    <row r="115" spans="11:40">
      <c r="K115" s="692"/>
      <c r="L115" s="693"/>
      <c r="M115" s="693"/>
      <c r="N115" s="693"/>
      <c r="O115" s="693"/>
      <c r="P115" s="693"/>
      <c r="Q115" s="693"/>
      <c r="R115" s="693"/>
      <c r="S115" s="693"/>
      <c r="T115" s="693"/>
      <c r="U115" s="693"/>
      <c r="V115" s="693"/>
      <c r="W115" s="693"/>
      <c r="X115" s="693"/>
      <c r="Y115" s="693"/>
      <c r="Z115" s="693"/>
      <c r="AA115" s="693"/>
      <c r="AB115" s="693"/>
      <c r="AC115" s="693"/>
      <c r="AD115" s="693"/>
      <c r="AE115" s="693"/>
      <c r="AF115" s="693"/>
      <c r="AG115" s="693"/>
      <c r="AH115" s="693"/>
      <c r="AI115" s="693"/>
      <c r="AJ115" s="693"/>
      <c r="AK115" s="693"/>
      <c r="AL115" s="693"/>
      <c r="AM115" s="693"/>
      <c r="AN115" s="693"/>
    </row>
    <row r="116" spans="11:40">
      <c r="K116" s="692"/>
      <c r="L116" s="693"/>
      <c r="M116" s="693"/>
      <c r="N116" s="693"/>
      <c r="O116" s="693"/>
      <c r="P116" s="693"/>
      <c r="Q116" s="693"/>
      <c r="R116" s="693"/>
      <c r="S116" s="693"/>
      <c r="T116" s="693"/>
      <c r="U116" s="693"/>
      <c r="V116" s="693"/>
      <c r="W116" s="693"/>
      <c r="X116" s="693"/>
      <c r="Y116" s="693"/>
      <c r="Z116" s="693"/>
      <c r="AA116" s="693"/>
      <c r="AB116" s="693"/>
      <c r="AC116" s="693"/>
      <c r="AD116" s="693"/>
      <c r="AE116" s="693"/>
      <c r="AF116" s="693"/>
      <c r="AG116" s="693"/>
      <c r="AH116" s="693"/>
      <c r="AI116" s="693"/>
      <c r="AJ116" s="693"/>
      <c r="AK116" s="693"/>
      <c r="AL116" s="693"/>
      <c r="AM116" s="693"/>
      <c r="AN116" s="693"/>
    </row>
    <row r="117" spans="11:40">
      <c r="K117" s="692"/>
      <c r="L117" s="693"/>
      <c r="M117" s="693"/>
      <c r="N117" s="693"/>
      <c r="O117" s="693"/>
      <c r="P117" s="693"/>
      <c r="Q117" s="693"/>
      <c r="R117" s="693"/>
      <c r="S117" s="693"/>
      <c r="T117" s="693"/>
      <c r="U117" s="693"/>
      <c r="V117" s="693"/>
      <c r="W117" s="693"/>
      <c r="X117" s="693"/>
      <c r="Y117" s="693"/>
      <c r="Z117" s="693"/>
      <c r="AA117" s="693"/>
      <c r="AB117" s="693"/>
      <c r="AC117" s="693"/>
      <c r="AD117" s="693"/>
      <c r="AE117" s="693"/>
      <c r="AF117" s="693"/>
      <c r="AG117" s="693"/>
      <c r="AH117" s="693"/>
      <c r="AI117" s="693"/>
      <c r="AJ117" s="693"/>
      <c r="AK117" s="693"/>
      <c r="AL117" s="693"/>
      <c r="AM117" s="693"/>
      <c r="AN117" s="693"/>
    </row>
    <row r="118" spans="11:40">
      <c r="K118" s="692"/>
      <c r="L118" s="693"/>
      <c r="M118" s="693"/>
      <c r="N118" s="693"/>
      <c r="O118" s="693"/>
      <c r="P118" s="693"/>
      <c r="Q118" s="693"/>
      <c r="R118" s="693"/>
      <c r="S118" s="693"/>
      <c r="T118" s="693"/>
      <c r="U118" s="693"/>
      <c r="V118" s="693"/>
      <c r="W118" s="693"/>
      <c r="X118" s="693"/>
      <c r="Y118" s="693"/>
      <c r="Z118" s="693"/>
      <c r="AA118" s="693"/>
      <c r="AB118" s="693"/>
      <c r="AC118" s="693"/>
      <c r="AD118" s="693"/>
      <c r="AE118" s="693"/>
      <c r="AF118" s="693"/>
      <c r="AG118" s="693"/>
      <c r="AH118" s="693"/>
      <c r="AI118" s="693"/>
      <c r="AJ118" s="693"/>
      <c r="AK118" s="693"/>
      <c r="AL118" s="693"/>
      <c r="AM118" s="693"/>
      <c r="AN118" s="693"/>
    </row>
  </sheetData>
  <sheetProtection sheet="1" objects="1" scenarios="1"/>
  <mergeCells count="3">
    <mergeCell ref="B2:B4"/>
    <mergeCell ref="F2:H2"/>
    <mergeCell ref="A2:A3"/>
  </mergeCells>
  <phoneticPr fontId="3" type="noConversion"/>
  <hyperlinks>
    <hyperlink ref="A51" location="_ftn22" display="22 Use as basis 1 000m² erf, 150m² improvements, 1 000 units electricity and 30kl water."/>
    <hyperlink ref="A53" location="_ftn24" display="24 Use as basis 300m² erf, 48m² improvements, 498 units electricity and 25kl water."/>
    <hyperlink ref="A52" location="_ftn24" display="24 Use as basis 300m² erf, 48m² improvements, 498 units electricity and 25kl water."/>
  </hyperlinks>
  <printOptions horizontalCentered="1"/>
  <pageMargins left="0" right="0" top="0.78740157480314965" bottom="0.59055118110236227" header="0.51181102362204722" footer="0.51181102362204722"/>
  <pageSetup paperSize="9" scale="83"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enableFormatConditionsCalculation="0">
    <tabColor indexed="42"/>
    <pageSetUpPr fitToPage="1"/>
  </sheetPr>
  <dimension ref="A1:O70"/>
  <sheetViews>
    <sheetView showGridLines="0" workbookViewId="0">
      <pane xSplit="2" ySplit="4" topLeftCell="C11" activePane="bottomRight" state="frozen"/>
      <selection activeCell="O37" sqref="A1:IV65536"/>
      <selection pane="topRight" activeCell="O37" sqref="A1:IV65536"/>
      <selection pane="bottomLeft" activeCell="O37" sqref="A1:IV65536"/>
      <selection pane="bottomRight" activeCell="I9" sqref="I9"/>
    </sheetView>
  </sheetViews>
  <sheetFormatPr defaultRowHeight="12.75"/>
  <cols>
    <col min="1" max="1" width="30.7109375" style="150" customWidth="1"/>
    <col min="2" max="2" width="3" style="233" hidden="1" customWidth="1"/>
    <col min="3" max="11" width="9.28515625" style="150" customWidth="1"/>
    <col min="12" max="12" width="9.85546875" style="150" customWidth="1"/>
    <col min="13" max="13" width="9.5703125" style="150" customWidth="1"/>
    <col min="14" max="14" width="9.85546875" style="150" customWidth="1"/>
    <col min="15" max="17" width="9.5703125" style="150" customWidth="1"/>
    <col min="18" max="18" width="9.85546875" style="150" customWidth="1"/>
    <col min="19" max="21" width="9.5703125" style="150" customWidth="1"/>
    <col min="22" max="23" width="9.85546875" style="150" customWidth="1"/>
    <col min="24" max="16384" width="9.140625" style="150"/>
  </cols>
  <sheetData>
    <row r="1" spans="1:11" ht="13.5">
      <c r="A1" s="148" t="str">
        <f>muni&amp;" - "&amp;TableA15</f>
        <v>NC071 Ubuntu - Supporting Table SA15 Investment particulars by type</v>
      </c>
      <c r="B1" s="148"/>
      <c r="C1" s="148"/>
      <c r="D1" s="148"/>
      <c r="E1" s="148"/>
      <c r="F1" s="148"/>
      <c r="G1" s="148"/>
      <c r="H1" s="148"/>
      <c r="I1" s="148"/>
      <c r="J1" s="148"/>
      <c r="K1" s="148"/>
    </row>
    <row r="2" spans="1:11" ht="28.5" customHeight="1">
      <c r="A2" s="2816" t="s">
        <v>612</v>
      </c>
      <c r="B2" s="2798" t="str">
        <f>head27</f>
        <v>Ref</v>
      </c>
      <c r="C2" s="146" t="str">
        <f>head1b</f>
        <v>2007/8</v>
      </c>
      <c r="D2" s="151" t="str">
        <f>head1A</f>
        <v>2008/9</v>
      </c>
      <c r="E2" s="147" t="str">
        <f>Head1</f>
        <v>2009/10</v>
      </c>
      <c r="F2" s="2772" t="str">
        <f>Head2</f>
        <v>Current Year 2010/11</v>
      </c>
      <c r="G2" s="2773"/>
      <c r="H2" s="2777"/>
      <c r="I2" s="2769" t="str">
        <f>Head3</f>
        <v>2011/12 Medium Term Revenue &amp; Expenditure Framework</v>
      </c>
      <c r="J2" s="2770"/>
      <c r="K2" s="2771"/>
    </row>
    <row r="3" spans="1:11" ht="25.5">
      <c r="A3" s="2817"/>
      <c r="B3" s="2799"/>
      <c r="C3" s="155" t="str">
        <f>Head5</f>
        <v>Audited Outcome</v>
      </c>
      <c r="D3" s="153" t="str">
        <f>Head5</f>
        <v>Audited Outcome</v>
      </c>
      <c r="E3" s="154" t="str">
        <f>Head5</f>
        <v>Audited Outcome</v>
      </c>
      <c r="F3" s="152" t="str">
        <f>Head6</f>
        <v>Original Budget</v>
      </c>
      <c r="G3" s="153" t="str">
        <f>Head7</f>
        <v>Adjusted Budget</v>
      </c>
      <c r="H3" s="154" t="str">
        <f>Head8</f>
        <v>Full Year Forecast</v>
      </c>
      <c r="I3" s="152" t="str">
        <f>Head9</f>
        <v>Budget Year 2011/12</v>
      </c>
      <c r="J3" s="153" t="str">
        <f>Head10</f>
        <v>Budget Year +1 2012/13</v>
      </c>
      <c r="K3" s="154" t="str">
        <f>Head11</f>
        <v>Budget Year +2 2013/14</v>
      </c>
    </row>
    <row r="4" spans="1:11">
      <c r="A4" s="169" t="s">
        <v>697</v>
      </c>
      <c r="B4" s="2804"/>
      <c r="C4" s="138"/>
      <c r="D4" s="138"/>
      <c r="E4" s="157"/>
      <c r="F4" s="156"/>
      <c r="G4" s="138"/>
      <c r="H4" s="157"/>
      <c r="I4" s="156"/>
      <c r="J4" s="138"/>
      <c r="K4" s="157"/>
    </row>
    <row r="5" spans="1:11">
      <c r="A5" s="235" t="s">
        <v>180</v>
      </c>
      <c r="B5" s="276"/>
      <c r="C5" s="694"/>
      <c r="D5" s="694"/>
      <c r="E5" s="695"/>
      <c r="F5" s="696"/>
      <c r="G5" s="694"/>
      <c r="H5" s="697"/>
      <c r="I5" s="698"/>
      <c r="J5" s="694"/>
      <c r="K5" s="695"/>
    </row>
    <row r="6" spans="1:11" ht="11.25" customHeight="1">
      <c r="A6" s="236" t="s">
        <v>1677</v>
      </c>
      <c r="B6" s="278"/>
      <c r="C6" s="2134">
        <v>0</v>
      </c>
      <c r="D6" s="2134">
        <v>0</v>
      </c>
      <c r="E6" s="2135">
        <v>0</v>
      </c>
      <c r="F6" s="2136">
        <v>0</v>
      </c>
      <c r="G6" s="2134">
        <v>0</v>
      </c>
      <c r="H6" s="2137">
        <v>0</v>
      </c>
      <c r="I6" s="2138">
        <v>0</v>
      </c>
      <c r="J6" s="2134">
        <v>0</v>
      </c>
      <c r="K6" s="2135">
        <v>0</v>
      </c>
    </row>
    <row r="7" spans="1:11" ht="11.25" customHeight="1">
      <c r="A7" s="236" t="s">
        <v>1678</v>
      </c>
      <c r="B7" s="278"/>
      <c r="C7" s="2134">
        <v>0</v>
      </c>
      <c r="D7" s="2134">
        <v>0</v>
      </c>
      <c r="E7" s="2135">
        <v>0</v>
      </c>
      <c r="F7" s="2136">
        <v>0</v>
      </c>
      <c r="G7" s="2134">
        <v>0</v>
      </c>
      <c r="H7" s="2137">
        <v>0</v>
      </c>
      <c r="I7" s="2138">
        <v>0</v>
      </c>
      <c r="J7" s="2134">
        <v>0</v>
      </c>
      <c r="K7" s="2135">
        <v>0</v>
      </c>
    </row>
    <row r="8" spans="1:11" ht="11.25" customHeight="1">
      <c r="A8" s="236" t="s">
        <v>1680</v>
      </c>
      <c r="B8" s="278"/>
      <c r="C8" s="2134">
        <v>0</v>
      </c>
      <c r="D8" s="2134">
        <f>[5]SA15!$E$8</f>
        <v>2536434</v>
      </c>
      <c r="E8" s="2135">
        <f>[5]SA15!$F$8</f>
        <v>2373000</v>
      </c>
      <c r="F8" s="2136">
        <f>[5]SA15!$I$8</f>
        <v>4920000</v>
      </c>
      <c r="G8" s="2134">
        <f>[5]SA15!$J$8</f>
        <v>5035000</v>
      </c>
      <c r="H8" s="2137">
        <v>0</v>
      </c>
      <c r="I8" s="2138">
        <f>10416599.36+76225+1344218.81</f>
        <v>11837043.17</v>
      </c>
      <c r="J8" s="2134">
        <v>0</v>
      </c>
      <c r="K8" s="2135">
        <v>0</v>
      </c>
    </row>
    <row r="9" spans="1:11" ht="11.25" customHeight="1">
      <c r="A9" s="236" t="s">
        <v>1679</v>
      </c>
      <c r="B9" s="278"/>
      <c r="C9" s="2134">
        <v>0</v>
      </c>
      <c r="D9" s="2134">
        <v>0</v>
      </c>
      <c r="E9" s="2135">
        <v>0</v>
      </c>
      <c r="F9" s="2136">
        <v>0</v>
      </c>
      <c r="G9" s="2134">
        <v>0</v>
      </c>
      <c r="H9" s="2137">
        <v>0</v>
      </c>
      <c r="I9" s="2138">
        <v>0</v>
      </c>
      <c r="J9" s="2134">
        <v>0</v>
      </c>
      <c r="K9" s="2135">
        <v>0</v>
      </c>
    </row>
    <row r="10" spans="1:11" ht="11.25" customHeight="1">
      <c r="A10" s="236" t="s">
        <v>1681</v>
      </c>
      <c r="B10" s="278"/>
      <c r="C10" s="2134">
        <v>0</v>
      </c>
      <c r="D10" s="2134">
        <v>0</v>
      </c>
      <c r="E10" s="2135">
        <v>0</v>
      </c>
      <c r="F10" s="2136">
        <v>0</v>
      </c>
      <c r="G10" s="2134">
        <v>0</v>
      </c>
      <c r="H10" s="2137">
        <v>0</v>
      </c>
      <c r="I10" s="2138">
        <v>0</v>
      </c>
      <c r="J10" s="2134">
        <v>0</v>
      </c>
      <c r="K10" s="2135">
        <v>0</v>
      </c>
    </row>
    <row r="11" spans="1:11" ht="11.25" customHeight="1">
      <c r="A11" s="236" t="s">
        <v>1682</v>
      </c>
      <c r="B11" s="278"/>
      <c r="C11" s="2134">
        <v>0</v>
      </c>
      <c r="D11" s="2134">
        <v>0</v>
      </c>
      <c r="E11" s="2135">
        <v>0</v>
      </c>
      <c r="F11" s="2136">
        <v>0</v>
      </c>
      <c r="G11" s="2134">
        <v>0</v>
      </c>
      <c r="H11" s="2137">
        <v>0</v>
      </c>
      <c r="I11" s="2138">
        <v>0</v>
      </c>
      <c r="J11" s="2134">
        <v>0</v>
      </c>
      <c r="K11" s="2135">
        <v>0</v>
      </c>
    </row>
    <row r="12" spans="1:11" ht="11.25" customHeight="1">
      <c r="A12" s="236" t="s">
        <v>1683</v>
      </c>
      <c r="B12" s="278"/>
      <c r="C12" s="2134">
        <v>0</v>
      </c>
      <c r="D12" s="2134">
        <v>0</v>
      </c>
      <c r="E12" s="2135">
        <v>0</v>
      </c>
      <c r="F12" s="2136">
        <v>0</v>
      </c>
      <c r="G12" s="2134">
        <v>0</v>
      </c>
      <c r="H12" s="2137">
        <v>0</v>
      </c>
      <c r="I12" s="2138">
        <v>0</v>
      </c>
      <c r="J12" s="2134">
        <v>0</v>
      </c>
      <c r="K12" s="2135">
        <v>0</v>
      </c>
    </row>
    <row r="13" spans="1:11" ht="11.25" customHeight="1">
      <c r="A13" s="236" t="s">
        <v>1684</v>
      </c>
      <c r="B13" s="278"/>
      <c r="C13" s="2134">
        <v>0</v>
      </c>
      <c r="D13" s="2134">
        <v>0</v>
      </c>
      <c r="E13" s="2135">
        <v>0</v>
      </c>
      <c r="F13" s="2136">
        <v>0</v>
      </c>
      <c r="G13" s="2134">
        <v>0</v>
      </c>
      <c r="H13" s="2137">
        <v>0</v>
      </c>
      <c r="I13" s="2138">
        <v>0</v>
      </c>
      <c r="J13" s="2134">
        <v>0</v>
      </c>
      <c r="K13" s="2135">
        <v>0</v>
      </c>
    </row>
    <row r="14" spans="1:11" ht="11.25" customHeight="1">
      <c r="A14" s="236" t="s">
        <v>1685</v>
      </c>
      <c r="B14" s="278"/>
      <c r="C14" s="2134">
        <v>0</v>
      </c>
      <c r="D14" s="2134">
        <v>0</v>
      </c>
      <c r="E14" s="2135">
        <v>0</v>
      </c>
      <c r="F14" s="2136">
        <v>0</v>
      </c>
      <c r="G14" s="2134"/>
      <c r="H14" s="2137">
        <v>0</v>
      </c>
      <c r="I14" s="2138">
        <v>0</v>
      </c>
      <c r="J14" s="2134">
        <v>0</v>
      </c>
      <c r="K14" s="2135">
        <v>0</v>
      </c>
    </row>
    <row r="15" spans="1:11" ht="11.25" customHeight="1">
      <c r="A15" s="236" t="s">
        <v>1686</v>
      </c>
      <c r="B15" s="278"/>
      <c r="C15" s="2134">
        <v>0</v>
      </c>
      <c r="D15" s="2134">
        <v>0</v>
      </c>
      <c r="E15" s="2135">
        <v>0</v>
      </c>
      <c r="F15" s="2136">
        <v>0</v>
      </c>
      <c r="G15" s="2134">
        <v>0</v>
      </c>
      <c r="H15" s="2137">
        <v>0</v>
      </c>
      <c r="I15" s="2138">
        <v>0</v>
      </c>
      <c r="J15" s="2134">
        <v>0</v>
      </c>
      <c r="K15" s="2135">
        <v>0</v>
      </c>
    </row>
    <row r="16" spans="1:11" ht="5.0999999999999996" customHeight="1">
      <c r="A16" s="259"/>
      <c r="B16" s="278"/>
      <c r="C16" s="1061"/>
      <c r="D16" s="1061"/>
      <c r="E16" s="1062"/>
      <c r="F16" s="1063"/>
      <c r="G16" s="1061"/>
      <c r="H16" s="1064"/>
      <c r="I16" s="1065"/>
      <c r="J16" s="1061"/>
      <c r="K16" s="1062"/>
    </row>
    <row r="17" spans="1:11" ht="11.25" customHeight="1">
      <c r="A17" s="251" t="s">
        <v>179</v>
      </c>
      <c r="B17" s="278">
        <v>1</v>
      </c>
      <c r="C17" s="701">
        <f t="shared" ref="C17:K17" si="0">SUM(C6:C15)</f>
        <v>0</v>
      </c>
      <c r="D17" s="701">
        <f t="shared" si="0"/>
        <v>2536434</v>
      </c>
      <c r="E17" s="702">
        <f t="shared" si="0"/>
        <v>2373000</v>
      </c>
      <c r="F17" s="703">
        <f t="shared" si="0"/>
        <v>4920000</v>
      </c>
      <c r="G17" s="701">
        <f t="shared" si="0"/>
        <v>5035000</v>
      </c>
      <c r="H17" s="704">
        <f t="shared" si="0"/>
        <v>0</v>
      </c>
      <c r="I17" s="705">
        <f t="shared" si="0"/>
        <v>11837043.17</v>
      </c>
      <c r="J17" s="701">
        <f t="shared" si="0"/>
        <v>0</v>
      </c>
      <c r="K17" s="702">
        <f t="shared" si="0"/>
        <v>0</v>
      </c>
    </row>
    <row r="18" spans="1:11" ht="5.0999999999999996" customHeight="1">
      <c r="A18" s="259"/>
      <c r="B18" s="278"/>
      <c r="C18" s="699"/>
      <c r="D18" s="699"/>
      <c r="E18" s="695"/>
      <c r="F18" s="696"/>
      <c r="G18" s="699"/>
      <c r="H18" s="697"/>
      <c r="I18" s="700"/>
      <c r="J18" s="699"/>
      <c r="K18" s="695"/>
    </row>
    <row r="19" spans="1:11" ht="11.25" customHeight="1">
      <c r="A19" s="235" t="s">
        <v>711</v>
      </c>
      <c r="B19" s="278"/>
      <c r="C19" s="699"/>
      <c r="D19" s="699"/>
      <c r="E19" s="695"/>
      <c r="F19" s="696"/>
      <c r="G19" s="699"/>
      <c r="H19" s="697"/>
      <c r="I19" s="700"/>
      <c r="J19" s="699"/>
      <c r="K19" s="695"/>
    </row>
    <row r="20" spans="1:11" ht="11.25" customHeight="1">
      <c r="A20" s="236" t="str">
        <f>A6</f>
        <v>Securities - National Government</v>
      </c>
      <c r="B20" s="278"/>
      <c r="C20" s="2134">
        <v>0</v>
      </c>
      <c r="D20" s="2134">
        <v>0</v>
      </c>
      <c r="E20" s="2135">
        <v>0</v>
      </c>
      <c r="F20" s="2136">
        <v>0</v>
      </c>
      <c r="G20" s="2134">
        <v>0</v>
      </c>
      <c r="H20" s="2137">
        <v>0</v>
      </c>
      <c r="I20" s="2138">
        <v>0</v>
      </c>
      <c r="J20" s="2134">
        <v>0</v>
      </c>
      <c r="K20" s="2135">
        <v>0</v>
      </c>
    </row>
    <row r="21" spans="1:11" ht="11.25" customHeight="1">
      <c r="A21" s="236" t="str">
        <f t="shared" ref="A21:A28" si="1">A7</f>
        <v>Listed Corporate Bonds</v>
      </c>
      <c r="B21" s="278"/>
      <c r="C21" s="2134">
        <v>0</v>
      </c>
      <c r="D21" s="2134">
        <v>0</v>
      </c>
      <c r="E21" s="2135">
        <v>0</v>
      </c>
      <c r="F21" s="2136">
        <v>0</v>
      </c>
      <c r="G21" s="2134">
        <v>0</v>
      </c>
      <c r="H21" s="2137">
        <v>0</v>
      </c>
      <c r="I21" s="2138">
        <v>0</v>
      </c>
      <c r="J21" s="2134">
        <v>0</v>
      </c>
      <c r="K21" s="2135">
        <v>0</v>
      </c>
    </row>
    <row r="22" spans="1:11" ht="11.25" customHeight="1">
      <c r="A22" s="236" t="str">
        <f t="shared" si="1"/>
        <v>Deposits - Bank</v>
      </c>
      <c r="B22" s="278"/>
      <c r="C22" s="2134">
        <v>0</v>
      </c>
      <c r="D22" s="2134">
        <v>0</v>
      </c>
      <c r="E22" s="2135">
        <v>0</v>
      </c>
      <c r="F22" s="2136">
        <v>0</v>
      </c>
      <c r="G22" s="2134">
        <v>0</v>
      </c>
      <c r="H22" s="2137">
        <v>0</v>
      </c>
      <c r="I22" s="2138">
        <v>0</v>
      </c>
      <c r="J22" s="2134">
        <v>0</v>
      </c>
      <c r="K22" s="2135">
        <v>0</v>
      </c>
    </row>
    <row r="23" spans="1:11" ht="11.25" customHeight="1">
      <c r="A23" s="236" t="str">
        <f t="shared" si="1"/>
        <v>Deposits - Public Investment Commissioners</v>
      </c>
      <c r="B23" s="278"/>
      <c r="C23" s="2134">
        <v>0</v>
      </c>
      <c r="D23" s="2134">
        <v>0</v>
      </c>
      <c r="E23" s="2135">
        <v>0</v>
      </c>
      <c r="F23" s="2136">
        <v>0</v>
      </c>
      <c r="G23" s="2134">
        <v>0</v>
      </c>
      <c r="H23" s="2137">
        <v>0</v>
      </c>
      <c r="I23" s="2138">
        <v>0</v>
      </c>
      <c r="J23" s="2134">
        <v>0</v>
      </c>
      <c r="K23" s="2135">
        <v>0</v>
      </c>
    </row>
    <row r="24" spans="1:11" ht="11.25" customHeight="1">
      <c r="A24" s="236" t="str">
        <f t="shared" si="1"/>
        <v>Deposits - Corporation for Public Deposits</v>
      </c>
      <c r="B24" s="278"/>
      <c r="C24" s="2134">
        <v>0</v>
      </c>
      <c r="D24" s="2134">
        <v>0</v>
      </c>
      <c r="E24" s="2135">
        <v>0</v>
      </c>
      <c r="F24" s="2136">
        <v>0</v>
      </c>
      <c r="G24" s="2134">
        <v>0</v>
      </c>
      <c r="H24" s="2137">
        <v>0</v>
      </c>
      <c r="I24" s="2138">
        <v>0</v>
      </c>
      <c r="J24" s="2134">
        <v>0</v>
      </c>
      <c r="K24" s="2135">
        <v>0</v>
      </c>
    </row>
    <row r="25" spans="1:11" ht="11.25" customHeight="1">
      <c r="A25" s="236" t="str">
        <f t="shared" si="1"/>
        <v>Bankers Acceptance Certificates</v>
      </c>
      <c r="B25" s="278"/>
      <c r="C25" s="2134">
        <v>0</v>
      </c>
      <c r="D25" s="2134">
        <v>0</v>
      </c>
      <c r="E25" s="2135">
        <v>0</v>
      </c>
      <c r="F25" s="2136">
        <v>0</v>
      </c>
      <c r="G25" s="2134">
        <v>0</v>
      </c>
      <c r="H25" s="2137">
        <v>0</v>
      </c>
      <c r="I25" s="2138">
        <v>0</v>
      </c>
      <c r="J25" s="2134">
        <v>0</v>
      </c>
      <c r="K25" s="2135">
        <v>0</v>
      </c>
    </row>
    <row r="26" spans="1:11" ht="11.25" customHeight="1">
      <c r="A26" s="236" t="str">
        <f t="shared" si="1"/>
        <v>Negotiable Certificates of Deposit - Banks</v>
      </c>
      <c r="B26" s="278"/>
      <c r="C26" s="2134">
        <v>0</v>
      </c>
      <c r="D26" s="2134">
        <v>0</v>
      </c>
      <c r="E26" s="2135">
        <v>0</v>
      </c>
      <c r="F26" s="2136">
        <v>0</v>
      </c>
      <c r="G26" s="2134">
        <v>0</v>
      </c>
      <c r="H26" s="2137">
        <v>0</v>
      </c>
      <c r="I26" s="2138">
        <v>0</v>
      </c>
      <c r="J26" s="2134">
        <v>0</v>
      </c>
      <c r="K26" s="2135">
        <v>0</v>
      </c>
    </row>
    <row r="27" spans="1:11" ht="11.25" customHeight="1">
      <c r="A27" s="236" t="str">
        <f t="shared" si="1"/>
        <v>Guaranteed Endowment Policies (sinking)</v>
      </c>
      <c r="B27" s="278"/>
      <c r="C27" s="2134">
        <v>0</v>
      </c>
      <c r="D27" s="2134">
        <v>0</v>
      </c>
      <c r="E27" s="2135">
        <v>0</v>
      </c>
      <c r="F27" s="2136">
        <v>0</v>
      </c>
      <c r="G27" s="2134">
        <v>0</v>
      </c>
      <c r="H27" s="2137">
        <v>0</v>
      </c>
      <c r="I27" s="2138">
        <v>0</v>
      </c>
      <c r="J27" s="2134">
        <v>0</v>
      </c>
      <c r="K27" s="2135">
        <v>0</v>
      </c>
    </row>
    <row r="28" spans="1:11" ht="11.25" customHeight="1">
      <c r="A28" s="236" t="str">
        <f t="shared" si="1"/>
        <v>Repurchase Agreements - Banks</v>
      </c>
      <c r="B28" s="278"/>
      <c r="C28" s="2134">
        <v>0</v>
      </c>
      <c r="D28" s="2134">
        <v>0</v>
      </c>
      <c r="E28" s="2135">
        <v>0</v>
      </c>
      <c r="F28" s="2136">
        <v>0</v>
      </c>
      <c r="G28" s="2134">
        <v>0</v>
      </c>
      <c r="H28" s="2137">
        <v>0</v>
      </c>
      <c r="I28" s="2138">
        <v>0</v>
      </c>
      <c r="J28" s="2134">
        <v>0</v>
      </c>
      <c r="K28" s="2135">
        <v>0</v>
      </c>
    </row>
    <row r="29" spans="1:11" ht="5.0999999999999996" customHeight="1">
      <c r="A29" s="259"/>
      <c r="B29" s="278"/>
      <c r="C29" s="699"/>
      <c r="D29" s="699"/>
      <c r="E29" s="695"/>
      <c r="F29" s="696"/>
      <c r="G29" s="699"/>
      <c r="H29" s="697"/>
      <c r="I29" s="700"/>
      <c r="J29" s="699"/>
      <c r="K29" s="695"/>
    </row>
    <row r="30" spans="1:11" ht="11.25" customHeight="1">
      <c r="A30" s="251" t="s">
        <v>178</v>
      </c>
      <c r="B30" s="278"/>
      <c r="C30" s="701">
        <f t="shared" ref="C30:K30" si="2">SUM(C20:C29)</f>
        <v>0</v>
      </c>
      <c r="D30" s="706">
        <f t="shared" si="2"/>
        <v>0</v>
      </c>
      <c r="E30" s="707">
        <f t="shared" si="2"/>
        <v>0</v>
      </c>
      <c r="F30" s="708">
        <f t="shared" si="2"/>
        <v>0</v>
      </c>
      <c r="G30" s="706">
        <f t="shared" si="2"/>
        <v>0</v>
      </c>
      <c r="H30" s="709">
        <f t="shared" si="2"/>
        <v>0</v>
      </c>
      <c r="I30" s="710">
        <f t="shared" si="2"/>
        <v>0</v>
      </c>
      <c r="J30" s="706">
        <f t="shared" si="2"/>
        <v>0</v>
      </c>
      <c r="K30" s="707">
        <f t="shared" si="2"/>
        <v>0</v>
      </c>
    </row>
    <row r="31" spans="1:11" ht="5.0999999999999996" customHeight="1">
      <c r="A31" s="259"/>
      <c r="B31" s="278"/>
      <c r="C31" s="699"/>
      <c r="D31" s="699"/>
      <c r="E31" s="695"/>
      <c r="F31" s="696"/>
      <c r="G31" s="699"/>
      <c r="H31" s="697"/>
      <c r="I31" s="700"/>
      <c r="J31" s="699"/>
      <c r="K31" s="695"/>
    </row>
    <row r="32" spans="1:11">
      <c r="A32" s="267" t="s">
        <v>177</v>
      </c>
      <c r="B32" s="711"/>
      <c r="C32" s="712">
        <f t="shared" ref="C32:K32" si="3">C17+C30</f>
        <v>0</v>
      </c>
      <c r="D32" s="712">
        <f t="shared" si="3"/>
        <v>2536434</v>
      </c>
      <c r="E32" s="713">
        <f t="shared" si="3"/>
        <v>2373000</v>
      </c>
      <c r="F32" s="714">
        <f t="shared" si="3"/>
        <v>4920000</v>
      </c>
      <c r="G32" s="712">
        <f t="shared" si="3"/>
        <v>5035000</v>
      </c>
      <c r="H32" s="715">
        <f t="shared" si="3"/>
        <v>0</v>
      </c>
      <c r="I32" s="716">
        <f t="shared" si="3"/>
        <v>11837043.17</v>
      </c>
      <c r="J32" s="712">
        <f t="shared" si="3"/>
        <v>0</v>
      </c>
      <c r="K32" s="713">
        <f t="shared" si="3"/>
        <v>0</v>
      </c>
    </row>
    <row r="33" spans="1:15" ht="6" customHeight="1">
      <c r="A33" s="637"/>
      <c r="B33" s="222"/>
      <c r="C33" s="290"/>
      <c r="D33" s="290"/>
      <c r="E33" s="290"/>
      <c r="F33" s="290"/>
      <c r="G33" s="290"/>
      <c r="H33" s="290"/>
      <c r="I33" s="290"/>
      <c r="J33" s="290"/>
      <c r="K33" s="290"/>
      <c r="L33" s="232"/>
      <c r="M33" s="232"/>
      <c r="N33" s="232"/>
    </row>
    <row r="34" spans="1:15" s="693" customFormat="1" ht="10.5" hidden="1" customHeight="1">
      <c r="A34" s="1234" t="str">
        <f>head27a</f>
        <v>References</v>
      </c>
      <c r="B34" s="1033"/>
      <c r="C34" s="1070"/>
      <c r="D34" s="1070"/>
      <c r="E34" s="1070"/>
      <c r="F34" s="1070"/>
      <c r="G34" s="1070"/>
      <c r="H34" s="1070"/>
      <c r="I34" s="1070"/>
      <c r="J34" s="1070"/>
      <c r="K34" s="1070"/>
      <c r="L34" s="1052"/>
      <c r="M34" s="1052"/>
      <c r="N34" s="1052"/>
    </row>
    <row r="35" spans="1:15" s="693" customFormat="1" ht="10.5" hidden="1" customHeight="1">
      <c r="A35" s="1235" t="s">
        <v>1369</v>
      </c>
      <c r="B35" s="1033"/>
      <c r="C35" s="1037"/>
      <c r="D35" s="1036"/>
      <c r="E35" s="1037"/>
      <c r="F35" s="1037"/>
      <c r="G35" s="1037"/>
      <c r="H35" s="1037"/>
      <c r="I35" s="1037"/>
      <c r="J35" s="1037"/>
      <c r="K35" s="1037"/>
    </row>
    <row r="36" spans="1:15" ht="10.5" hidden="1" customHeight="1">
      <c r="A36" s="273" t="s">
        <v>574</v>
      </c>
      <c r="B36" s="222"/>
      <c r="C36" s="318">
        <f>C17-'A6-FinPos'!C7-'A6-FinPos'!C16</f>
        <v>0</v>
      </c>
      <c r="D36" s="318">
        <f>D17-'A6-FinPos'!D7-'A6-FinPos'!D16</f>
        <v>-1967799</v>
      </c>
      <c r="E36" s="421">
        <f>E17-'A6-FinPos'!E7-'A6-FinPos'!E16</f>
        <v>-4647942</v>
      </c>
      <c r="F36" s="587">
        <f>F17-'A6-FinPos'!F7-'A6-FinPos'!F16</f>
        <v>2800000</v>
      </c>
      <c r="G36" s="421">
        <f>G17-'A6-FinPos'!G7-'A6-FinPos'!G16</f>
        <v>-5381599.3630000055</v>
      </c>
      <c r="H36" s="421">
        <f>H17-'A6-FinPos'!H7-'A6-FinPos'!H16</f>
        <v>-10416599.363000005</v>
      </c>
      <c r="I36" s="421">
        <f>I17-'A6-FinPos'!J7-'A6-FinPos'!J16</f>
        <v>1269671.8069999944</v>
      </c>
      <c r="J36" s="421">
        <f>J17-'A6-FinPos'!K7-'A6-FinPos'!K16</f>
        <v>-11011818.32</v>
      </c>
      <c r="K36" s="421">
        <f>K17-'A6-FinPos'!L7-'A6-FinPos'!L16</f>
        <v>-11599907.419199999</v>
      </c>
    </row>
    <row r="37" spans="1:15" ht="11.25" hidden="1" customHeight="1">
      <c r="O37" s="345"/>
    </row>
    <row r="38" spans="1:15" ht="11.25" hidden="1" customHeight="1"/>
    <row r="39" spans="1:15" ht="11.25" hidden="1" customHeight="1"/>
    <row r="40" spans="1:15" ht="11.25" hidden="1" customHeight="1"/>
    <row r="41" spans="1:15" ht="11.25" hidden="1" customHeight="1"/>
    <row r="42" spans="1:15" ht="11.25" hidden="1" customHeight="1"/>
    <row r="43" spans="1:15" ht="11.25" hidden="1" customHeight="1"/>
    <row r="44" spans="1:15" ht="11.25" hidden="1" customHeight="1"/>
    <row r="45" spans="1:15" ht="11.25" hidden="1" customHeight="1"/>
    <row r="46" spans="1:15" ht="11.25" hidden="1" customHeight="1"/>
    <row r="47" spans="1:15" ht="11.25" hidden="1" customHeight="1"/>
    <row r="48" spans="1:15" ht="11.25" hidden="1" customHeight="1"/>
    <row r="49" ht="11.25" hidden="1" customHeight="1"/>
    <row r="50" ht="11.25" hidden="1" customHeight="1"/>
    <row r="51" ht="11.25" hidden="1" customHeight="1"/>
    <row r="52" ht="11.25" hidden="1" customHeight="1"/>
    <row r="53" ht="11.25" hidden="1" customHeight="1"/>
    <row r="54" ht="11.25" hidden="1" customHeight="1"/>
    <row r="55" ht="11.25" customHeight="1"/>
    <row r="56" ht="11.25" customHeight="1"/>
    <row r="57" ht="11.25" customHeight="1"/>
    <row r="58" ht="11.25" customHeight="1"/>
    <row r="59" ht="11.25" customHeight="1"/>
    <row r="60" ht="11.25" customHeight="1"/>
    <row r="61" ht="11.25" customHeight="1"/>
    <row r="62" ht="11.25" customHeight="1"/>
    <row r="63" ht="11.25" customHeight="1"/>
    <row r="64" ht="11.25" customHeight="1"/>
    <row r="65" ht="11.25" customHeight="1"/>
    <row r="66" ht="11.25" customHeight="1"/>
    <row r="67" ht="11.25" customHeight="1"/>
    <row r="68" ht="11.25" customHeight="1"/>
    <row r="69" ht="11.25" customHeight="1"/>
    <row r="70" ht="11.25" customHeight="1"/>
  </sheetData>
  <sheetProtection sheet="1" objects="1" scenarios="1"/>
  <mergeCells count="4">
    <mergeCell ref="F2:H2"/>
    <mergeCell ref="I2:K2"/>
    <mergeCell ref="B2:B4"/>
    <mergeCell ref="A2:A3"/>
  </mergeCells>
  <phoneticPr fontId="3" type="noConversion"/>
  <printOptions horizontalCentered="1"/>
  <pageMargins left="0" right="0" top="0.78740157480314965" bottom="0.59055118110236227" header="0.51181102362204722" footer="0.39370078740157483"/>
  <pageSetup paperSize="9" scale="90"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enableFormatConditionsCalculation="0">
    <tabColor indexed="42"/>
    <pageSetUpPr fitToPage="1"/>
  </sheetPr>
  <dimension ref="A1:O63"/>
  <sheetViews>
    <sheetView showGridLines="0" workbookViewId="0">
      <pane xSplit="2" ySplit="3" topLeftCell="C4" activePane="bottomRight" state="frozen"/>
      <selection activeCell="O37" sqref="A1:IV65536"/>
      <selection pane="topRight" activeCell="O37" sqref="A1:IV65536"/>
      <selection pane="bottomLeft" activeCell="O37" sqref="A1:IV65536"/>
      <selection pane="bottomRight" activeCell="A7" sqref="A7"/>
    </sheetView>
  </sheetViews>
  <sheetFormatPr defaultRowHeight="12.75"/>
  <cols>
    <col min="1" max="1" width="30.7109375" style="150" customWidth="1"/>
    <col min="2" max="2" width="3" style="233" hidden="1" customWidth="1"/>
    <col min="3" max="7" width="13.7109375" style="150" customWidth="1"/>
    <col min="8" max="8" width="9.85546875" style="150" customWidth="1"/>
    <col min="9" max="9" width="9.85546875" style="150" bestFit="1" customWidth="1"/>
    <col min="10" max="11" width="9.85546875" style="150" customWidth="1"/>
    <col min="12" max="12" width="9.5703125" style="150" customWidth="1"/>
    <col min="13" max="13" width="9.85546875" style="150" customWidth="1"/>
    <col min="14" max="16" width="9.5703125" style="150" customWidth="1"/>
    <col min="17" max="17" width="9.85546875" style="150" customWidth="1"/>
    <col min="18" max="20" width="9.5703125" style="150" customWidth="1"/>
    <col min="21" max="22" width="9.85546875" style="150" customWidth="1"/>
    <col min="23" max="16384" width="9.140625" style="150"/>
  </cols>
  <sheetData>
    <row r="1" spans="1:7" ht="13.5">
      <c r="A1" s="148" t="str">
        <f>muni&amp;" - "&amp;TableA16</f>
        <v>NC071 Ubuntu - Supporting Table SA16 Investment particulars by maturity</v>
      </c>
      <c r="B1" s="148"/>
      <c r="C1" s="148"/>
      <c r="D1" s="148"/>
      <c r="E1" s="148"/>
      <c r="F1" s="148"/>
      <c r="G1" s="148"/>
    </row>
    <row r="2" spans="1:7" ht="33.75" customHeight="1">
      <c r="A2" s="143" t="s">
        <v>575</v>
      </c>
      <c r="B2" s="717" t="str">
        <f>head27</f>
        <v>Ref</v>
      </c>
      <c r="C2" s="151" t="s">
        <v>577</v>
      </c>
      <c r="D2" s="2812" t="s">
        <v>578</v>
      </c>
      <c r="E2" s="2805" t="s">
        <v>579</v>
      </c>
      <c r="F2" s="145" t="s">
        <v>580</v>
      </c>
      <c r="G2" s="718" t="s">
        <v>581</v>
      </c>
    </row>
    <row r="3" spans="1:7">
      <c r="A3" s="141" t="s">
        <v>576</v>
      </c>
      <c r="B3" s="719">
        <v>1</v>
      </c>
      <c r="C3" s="138" t="s">
        <v>1687</v>
      </c>
      <c r="D3" s="2813"/>
      <c r="E3" s="2806"/>
      <c r="F3" s="720" t="s">
        <v>1388</v>
      </c>
      <c r="G3" s="721"/>
    </row>
    <row r="4" spans="1:7">
      <c r="A4" s="235" t="s">
        <v>180</v>
      </c>
      <c r="B4" s="722"/>
      <c r="C4" s="171"/>
      <c r="D4" s="722"/>
      <c r="E4" s="723"/>
      <c r="F4" s="724"/>
      <c r="G4" s="725"/>
    </row>
    <row r="5" spans="1:7" ht="11.25" customHeight="1">
      <c r="A5" s="2139" t="s">
        <v>3092</v>
      </c>
      <c r="B5" s="2140"/>
      <c r="C5" s="2056" t="s">
        <v>3091</v>
      </c>
      <c r="D5" s="2140" t="s">
        <v>3092</v>
      </c>
      <c r="E5" s="2141">
        <v>40745</v>
      </c>
      <c r="F5" s="2136">
        <v>1344218.18</v>
      </c>
      <c r="G5" s="2142">
        <v>75902.33</v>
      </c>
    </row>
    <row r="6" spans="1:7" ht="11.25" customHeight="1">
      <c r="A6" s="2139" t="s">
        <v>3093</v>
      </c>
      <c r="B6" s="2140"/>
      <c r="C6" s="2056" t="s">
        <v>3091</v>
      </c>
      <c r="D6" s="2140" t="s">
        <v>3092</v>
      </c>
      <c r="E6" s="2141">
        <v>40680</v>
      </c>
      <c r="F6" s="2136">
        <v>76225</v>
      </c>
      <c r="G6" s="2142">
        <v>4725.95</v>
      </c>
    </row>
    <row r="7" spans="1:7" ht="11.25" customHeight="1">
      <c r="A7" s="2139"/>
      <c r="B7" s="2140"/>
      <c r="C7" s="2056"/>
      <c r="D7" s="2140"/>
      <c r="E7" s="2141"/>
      <c r="F7" s="2136"/>
      <c r="G7" s="2142"/>
    </row>
    <row r="8" spans="1:7" ht="11.25" customHeight="1">
      <c r="A8" s="2139"/>
      <c r="B8" s="2140"/>
      <c r="C8" s="2056"/>
      <c r="D8" s="2140"/>
      <c r="E8" s="2141"/>
      <c r="F8" s="2136"/>
      <c r="G8" s="2142"/>
    </row>
    <row r="9" spans="1:7" ht="11.25" customHeight="1">
      <c r="A9" s="2139"/>
      <c r="B9" s="2140"/>
      <c r="C9" s="2056"/>
      <c r="D9" s="2140"/>
      <c r="E9" s="2141"/>
      <c r="F9" s="2136"/>
      <c r="G9" s="2142"/>
    </row>
    <row r="10" spans="1:7" ht="11.25" customHeight="1">
      <c r="A10" s="2139"/>
      <c r="B10" s="2140"/>
      <c r="C10" s="2056"/>
      <c r="D10" s="2140"/>
      <c r="E10" s="2141"/>
      <c r="F10" s="2136"/>
      <c r="G10" s="2142"/>
    </row>
    <row r="11" spans="1:7" ht="11.25" customHeight="1">
      <c r="A11" s="2139"/>
      <c r="B11" s="2140"/>
      <c r="C11" s="2056"/>
      <c r="D11" s="2140"/>
      <c r="E11" s="2141"/>
      <c r="F11" s="2136"/>
      <c r="G11" s="2142"/>
    </row>
    <row r="12" spans="1:7" ht="11.25" customHeight="1">
      <c r="A12" s="251" t="s">
        <v>179</v>
      </c>
      <c r="B12" s="722"/>
      <c r="C12" s="1307"/>
      <c r="D12" s="1308"/>
      <c r="E12" s="1309"/>
      <c r="F12" s="704">
        <f>SUM(F5:F11)</f>
        <v>1420443.18</v>
      </c>
      <c r="G12" s="728">
        <f>SUM(G5:G11)</f>
        <v>80628.28</v>
      </c>
    </row>
    <row r="13" spans="1:7" ht="11.25" customHeight="1">
      <c r="A13" s="259"/>
      <c r="B13" s="722"/>
      <c r="C13" s="171"/>
      <c r="D13" s="722"/>
      <c r="E13" s="726"/>
      <c r="F13" s="696"/>
      <c r="G13" s="727"/>
    </row>
    <row r="14" spans="1:7" ht="11.25" customHeight="1">
      <c r="A14" s="235" t="s">
        <v>711</v>
      </c>
      <c r="B14" s="722"/>
      <c r="C14" s="171"/>
      <c r="D14" s="722"/>
      <c r="E14" s="726"/>
      <c r="F14" s="696"/>
      <c r="G14" s="727"/>
    </row>
    <row r="15" spans="1:7" ht="11.25" customHeight="1">
      <c r="A15" s="2139" t="s">
        <v>2192</v>
      </c>
      <c r="B15" s="2140"/>
      <c r="C15" s="2056"/>
      <c r="D15" s="2140"/>
      <c r="E15" s="2141"/>
      <c r="F15" s="2136"/>
      <c r="G15" s="2142"/>
    </row>
    <row r="16" spans="1:7" ht="11.25" customHeight="1">
      <c r="A16" s="2139"/>
      <c r="B16" s="2140"/>
      <c r="C16" s="2056"/>
      <c r="D16" s="2140"/>
      <c r="E16" s="2141"/>
      <c r="F16" s="2136"/>
      <c r="G16" s="2142"/>
    </row>
    <row r="17" spans="1:13" ht="11.25" customHeight="1">
      <c r="A17" s="2139"/>
      <c r="B17" s="2140"/>
      <c r="C17" s="2056"/>
      <c r="D17" s="2140"/>
      <c r="E17" s="2141"/>
      <c r="F17" s="2136"/>
      <c r="G17" s="2142"/>
    </row>
    <row r="18" spans="1:13" ht="11.25" customHeight="1">
      <c r="A18" s="2139"/>
      <c r="B18" s="2140"/>
      <c r="C18" s="2056"/>
      <c r="D18" s="2140"/>
      <c r="E18" s="2141"/>
      <c r="F18" s="2136"/>
      <c r="G18" s="2142"/>
    </row>
    <row r="19" spans="1:13" ht="11.25" customHeight="1">
      <c r="A19" s="2139"/>
      <c r="B19" s="2140"/>
      <c r="C19" s="2056"/>
      <c r="D19" s="2140"/>
      <c r="E19" s="2141"/>
      <c r="F19" s="2136"/>
      <c r="G19" s="2142"/>
    </row>
    <row r="20" spans="1:13" ht="11.25" customHeight="1">
      <c r="A20" s="2139"/>
      <c r="B20" s="2140"/>
      <c r="C20" s="2056"/>
      <c r="D20" s="2140"/>
      <c r="E20" s="2141"/>
      <c r="F20" s="2136"/>
      <c r="G20" s="2142"/>
    </row>
    <row r="21" spans="1:13" ht="11.25" customHeight="1">
      <c r="A21" s="2139"/>
      <c r="B21" s="2140"/>
      <c r="C21" s="2056"/>
      <c r="D21" s="2140"/>
      <c r="E21" s="2141"/>
      <c r="F21" s="2136"/>
      <c r="G21" s="2142"/>
    </row>
    <row r="22" spans="1:13" ht="11.25" customHeight="1">
      <c r="A22" s="251" t="s">
        <v>178</v>
      </c>
      <c r="B22" s="722"/>
      <c r="C22" s="1307"/>
      <c r="D22" s="1308"/>
      <c r="E22" s="1309"/>
      <c r="F22" s="703">
        <f>SUM(F13:F21)</f>
        <v>0</v>
      </c>
      <c r="G22" s="728">
        <f>SUM(G13:G21)</f>
        <v>0</v>
      </c>
    </row>
    <row r="23" spans="1:13" ht="5.0999999999999996" customHeight="1">
      <c r="A23" s="259"/>
      <c r="B23" s="722"/>
      <c r="C23" s="171"/>
      <c r="D23" s="722"/>
      <c r="E23" s="726"/>
      <c r="F23" s="696"/>
      <c r="G23" s="727"/>
    </row>
    <row r="24" spans="1:13">
      <c r="A24" s="372" t="s">
        <v>590</v>
      </c>
      <c r="B24" s="729">
        <v>1</v>
      </c>
      <c r="C24" s="357"/>
      <c r="D24" s="729"/>
      <c r="E24" s="730"/>
      <c r="F24" s="714">
        <f>F12+F22</f>
        <v>1420443.18</v>
      </c>
      <c r="G24" s="731">
        <f>G12+G22</f>
        <v>80628.28</v>
      </c>
    </row>
    <row r="25" spans="1:13" ht="6" customHeight="1">
      <c r="A25" s="232"/>
      <c r="B25" s="222"/>
      <c r="C25" s="1070"/>
      <c r="D25" s="1306"/>
      <c r="E25" s="290"/>
      <c r="F25" s="290"/>
      <c r="G25" s="290"/>
      <c r="K25" s="232"/>
      <c r="L25" s="232"/>
      <c r="M25" s="232"/>
    </row>
    <row r="26" spans="1:13" s="693" customFormat="1" hidden="1">
      <c r="A26" s="1220" t="str">
        <f>head27a</f>
        <v>References</v>
      </c>
      <c r="B26" s="1033"/>
      <c r="C26" s="1070"/>
      <c r="D26" s="1070"/>
      <c r="E26" s="1070"/>
      <c r="F26" s="1070"/>
      <c r="G26" s="1070"/>
      <c r="K26" s="1052"/>
      <c r="L26" s="1052"/>
      <c r="M26" s="1052"/>
    </row>
    <row r="27" spans="1:13" s="693" customFormat="1" ht="11.25" hidden="1" customHeight="1">
      <c r="A27" s="1201" t="s">
        <v>380</v>
      </c>
      <c r="B27" s="1033"/>
      <c r="C27" s="1037"/>
      <c r="D27" s="1036"/>
      <c r="E27" s="1037"/>
      <c r="F27" s="1037"/>
      <c r="G27" s="1037"/>
    </row>
    <row r="28" spans="1:13" s="693" customFormat="1" ht="11.25" hidden="1" customHeight="1">
      <c r="A28" s="1201" t="s">
        <v>988</v>
      </c>
      <c r="B28" s="1033"/>
      <c r="C28" s="1037"/>
      <c r="D28" s="1036"/>
      <c r="E28" s="1037"/>
      <c r="F28" s="1037"/>
      <c r="G28" s="1037"/>
    </row>
    <row r="29" spans="1:13" ht="11.25" hidden="1" customHeight="1">
      <c r="A29" s="273"/>
      <c r="B29" s="222"/>
      <c r="C29" s="290"/>
      <c r="D29" s="290"/>
      <c r="E29" s="290"/>
      <c r="F29" s="290"/>
      <c r="G29" s="290"/>
    </row>
    <row r="30" spans="1:13" ht="11.25" hidden="1" customHeight="1">
      <c r="A30" s="411" t="s">
        <v>1624</v>
      </c>
      <c r="F30" s="732">
        <f>F24-'A6-FinPos'!J7-'A6-FinPos'!J16</f>
        <v>-9146928.1830000058</v>
      </c>
      <c r="G30" s="313"/>
    </row>
    <row r="31" spans="1:13" ht="11.25" hidden="1" customHeight="1"/>
    <row r="32" spans="1:13" ht="11.25" hidden="1" customHeight="1"/>
    <row r="33" spans="15:15" ht="11.25" hidden="1" customHeight="1"/>
    <row r="34" spans="15:15" ht="11.25" hidden="1" customHeight="1"/>
    <row r="35" spans="15:15" ht="11.25" hidden="1" customHeight="1"/>
    <row r="36" spans="15:15" ht="11.25" hidden="1" customHeight="1"/>
    <row r="37" spans="15:15" ht="11.25" hidden="1" customHeight="1">
      <c r="O37" s="345"/>
    </row>
    <row r="38" spans="15:15" ht="11.25" hidden="1" customHeight="1"/>
    <row r="39" spans="15:15" ht="11.25" hidden="1" customHeight="1"/>
    <row r="40" spans="15:15" ht="11.25" hidden="1" customHeight="1"/>
    <row r="41" spans="15:15" ht="11.25" hidden="1" customHeight="1"/>
    <row r="42" spans="15:15" ht="11.25" hidden="1" customHeight="1"/>
    <row r="43" spans="15:15" ht="11.25" hidden="1" customHeight="1"/>
    <row r="44" spans="15:15" ht="11.25" hidden="1" customHeight="1"/>
    <row r="45" spans="15:15" ht="11.25" hidden="1" customHeight="1"/>
    <row r="46" spans="15:15" ht="11.25" hidden="1" customHeight="1"/>
    <row r="47" spans="15:15" ht="11.25" customHeight="1"/>
    <row r="48" spans="15:15"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row r="61" ht="11.25" customHeight="1"/>
    <row r="62" ht="11.25" customHeight="1"/>
    <row r="63" ht="11.25" customHeight="1"/>
  </sheetData>
  <sheetProtection sheet="1" objects="1" scenarios="1"/>
  <mergeCells count="2">
    <mergeCell ref="D2:D3"/>
    <mergeCell ref="E2:E3"/>
  </mergeCells>
  <phoneticPr fontId="3" type="noConversion"/>
  <printOptions horizontalCentered="1"/>
  <pageMargins left="0" right="0" top="0.78740157480314965" bottom="0.59055118110236227" header="0.51181102362204722" footer="0.39370078740157483"/>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enableFormatConditionsCalculation="0">
    <tabColor indexed="42"/>
    <pageSetUpPr fitToPage="1"/>
  </sheetPr>
  <dimension ref="A1:AS72"/>
  <sheetViews>
    <sheetView showGridLines="0" workbookViewId="0">
      <pane xSplit="2" ySplit="3" topLeftCell="C4" activePane="bottomRight" state="frozen"/>
      <selection activeCell="O37" sqref="A1:IV65536"/>
      <selection pane="topRight" activeCell="O37" sqref="A1:IV65536"/>
      <selection pane="bottomLeft" activeCell="O37" sqref="A1:IV65536"/>
      <selection pane="bottomRight" activeCell="I5" sqref="I5"/>
    </sheetView>
  </sheetViews>
  <sheetFormatPr defaultRowHeight="12.75"/>
  <cols>
    <col min="1" max="1" width="30.7109375" style="150" customWidth="1"/>
    <col min="2" max="2" width="3" style="233" hidden="1" customWidth="1"/>
    <col min="3" max="11" width="9.28515625" style="150" customWidth="1"/>
    <col min="12" max="12" width="9.85546875" style="150" customWidth="1"/>
    <col min="13" max="13" width="9.5703125" style="150" customWidth="1"/>
    <col min="14" max="14" width="9.85546875" style="150" customWidth="1"/>
    <col min="15" max="17" width="9.5703125" style="150" customWidth="1"/>
    <col min="18" max="18" width="9.85546875" style="150" customWidth="1"/>
    <col min="19" max="21" width="9.5703125" style="150" customWidth="1"/>
    <col min="22" max="23" width="9.85546875" style="150" customWidth="1"/>
    <col min="24" max="16384" width="9.140625" style="150"/>
  </cols>
  <sheetData>
    <row r="1" spans="1:11" ht="13.5">
      <c r="A1" s="148" t="str">
        <f>muni&amp;" - "&amp;TableA17</f>
        <v>NC071 Ubuntu - Supporting Table SA17 Borrowing</v>
      </c>
      <c r="B1" s="148"/>
      <c r="C1" s="148"/>
      <c r="D1" s="148"/>
      <c r="E1" s="148"/>
      <c r="F1" s="148"/>
      <c r="G1" s="148"/>
      <c r="H1" s="148"/>
      <c r="I1" s="148"/>
      <c r="J1" s="148"/>
      <c r="K1" s="148"/>
    </row>
    <row r="2" spans="1:11" ht="28.5" customHeight="1">
      <c r="A2" s="990" t="s">
        <v>880</v>
      </c>
      <c r="B2" s="394" t="str">
        <f>head27</f>
        <v>Ref</v>
      </c>
      <c r="C2" s="151" t="str">
        <f>head1b</f>
        <v>2007/8</v>
      </c>
      <c r="D2" s="151" t="str">
        <f>head1A</f>
        <v>2008/9</v>
      </c>
      <c r="E2" s="147" t="str">
        <f>Head1</f>
        <v>2009/10</v>
      </c>
      <c r="F2" s="2772" t="str">
        <f>Head2</f>
        <v>Current Year 2010/11</v>
      </c>
      <c r="G2" s="2773"/>
      <c r="H2" s="2777"/>
      <c r="I2" s="2769" t="str">
        <f>Head3</f>
        <v>2011/12 Medium Term Revenue &amp; Expenditure Framework</v>
      </c>
      <c r="J2" s="2770"/>
      <c r="K2" s="2771"/>
    </row>
    <row r="3" spans="1:11" ht="25.5">
      <c r="A3" s="169" t="s">
        <v>697</v>
      </c>
      <c r="B3" s="984"/>
      <c r="C3" s="365" t="str">
        <f>Head5</f>
        <v>Audited Outcome</v>
      </c>
      <c r="D3" s="365" t="str">
        <f>Head5</f>
        <v>Audited Outcome</v>
      </c>
      <c r="E3" s="366" t="str">
        <f>Head5</f>
        <v>Audited Outcome</v>
      </c>
      <c r="F3" s="283" t="str">
        <f>Head6</f>
        <v>Original Budget</v>
      </c>
      <c r="G3" s="365" t="str">
        <f>Head7</f>
        <v>Adjusted Budget</v>
      </c>
      <c r="H3" s="366" t="str">
        <f>Head8</f>
        <v>Full Year Forecast</v>
      </c>
      <c r="I3" s="283" t="str">
        <f>Head9</f>
        <v>Budget Year 2011/12</v>
      </c>
      <c r="J3" s="365" t="str">
        <f>Head10</f>
        <v>Budget Year +1 2012/13</v>
      </c>
      <c r="K3" s="366" t="str">
        <f>Head11</f>
        <v>Budget Year +2 2013/14</v>
      </c>
    </row>
    <row r="4" spans="1:11">
      <c r="A4" s="235" t="s">
        <v>180</v>
      </c>
      <c r="B4" s="171"/>
      <c r="C4" s="699"/>
      <c r="D4" s="699"/>
      <c r="E4" s="734"/>
      <c r="F4" s="696"/>
      <c r="G4" s="699"/>
      <c r="H4" s="697"/>
      <c r="I4" s="700"/>
      <c r="J4" s="699"/>
      <c r="K4" s="695"/>
    </row>
    <row r="5" spans="1:11" ht="11.25" customHeight="1">
      <c r="A5" s="236" t="s">
        <v>103</v>
      </c>
      <c r="B5" s="171"/>
      <c r="C5" s="2134">
        <f>'SA3'!C41</f>
        <v>0</v>
      </c>
      <c r="D5" s="2134">
        <f>'SA3'!D41</f>
        <v>1436000</v>
      </c>
      <c r="E5" s="2135">
        <f>'SA3'!E41</f>
        <v>1436000</v>
      </c>
      <c r="F5" s="2136">
        <f>'SA3'!F41</f>
        <v>1436000</v>
      </c>
      <c r="G5" s="2134">
        <f>'SA3'!G41</f>
        <v>1436000</v>
      </c>
      <c r="H5" s="2137">
        <f>'SA3'!H41</f>
        <v>0</v>
      </c>
      <c r="I5" s="2138">
        <f>'SA3'!J41</f>
        <v>1436000</v>
      </c>
      <c r="J5" s="2134">
        <f>'SA3'!K41</f>
        <v>1436000</v>
      </c>
      <c r="K5" s="2135">
        <f>'SA3'!L41</f>
        <v>1436000</v>
      </c>
    </row>
    <row r="6" spans="1:11" ht="11.25" customHeight="1">
      <c r="A6" s="236" t="s">
        <v>298</v>
      </c>
      <c r="B6" s="171"/>
      <c r="C6" s="2134">
        <v>0</v>
      </c>
      <c r="D6" s="2134">
        <v>0</v>
      </c>
      <c r="E6" s="2135">
        <v>0</v>
      </c>
      <c r="F6" s="2136">
        <v>0</v>
      </c>
      <c r="G6" s="2134">
        <v>0</v>
      </c>
      <c r="H6" s="2137">
        <v>0</v>
      </c>
      <c r="I6" s="2138">
        <v>0</v>
      </c>
      <c r="J6" s="2134">
        <v>0</v>
      </c>
      <c r="K6" s="2135">
        <v>0</v>
      </c>
    </row>
    <row r="7" spans="1:11" ht="11.25" customHeight="1">
      <c r="A7" s="236" t="s">
        <v>104</v>
      </c>
      <c r="B7" s="171"/>
      <c r="C7" s="2134">
        <v>0</v>
      </c>
      <c r="D7" s="2134">
        <v>0</v>
      </c>
      <c r="E7" s="2135">
        <v>0</v>
      </c>
      <c r="F7" s="2136">
        <v>0</v>
      </c>
      <c r="G7" s="2134">
        <v>0</v>
      </c>
      <c r="H7" s="2137">
        <v>0</v>
      </c>
      <c r="I7" s="2138">
        <v>0</v>
      </c>
      <c r="J7" s="2134">
        <v>0</v>
      </c>
      <c r="K7" s="2135">
        <v>0</v>
      </c>
    </row>
    <row r="8" spans="1:11" ht="11.25" customHeight="1">
      <c r="A8" s="236" t="s">
        <v>583</v>
      </c>
      <c r="B8" s="171"/>
      <c r="C8" s="2134">
        <v>0</v>
      </c>
      <c r="D8" s="2134">
        <v>0</v>
      </c>
      <c r="E8" s="2135">
        <v>0</v>
      </c>
      <c r="F8" s="2136">
        <v>0</v>
      </c>
      <c r="G8" s="2134">
        <v>0</v>
      </c>
      <c r="H8" s="2137">
        <v>0</v>
      </c>
      <c r="I8" s="2138">
        <v>0</v>
      </c>
      <c r="J8" s="2134">
        <v>0</v>
      </c>
      <c r="K8" s="2135">
        <v>0</v>
      </c>
    </row>
    <row r="9" spans="1:11" ht="11.25" customHeight="1">
      <c r="A9" s="236" t="s">
        <v>584</v>
      </c>
      <c r="B9" s="171"/>
      <c r="C9" s="2134">
        <f>'SA3'!C42</f>
        <v>0</v>
      </c>
      <c r="D9" s="2134">
        <f>'SA3'!D42</f>
        <v>0</v>
      </c>
      <c r="E9" s="2135">
        <f>'SA3'!E42</f>
        <v>0</v>
      </c>
      <c r="F9" s="2136">
        <f>'SA3'!F42</f>
        <v>0</v>
      </c>
      <c r="G9" s="2134">
        <f>'SA3'!G42</f>
        <v>0</v>
      </c>
      <c r="H9" s="2137">
        <f>'SA3'!H42</f>
        <v>0</v>
      </c>
      <c r="I9" s="2138">
        <f>'SA3'!J42</f>
        <v>0</v>
      </c>
      <c r="J9" s="2134">
        <f>'SA3'!K42</f>
        <v>0</v>
      </c>
      <c r="K9" s="2135">
        <f>'SA3'!L42</f>
        <v>0</v>
      </c>
    </row>
    <row r="10" spans="1:11" ht="11.25" customHeight="1">
      <c r="A10" s="236" t="s">
        <v>833</v>
      </c>
      <c r="B10" s="171"/>
      <c r="C10" s="2134">
        <v>0</v>
      </c>
      <c r="D10" s="2134">
        <v>0</v>
      </c>
      <c r="E10" s="2135">
        <v>0</v>
      </c>
      <c r="F10" s="2136">
        <v>0</v>
      </c>
      <c r="G10" s="2134">
        <v>0</v>
      </c>
      <c r="H10" s="2137">
        <v>0</v>
      </c>
      <c r="I10" s="2138">
        <v>0</v>
      </c>
      <c r="J10" s="2134">
        <v>0</v>
      </c>
      <c r="K10" s="2135">
        <v>0</v>
      </c>
    </row>
    <row r="11" spans="1:11" ht="11.25" customHeight="1">
      <c r="A11" s="236" t="s">
        <v>106</v>
      </c>
      <c r="B11" s="171"/>
      <c r="C11" s="2134">
        <v>0</v>
      </c>
      <c r="D11" s="2134">
        <v>0</v>
      </c>
      <c r="E11" s="2135">
        <v>0</v>
      </c>
      <c r="F11" s="2136">
        <v>0</v>
      </c>
      <c r="G11" s="2134">
        <v>0</v>
      </c>
      <c r="H11" s="2137">
        <v>0</v>
      </c>
      <c r="I11" s="2138">
        <v>0</v>
      </c>
      <c r="J11" s="2134">
        <v>0</v>
      </c>
      <c r="K11" s="2135">
        <v>0</v>
      </c>
    </row>
    <row r="12" spans="1:11" ht="11.25" customHeight="1">
      <c r="A12" s="236" t="s">
        <v>107</v>
      </c>
      <c r="B12" s="171"/>
      <c r="C12" s="2134">
        <v>0</v>
      </c>
      <c r="D12" s="2134">
        <v>0</v>
      </c>
      <c r="E12" s="2135">
        <v>0</v>
      </c>
      <c r="F12" s="2136">
        <v>0</v>
      </c>
      <c r="G12" s="2134">
        <v>0</v>
      </c>
      <c r="H12" s="2137">
        <v>0</v>
      </c>
      <c r="I12" s="2138">
        <v>0</v>
      </c>
      <c r="J12" s="2134">
        <v>0</v>
      </c>
      <c r="K12" s="2135">
        <v>0</v>
      </c>
    </row>
    <row r="13" spans="1:11" ht="11.25" customHeight="1">
      <c r="A13" s="236" t="s">
        <v>108</v>
      </c>
      <c r="B13" s="171"/>
      <c r="C13" s="2134">
        <v>0</v>
      </c>
      <c r="D13" s="2134">
        <v>0</v>
      </c>
      <c r="E13" s="2135">
        <v>0</v>
      </c>
      <c r="F13" s="2136">
        <v>0</v>
      </c>
      <c r="G13" s="2134">
        <v>0</v>
      </c>
      <c r="H13" s="2137">
        <v>0</v>
      </c>
      <c r="I13" s="2138">
        <v>0</v>
      </c>
      <c r="J13" s="2134">
        <v>0</v>
      </c>
      <c r="K13" s="2135">
        <v>0</v>
      </c>
    </row>
    <row r="14" spans="1:11" ht="11.25" customHeight="1">
      <c r="A14" s="236" t="s">
        <v>109</v>
      </c>
      <c r="B14" s="171"/>
      <c r="C14" s="2134">
        <v>0</v>
      </c>
      <c r="D14" s="2134">
        <v>0</v>
      </c>
      <c r="E14" s="2135">
        <v>0</v>
      </c>
      <c r="F14" s="2136">
        <v>0</v>
      </c>
      <c r="G14" s="2134">
        <v>0</v>
      </c>
      <c r="H14" s="2137">
        <v>0</v>
      </c>
      <c r="I14" s="2138">
        <v>0</v>
      </c>
      <c r="J14" s="2134">
        <v>0</v>
      </c>
      <c r="K14" s="2135">
        <v>0</v>
      </c>
    </row>
    <row r="15" spans="1:11" ht="11.25" customHeight="1">
      <c r="A15" s="236" t="s">
        <v>834</v>
      </c>
      <c r="B15" s="171"/>
      <c r="C15" s="2134">
        <v>0</v>
      </c>
      <c r="D15" s="2134">
        <v>0</v>
      </c>
      <c r="E15" s="2135">
        <v>0</v>
      </c>
      <c r="F15" s="2136">
        <v>0</v>
      </c>
      <c r="G15" s="2134">
        <v>0</v>
      </c>
      <c r="H15" s="2137">
        <v>0</v>
      </c>
      <c r="I15" s="2138">
        <v>0</v>
      </c>
      <c r="J15" s="2134">
        <v>0</v>
      </c>
      <c r="K15" s="2135">
        <v>0</v>
      </c>
    </row>
    <row r="16" spans="1:11" ht="11.25" customHeight="1">
      <c r="A16" s="236" t="s">
        <v>110</v>
      </c>
      <c r="B16" s="171"/>
      <c r="C16" s="2134">
        <v>0</v>
      </c>
      <c r="D16" s="2134">
        <v>0</v>
      </c>
      <c r="E16" s="2135">
        <v>0</v>
      </c>
      <c r="F16" s="2136">
        <v>0</v>
      </c>
      <c r="G16" s="2134">
        <v>0</v>
      </c>
      <c r="H16" s="2137">
        <v>0</v>
      </c>
      <c r="I16" s="2138">
        <v>0</v>
      </c>
      <c r="J16" s="2134">
        <v>0</v>
      </c>
      <c r="K16" s="2135">
        <v>0</v>
      </c>
    </row>
    <row r="17" spans="1:11" ht="11.25" customHeight="1">
      <c r="A17" s="251" t="s">
        <v>179</v>
      </c>
      <c r="B17" s="171">
        <v>1</v>
      </c>
      <c r="C17" s="701">
        <f>SUM(C5:C14)</f>
        <v>0</v>
      </c>
      <c r="D17" s="701">
        <f t="shared" ref="D17:K17" si="0">SUM(D5:D14)</f>
        <v>1436000</v>
      </c>
      <c r="E17" s="702">
        <f t="shared" si="0"/>
        <v>1436000</v>
      </c>
      <c r="F17" s="703">
        <f t="shared" si="0"/>
        <v>1436000</v>
      </c>
      <c r="G17" s="701">
        <f t="shared" si="0"/>
        <v>1436000</v>
      </c>
      <c r="H17" s="704">
        <f t="shared" si="0"/>
        <v>0</v>
      </c>
      <c r="I17" s="705">
        <f t="shared" si="0"/>
        <v>1436000</v>
      </c>
      <c r="J17" s="701">
        <f t="shared" si="0"/>
        <v>1436000</v>
      </c>
      <c r="K17" s="702">
        <f t="shared" si="0"/>
        <v>1436000</v>
      </c>
    </row>
    <row r="18" spans="1:11" ht="5.0999999999999996" customHeight="1">
      <c r="A18" s="251"/>
      <c r="B18" s="171"/>
      <c r="C18" s="735"/>
      <c r="D18" s="735"/>
      <c r="E18" s="736"/>
      <c r="F18" s="737"/>
      <c r="G18" s="735"/>
      <c r="H18" s="738"/>
      <c r="I18" s="739"/>
      <c r="J18" s="735"/>
      <c r="K18" s="736"/>
    </row>
    <row r="19" spans="1:11" ht="11.25" customHeight="1">
      <c r="A19" s="235" t="s">
        <v>711</v>
      </c>
      <c r="B19" s="171"/>
      <c r="C19" s="699"/>
      <c r="D19" s="699"/>
      <c r="E19" s="695"/>
      <c r="F19" s="696"/>
      <c r="G19" s="699"/>
      <c r="H19" s="697"/>
      <c r="I19" s="700"/>
      <c r="J19" s="699"/>
      <c r="K19" s="695"/>
    </row>
    <row r="20" spans="1:11" ht="11.25" customHeight="1">
      <c r="A20" s="236" t="str">
        <f t="shared" ref="A20:A31" si="1">A5</f>
        <v>Long-Term Loans (annuity/reducing balance)</v>
      </c>
      <c r="B20" s="171"/>
      <c r="C20" s="2134">
        <v>0</v>
      </c>
      <c r="D20" s="2134">
        <v>0</v>
      </c>
      <c r="E20" s="2135">
        <v>0</v>
      </c>
      <c r="F20" s="2136">
        <v>0</v>
      </c>
      <c r="G20" s="2134">
        <v>0</v>
      </c>
      <c r="H20" s="2137">
        <v>0</v>
      </c>
      <c r="I20" s="2138">
        <v>0</v>
      </c>
      <c r="J20" s="2134">
        <v>0</v>
      </c>
      <c r="K20" s="2135">
        <v>0</v>
      </c>
    </row>
    <row r="21" spans="1:11" ht="11.25" customHeight="1">
      <c r="A21" s="236" t="str">
        <f t="shared" si="1"/>
        <v>Long-Term Loans (non-annuity)</v>
      </c>
      <c r="B21" s="171"/>
      <c r="C21" s="2134">
        <v>0</v>
      </c>
      <c r="D21" s="2134">
        <v>0</v>
      </c>
      <c r="E21" s="2135">
        <v>0</v>
      </c>
      <c r="F21" s="2136">
        <v>0</v>
      </c>
      <c r="G21" s="2134">
        <v>0</v>
      </c>
      <c r="H21" s="2137">
        <v>0</v>
      </c>
      <c r="I21" s="2138">
        <v>0</v>
      </c>
      <c r="J21" s="2134">
        <v>0</v>
      </c>
      <c r="K21" s="2135">
        <v>0</v>
      </c>
    </row>
    <row r="22" spans="1:11" ht="11.25" customHeight="1">
      <c r="A22" s="236" t="str">
        <f t="shared" si="1"/>
        <v>Local registered stock</v>
      </c>
      <c r="B22" s="171"/>
      <c r="C22" s="2134">
        <v>0</v>
      </c>
      <c r="D22" s="2134">
        <v>0</v>
      </c>
      <c r="E22" s="2135">
        <v>0</v>
      </c>
      <c r="F22" s="2136">
        <v>0</v>
      </c>
      <c r="G22" s="2134">
        <v>0</v>
      </c>
      <c r="H22" s="2137">
        <v>0</v>
      </c>
      <c r="I22" s="2138">
        <v>0</v>
      </c>
      <c r="J22" s="2134">
        <v>0</v>
      </c>
      <c r="K22" s="2135">
        <v>0</v>
      </c>
    </row>
    <row r="23" spans="1:11" ht="11.25" customHeight="1">
      <c r="A23" s="236" t="str">
        <f t="shared" si="1"/>
        <v>Instalment Credit</v>
      </c>
      <c r="B23" s="171"/>
      <c r="C23" s="2134">
        <v>0</v>
      </c>
      <c r="D23" s="2134">
        <v>0</v>
      </c>
      <c r="E23" s="2135">
        <v>0</v>
      </c>
      <c r="F23" s="2136">
        <v>0</v>
      </c>
      <c r="G23" s="2134">
        <v>0</v>
      </c>
      <c r="H23" s="2137">
        <v>0</v>
      </c>
      <c r="I23" s="2138">
        <v>0</v>
      </c>
      <c r="J23" s="2134">
        <v>0</v>
      </c>
      <c r="K23" s="2135">
        <v>0</v>
      </c>
    </row>
    <row r="24" spans="1:11" ht="11.25" customHeight="1">
      <c r="A24" s="236" t="str">
        <f t="shared" si="1"/>
        <v>Financial Leases</v>
      </c>
      <c r="B24" s="171"/>
      <c r="C24" s="2134">
        <v>0</v>
      </c>
      <c r="D24" s="2134">
        <v>0</v>
      </c>
      <c r="E24" s="2135">
        <v>0</v>
      </c>
      <c r="F24" s="2136">
        <v>0</v>
      </c>
      <c r="G24" s="2134">
        <v>0</v>
      </c>
      <c r="H24" s="2137">
        <v>0</v>
      </c>
      <c r="I24" s="2138">
        <v>0</v>
      </c>
      <c r="J24" s="2134">
        <v>0</v>
      </c>
      <c r="K24" s="2135">
        <v>0</v>
      </c>
    </row>
    <row r="25" spans="1:11" ht="11.25" customHeight="1">
      <c r="A25" s="236" t="str">
        <f t="shared" si="1"/>
        <v>PPP liabilities</v>
      </c>
      <c r="B25" s="171"/>
      <c r="C25" s="2134">
        <v>0</v>
      </c>
      <c r="D25" s="2134">
        <v>0</v>
      </c>
      <c r="E25" s="2135">
        <v>0</v>
      </c>
      <c r="F25" s="2136">
        <v>0</v>
      </c>
      <c r="G25" s="2134">
        <v>0</v>
      </c>
      <c r="H25" s="2137">
        <v>0</v>
      </c>
      <c r="I25" s="2138">
        <v>0</v>
      </c>
      <c r="J25" s="2134">
        <v>0</v>
      </c>
      <c r="K25" s="2135">
        <v>0</v>
      </c>
    </row>
    <row r="26" spans="1:11" ht="11.25" customHeight="1">
      <c r="A26" s="236" t="str">
        <f t="shared" si="1"/>
        <v>Finance Granted By Cap Equipment Supplier</v>
      </c>
      <c r="B26" s="171"/>
      <c r="C26" s="2134">
        <v>0</v>
      </c>
      <c r="D26" s="2134">
        <v>0</v>
      </c>
      <c r="E26" s="2135">
        <v>0</v>
      </c>
      <c r="F26" s="2136">
        <v>0</v>
      </c>
      <c r="G26" s="2134">
        <v>0</v>
      </c>
      <c r="H26" s="2137">
        <v>0</v>
      </c>
      <c r="I26" s="2138">
        <v>0</v>
      </c>
      <c r="J26" s="2134">
        <v>0</v>
      </c>
      <c r="K26" s="2135">
        <v>0</v>
      </c>
    </row>
    <row r="27" spans="1:11" ht="11.25" customHeight="1">
      <c r="A27" s="236" t="str">
        <f t="shared" si="1"/>
        <v>Marketable Bonds</v>
      </c>
      <c r="B27" s="171"/>
      <c r="C27" s="2134">
        <v>0</v>
      </c>
      <c r="D27" s="2134">
        <v>0</v>
      </c>
      <c r="E27" s="2135">
        <v>0</v>
      </c>
      <c r="F27" s="2136">
        <v>0</v>
      </c>
      <c r="G27" s="2134">
        <v>0</v>
      </c>
      <c r="H27" s="2137">
        <v>0</v>
      </c>
      <c r="I27" s="2138">
        <v>0</v>
      </c>
      <c r="J27" s="2134">
        <v>0</v>
      </c>
      <c r="K27" s="2135">
        <v>0</v>
      </c>
    </row>
    <row r="28" spans="1:11" ht="11.25" customHeight="1">
      <c r="A28" s="236" t="str">
        <f t="shared" si="1"/>
        <v>Non-Marketable Bonds</v>
      </c>
      <c r="B28" s="171"/>
      <c r="C28" s="2134">
        <v>0</v>
      </c>
      <c r="D28" s="2134">
        <v>0</v>
      </c>
      <c r="E28" s="2135">
        <v>0</v>
      </c>
      <c r="F28" s="2136">
        <v>0</v>
      </c>
      <c r="G28" s="2134">
        <v>0</v>
      </c>
      <c r="H28" s="2137">
        <v>0</v>
      </c>
      <c r="I28" s="2138">
        <v>0</v>
      </c>
      <c r="J28" s="2134">
        <v>0</v>
      </c>
      <c r="K28" s="2135">
        <v>0</v>
      </c>
    </row>
    <row r="29" spans="1:11" ht="11.25" customHeight="1">
      <c r="A29" s="236" t="str">
        <f t="shared" si="1"/>
        <v>Bankers Acceptances</v>
      </c>
      <c r="B29" s="171"/>
      <c r="C29" s="2134">
        <v>0</v>
      </c>
      <c r="D29" s="2134">
        <v>0</v>
      </c>
      <c r="E29" s="2135">
        <v>0</v>
      </c>
      <c r="F29" s="2136">
        <v>0</v>
      </c>
      <c r="G29" s="2134">
        <v>0</v>
      </c>
      <c r="H29" s="2137">
        <v>0</v>
      </c>
      <c r="I29" s="2138">
        <v>0</v>
      </c>
      <c r="J29" s="2134">
        <v>0</v>
      </c>
      <c r="K29" s="2135">
        <v>0</v>
      </c>
    </row>
    <row r="30" spans="1:11" ht="11.25" customHeight="1">
      <c r="A30" s="236" t="str">
        <f t="shared" si="1"/>
        <v>Financial derivatives</v>
      </c>
      <c r="B30" s="171"/>
      <c r="C30" s="2134">
        <v>0</v>
      </c>
      <c r="D30" s="2134">
        <v>0</v>
      </c>
      <c r="E30" s="2135">
        <v>0</v>
      </c>
      <c r="F30" s="2136">
        <v>0</v>
      </c>
      <c r="G30" s="2134">
        <v>0</v>
      </c>
      <c r="H30" s="2137">
        <v>0</v>
      </c>
      <c r="I30" s="2138">
        <v>0</v>
      </c>
      <c r="J30" s="2134">
        <v>0</v>
      </c>
      <c r="K30" s="2135">
        <v>0</v>
      </c>
    </row>
    <row r="31" spans="1:11" ht="11.25" customHeight="1">
      <c r="A31" s="236" t="str">
        <f t="shared" si="1"/>
        <v>Other Securities</v>
      </c>
      <c r="B31" s="171"/>
      <c r="C31" s="2134">
        <v>0</v>
      </c>
      <c r="D31" s="2134">
        <v>0</v>
      </c>
      <c r="E31" s="2135">
        <v>0</v>
      </c>
      <c r="F31" s="2136">
        <v>0</v>
      </c>
      <c r="G31" s="2134">
        <v>0</v>
      </c>
      <c r="H31" s="2137">
        <v>0</v>
      </c>
      <c r="I31" s="2138">
        <v>0</v>
      </c>
      <c r="J31" s="2134">
        <v>0</v>
      </c>
      <c r="K31" s="2135">
        <v>0</v>
      </c>
    </row>
    <row r="32" spans="1:11" ht="11.25" customHeight="1">
      <c r="A32" s="251" t="s">
        <v>178</v>
      </c>
      <c r="B32" s="171">
        <v>1</v>
      </c>
      <c r="C32" s="701">
        <f>SUM(C20:C29)</f>
        <v>0</v>
      </c>
      <c r="D32" s="701">
        <f t="shared" ref="D32:K32" si="2">SUM(D20:D29)</f>
        <v>0</v>
      </c>
      <c r="E32" s="702">
        <f t="shared" si="2"/>
        <v>0</v>
      </c>
      <c r="F32" s="703">
        <f t="shared" si="2"/>
        <v>0</v>
      </c>
      <c r="G32" s="701">
        <f t="shared" si="2"/>
        <v>0</v>
      </c>
      <c r="H32" s="704">
        <f t="shared" si="2"/>
        <v>0</v>
      </c>
      <c r="I32" s="705">
        <f t="shared" si="2"/>
        <v>0</v>
      </c>
      <c r="J32" s="701">
        <f t="shared" si="2"/>
        <v>0</v>
      </c>
      <c r="K32" s="702">
        <f t="shared" si="2"/>
        <v>0</v>
      </c>
    </row>
    <row r="33" spans="1:45" ht="5.0999999999999996" customHeight="1">
      <c r="A33" s="259"/>
      <c r="B33" s="171"/>
      <c r="C33" s="699"/>
      <c r="D33" s="699"/>
      <c r="E33" s="695"/>
      <c r="F33" s="696"/>
      <c r="G33" s="699"/>
      <c r="H33" s="697"/>
      <c r="I33" s="700"/>
      <c r="J33" s="699"/>
      <c r="K33" s="695"/>
    </row>
    <row r="34" spans="1:45">
      <c r="A34" s="267" t="s">
        <v>1469</v>
      </c>
      <c r="B34" s="211">
        <v>1</v>
      </c>
      <c r="C34" s="712">
        <f>C17+C32</f>
        <v>0</v>
      </c>
      <c r="D34" s="712">
        <f t="shared" ref="D34:K34" si="3">D17+D32</f>
        <v>1436000</v>
      </c>
      <c r="E34" s="713">
        <f t="shared" si="3"/>
        <v>1436000</v>
      </c>
      <c r="F34" s="714">
        <f t="shared" si="3"/>
        <v>1436000</v>
      </c>
      <c r="G34" s="712">
        <f t="shared" si="3"/>
        <v>1436000</v>
      </c>
      <c r="H34" s="715">
        <f t="shared" si="3"/>
        <v>0</v>
      </c>
      <c r="I34" s="716">
        <f t="shared" si="3"/>
        <v>1436000</v>
      </c>
      <c r="J34" s="712">
        <f t="shared" si="3"/>
        <v>1436000</v>
      </c>
      <c r="K34" s="713">
        <f t="shared" si="3"/>
        <v>1436000</v>
      </c>
    </row>
    <row r="35" spans="1:45" ht="6" customHeight="1">
      <c r="A35" s="232"/>
      <c r="B35" s="222"/>
      <c r="C35" s="290"/>
      <c r="D35" s="290"/>
      <c r="E35" s="290"/>
      <c r="F35" s="290"/>
      <c r="G35" s="290"/>
      <c r="H35" s="290"/>
      <c r="I35" s="290"/>
      <c r="J35" s="290"/>
      <c r="K35" s="290"/>
      <c r="L35" s="232"/>
      <c r="M35" s="232"/>
      <c r="N35" s="232"/>
    </row>
    <row r="36" spans="1:45" hidden="1">
      <c r="A36" s="221" t="str">
        <f>head27a</f>
        <v>References</v>
      </c>
      <c r="B36" s="222"/>
      <c r="C36" s="290"/>
      <c r="D36" s="290"/>
      <c r="E36" s="290"/>
      <c r="F36" s="290"/>
      <c r="G36" s="290"/>
      <c r="H36" s="290"/>
      <c r="I36" s="290"/>
      <c r="J36" s="290"/>
      <c r="K36" s="290"/>
      <c r="L36" s="232"/>
      <c r="M36" s="232"/>
      <c r="N36" s="232"/>
    </row>
    <row r="37" spans="1:45" ht="11.25" hidden="1" customHeight="1">
      <c r="A37" s="272" t="s">
        <v>1370</v>
      </c>
      <c r="B37" s="222"/>
      <c r="C37" s="227"/>
      <c r="D37" s="226"/>
      <c r="E37" s="227"/>
      <c r="F37" s="227"/>
      <c r="G37" s="227"/>
      <c r="H37" s="227"/>
      <c r="I37" s="227"/>
      <c r="J37" s="227"/>
      <c r="K37" s="227"/>
    </row>
    <row r="38" spans="1:45" ht="11.25" hidden="1" customHeight="1">
      <c r="A38" s="273" t="s">
        <v>582</v>
      </c>
      <c r="B38" s="222"/>
      <c r="C38" s="412">
        <f>C34-'A6-FinPos'!C37</f>
        <v>0</v>
      </c>
      <c r="D38" s="412">
        <f>D34-'A6-FinPos'!D37</f>
        <v>0</v>
      </c>
      <c r="E38" s="412">
        <f>E34-'A6-FinPos'!E37</f>
        <v>0</v>
      </c>
      <c r="F38" s="412">
        <f>F34-'A6-FinPos'!F37</f>
        <v>0</v>
      </c>
      <c r="G38" s="412">
        <f>G34-'A6-FinPos'!G37</f>
        <v>0</v>
      </c>
      <c r="H38" s="412">
        <f>H34-'A6-FinPos'!H37</f>
        <v>0</v>
      </c>
      <c r="I38" s="412">
        <f>I34-'A6-FinPos'!J37</f>
        <v>0</v>
      </c>
      <c r="J38" s="412">
        <f>J34-'A6-FinPos'!K37</f>
        <v>0</v>
      </c>
      <c r="K38" s="412">
        <f>K34-'A6-FinPos'!L37</f>
        <v>0</v>
      </c>
      <c r="L38" s="345"/>
    </row>
    <row r="39" spans="1:45" ht="11.25" hidden="1" customHeight="1">
      <c r="F39" s="291"/>
    </row>
    <row r="40" spans="1:45" ht="11.25" hidden="1" customHeight="1"/>
    <row r="41" spans="1:45" ht="11.25" hidden="1" customHeight="1">
      <c r="AQ41" s="150">
        <v>439005000</v>
      </c>
      <c r="AS41" s="150">
        <v>539442200</v>
      </c>
    </row>
    <row r="42" spans="1:45" ht="11.25" hidden="1" customHeight="1"/>
    <row r="43" spans="1:45" ht="11.25" hidden="1" customHeight="1">
      <c r="W43" s="150">
        <v>0</v>
      </c>
      <c r="Y43" s="150">
        <v>0</v>
      </c>
      <c r="AB43" s="150">
        <v>0</v>
      </c>
      <c r="AD43" s="150">
        <v>0</v>
      </c>
      <c r="AG43" s="150">
        <v>0</v>
      </c>
      <c r="AI43" s="150">
        <v>0</v>
      </c>
      <c r="AL43" s="150">
        <v>0</v>
      </c>
      <c r="AN43" s="150">
        <v>0</v>
      </c>
      <c r="AQ43" s="150">
        <v>1834701353</v>
      </c>
      <c r="AS43" s="150">
        <v>1241876995</v>
      </c>
    </row>
    <row r="44" spans="1:45" ht="11.25" hidden="1" customHeight="1">
      <c r="AQ44" s="150">
        <v>839041298</v>
      </c>
      <c r="AS44" s="150">
        <v>440387617</v>
      </c>
    </row>
    <row r="45" spans="1:45" ht="11.25" hidden="1" customHeight="1">
      <c r="AQ45" s="150">
        <v>976543638</v>
      </c>
      <c r="AS45" s="150">
        <v>782372961</v>
      </c>
    </row>
    <row r="46" spans="1:45" ht="11.25" hidden="1" customHeight="1">
      <c r="AQ46" s="150">
        <v>19116417</v>
      </c>
      <c r="AS46" s="150">
        <v>19116417</v>
      </c>
    </row>
    <row r="47" spans="1:45" ht="11.25" hidden="1" customHeight="1">
      <c r="AQ47" s="150">
        <v>2273706353</v>
      </c>
      <c r="AS47" s="150">
        <v>1781319195</v>
      </c>
    </row>
    <row r="48" spans="1:45" ht="11.25" hidden="1" customHeight="1">
      <c r="AQ48" s="150">
        <v>180259232</v>
      </c>
      <c r="AS48" s="150">
        <v>140396729</v>
      </c>
    </row>
    <row r="49" spans="43:45" ht="11.25" hidden="1" customHeight="1">
      <c r="AQ49" s="150">
        <v>125005000</v>
      </c>
      <c r="AS49" s="150">
        <v>100442200</v>
      </c>
    </row>
    <row r="50" spans="43:45" ht="11.25" hidden="1" customHeight="1">
      <c r="AQ50" s="150">
        <v>40341797</v>
      </c>
      <c r="AS50" s="150">
        <v>38954529</v>
      </c>
    </row>
    <row r="51" spans="43:45" ht="11.25" hidden="1" customHeight="1">
      <c r="AQ51" s="150">
        <v>14912435</v>
      </c>
      <c r="AS51" s="150">
        <v>1000000</v>
      </c>
    </row>
    <row r="52" spans="43:45" ht="11.25" hidden="1" customHeight="1"/>
    <row r="53" spans="43:45" ht="11.25" hidden="1" customHeight="1"/>
    <row r="54" spans="43:45" ht="11.25" hidden="1" customHeight="1"/>
    <row r="55" spans="43:45" ht="11.25" hidden="1" customHeight="1"/>
    <row r="56" spans="43:45" ht="11.25" hidden="1" customHeight="1"/>
    <row r="57" spans="43:45" ht="11.25" customHeight="1"/>
    <row r="58" spans="43:45" ht="11.25" customHeight="1"/>
    <row r="59" spans="43:45" ht="11.25" customHeight="1"/>
    <row r="60" spans="43:45" ht="11.25" customHeight="1"/>
    <row r="61" spans="43:45" ht="11.25" customHeight="1"/>
    <row r="62" spans="43:45" ht="11.25" customHeight="1"/>
    <row r="63" spans="43:45" ht="11.25" customHeight="1"/>
    <row r="64" spans="43:45" ht="11.25" customHeight="1"/>
    <row r="65" ht="11.25" customHeight="1"/>
    <row r="66" ht="11.25" customHeight="1"/>
    <row r="67" ht="11.25" customHeight="1"/>
    <row r="68" ht="11.25" customHeight="1"/>
    <row r="69" ht="11.25" customHeight="1"/>
    <row r="70" ht="11.25" customHeight="1"/>
    <row r="71" ht="11.25" customHeight="1"/>
    <row r="72" ht="11.25" customHeight="1"/>
  </sheetData>
  <sheetProtection sheet="1" objects="1" scenarios="1"/>
  <mergeCells count="2">
    <mergeCell ref="F2:H2"/>
    <mergeCell ref="I2:K2"/>
  </mergeCells>
  <phoneticPr fontId="3" type="noConversion"/>
  <printOptions horizontalCentered="1"/>
  <pageMargins left="0" right="0" top="0.78740157480314965" bottom="0.59055118110236227" header="0.51181102362204722" footer="0.39370078740157483"/>
  <pageSetup paperSize="9" scale="90"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enableFormatConditionsCalculation="0">
    <tabColor rgb="FFCCFFCC"/>
    <pageSetUpPr fitToPage="1"/>
  </sheetPr>
  <dimension ref="A1:O92"/>
  <sheetViews>
    <sheetView showGridLines="0" workbookViewId="0">
      <pane xSplit="2" ySplit="3" topLeftCell="C4" activePane="bottomRight" state="frozen"/>
      <selection activeCell="O37" sqref="A1:IV65536"/>
      <selection pane="topRight" activeCell="O37" sqref="A1:IV65536"/>
      <selection pane="bottomLeft" activeCell="O37" sqref="A1:IV65536"/>
      <selection pane="bottomRight" activeCell="I38" sqref="I38"/>
    </sheetView>
  </sheetViews>
  <sheetFormatPr defaultRowHeight="12.75"/>
  <cols>
    <col min="1" max="1" width="30.7109375" style="150" customWidth="1"/>
    <col min="2" max="2" width="3" style="233" hidden="1" customWidth="1"/>
    <col min="3" max="11" width="9.28515625" style="150" customWidth="1"/>
    <col min="12" max="12" width="9.85546875" style="150" customWidth="1"/>
    <col min="13" max="13" width="9.5703125" style="150" customWidth="1"/>
    <col min="14" max="14" width="9.85546875" style="150" customWidth="1"/>
    <col min="15" max="17" width="9.5703125" style="150" customWidth="1"/>
    <col min="18" max="18" width="9.85546875" style="150" customWidth="1"/>
    <col min="19" max="21" width="9.5703125" style="150" customWidth="1"/>
    <col min="22" max="23" width="9.85546875" style="150" customWidth="1"/>
    <col min="24" max="16384" width="9.140625" style="150"/>
  </cols>
  <sheetData>
    <row r="1" spans="1:12" ht="13.5" customHeight="1">
      <c r="A1" s="148" t="str">
        <f>muni&amp;" - "&amp; TableA18</f>
        <v>NC071 Ubuntu - Supporting Table SA18 Transfers and grant receipts</v>
      </c>
      <c r="B1" s="148"/>
      <c r="C1" s="148"/>
      <c r="D1" s="148"/>
      <c r="E1" s="148"/>
      <c r="F1" s="148"/>
      <c r="G1" s="148"/>
      <c r="H1" s="148"/>
      <c r="I1" s="148"/>
      <c r="J1" s="148"/>
      <c r="K1" s="148"/>
    </row>
    <row r="2" spans="1:12" ht="28.5" customHeight="1">
      <c r="A2" s="979" t="str">
        <f>desc</f>
        <v>Description</v>
      </c>
      <c r="B2" s="394" t="str">
        <f>head27</f>
        <v>Ref</v>
      </c>
      <c r="C2" s="151" t="str">
        <f>head1b</f>
        <v>2007/8</v>
      </c>
      <c r="D2" s="740" t="str">
        <f>head1A</f>
        <v>2008/9</v>
      </c>
      <c r="E2" s="147" t="str">
        <f>Head1</f>
        <v>2009/10</v>
      </c>
      <c r="F2" s="2772" t="str">
        <f>Head2</f>
        <v>Current Year 2010/11</v>
      </c>
      <c r="G2" s="2773"/>
      <c r="H2" s="2777"/>
      <c r="I2" s="2769" t="str">
        <f>Head3</f>
        <v>2011/12 Medium Term Revenue &amp; Expenditure Framework</v>
      </c>
      <c r="J2" s="2770"/>
      <c r="K2" s="2771"/>
    </row>
    <row r="3" spans="1:12" ht="25.5">
      <c r="A3" s="169" t="s">
        <v>697</v>
      </c>
      <c r="B3" s="984"/>
      <c r="C3" s="365" t="str">
        <f>Head5</f>
        <v>Audited Outcome</v>
      </c>
      <c r="D3" s="993" t="str">
        <f>Head5</f>
        <v>Audited Outcome</v>
      </c>
      <c r="E3" s="366" t="str">
        <f>Head5</f>
        <v>Audited Outcome</v>
      </c>
      <c r="F3" s="283" t="str">
        <f>Head6</f>
        <v>Original Budget</v>
      </c>
      <c r="G3" s="365" t="str">
        <f>Head7</f>
        <v>Adjusted Budget</v>
      </c>
      <c r="H3" s="366" t="str">
        <f>Head8</f>
        <v>Full Year Forecast</v>
      </c>
      <c r="I3" s="283" t="str">
        <f>Head9</f>
        <v>Budget Year 2011/12</v>
      </c>
      <c r="J3" s="365" t="str">
        <f>Head10</f>
        <v>Budget Year +1 2012/13</v>
      </c>
      <c r="K3" s="366" t="str">
        <f>Head11</f>
        <v>Budget Year +2 2013/14</v>
      </c>
    </row>
    <row r="4" spans="1:12" ht="11.25" customHeight="1">
      <c r="A4" s="251" t="s">
        <v>1371</v>
      </c>
      <c r="B4" s="733" t="s">
        <v>1636</v>
      </c>
      <c r="C4" s="741"/>
      <c r="D4" s="741"/>
      <c r="E4" s="742"/>
      <c r="F4" s="743"/>
      <c r="G4" s="741"/>
      <c r="H4" s="744"/>
      <c r="I4" s="745"/>
      <c r="J4" s="741"/>
      <c r="K4" s="742"/>
    </row>
    <row r="5" spans="1:12" ht="5.0999999999999996" customHeight="1">
      <c r="A5" s="235"/>
      <c r="B5" s="171"/>
      <c r="C5" s="735"/>
      <c r="D5" s="735"/>
      <c r="E5" s="736"/>
      <c r="F5" s="737"/>
      <c r="G5" s="735"/>
      <c r="H5" s="738"/>
      <c r="I5" s="739"/>
      <c r="J5" s="735"/>
      <c r="K5" s="736"/>
    </row>
    <row r="6" spans="1:12" ht="11.25" customHeight="1">
      <c r="A6" s="235" t="s">
        <v>375</v>
      </c>
      <c r="B6" s="171"/>
      <c r="C6" s="735"/>
      <c r="D6" s="735"/>
      <c r="E6" s="736"/>
      <c r="F6" s="737"/>
      <c r="G6" s="735"/>
      <c r="H6" s="738"/>
      <c r="I6" s="739"/>
      <c r="J6" s="735"/>
      <c r="K6" s="736"/>
    </row>
    <row r="7" spans="1:12" ht="18" customHeight="1">
      <c r="A7" s="348" t="s">
        <v>1091</v>
      </c>
      <c r="B7" s="171"/>
      <c r="C7" s="735">
        <f>SUM(C8:C14)</f>
        <v>0</v>
      </c>
      <c r="D7" s="735">
        <f t="shared" ref="D7:K7" si="0">SUM(D8:D14)</f>
        <v>0</v>
      </c>
      <c r="E7" s="736">
        <f t="shared" si="0"/>
        <v>0</v>
      </c>
      <c r="F7" s="737">
        <f t="shared" si="0"/>
        <v>0</v>
      </c>
      <c r="G7" s="735">
        <f t="shared" si="0"/>
        <v>0</v>
      </c>
      <c r="H7" s="738">
        <f t="shared" si="0"/>
        <v>0</v>
      </c>
      <c r="I7" s="739">
        <f t="shared" si="0"/>
        <v>17909000</v>
      </c>
      <c r="J7" s="735">
        <f t="shared" si="0"/>
        <v>0</v>
      </c>
      <c r="K7" s="736">
        <f t="shared" si="0"/>
        <v>0</v>
      </c>
    </row>
    <row r="8" spans="1:12" ht="11.25" customHeight="1">
      <c r="A8" s="2143" t="s">
        <v>2196</v>
      </c>
      <c r="B8" s="171" t="str">
        <f t="shared" ref="B8:B13" si="1">IF(A8="  Levy replacement",3,"")</f>
        <v/>
      </c>
      <c r="C8" s="2144"/>
      <c r="D8" s="2144"/>
      <c r="E8" s="2145"/>
      <c r="F8" s="2146"/>
      <c r="G8" s="2144"/>
      <c r="H8" s="2147"/>
      <c r="I8" s="2148">
        <v>15669000</v>
      </c>
      <c r="J8" s="2144"/>
      <c r="K8" s="2145"/>
    </row>
    <row r="9" spans="1:12" ht="11.25" customHeight="1">
      <c r="A9" s="2143" t="s">
        <v>3094</v>
      </c>
      <c r="B9" s="171" t="str">
        <f t="shared" si="1"/>
        <v/>
      </c>
      <c r="C9" s="2134"/>
      <c r="D9" s="2134"/>
      <c r="E9" s="2135"/>
      <c r="F9" s="2136"/>
      <c r="G9" s="2134"/>
      <c r="H9" s="2137"/>
      <c r="I9" s="2138">
        <v>1450000</v>
      </c>
      <c r="J9" s="2134"/>
      <c r="K9" s="2135"/>
    </row>
    <row r="10" spans="1:12" ht="11.25" customHeight="1">
      <c r="A10" s="2143" t="s">
        <v>3095</v>
      </c>
      <c r="B10" s="171" t="str">
        <f t="shared" si="1"/>
        <v/>
      </c>
      <c r="C10" s="2134"/>
      <c r="D10" s="2134"/>
      <c r="E10" s="2135"/>
      <c r="F10" s="2136"/>
      <c r="G10" s="2134"/>
      <c r="H10" s="2137"/>
      <c r="I10" s="2138">
        <v>790000</v>
      </c>
      <c r="J10" s="2134"/>
      <c r="K10" s="2135"/>
    </row>
    <row r="11" spans="1:12" ht="11.25" customHeight="1">
      <c r="A11" s="1817"/>
      <c r="B11" s="171" t="str">
        <f t="shared" si="1"/>
        <v/>
      </c>
      <c r="C11" s="2134"/>
      <c r="D11" s="2134"/>
      <c r="E11" s="2135"/>
      <c r="F11" s="2136"/>
      <c r="G11" s="2134"/>
      <c r="H11" s="2137"/>
      <c r="I11" s="2138"/>
      <c r="J11" s="2134"/>
      <c r="K11" s="2135"/>
    </row>
    <row r="12" spans="1:12" ht="11.25" customHeight="1">
      <c r="A12" s="2143"/>
      <c r="B12" s="171" t="str">
        <f t="shared" si="1"/>
        <v/>
      </c>
      <c r="C12" s="2134"/>
      <c r="D12" s="2134"/>
      <c r="E12" s="2135"/>
      <c r="F12" s="2136"/>
      <c r="G12" s="2134"/>
      <c r="H12" s="2137"/>
      <c r="I12" s="2138"/>
      <c r="J12" s="2134"/>
      <c r="K12" s="2135"/>
    </row>
    <row r="13" spans="1:12" ht="11.25" customHeight="1">
      <c r="A13" s="2143"/>
      <c r="B13" s="171" t="str">
        <f t="shared" si="1"/>
        <v/>
      </c>
      <c r="C13" s="2134"/>
      <c r="D13" s="2134"/>
      <c r="E13" s="2135"/>
      <c r="F13" s="2136"/>
      <c r="G13" s="2134"/>
      <c r="H13" s="2137"/>
      <c r="I13" s="2138"/>
      <c r="J13" s="2134"/>
      <c r="K13" s="2135"/>
    </row>
    <row r="14" spans="1:12" ht="18" customHeight="1">
      <c r="A14" s="2143" t="s">
        <v>1312</v>
      </c>
      <c r="B14" s="171"/>
      <c r="C14" s="2149"/>
      <c r="D14" s="2149"/>
      <c r="E14" s="2150"/>
      <c r="F14" s="2151"/>
      <c r="G14" s="2149"/>
      <c r="H14" s="2152"/>
      <c r="I14" s="2153"/>
      <c r="J14" s="2149"/>
      <c r="K14" s="2150"/>
    </row>
    <row r="15" spans="1:12" ht="18" customHeight="1">
      <c r="A15" s="348" t="s">
        <v>1092</v>
      </c>
      <c r="B15" s="171"/>
      <c r="C15" s="735">
        <f t="shared" ref="C15:K15" si="2">SUM(C16:C26)</f>
        <v>0</v>
      </c>
      <c r="D15" s="735">
        <f t="shared" si="2"/>
        <v>0</v>
      </c>
      <c r="E15" s="736">
        <f t="shared" si="2"/>
        <v>0</v>
      </c>
      <c r="F15" s="737">
        <f t="shared" si="2"/>
        <v>0</v>
      </c>
      <c r="G15" s="735">
        <f t="shared" si="2"/>
        <v>0</v>
      </c>
      <c r="H15" s="738">
        <f t="shared" si="2"/>
        <v>0</v>
      </c>
      <c r="I15" s="739">
        <f t="shared" si="2"/>
        <v>0</v>
      </c>
      <c r="J15" s="735">
        <f t="shared" si="2"/>
        <v>0</v>
      </c>
      <c r="K15" s="736">
        <f t="shared" si="2"/>
        <v>0</v>
      </c>
      <c r="L15" s="345"/>
    </row>
    <row r="16" spans="1:12" ht="11.25" customHeight="1">
      <c r="A16" s="2143"/>
      <c r="B16" s="171" t="str">
        <f>IF(A16="  Housing",4,"")</f>
        <v/>
      </c>
      <c r="C16" s="2144"/>
      <c r="D16" s="2144"/>
      <c r="E16" s="2145"/>
      <c r="F16" s="2146"/>
      <c r="G16" s="2144"/>
      <c r="H16" s="2147"/>
      <c r="I16" s="2148"/>
      <c r="J16" s="2144"/>
      <c r="K16" s="2145"/>
      <c r="L16" s="345"/>
    </row>
    <row r="17" spans="1:12" ht="11.25" customHeight="1">
      <c r="A17" s="2143"/>
      <c r="B17" s="171"/>
      <c r="C17" s="2134"/>
      <c r="D17" s="2134"/>
      <c r="E17" s="2135"/>
      <c r="F17" s="2136"/>
      <c r="G17" s="2134"/>
      <c r="H17" s="2137"/>
      <c r="I17" s="2138"/>
      <c r="J17" s="2134"/>
      <c r="K17" s="2135"/>
      <c r="L17" s="345"/>
    </row>
    <row r="18" spans="1:12" ht="11.25" customHeight="1">
      <c r="A18" s="2143"/>
      <c r="B18" s="171"/>
      <c r="C18" s="2134"/>
      <c r="D18" s="2134"/>
      <c r="E18" s="2135"/>
      <c r="F18" s="2136"/>
      <c r="G18" s="2134"/>
      <c r="H18" s="2137"/>
      <c r="I18" s="2138"/>
      <c r="J18" s="2134"/>
      <c r="K18" s="2135"/>
      <c r="L18" s="345"/>
    </row>
    <row r="19" spans="1:12" ht="11.25" customHeight="1">
      <c r="A19" s="2143"/>
      <c r="B19" s="171"/>
      <c r="C19" s="2134"/>
      <c r="D19" s="2134"/>
      <c r="E19" s="2135"/>
      <c r="F19" s="2136"/>
      <c r="G19" s="2134"/>
      <c r="H19" s="2137"/>
      <c r="I19" s="2138"/>
      <c r="J19" s="2134"/>
      <c r="K19" s="2135"/>
      <c r="L19" s="345"/>
    </row>
    <row r="20" spans="1:12" ht="11.25" customHeight="1">
      <c r="A20" s="2143"/>
      <c r="B20" s="171"/>
      <c r="C20" s="2134"/>
      <c r="D20" s="2134"/>
      <c r="E20" s="2135"/>
      <c r="F20" s="2136"/>
      <c r="G20" s="2134"/>
      <c r="H20" s="2137"/>
      <c r="I20" s="2138"/>
      <c r="J20" s="2134"/>
      <c r="K20" s="2135"/>
      <c r="L20" s="345"/>
    </row>
    <row r="21" spans="1:12" ht="11.25" customHeight="1">
      <c r="A21" s="2143"/>
      <c r="B21" s="171"/>
      <c r="C21" s="2134"/>
      <c r="D21" s="2134"/>
      <c r="E21" s="2135"/>
      <c r="F21" s="2136"/>
      <c r="G21" s="2134"/>
      <c r="H21" s="2137"/>
      <c r="I21" s="2138"/>
      <c r="J21" s="2134"/>
      <c r="K21" s="2135"/>
      <c r="L21" s="345"/>
    </row>
    <row r="22" spans="1:12" ht="11.25" customHeight="1">
      <c r="A22" s="2143"/>
      <c r="B22" s="171"/>
      <c r="C22" s="2134"/>
      <c r="D22" s="2134"/>
      <c r="E22" s="2135"/>
      <c r="F22" s="2136"/>
      <c r="G22" s="2134"/>
      <c r="H22" s="2137"/>
      <c r="I22" s="2138"/>
      <c r="J22" s="2134"/>
      <c r="K22" s="2135"/>
      <c r="L22" s="345"/>
    </row>
    <row r="23" spans="1:12" ht="11.25" customHeight="1">
      <c r="A23" s="2143"/>
      <c r="B23" s="171"/>
      <c r="C23" s="2134"/>
      <c r="D23" s="2134"/>
      <c r="E23" s="2135"/>
      <c r="F23" s="2136"/>
      <c r="G23" s="2134"/>
      <c r="H23" s="2137"/>
      <c r="I23" s="2138"/>
      <c r="J23" s="2134"/>
      <c r="K23" s="2135"/>
      <c r="L23" s="345"/>
    </row>
    <row r="24" spans="1:12" ht="11.25" customHeight="1">
      <c r="A24" s="2143"/>
      <c r="B24" s="171"/>
      <c r="C24" s="2134"/>
      <c r="D24" s="2134"/>
      <c r="E24" s="2135"/>
      <c r="F24" s="2136"/>
      <c r="G24" s="2134"/>
      <c r="H24" s="2137"/>
      <c r="I24" s="2138"/>
      <c r="J24" s="2134"/>
      <c r="K24" s="2135"/>
      <c r="L24" s="345"/>
    </row>
    <row r="25" spans="1:12" ht="11.25" customHeight="1">
      <c r="A25" s="2143"/>
      <c r="B25" s="171"/>
      <c r="C25" s="2134"/>
      <c r="D25" s="2134"/>
      <c r="E25" s="2135"/>
      <c r="F25" s="2136"/>
      <c r="G25" s="2134"/>
      <c r="H25" s="2137"/>
      <c r="I25" s="2138"/>
      <c r="J25" s="2134"/>
      <c r="K25" s="2135"/>
      <c r="L25" s="345"/>
    </row>
    <row r="26" spans="1:12" ht="11.25" customHeight="1">
      <c r="A26" s="2143"/>
      <c r="B26" s="171"/>
      <c r="C26" s="2149"/>
      <c r="D26" s="2149"/>
      <c r="E26" s="2150"/>
      <c r="F26" s="2151"/>
      <c r="G26" s="2149"/>
      <c r="H26" s="2152"/>
      <c r="I26" s="2153"/>
      <c r="J26" s="2149"/>
      <c r="K26" s="2150"/>
      <c r="L26" s="345"/>
    </row>
    <row r="27" spans="1:12" ht="18" customHeight="1">
      <c r="A27" s="348" t="s">
        <v>1128</v>
      </c>
      <c r="B27" s="171"/>
      <c r="C27" s="735">
        <f>SUM(C28:C29)</f>
        <v>0</v>
      </c>
      <c r="D27" s="735">
        <f t="shared" ref="D27:K27" si="3">SUM(D28:D29)</f>
        <v>0</v>
      </c>
      <c r="E27" s="736">
        <f t="shared" si="3"/>
        <v>0</v>
      </c>
      <c r="F27" s="737">
        <f t="shared" si="3"/>
        <v>0</v>
      </c>
      <c r="G27" s="735">
        <f t="shared" si="3"/>
        <v>0</v>
      </c>
      <c r="H27" s="738">
        <f t="shared" si="3"/>
        <v>0</v>
      </c>
      <c r="I27" s="739">
        <f t="shared" si="3"/>
        <v>0</v>
      </c>
      <c r="J27" s="735">
        <f t="shared" si="3"/>
        <v>0</v>
      </c>
      <c r="K27" s="736">
        <f t="shared" si="3"/>
        <v>0</v>
      </c>
      <c r="L27" s="345"/>
    </row>
    <row r="28" spans="1:12" ht="11.25" customHeight="1">
      <c r="A28" s="2154" t="s">
        <v>2194</v>
      </c>
      <c r="B28" s="171"/>
      <c r="C28" s="2144"/>
      <c r="D28" s="2144"/>
      <c r="E28" s="2145"/>
      <c r="F28" s="2146"/>
      <c r="G28" s="2144"/>
      <c r="H28" s="2147"/>
      <c r="I28" s="2148"/>
      <c r="J28" s="2144"/>
      <c r="K28" s="2145"/>
      <c r="L28" s="345"/>
    </row>
    <row r="29" spans="1:12" ht="11.25" customHeight="1">
      <c r="A29" s="2154"/>
      <c r="B29" s="171"/>
      <c r="C29" s="2149"/>
      <c r="D29" s="2149"/>
      <c r="E29" s="2150"/>
      <c r="F29" s="2151"/>
      <c r="G29" s="2149"/>
      <c r="H29" s="2152"/>
      <c r="I29" s="2153"/>
      <c r="J29" s="2149"/>
      <c r="K29" s="2150"/>
      <c r="L29" s="345"/>
    </row>
    <row r="30" spans="1:12" ht="18" customHeight="1">
      <c r="A30" s="348" t="s">
        <v>614</v>
      </c>
      <c r="B30" s="171"/>
      <c r="C30" s="735">
        <f>SUM(C31:C32)</f>
        <v>0</v>
      </c>
      <c r="D30" s="735">
        <f t="shared" ref="D30:K30" si="4">SUM(D31:D32)</f>
        <v>0</v>
      </c>
      <c r="E30" s="736">
        <f t="shared" si="4"/>
        <v>0</v>
      </c>
      <c r="F30" s="737">
        <f t="shared" si="4"/>
        <v>0</v>
      </c>
      <c r="G30" s="735">
        <f t="shared" si="4"/>
        <v>0</v>
      </c>
      <c r="H30" s="738">
        <f t="shared" si="4"/>
        <v>0</v>
      </c>
      <c r="I30" s="739">
        <f t="shared" si="4"/>
        <v>0</v>
      </c>
      <c r="J30" s="735">
        <f t="shared" si="4"/>
        <v>0</v>
      </c>
      <c r="K30" s="736">
        <f t="shared" si="4"/>
        <v>0</v>
      </c>
      <c r="L30" s="345"/>
    </row>
    <row r="31" spans="1:12" ht="11.25" customHeight="1">
      <c r="A31" s="2154" t="s">
        <v>1164</v>
      </c>
      <c r="B31" s="171"/>
      <c r="C31" s="2144"/>
      <c r="D31" s="2144"/>
      <c r="E31" s="2145"/>
      <c r="F31" s="2146"/>
      <c r="G31" s="2144"/>
      <c r="H31" s="2147"/>
      <c r="I31" s="2148"/>
      <c r="J31" s="2144"/>
      <c r="K31" s="2145"/>
      <c r="L31" s="345"/>
    </row>
    <row r="32" spans="1:12" ht="11.25" customHeight="1">
      <c r="A32" s="2154"/>
      <c r="B32" s="171"/>
      <c r="C32" s="2149"/>
      <c r="D32" s="2149"/>
      <c r="E32" s="2150"/>
      <c r="F32" s="2151"/>
      <c r="G32" s="2149"/>
      <c r="H32" s="2152"/>
      <c r="I32" s="2153"/>
      <c r="J32" s="2149"/>
      <c r="K32" s="2150"/>
      <c r="L32" s="345"/>
    </row>
    <row r="33" spans="1:15" s="753" customFormat="1" ht="15.75" customHeight="1">
      <c r="A33" s="746" t="s">
        <v>376</v>
      </c>
      <c r="B33" s="747">
        <v>5</v>
      </c>
      <c r="C33" s="748">
        <f t="shared" ref="C33:K33" si="5">C7+C15+C27+C30</f>
        <v>0</v>
      </c>
      <c r="D33" s="748">
        <f t="shared" si="5"/>
        <v>0</v>
      </c>
      <c r="E33" s="749">
        <f t="shared" si="5"/>
        <v>0</v>
      </c>
      <c r="F33" s="750">
        <f t="shared" si="5"/>
        <v>0</v>
      </c>
      <c r="G33" s="748">
        <f t="shared" si="5"/>
        <v>0</v>
      </c>
      <c r="H33" s="751">
        <f t="shared" si="5"/>
        <v>0</v>
      </c>
      <c r="I33" s="752">
        <f t="shared" si="5"/>
        <v>17909000</v>
      </c>
      <c r="J33" s="748">
        <f t="shared" si="5"/>
        <v>0</v>
      </c>
      <c r="K33" s="749">
        <f t="shared" si="5"/>
        <v>0</v>
      </c>
      <c r="L33" s="876"/>
    </row>
    <row r="34" spans="1:15" ht="5.0999999999999996" customHeight="1">
      <c r="A34" s="259"/>
      <c r="B34" s="171"/>
      <c r="C34" s="699"/>
      <c r="D34" s="699"/>
      <c r="E34" s="695"/>
      <c r="F34" s="696"/>
      <c r="G34" s="699"/>
      <c r="H34" s="697"/>
      <c r="I34" s="700"/>
      <c r="J34" s="699"/>
      <c r="K34" s="695"/>
      <c r="L34" s="345"/>
    </row>
    <row r="35" spans="1:15" ht="11.25" customHeight="1">
      <c r="A35" s="235" t="s">
        <v>377</v>
      </c>
      <c r="B35" s="171"/>
      <c r="C35" s="699"/>
      <c r="D35" s="699"/>
      <c r="E35" s="695"/>
      <c r="F35" s="696"/>
      <c r="G35" s="699"/>
      <c r="H35" s="697"/>
      <c r="I35" s="700"/>
      <c r="J35" s="699"/>
      <c r="K35" s="695"/>
      <c r="L35" s="345"/>
    </row>
    <row r="36" spans="1:15" ht="18" customHeight="1">
      <c r="A36" s="348" t="str">
        <f>A7</f>
        <v>National Government:</v>
      </c>
      <c r="B36" s="171"/>
      <c r="C36" s="735">
        <f>SUM(C37:C42)</f>
        <v>0</v>
      </c>
      <c r="D36" s="735">
        <f t="shared" ref="D36:K36" si="6">SUM(D37:D42)</f>
        <v>0</v>
      </c>
      <c r="E36" s="736">
        <f t="shared" si="6"/>
        <v>0</v>
      </c>
      <c r="F36" s="737">
        <f t="shared" si="6"/>
        <v>0</v>
      </c>
      <c r="G36" s="735">
        <f t="shared" si="6"/>
        <v>0</v>
      </c>
      <c r="H36" s="738">
        <f t="shared" si="6"/>
        <v>0</v>
      </c>
      <c r="I36" s="739">
        <f t="shared" si="6"/>
        <v>9488000</v>
      </c>
      <c r="J36" s="735">
        <f t="shared" si="6"/>
        <v>0</v>
      </c>
      <c r="K36" s="736">
        <f t="shared" si="6"/>
        <v>0</v>
      </c>
      <c r="L36" s="345"/>
    </row>
    <row r="37" spans="1:15" ht="11.25" customHeight="1">
      <c r="A37" s="2143" t="s">
        <v>2195</v>
      </c>
      <c r="B37" s="171"/>
      <c r="C37" s="2144"/>
      <c r="D37" s="2144"/>
      <c r="E37" s="2145"/>
      <c r="F37" s="2146"/>
      <c r="G37" s="2144"/>
      <c r="H37" s="2147"/>
      <c r="I37" s="2148">
        <v>9488000</v>
      </c>
      <c r="J37" s="2144"/>
      <c r="K37" s="2145"/>
      <c r="L37" s="345"/>
    </row>
    <row r="38" spans="1:15" ht="11.25" customHeight="1">
      <c r="A38" s="2143" t="s">
        <v>2193</v>
      </c>
      <c r="B38" s="171"/>
      <c r="C38" s="2134"/>
      <c r="D38" s="2134"/>
      <c r="E38" s="2135"/>
      <c r="F38" s="2136"/>
      <c r="G38" s="2134"/>
      <c r="H38" s="2137"/>
      <c r="I38" s="2138"/>
      <c r="J38" s="2134"/>
      <c r="K38" s="2135"/>
      <c r="L38" s="345"/>
    </row>
    <row r="39" spans="1:15" ht="11.25" customHeight="1">
      <c r="A39" s="2143"/>
      <c r="B39" s="171"/>
      <c r="C39" s="2134"/>
      <c r="D39" s="2134"/>
      <c r="E39" s="2135"/>
      <c r="F39" s="2136"/>
      <c r="G39" s="2134"/>
      <c r="H39" s="2137"/>
      <c r="I39" s="2138"/>
      <c r="J39" s="2134"/>
      <c r="K39" s="2135"/>
      <c r="L39" s="345"/>
    </row>
    <row r="40" spans="1:15" ht="11.25" customHeight="1">
      <c r="A40" s="2143"/>
      <c r="B40" s="171"/>
      <c r="C40" s="2134"/>
      <c r="D40" s="2134"/>
      <c r="E40" s="2135"/>
      <c r="F40" s="2136"/>
      <c r="G40" s="2134"/>
      <c r="H40" s="2137"/>
      <c r="I40" s="2138"/>
      <c r="J40" s="2134"/>
      <c r="K40" s="2135"/>
      <c r="L40" s="345"/>
    </row>
    <row r="41" spans="1:15" ht="11.25" customHeight="1">
      <c r="A41" s="2143"/>
      <c r="B41" s="171"/>
      <c r="C41" s="2134"/>
      <c r="D41" s="2134"/>
      <c r="E41" s="2135"/>
      <c r="F41" s="2136"/>
      <c r="G41" s="2134"/>
      <c r="H41" s="2137"/>
      <c r="I41" s="2138"/>
      <c r="J41" s="2134"/>
      <c r="K41" s="2135"/>
      <c r="L41" s="345"/>
    </row>
    <row r="42" spans="1:15" ht="11.25" customHeight="1">
      <c r="A42" s="2143" t="s">
        <v>949</v>
      </c>
      <c r="B42" s="171"/>
      <c r="C42" s="2149"/>
      <c r="D42" s="2149"/>
      <c r="E42" s="2150"/>
      <c r="F42" s="2151"/>
      <c r="G42" s="2149"/>
      <c r="H42" s="2152"/>
      <c r="I42" s="2153"/>
      <c r="J42" s="2149"/>
      <c r="K42" s="2150"/>
      <c r="L42" s="345"/>
    </row>
    <row r="43" spans="1:15" ht="18" customHeight="1">
      <c r="A43" s="754" t="str">
        <f>A15</f>
        <v>Provincial Government:</v>
      </c>
      <c r="B43" s="171"/>
      <c r="C43" s="735">
        <f>SUM(C44)</f>
        <v>0</v>
      </c>
      <c r="D43" s="735">
        <f t="shared" ref="D43:K43" si="7">SUM(D44)</f>
        <v>0</v>
      </c>
      <c r="E43" s="736">
        <f t="shared" si="7"/>
        <v>0</v>
      </c>
      <c r="F43" s="737">
        <f t="shared" si="7"/>
        <v>0</v>
      </c>
      <c r="G43" s="735">
        <f t="shared" si="7"/>
        <v>0</v>
      </c>
      <c r="H43" s="738">
        <f t="shared" si="7"/>
        <v>0</v>
      </c>
      <c r="I43" s="739">
        <f t="shared" si="7"/>
        <v>0</v>
      </c>
      <c r="J43" s="735">
        <f t="shared" si="7"/>
        <v>0</v>
      </c>
      <c r="K43" s="736">
        <f t="shared" si="7"/>
        <v>0</v>
      </c>
      <c r="L43" s="345"/>
      <c r="O43" s="345"/>
    </row>
    <row r="44" spans="1:15">
      <c r="A44" s="2143"/>
      <c r="B44" s="171"/>
      <c r="C44" s="2155"/>
      <c r="D44" s="2155"/>
      <c r="E44" s="2156"/>
      <c r="F44" s="2157"/>
      <c r="G44" s="2155"/>
      <c r="H44" s="2158"/>
      <c r="I44" s="2159"/>
      <c r="J44" s="2155"/>
      <c r="K44" s="2156"/>
      <c r="L44" s="345"/>
    </row>
    <row r="45" spans="1:15" ht="18" customHeight="1">
      <c r="A45" s="348" t="str">
        <f>A27</f>
        <v>District Municipality:</v>
      </c>
      <c r="B45" s="171"/>
      <c r="C45" s="735">
        <f t="shared" ref="C45:K45" si="8">SUM(C46:C47)</f>
        <v>0</v>
      </c>
      <c r="D45" s="735">
        <f t="shared" si="8"/>
        <v>0</v>
      </c>
      <c r="E45" s="736">
        <f t="shared" si="8"/>
        <v>0</v>
      </c>
      <c r="F45" s="737">
        <f t="shared" si="8"/>
        <v>0</v>
      </c>
      <c r="G45" s="735">
        <f t="shared" si="8"/>
        <v>0</v>
      </c>
      <c r="H45" s="738">
        <f t="shared" si="8"/>
        <v>0</v>
      </c>
      <c r="I45" s="739">
        <f t="shared" si="8"/>
        <v>0</v>
      </c>
      <c r="J45" s="735">
        <f t="shared" si="8"/>
        <v>0</v>
      </c>
      <c r="K45" s="736">
        <f t="shared" si="8"/>
        <v>0</v>
      </c>
      <c r="L45" s="345"/>
    </row>
    <row r="46" spans="1:15" ht="11.25" customHeight="1">
      <c r="A46" s="2154" t="str">
        <f>A28</f>
        <v>Soccer 2010</v>
      </c>
      <c r="B46" s="171"/>
      <c r="C46" s="2144"/>
      <c r="D46" s="2144"/>
      <c r="E46" s="2145"/>
      <c r="F46" s="2146"/>
      <c r="G46" s="2144"/>
      <c r="H46" s="2147"/>
      <c r="I46" s="2148"/>
      <c r="J46" s="2144"/>
      <c r="K46" s="2145"/>
      <c r="L46" s="345"/>
    </row>
    <row r="47" spans="1:15" ht="11.25" customHeight="1">
      <c r="A47" s="2154"/>
      <c r="B47" s="171"/>
      <c r="C47" s="2149"/>
      <c r="D47" s="2149"/>
      <c r="E47" s="2150"/>
      <c r="F47" s="2151"/>
      <c r="G47" s="2149"/>
      <c r="H47" s="2152"/>
      <c r="I47" s="2153"/>
      <c r="J47" s="2149"/>
      <c r="K47" s="2150"/>
      <c r="L47" s="345"/>
    </row>
    <row r="48" spans="1:15" ht="18" customHeight="1">
      <c r="A48" s="348" t="str">
        <f>A30</f>
        <v>Other grant providers:</v>
      </c>
      <c r="B48" s="171"/>
      <c r="C48" s="735">
        <f>SUM(C49:C50)</f>
        <v>0</v>
      </c>
      <c r="D48" s="735">
        <f t="shared" ref="D48:K48" si="9">SUM(D49:D50)</f>
        <v>0</v>
      </c>
      <c r="E48" s="736">
        <f t="shared" si="9"/>
        <v>0</v>
      </c>
      <c r="F48" s="737">
        <f t="shared" si="9"/>
        <v>0</v>
      </c>
      <c r="G48" s="735">
        <f t="shared" si="9"/>
        <v>0</v>
      </c>
      <c r="H48" s="738">
        <f t="shared" si="9"/>
        <v>0</v>
      </c>
      <c r="I48" s="739">
        <f t="shared" si="9"/>
        <v>0</v>
      </c>
      <c r="J48" s="735">
        <f t="shared" si="9"/>
        <v>0</v>
      </c>
      <c r="K48" s="736">
        <f t="shared" si="9"/>
        <v>0</v>
      </c>
      <c r="L48" s="345"/>
    </row>
    <row r="49" spans="1:12" ht="11.25" customHeight="1">
      <c r="A49" s="2154" t="str">
        <f>LEFT(A31,22)</f>
        <v xml:space="preserve">  [insert description]</v>
      </c>
      <c r="B49" s="171"/>
      <c r="C49" s="2144"/>
      <c r="D49" s="2144"/>
      <c r="E49" s="2145"/>
      <c r="F49" s="2146"/>
      <c r="G49" s="2144"/>
      <c r="H49" s="2147"/>
      <c r="I49" s="2148"/>
      <c r="J49" s="2144"/>
      <c r="K49" s="2145"/>
      <c r="L49" s="345"/>
    </row>
    <row r="50" spans="1:12" ht="11.25" customHeight="1">
      <c r="A50" s="2154"/>
      <c r="B50" s="171"/>
      <c r="C50" s="2149"/>
      <c r="D50" s="2149"/>
      <c r="E50" s="2150"/>
      <c r="F50" s="2151"/>
      <c r="G50" s="2149"/>
      <c r="H50" s="2152"/>
      <c r="I50" s="2153"/>
      <c r="J50" s="2149"/>
      <c r="K50" s="2150"/>
      <c r="L50" s="345"/>
    </row>
    <row r="51" spans="1:12" ht="15.75" customHeight="1">
      <c r="A51" s="755" t="s">
        <v>378</v>
      </c>
      <c r="B51" s="756">
        <v>5</v>
      </c>
      <c r="C51" s="735">
        <f t="shared" ref="C51:K51" si="10">C36+C43+C45+C48</f>
        <v>0</v>
      </c>
      <c r="D51" s="735">
        <f t="shared" si="10"/>
        <v>0</v>
      </c>
      <c r="E51" s="736">
        <f t="shared" si="10"/>
        <v>0</v>
      </c>
      <c r="F51" s="737">
        <f t="shared" si="10"/>
        <v>0</v>
      </c>
      <c r="G51" s="735">
        <f t="shared" si="10"/>
        <v>0</v>
      </c>
      <c r="H51" s="738">
        <f t="shared" si="10"/>
        <v>0</v>
      </c>
      <c r="I51" s="739">
        <f t="shared" si="10"/>
        <v>9488000</v>
      </c>
      <c r="J51" s="735">
        <f t="shared" si="10"/>
        <v>0</v>
      </c>
      <c r="K51" s="736">
        <f t="shared" si="10"/>
        <v>0</v>
      </c>
      <c r="L51" s="345"/>
    </row>
    <row r="52" spans="1:12" s="753" customFormat="1" ht="16.5" customHeight="1">
      <c r="A52" s="757" t="s">
        <v>379</v>
      </c>
      <c r="B52" s="758"/>
      <c r="C52" s="759">
        <f t="shared" ref="C52:K52" si="11">C33+C51</f>
        <v>0</v>
      </c>
      <c r="D52" s="759">
        <f t="shared" si="11"/>
        <v>0</v>
      </c>
      <c r="E52" s="760">
        <f t="shared" si="11"/>
        <v>0</v>
      </c>
      <c r="F52" s="761">
        <f t="shared" si="11"/>
        <v>0</v>
      </c>
      <c r="G52" s="759">
        <f t="shared" si="11"/>
        <v>0</v>
      </c>
      <c r="H52" s="762">
        <f t="shared" si="11"/>
        <v>0</v>
      </c>
      <c r="I52" s="763">
        <f t="shared" si="11"/>
        <v>27397000</v>
      </c>
      <c r="J52" s="759">
        <f t="shared" si="11"/>
        <v>0</v>
      </c>
      <c r="K52" s="760">
        <f t="shared" si="11"/>
        <v>0</v>
      </c>
      <c r="L52" s="876"/>
    </row>
    <row r="53" spans="1:12" s="693" customFormat="1" hidden="1">
      <c r="A53" s="1220" t="str">
        <f>head27a</f>
        <v>References</v>
      </c>
      <c r="B53" s="1033"/>
      <c r="C53" s="1037"/>
      <c r="D53" s="1037"/>
      <c r="E53" s="1037"/>
      <c r="F53" s="1037"/>
      <c r="G53" s="1037"/>
      <c r="H53" s="1037"/>
      <c r="I53" s="1037"/>
      <c r="J53" s="1037"/>
      <c r="K53" s="1037"/>
      <c r="L53" s="1077"/>
    </row>
    <row r="54" spans="1:12" s="693" customFormat="1" ht="11.25" hidden="1" customHeight="1">
      <c r="A54" s="1204" t="s">
        <v>313</v>
      </c>
      <c r="B54" s="1033"/>
      <c r="C54" s="1036"/>
      <c r="D54" s="1036"/>
      <c r="E54" s="1037"/>
      <c r="F54" s="1037"/>
      <c r="G54" s="1037"/>
      <c r="H54" s="1037"/>
      <c r="I54" s="1037"/>
      <c r="J54" s="1037"/>
      <c r="K54" s="1037"/>
    </row>
    <row r="55" spans="1:12" s="693" customFormat="1" ht="11.25" hidden="1" customHeight="1">
      <c r="A55" s="1201" t="s">
        <v>1500</v>
      </c>
      <c r="B55" s="1033"/>
      <c r="C55" s="1036"/>
      <c r="D55" s="1036"/>
      <c r="E55" s="1037"/>
      <c r="F55" s="1037"/>
      <c r="G55" s="1037"/>
      <c r="H55" s="1037"/>
      <c r="I55" s="1037"/>
      <c r="J55" s="1037"/>
      <c r="K55" s="1037"/>
    </row>
    <row r="56" spans="1:12" s="693" customFormat="1" ht="11.25" hidden="1" customHeight="1">
      <c r="A56" s="1201" t="s">
        <v>613</v>
      </c>
      <c r="B56" s="1033"/>
      <c r="C56" s="1036"/>
      <c r="D56" s="1036"/>
      <c r="E56" s="1037"/>
      <c r="F56" s="1037"/>
      <c r="G56" s="1037"/>
      <c r="H56" s="1037"/>
      <c r="I56" s="1037"/>
      <c r="J56" s="1037"/>
      <c r="K56" s="1037"/>
    </row>
    <row r="57" spans="1:12" s="693" customFormat="1" ht="11.25" hidden="1" customHeight="1">
      <c r="A57" s="1204" t="s">
        <v>1471</v>
      </c>
      <c r="B57" s="1033"/>
      <c r="C57" s="1036"/>
      <c r="D57" s="1036"/>
      <c r="E57" s="1037"/>
      <c r="F57" s="1037"/>
      <c r="G57" s="1037"/>
      <c r="H57" s="1037"/>
      <c r="I57" s="1037"/>
      <c r="J57" s="1037"/>
      <c r="K57" s="1037"/>
    </row>
    <row r="58" spans="1:12" s="693" customFormat="1" ht="11.25" hidden="1" customHeight="1">
      <c r="A58" s="1340" t="s">
        <v>311</v>
      </c>
      <c r="B58" s="1038"/>
      <c r="C58" s="1070"/>
      <c r="D58" s="1071"/>
      <c r="E58" s="1070"/>
      <c r="F58" s="1071"/>
      <c r="G58" s="1070"/>
      <c r="H58" s="1070"/>
      <c r="I58" s="1070"/>
      <c r="J58" s="1070"/>
      <c r="K58" s="1070"/>
    </row>
    <row r="59" spans="1:12" s="693" customFormat="1" ht="11.25" hidden="1" customHeight="1">
      <c r="A59" s="1340" t="s">
        <v>968</v>
      </c>
      <c r="B59" s="1043"/>
    </row>
    <row r="60" spans="1:12" ht="11.25" hidden="1" customHeight="1"/>
    <row r="61" spans="1:12" ht="11.25" hidden="1" customHeight="1"/>
    <row r="62" spans="1:12" ht="11.25" hidden="1" customHeight="1"/>
    <row r="63" spans="1:12" ht="11.25" hidden="1" customHeight="1"/>
    <row r="64" spans="1:12"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sheetData>
  <sheetProtection sheet="1" objects="1" scenarios="1"/>
  <mergeCells count="2">
    <mergeCell ref="F2:H2"/>
    <mergeCell ref="I2:K2"/>
  </mergeCells>
  <phoneticPr fontId="3" type="noConversion"/>
  <dataValidations xWindow="133" yWindow="523" count="4">
    <dataValidation type="list" showInputMessage="1" showErrorMessage="1" prompt="Select transfer/grant description" sqref="A37 A39:A41 A12">
      <formula1>GrantNatCapex</formula1>
    </dataValidation>
    <dataValidation type="list" showInputMessage="1" showErrorMessage="1" prompt="Select transfer/grant description" sqref="A13">
      <formula1>GrantNatOpex</formula1>
    </dataValidation>
    <dataValidation type="list" showInputMessage="1" showErrorMessage="1" prompt="Select transfer/grant description" sqref="A16:A25 A44">
      <formula1>GrantProvOpex</formula1>
    </dataValidation>
    <dataValidation type="list" allowBlank="1" showInputMessage="1" showErrorMessage="1" sqref="A8:A11 A38">
      <formula1>NatOpexGrantNames</formula1>
    </dataValidation>
  </dataValidations>
  <printOptions horizontalCentered="1"/>
  <pageMargins left="0" right="0" top="0.78740157480314965" bottom="0.59055118110236227" header="0.51181102362204722" footer="0.39370078740157483"/>
  <pageSetup paperSize="9" scale="90"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enableFormatConditionsCalculation="0">
    <tabColor rgb="FFCCFFCC"/>
    <pageSetUpPr fitToPage="1"/>
  </sheetPr>
  <dimension ref="A1:O88"/>
  <sheetViews>
    <sheetView showGridLines="0" workbookViewId="0">
      <pane xSplit="2" ySplit="3" topLeftCell="C4" activePane="bottomRight" state="frozen"/>
      <selection activeCell="O37" sqref="A1:IV65536"/>
      <selection pane="topRight" activeCell="O37" sqref="A1:IV65536"/>
      <selection pane="bottomLeft" activeCell="O37" sqref="A1:IV65536"/>
      <selection pane="bottomRight" activeCell="I86" sqref="I86"/>
    </sheetView>
  </sheetViews>
  <sheetFormatPr defaultRowHeight="12.75"/>
  <cols>
    <col min="1" max="1" width="30.7109375" style="150" customWidth="1"/>
    <col min="2" max="2" width="3" style="233" hidden="1" customWidth="1"/>
    <col min="3" max="11" width="9.28515625" style="150" customWidth="1"/>
    <col min="12" max="12" width="9.85546875" style="150" customWidth="1"/>
    <col min="13" max="13" width="9.5703125" style="150" customWidth="1"/>
    <col min="14" max="14" width="9.85546875" style="150" customWidth="1"/>
    <col min="15" max="17" width="9.5703125" style="150" customWidth="1"/>
    <col min="18" max="18" width="9.85546875" style="150" customWidth="1"/>
    <col min="19" max="21" width="9.5703125" style="150" customWidth="1"/>
    <col min="22" max="23" width="9.85546875" style="150" customWidth="1"/>
    <col min="24" max="16384" width="9.140625" style="150"/>
  </cols>
  <sheetData>
    <row r="1" spans="1:11" ht="13.5" customHeight="1">
      <c r="A1" s="148" t="str">
        <f>muni&amp;" - "&amp; TableA19</f>
        <v>NC071 Ubuntu - Supporting Table SA19 Expenditure on transfers and grant programme</v>
      </c>
      <c r="B1" s="148"/>
      <c r="C1" s="148"/>
      <c r="D1" s="148"/>
      <c r="E1" s="148"/>
      <c r="F1" s="148"/>
      <c r="G1" s="148"/>
      <c r="H1" s="148"/>
      <c r="I1" s="148"/>
      <c r="J1" s="148"/>
      <c r="K1" s="148"/>
    </row>
    <row r="2" spans="1:11" ht="28.5" customHeight="1">
      <c r="A2" s="979" t="str">
        <f>desc</f>
        <v>Description</v>
      </c>
      <c r="B2" s="394" t="str">
        <f>head27</f>
        <v>Ref</v>
      </c>
      <c r="C2" s="151" t="str">
        <f>head1b</f>
        <v>2007/8</v>
      </c>
      <c r="D2" s="740" t="str">
        <f>head1A</f>
        <v>2008/9</v>
      </c>
      <c r="E2" s="147" t="str">
        <f>Head1</f>
        <v>2009/10</v>
      </c>
      <c r="F2" s="2772" t="str">
        <f>Head2</f>
        <v>Current Year 2010/11</v>
      </c>
      <c r="G2" s="2773"/>
      <c r="H2" s="2777"/>
      <c r="I2" s="2769" t="str">
        <f>Head3</f>
        <v>2011/12 Medium Term Revenue &amp; Expenditure Framework</v>
      </c>
      <c r="J2" s="2770"/>
      <c r="K2" s="2771"/>
    </row>
    <row r="3" spans="1:11" ht="25.5">
      <c r="A3" s="169" t="s">
        <v>697</v>
      </c>
      <c r="B3" s="984"/>
      <c r="C3" s="365" t="str">
        <f>Head5</f>
        <v>Audited Outcome</v>
      </c>
      <c r="D3" s="993" t="str">
        <f>Head5</f>
        <v>Audited Outcome</v>
      </c>
      <c r="E3" s="366" t="str">
        <f>Head5</f>
        <v>Audited Outcome</v>
      </c>
      <c r="F3" s="283" t="str">
        <f>Head6</f>
        <v>Original Budget</v>
      </c>
      <c r="G3" s="365" t="str">
        <f>Head7</f>
        <v>Adjusted Budget</v>
      </c>
      <c r="H3" s="366" t="str">
        <f>Head8</f>
        <v>Full Year Forecast</v>
      </c>
      <c r="I3" s="283" t="str">
        <f>Head9</f>
        <v>Budget Year 2011/12</v>
      </c>
      <c r="J3" s="365" t="str">
        <f>Head10</f>
        <v>Budget Year +1 2012/13</v>
      </c>
      <c r="K3" s="366" t="str">
        <f>Head11</f>
        <v>Budget Year +2 2013/14</v>
      </c>
    </row>
    <row r="4" spans="1:11" ht="11.25" customHeight="1">
      <c r="A4" s="251" t="s">
        <v>314</v>
      </c>
      <c r="B4" s="733">
        <v>1</v>
      </c>
      <c r="C4" s="741"/>
      <c r="D4" s="741"/>
      <c r="E4" s="742"/>
      <c r="F4" s="743"/>
      <c r="G4" s="741"/>
      <c r="H4" s="744"/>
      <c r="I4" s="745"/>
      <c r="J4" s="741"/>
      <c r="K4" s="742"/>
    </row>
    <row r="5" spans="1:11" ht="5.0999999999999996" customHeight="1">
      <c r="A5" s="235"/>
      <c r="B5" s="171"/>
      <c r="C5" s="735"/>
      <c r="D5" s="735"/>
      <c r="E5" s="736"/>
      <c r="F5" s="737"/>
      <c r="G5" s="735"/>
      <c r="H5" s="738"/>
      <c r="I5" s="739"/>
      <c r="J5" s="735"/>
      <c r="K5" s="736"/>
    </row>
    <row r="6" spans="1:11" ht="11.25" customHeight="1">
      <c r="A6" s="235" t="s">
        <v>371</v>
      </c>
      <c r="B6" s="171"/>
      <c r="C6" s="735"/>
      <c r="D6" s="735"/>
      <c r="E6" s="736"/>
      <c r="F6" s="737"/>
      <c r="G6" s="735"/>
      <c r="H6" s="738"/>
      <c r="I6" s="739"/>
      <c r="J6" s="735"/>
      <c r="K6" s="736"/>
    </row>
    <row r="7" spans="1:11" ht="18" customHeight="1">
      <c r="A7" s="348" t="str">
        <f>'SA18'!A7</f>
        <v>National Government:</v>
      </c>
      <c r="B7" s="171"/>
      <c r="C7" s="735">
        <f>SUM(C8:C14)</f>
        <v>0</v>
      </c>
      <c r="D7" s="735">
        <f t="shared" ref="D7:K7" si="0">SUM(D8:D14)</f>
        <v>0</v>
      </c>
      <c r="E7" s="736">
        <f t="shared" si="0"/>
        <v>0</v>
      </c>
      <c r="F7" s="737">
        <f t="shared" si="0"/>
        <v>0</v>
      </c>
      <c r="G7" s="735">
        <f t="shared" si="0"/>
        <v>0</v>
      </c>
      <c r="H7" s="738">
        <f t="shared" si="0"/>
        <v>0</v>
      </c>
      <c r="I7" s="739">
        <f t="shared" si="0"/>
        <v>17909000</v>
      </c>
      <c r="J7" s="735">
        <f t="shared" si="0"/>
        <v>0</v>
      </c>
      <c r="K7" s="736">
        <f t="shared" si="0"/>
        <v>0</v>
      </c>
    </row>
    <row r="8" spans="1:11" ht="11.25" customHeight="1">
      <c r="A8" s="343" t="str">
        <f>IF('SA18'!A8="","",'SA18'!A8)</f>
        <v>Equitable Share</v>
      </c>
      <c r="B8" s="171"/>
      <c r="C8" s="2144"/>
      <c r="D8" s="2144"/>
      <c r="E8" s="2147"/>
      <c r="F8" s="2146"/>
      <c r="G8" s="2144"/>
      <c r="H8" s="2147"/>
      <c r="I8" s="2148">
        <v>15669000</v>
      </c>
      <c r="J8" s="2144"/>
      <c r="K8" s="2145"/>
    </row>
    <row r="9" spans="1:11" ht="11.25" customHeight="1">
      <c r="A9" s="343" t="str">
        <f>IF('SA18'!A9="","",'SA18'!A9)</f>
        <v>Finance Management Grant</v>
      </c>
      <c r="B9" s="171"/>
      <c r="C9" s="2134"/>
      <c r="D9" s="2134"/>
      <c r="E9" s="2137"/>
      <c r="F9" s="2136"/>
      <c r="G9" s="2134"/>
      <c r="H9" s="2137"/>
      <c r="I9" s="2138">
        <v>1450000</v>
      </c>
      <c r="J9" s="2134"/>
      <c r="K9" s="2135"/>
    </row>
    <row r="10" spans="1:11" ht="11.25" customHeight="1">
      <c r="A10" s="343" t="str">
        <f>IF('SA18'!A10="","",'SA18'!A10)</f>
        <v>Municipal Systems Improvement Grant</v>
      </c>
      <c r="B10" s="171"/>
      <c r="C10" s="2134"/>
      <c r="D10" s="2134"/>
      <c r="E10" s="2137"/>
      <c r="F10" s="2136"/>
      <c r="G10" s="2134"/>
      <c r="H10" s="2137"/>
      <c r="I10" s="2138">
        <v>790000</v>
      </c>
      <c r="J10" s="2134"/>
      <c r="K10" s="2135"/>
    </row>
    <row r="11" spans="1:11" ht="11.25" customHeight="1">
      <c r="A11" s="343" t="str">
        <f>IF('SA18'!A11="","",'SA18'!A11)</f>
        <v/>
      </c>
      <c r="B11" s="171"/>
      <c r="C11" s="2134"/>
      <c r="D11" s="2134"/>
      <c r="E11" s="2137"/>
      <c r="F11" s="2136"/>
      <c r="G11" s="2134"/>
      <c r="H11" s="2137"/>
      <c r="I11" s="2138"/>
      <c r="J11" s="2134"/>
      <c r="K11" s="2135"/>
    </row>
    <row r="12" spans="1:11" ht="11.25" customHeight="1">
      <c r="A12" s="343" t="str">
        <f>IF('SA18'!A12="","",'SA18'!A12)</f>
        <v/>
      </c>
      <c r="B12" s="171"/>
      <c r="C12" s="2134"/>
      <c r="D12" s="2134"/>
      <c r="E12" s="2137"/>
      <c r="F12" s="2136"/>
      <c r="G12" s="2134"/>
      <c r="H12" s="2137"/>
      <c r="I12" s="2138"/>
      <c r="J12" s="2134"/>
      <c r="K12" s="2135"/>
    </row>
    <row r="13" spans="1:11" ht="11.25" customHeight="1">
      <c r="A13" s="343" t="str">
        <f>IF('SA18'!A13="","",'SA18'!A13)</f>
        <v/>
      </c>
      <c r="B13" s="171"/>
      <c r="C13" s="2134"/>
      <c r="D13" s="2134"/>
      <c r="E13" s="2135"/>
      <c r="F13" s="2136"/>
      <c r="G13" s="2134"/>
      <c r="H13" s="2137"/>
      <c r="I13" s="2138"/>
      <c r="J13" s="2134"/>
      <c r="K13" s="2135"/>
    </row>
    <row r="14" spans="1:11" ht="11.25" customHeight="1">
      <c r="A14" s="2143" t="str">
        <f>'SA18'!A14</f>
        <v xml:space="preserve">  Other transfers/grants [insert description]</v>
      </c>
      <c r="B14" s="171"/>
      <c r="C14" s="2149"/>
      <c r="D14" s="2149"/>
      <c r="E14" s="2150"/>
      <c r="F14" s="2151"/>
      <c r="G14" s="2149"/>
      <c r="H14" s="2152"/>
      <c r="I14" s="2153"/>
      <c r="J14" s="2149"/>
      <c r="K14" s="2150"/>
    </row>
    <row r="15" spans="1:11" ht="18" customHeight="1">
      <c r="A15" s="348" t="str">
        <f>'SA18'!A15</f>
        <v>Provincial Government:</v>
      </c>
      <c r="B15" s="171"/>
      <c r="C15" s="735">
        <f>SUM(C16:C27)</f>
        <v>0</v>
      </c>
      <c r="D15" s="735">
        <f t="shared" ref="D15:K15" si="1">SUM(D16:D27)</f>
        <v>0</v>
      </c>
      <c r="E15" s="736">
        <f t="shared" si="1"/>
        <v>0</v>
      </c>
      <c r="F15" s="737">
        <f t="shared" si="1"/>
        <v>0</v>
      </c>
      <c r="G15" s="735">
        <f t="shared" si="1"/>
        <v>0</v>
      </c>
      <c r="H15" s="738">
        <f t="shared" si="1"/>
        <v>0</v>
      </c>
      <c r="I15" s="739">
        <f t="shared" si="1"/>
        <v>0</v>
      </c>
      <c r="J15" s="735">
        <f t="shared" si="1"/>
        <v>0</v>
      </c>
      <c r="K15" s="736">
        <f t="shared" si="1"/>
        <v>0</v>
      </c>
    </row>
    <row r="16" spans="1:11" ht="11.25" customHeight="1">
      <c r="A16" s="343" t="str">
        <f>IF('SA18'!A16="","",'SA18'!A16)</f>
        <v/>
      </c>
      <c r="B16" s="171"/>
      <c r="C16" s="2144"/>
      <c r="D16" s="2144"/>
      <c r="E16" s="2147"/>
      <c r="F16" s="2146"/>
      <c r="G16" s="2144"/>
      <c r="H16" s="2147"/>
      <c r="I16" s="2148"/>
      <c r="J16" s="2144"/>
      <c r="K16" s="2145"/>
    </row>
    <row r="17" spans="1:12" ht="11.25" customHeight="1">
      <c r="A17" s="343" t="str">
        <f>IF('SA18'!A17="","",'SA18'!A17)</f>
        <v/>
      </c>
      <c r="B17" s="171"/>
      <c r="C17" s="2134"/>
      <c r="D17" s="2134"/>
      <c r="E17" s="2137"/>
      <c r="F17" s="2136"/>
      <c r="G17" s="2134"/>
      <c r="H17" s="2137"/>
      <c r="I17" s="2138"/>
      <c r="J17" s="2134"/>
      <c r="K17" s="2135"/>
    </row>
    <row r="18" spans="1:12" ht="11.25" customHeight="1">
      <c r="A18" s="343" t="str">
        <f>IF('SA18'!A18="","",'SA18'!A18)</f>
        <v/>
      </c>
      <c r="B18" s="171"/>
      <c r="C18" s="2134"/>
      <c r="D18" s="2134"/>
      <c r="E18" s="2137"/>
      <c r="F18" s="2136"/>
      <c r="G18" s="2134"/>
      <c r="H18" s="2137"/>
      <c r="I18" s="2138"/>
      <c r="J18" s="2134"/>
      <c r="K18" s="2135"/>
    </row>
    <row r="19" spans="1:12" ht="11.25" customHeight="1">
      <c r="A19" s="343" t="str">
        <f>IF('SA18'!A19="","",'SA18'!A19)</f>
        <v/>
      </c>
      <c r="B19" s="171"/>
      <c r="C19" s="2134"/>
      <c r="D19" s="2134"/>
      <c r="E19" s="2137"/>
      <c r="F19" s="2136"/>
      <c r="G19" s="2134"/>
      <c r="H19" s="2137"/>
      <c r="I19" s="2138"/>
      <c r="J19" s="2134"/>
      <c r="K19" s="2135"/>
    </row>
    <row r="20" spans="1:12" ht="11.25" customHeight="1">
      <c r="A20" s="343" t="str">
        <f>IF('SA18'!A20="","",'SA18'!A20)</f>
        <v/>
      </c>
      <c r="B20" s="171"/>
      <c r="C20" s="2134"/>
      <c r="D20" s="2134"/>
      <c r="E20" s="2137"/>
      <c r="F20" s="2136"/>
      <c r="G20" s="2134"/>
      <c r="H20" s="2137"/>
      <c r="I20" s="2138"/>
      <c r="J20" s="2134"/>
      <c r="K20" s="2135"/>
    </row>
    <row r="21" spans="1:12" ht="11.25" customHeight="1">
      <c r="A21" s="343" t="str">
        <f>IF('SA18'!A21="","",'SA18'!A21)</f>
        <v/>
      </c>
      <c r="B21" s="171"/>
      <c r="C21" s="2134"/>
      <c r="D21" s="2134"/>
      <c r="E21" s="2137"/>
      <c r="F21" s="2136"/>
      <c r="G21" s="2134"/>
      <c r="H21" s="2137"/>
      <c r="I21" s="2138"/>
      <c r="J21" s="2134"/>
      <c r="K21" s="2135"/>
    </row>
    <row r="22" spans="1:12" ht="11.25" customHeight="1">
      <c r="A22" s="343" t="str">
        <f>IF('SA18'!A22="","",'SA18'!A22)</f>
        <v/>
      </c>
      <c r="B22" s="171"/>
      <c r="C22" s="2134"/>
      <c r="D22" s="2134"/>
      <c r="E22" s="2137"/>
      <c r="F22" s="2136"/>
      <c r="G22" s="2134"/>
      <c r="H22" s="2137"/>
      <c r="I22" s="2138"/>
      <c r="J22" s="2134"/>
      <c r="K22" s="2135"/>
    </row>
    <row r="23" spans="1:12" ht="11.25" customHeight="1">
      <c r="A23" s="343" t="str">
        <f>IF('SA18'!A23="","",'SA18'!A23)</f>
        <v/>
      </c>
      <c r="B23" s="171"/>
      <c r="C23" s="2134"/>
      <c r="D23" s="2134"/>
      <c r="E23" s="2137"/>
      <c r="F23" s="2136"/>
      <c r="G23" s="2134"/>
      <c r="H23" s="2137"/>
      <c r="I23" s="2138"/>
      <c r="J23" s="2134"/>
      <c r="K23" s="2135"/>
    </row>
    <row r="24" spans="1:12" ht="11.25" customHeight="1">
      <c r="A24" s="343" t="str">
        <f>IF('SA18'!A24="","",'SA18'!A24)</f>
        <v/>
      </c>
      <c r="B24" s="171"/>
      <c r="C24" s="2134"/>
      <c r="D24" s="2134"/>
      <c r="E24" s="2137"/>
      <c r="F24" s="2136"/>
      <c r="G24" s="2134"/>
      <c r="H24" s="2137"/>
      <c r="I24" s="2138"/>
      <c r="J24" s="2134"/>
      <c r="K24" s="2135"/>
    </row>
    <row r="25" spans="1:12" ht="11.25" customHeight="1">
      <c r="A25" s="343" t="str">
        <f>IF('SA18'!A25="","",'SA18'!A25)</f>
        <v/>
      </c>
      <c r="B25" s="171"/>
      <c r="C25" s="2134"/>
      <c r="D25" s="2134"/>
      <c r="E25" s="2137"/>
      <c r="F25" s="2136"/>
      <c r="G25" s="2134"/>
      <c r="H25" s="2137"/>
      <c r="I25" s="2138"/>
      <c r="J25" s="2134"/>
      <c r="K25" s="2135"/>
    </row>
    <row r="26" spans="1:12" ht="11.25" customHeight="1">
      <c r="A26" s="2143">
        <f>'SA18'!A26</f>
        <v>0</v>
      </c>
      <c r="B26" s="171"/>
      <c r="C26" s="2134"/>
      <c r="D26" s="2134"/>
      <c r="E26" s="2137"/>
      <c r="F26" s="2136"/>
      <c r="G26" s="2134"/>
      <c r="H26" s="2137"/>
      <c r="I26" s="2138"/>
      <c r="J26" s="2134"/>
      <c r="K26" s="2135"/>
      <c r="L26" s="345"/>
    </row>
    <row r="27" spans="1:12" ht="11.25" customHeight="1">
      <c r="A27" s="2143" t="s">
        <v>2055</v>
      </c>
      <c r="B27" s="171"/>
      <c r="C27" s="2149"/>
      <c r="D27" s="2149"/>
      <c r="E27" s="2152"/>
      <c r="F27" s="2151"/>
      <c r="G27" s="2149"/>
      <c r="H27" s="2152"/>
      <c r="I27" s="2153"/>
      <c r="J27" s="2149"/>
      <c r="K27" s="2150"/>
      <c r="L27" s="345"/>
    </row>
    <row r="28" spans="1:12" ht="18" customHeight="1">
      <c r="A28" s="348" t="str">
        <f>'SA18'!A27</f>
        <v>District Municipality:</v>
      </c>
      <c r="B28" s="171"/>
      <c r="C28" s="735">
        <f>SUM(C29:C30)</f>
        <v>0</v>
      </c>
      <c r="D28" s="735">
        <f t="shared" ref="D28:K28" si="2">SUM(D29:D30)</f>
        <v>0</v>
      </c>
      <c r="E28" s="736">
        <f t="shared" si="2"/>
        <v>0</v>
      </c>
      <c r="F28" s="737">
        <f t="shared" si="2"/>
        <v>0</v>
      </c>
      <c r="G28" s="735">
        <f t="shared" si="2"/>
        <v>0</v>
      </c>
      <c r="H28" s="738">
        <f t="shared" si="2"/>
        <v>0</v>
      </c>
      <c r="I28" s="739">
        <f t="shared" si="2"/>
        <v>0</v>
      </c>
      <c r="J28" s="735">
        <f t="shared" si="2"/>
        <v>0</v>
      </c>
      <c r="K28" s="736">
        <f t="shared" si="2"/>
        <v>0</v>
      </c>
      <c r="L28" s="345"/>
    </row>
    <row r="29" spans="1:12" ht="11.25" customHeight="1">
      <c r="A29" s="2154" t="str">
        <f>'SA18'!A28</f>
        <v>Soccer 2010</v>
      </c>
      <c r="B29" s="171"/>
      <c r="C29" s="2144"/>
      <c r="D29" s="2144"/>
      <c r="E29" s="2145"/>
      <c r="F29" s="2146"/>
      <c r="G29" s="2144"/>
      <c r="H29" s="2147"/>
      <c r="I29" s="2148"/>
      <c r="J29" s="2144"/>
      <c r="K29" s="2145"/>
      <c r="L29" s="345"/>
    </row>
    <row r="30" spans="1:12" ht="11.25" customHeight="1">
      <c r="A30" s="2154"/>
      <c r="B30" s="171"/>
      <c r="C30" s="2149"/>
      <c r="D30" s="2149"/>
      <c r="E30" s="2150"/>
      <c r="F30" s="2151"/>
      <c r="G30" s="2149"/>
      <c r="H30" s="2152"/>
      <c r="I30" s="2153"/>
      <c r="J30" s="2149"/>
      <c r="K30" s="2150"/>
      <c r="L30" s="345"/>
    </row>
    <row r="31" spans="1:12" ht="18" customHeight="1">
      <c r="A31" s="348" t="str">
        <f>'SA18'!A30</f>
        <v>Other grant providers:</v>
      </c>
      <c r="B31" s="171"/>
      <c r="C31" s="735">
        <f>SUM(C32:C33)</f>
        <v>0</v>
      </c>
      <c r="D31" s="735">
        <f t="shared" ref="D31:K31" si="3">SUM(D32:D33)</f>
        <v>0</v>
      </c>
      <c r="E31" s="736">
        <f t="shared" si="3"/>
        <v>0</v>
      </c>
      <c r="F31" s="737">
        <f t="shared" si="3"/>
        <v>0</v>
      </c>
      <c r="G31" s="735">
        <f t="shared" si="3"/>
        <v>0</v>
      </c>
      <c r="H31" s="738">
        <f t="shared" si="3"/>
        <v>0</v>
      </c>
      <c r="I31" s="739">
        <f t="shared" si="3"/>
        <v>0</v>
      </c>
      <c r="J31" s="735">
        <f t="shared" si="3"/>
        <v>0</v>
      </c>
      <c r="K31" s="736">
        <f t="shared" si="3"/>
        <v>0</v>
      </c>
      <c r="L31" s="345"/>
    </row>
    <row r="32" spans="1:12" ht="11.25" customHeight="1">
      <c r="A32" s="2154" t="str">
        <f>'SA18'!A31</f>
        <v xml:space="preserve">  [insert description]</v>
      </c>
      <c r="B32" s="171"/>
      <c r="C32" s="2144"/>
      <c r="D32" s="2144"/>
      <c r="E32" s="2145"/>
      <c r="F32" s="2146"/>
      <c r="G32" s="2144"/>
      <c r="H32" s="2147"/>
      <c r="I32" s="2148"/>
      <c r="J32" s="2144"/>
      <c r="K32" s="2145"/>
      <c r="L32" s="345"/>
    </row>
    <row r="33" spans="1:15" ht="11.25" customHeight="1">
      <c r="A33" s="2154"/>
      <c r="B33" s="171"/>
      <c r="C33" s="2149"/>
      <c r="D33" s="2149"/>
      <c r="E33" s="2150"/>
      <c r="F33" s="2151"/>
      <c r="G33" s="2149"/>
      <c r="H33" s="2152"/>
      <c r="I33" s="2153"/>
      <c r="J33" s="2149"/>
      <c r="K33" s="2150"/>
      <c r="L33" s="345"/>
    </row>
    <row r="34" spans="1:15" s="753" customFormat="1" ht="15.75" customHeight="1">
      <c r="A34" s="746" t="s">
        <v>372</v>
      </c>
      <c r="B34" s="747"/>
      <c r="C34" s="748">
        <f t="shared" ref="C34:K34" si="4">C7+C15+C28+C31</f>
        <v>0</v>
      </c>
      <c r="D34" s="748">
        <f t="shared" si="4"/>
        <v>0</v>
      </c>
      <c r="E34" s="749">
        <f t="shared" si="4"/>
        <v>0</v>
      </c>
      <c r="F34" s="750">
        <f t="shared" si="4"/>
        <v>0</v>
      </c>
      <c r="G34" s="748">
        <f t="shared" si="4"/>
        <v>0</v>
      </c>
      <c r="H34" s="751">
        <f t="shared" si="4"/>
        <v>0</v>
      </c>
      <c r="I34" s="752">
        <f t="shared" si="4"/>
        <v>17909000</v>
      </c>
      <c r="J34" s="748">
        <f t="shared" si="4"/>
        <v>0</v>
      </c>
      <c r="K34" s="749">
        <f t="shared" si="4"/>
        <v>0</v>
      </c>
      <c r="L34" s="876"/>
    </row>
    <row r="35" spans="1:15" ht="5.0999999999999996" customHeight="1">
      <c r="A35" s="259"/>
      <c r="B35" s="171"/>
      <c r="C35" s="699"/>
      <c r="D35" s="699"/>
      <c r="E35" s="695"/>
      <c r="F35" s="696"/>
      <c r="G35" s="699"/>
      <c r="H35" s="697"/>
      <c r="I35" s="700"/>
      <c r="J35" s="699"/>
      <c r="K35" s="695"/>
      <c r="L35" s="345"/>
    </row>
    <row r="36" spans="1:15" ht="11.25" customHeight="1">
      <c r="A36" s="235" t="s">
        <v>373</v>
      </c>
      <c r="B36" s="171"/>
      <c r="C36" s="699"/>
      <c r="D36" s="699"/>
      <c r="E36" s="695"/>
      <c r="F36" s="696"/>
      <c r="G36" s="699"/>
      <c r="H36" s="697"/>
      <c r="I36" s="700"/>
      <c r="J36" s="699"/>
      <c r="K36" s="695"/>
      <c r="L36" s="345"/>
    </row>
    <row r="37" spans="1:15" ht="18" customHeight="1">
      <c r="A37" s="348" t="str">
        <f>'SA18'!A36</f>
        <v>National Government:</v>
      </c>
      <c r="B37" s="171"/>
      <c r="C37" s="735">
        <f>SUM(C38:C43)</f>
        <v>0</v>
      </c>
      <c r="D37" s="735">
        <f t="shared" ref="D37:K37" si="5">SUM(D38:D43)</f>
        <v>0</v>
      </c>
      <c r="E37" s="736">
        <f t="shared" si="5"/>
        <v>0</v>
      </c>
      <c r="F37" s="737">
        <f t="shared" si="5"/>
        <v>0</v>
      </c>
      <c r="G37" s="735">
        <f t="shared" si="5"/>
        <v>0</v>
      </c>
      <c r="H37" s="738">
        <f t="shared" si="5"/>
        <v>0</v>
      </c>
      <c r="I37" s="739">
        <f t="shared" si="5"/>
        <v>9488000</v>
      </c>
      <c r="J37" s="735">
        <f t="shared" si="5"/>
        <v>0</v>
      </c>
      <c r="K37" s="736">
        <f t="shared" si="5"/>
        <v>0</v>
      </c>
      <c r="L37" s="345"/>
    </row>
    <row r="38" spans="1:15" ht="11.25" customHeight="1">
      <c r="A38" s="343" t="str">
        <f>IF('SA18'!A37="","",'SA18'!A37)</f>
        <v xml:space="preserve">  Municipal Infrastructure (MIG)</v>
      </c>
      <c r="B38" s="171"/>
      <c r="C38" s="2144"/>
      <c r="D38" s="2144"/>
      <c r="E38" s="2145"/>
      <c r="F38" s="2146"/>
      <c r="G38" s="2144"/>
      <c r="H38" s="2147"/>
      <c r="I38" s="2148">
        <v>9488000</v>
      </c>
      <c r="J38" s="2144"/>
      <c r="K38" s="2145"/>
      <c r="L38" s="345"/>
    </row>
    <row r="39" spans="1:15" ht="11.25" customHeight="1">
      <c r="A39" s="343" t="str">
        <f>IF('SA18'!A38="","",'SA18'!A38)</f>
        <v xml:space="preserve">  Finance Management</v>
      </c>
      <c r="B39" s="171"/>
      <c r="C39" s="2134"/>
      <c r="D39" s="2134"/>
      <c r="E39" s="2135"/>
      <c r="F39" s="2136"/>
      <c r="G39" s="2134"/>
      <c r="H39" s="2137"/>
      <c r="I39" s="2138"/>
      <c r="J39" s="2134"/>
      <c r="K39" s="2135"/>
      <c r="L39" s="345"/>
    </row>
    <row r="40" spans="1:15" ht="11.25" customHeight="1">
      <c r="A40" s="343" t="str">
        <f>IF('SA18'!A39="","",'SA18'!A39)</f>
        <v/>
      </c>
      <c r="B40" s="171"/>
      <c r="C40" s="2134"/>
      <c r="D40" s="2134"/>
      <c r="E40" s="2135"/>
      <c r="F40" s="2136"/>
      <c r="G40" s="2134"/>
      <c r="H40" s="2137"/>
      <c r="I40" s="2138"/>
      <c r="J40" s="2134"/>
      <c r="K40" s="2135"/>
      <c r="L40" s="345"/>
    </row>
    <row r="41" spans="1:15" ht="11.25" customHeight="1">
      <c r="A41" s="343" t="str">
        <f>IF('SA18'!A40="","",'SA18'!A40)</f>
        <v/>
      </c>
      <c r="B41" s="171"/>
      <c r="C41" s="2134"/>
      <c r="D41" s="2134"/>
      <c r="E41" s="2135"/>
      <c r="F41" s="2136"/>
      <c r="G41" s="2134"/>
      <c r="H41" s="2137"/>
      <c r="I41" s="2138"/>
      <c r="J41" s="2134"/>
      <c r="K41" s="2135"/>
      <c r="L41" s="345"/>
    </row>
    <row r="42" spans="1:15" ht="11.25" customHeight="1">
      <c r="A42" s="343" t="str">
        <f>IF('SA18'!A41="","",'SA18'!A41)</f>
        <v/>
      </c>
      <c r="B42" s="171"/>
      <c r="C42" s="2134"/>
      <c r="D42" s="2134"/>
      <c r="E42" s="2135"/>
      <c r="F42" s="2136"/>
      <c r="G42" s="2134"/>
      <c r="H42" s="2137"/>
      <c r="I42" s="2138"/>
      <c r="J42" s="2134"/>
      <c r="K42" s="2135"/>
      <c r="L42" s="345"/>
    </row>
    <row r="43" spans="1:15" ht="11.25" customHeight="1">
      <c r="A43" s="2143" t="str">
        <f>'SA18'!A42</f>
        <v xml:space="preserve">  Other capital transfers/grants [insert desc]</v>
      </c>
      <c r="B43" s="171"/>
      <c r="C43" s="2149"/>
      <c r="D43" s="2149"/>
      <c r="E43" s="2150"/>
      <c r="F43" s="2151"/>
      <c r="G43" s="2149"/>
      <c r="H43" s="2152"/>
      <c r="I43" s="2153"/>
      <c r="J43" s="2149"/>
      <c r="K43" s="2150"/>
      <c r="L43" s="345"/>
    </row>
    <row r="44" spans="1:15" ht="18" customHeight="1">
      <c r="A44" s="754" t="str">
        <f>'SA18'!A43</f>
        <v>Provincial Government:</v>
      </c>
      <c r="B44" s="171"/>
      <c r="C44" s="735">
        <f>SUM(C45)</f>
        <v>0</v>
      </c>
      <c r="D44" s="735">
        <f t="shared" ref="D44:K44" si="6">SUM(D45)</f>
        <v>0</v>
      </c>
      <c r="E44" s="736">
        <f t="shared" si="6"/>
        <v>0</v>
      </c>
      <c r="F44" s="737">
        <f t="shared" si="6"/>
        <v>0</v>
      </c>
      <c r="G44" s="735">
        <f t="shared" si="6"/>
        <v>0</v>
      </c>
      <c r="H44" s="738">
        <f t="shared" si="6"/>
        <v>0</v>
      </c>
      <c r="I44" s="739">
        <f t="shared" si="6"/>
        <v>0</v>
      </c>
      <c r="J44" s="735">
        <f t="shared" si="6"/>
        <v>0</v>
      </c>
      <c r="K44" s="736">
        <f t="shared" si="6"/>
        <v>0</v>
      </c>
      <c r="L44" s="345"/>
      <c r="O44" s="345"/>
    </row>
    <row r="45" spans="1:15">
      <c r="A45" s="2160"/>
      <c r="B45" s="171"/>
      <c r="C45" s="2134"/>
      <c r="D45" s="2134"/>
      <c r="E45" s="2135"/>
      <c r="F45" s="2136"/>
      <c r="G45" s="2134"/>
      <c r="H45" s="2137"/>
      <c r="I45" s="2138"/>
      <c r="J45" s="2134"/>
      <c r="K45" s="2135"/>
      <c r="L45" s="345"/>
    </row>
    <row r="46" spans="1:15">
      <c r="A46" s="2160"/>
      <c r="B46" s="171"/>
      <c r="C46" s="2149"/>
      <c r="D46" s="2149"/>
      <c r="E46" s="2150"/>
      <c r="F46" s="2151"/>
      <c r="G46" s="2149"/>
      <c r="H46" s="2152"/>
      <c r="I46" s="2153"/>
      <c r="J46" s="2149"/>
      <c r="K46" s="2150"/>
      <c r="L46" s="345"/>
    </row>
    <row r="47" spans="1:15" ht="18" customHeight="1">
      <c r="A47" s="348" t="str">
        <f>'SA18'!A45</f>
        <v>District Municipality:</v>
      </c>
      <c r="B47" s="171"/>
      <c r="C47" s="735">
        <f>SUM(C48:C49)</f>
        <v>0</v>
      </c>
      <c r="D47" s="735">
        <f t="shared" ref="D47:K47" si="7">SUM(D48:D49)</f>
        <v>0</v>
      </c>
      <c r="E47" s="736">
        <f t="shared" si="7"/>
        <v>0</v>
      </c>
      <c r="F47" s="737">
        <f t="shared" si="7"/>
        <v>0</v>
      </c>
      <c r="G47" s="735">
        <f t="shared" si="7"/>
        <v>0</v>
      </c>
      <c r="H47" s="738">
        <f t="shared" si="7"/>
        <v>0</v>
      </c>
      <c r="I47" s="739">
        <f t="shared" si="7"/>
        <v>0</v>
      </c>
      <c r="J47" s="735">
        <f t="shared" si="7"/>
        <v>0</v>
      </c>
      <c r="K47" s="736">
        <f t="shared" si="7"/>
        <v>0</v>
      </c>
      <c r="L47" s="345"/>
    </row>
    <row r="48" spans="1:15" ht="11.25" customHeight="1">
      <c r="A48" s="2154" t="str">
        <f>'SA18'!A46</f>
        <v>Soccer 2010</v>
      </c>
      <c r="B48" s="171"/>
      <c r="C48" s="2144"/>
      <c r="D48" s="2144"/>
      <c r="E48" s="2145"/>
      <c r="F48" s="2146"/>
      <c r="G48" s="2144"/>
      <c r="H48" s="2147"/>
      <c r="I48" s="2148"/>
      <c r="J48" s="2144"/>
      <c r="K48" s="2145"/>
      <c r="L48" s="345"/>
    </row>
    <row r="49" spans="1:12" ht="11.25" customHeight="1">
      <c r="A49" s="2154"/>
      <c r="B49" s="171"/>
      <c r="C49" s="2149"/>
      <c r="D49" s="2149"/>
      <c r="E49" s="2150"/>
      <c r="F49" s="2151"/>
      <c r="G49" s="2149"/>
      <c r="H49" s="2152"/>
      <c r="I49" s="2153"/>
      <c r="J49" s="2149"/>
      <c r="K49" s="2150"/>
      <c r="L49" s="345"/>
    </row>
    <row r="50" spans="1:12" ht="18" customHeight="1">
      <c r="A50" s="348" t="str">
        <f>'SA18'!A48</f>
        <v>Other grant providers:</v>
      </c>
      <c r="B50" s="171"/>
      <c r="C50" s="735">
        <f>SUM(C51:C52)</f>
        <v>0</v>
      </c>
      <c r="D50" s="735">
        <f t="shared" ref="D50:K50" si="8">SUM(D51:D52)</f>
        <v>0</v>
      </c>
      <c r="E50" s="736">
        <f t="shared" si="8"/>
        <v>0</v>
      </c>
      <c r="F50" s="737">
        <f t="shared" si="8"/>
        <v>0</v>
      </c>
      <c r="G50" s="735">
        <f t="shared" si="8"/>
        <v>0</v>
      </c>
      <c r="H50" s="738">
        <f t="shared" si="8"/>
        <v>0</v>
      </c>
      <c r="I50" s="739">
        <f t="shared" si="8"/>
        <v>0</v>
      </c>
      <c r="J50" s="735">
        <f t="shared" si="8"/>
        <v>0</v>
      </c>
      <c r="K50" s="736">
        <f t="shared" si="8"/>
        <v>0</v>
      </c>
      <c r="L50" s="345"/>
    </row>
    <row r="51" spans="1:12" ht="11.25" customHeight="1">
      <c r="A51" s="2154" t="str">
        <f>'SA18'!A49</f>
        <v xml:space="preserve">  [insert description]</v>
      </c>
      <c r="B51" s="171"/>
      <c r="C51" s="2144"/>
      <c r="D51" s="2144"/>
      <c r="E51" s="2145"/>
      <c r="F51" s="2146"/>
      <c r="G51" s="2144"/>
      <c r="H51" s="2147"/>
      <c r="I51" s="2148"/>
      <c r="J51" s="2144"/>
      <c r="K51" s="2145"/>
      <c r="L51" s="345"/>
    </row>
    <row r="52" spans="1:12" ht="11.25" customHeight="1">
      <c r="A52" s="2154"/>
      <c r="B52" s="171"/>
      <c r="C52" s="2149"/>
      <c r="D52" s="2149"/>
      <c r="E52" s="2150"/>
      <c r="F52" s="2151"/>
      <c r="G52" s="2149"/>
      <c r="H52" s="2152"/>
      <c r="I52" s="2153"/>
      <c r="J52" s="2149"/>
      <c r="K52" s="2150"/>
      <c r="L52" s="345"/>
    </row>
    <row r="53" spans="1:12" ht="15.75" customHeight="1">
      <c r="A53" s="755" t="s">
        <v>374</v>
      </c>
      <c r="B53" s="756"/>
      <c r="C53" s="735">
        <f>C37+C44+C47+C50</f>
        <v>0</v>
      </c>
      <c r="D53" s="735">
        <f t="shared" ref="D53:K53" si="9">D37+D44+D47+D50</f>
        <v>0</v>
      </c>
      <c r="E53" s="736">
        <f t="shared" si="9"/>
        <v>0</v>
      </c>
      <c r="F53" s="737">
        <f t="shared" si="9"/>
        <v>0</v>
      </c>
      <c r="G53" s="735">
        <f t="shared" si="9"/>
        <v>0</v>
      </c>
      <c r="H53" s="738">
        <f t="shared" si="9"/>
        <v>0</v>
      </c>
      <c r="I53" s="739">
        <f t="shared" si="9"/>
        <v>9488000</v>
      </c>
      <c r="J53" s="735">
        <f t="shared" si="9"/>
        <v>0</v>
      </c>
      <c r="K53" s="736">
        <f t="shared" si="9"/>
        <v>0</v>
      </c>
      <c r="L53" s="345"/>
    </row>
    <row r="54" spans="1:12" ht="3.75" customHeight="1">
      <c r="A54" s="259"/>
      <c r="B54" s="171"/>
      <c r="C54" s="699"/>
      <c r="D54" s="699"/>
      <c r="E54" s="695"/>
      <c r="F54" s="696"/>
      <c r="G54" s="699"/>
      <c r="H54" s="697"/>
      <c r="I54" s="700"/>
      <c r="J54" s="699"/>
      <c r="K54" s="695"/>
      <c r="L54" s="345"/>
    </row>
    <row r="55" spans="1:12" s="753" customFormat="1" ht="16.5" customHeight="1">
      <c r="A55" s="1500" t="s">
        <v>591</v>
      </c>
      <c r="B55" s="1300"/>
      <c r="C55" s="759">
        <f t="shared" ref="C55:K55" si="10">C34+C53</f>
        <v>0</v>
      </c>
      <c r="D55" s="759">
        <f t="shared" si="10"/>
        <v>0</v>
      </c>
      <c r="E55" s="760">
        <f t="shared" si="10"/>
        <v>0</v>
      </c>
      <c r="F55" s="761">
        <f t="shared" si="10"/>
        <v>0</v>
      </c>
      <c r="G55" s="759">
        <f t="shared" si="10"/>
        <v>0</v>
      </c>
      <c r="H55" s="762">
        <f t="shared" si="10"/>
        <v>0</v>
      </c>
      <c r="I55" s="763">
        <f t="shared" si="10"/>
        <v>27397000</v>
      </c>
      <c r="J55" s="759">
        <f t="shared" si="10"/>
        <v>0</v>
      </c>
      <c r="K55" s="760">
        <f t="shared" si="10"/>
        <v>0</v>
      </c>
      <c r="L55" s="876"/>
    </row>
    <row r="56" spans="1:12" s="693" customFormat="1" ht="11.25" hidden="1" customHeight="1">
      <c r="A56" s="1220" t="str">
        <f>head27a</f>
        <v>References</v>
      </c>
      <c r="B56" s="1043"/>
      <c r="L56" s="1077"/>
    </row>
    <row r="57" spans="1:12" s="693" customFormat="1" ht="11.25" hidden="1" customHeight="1">
      <c r="A57" s="1201" t="s">
        <v>1501</v>
      </c>
      <c r="B57" s="1043"/>
      <c r="L57" s="1077"/>
    </row>
    <row r="58" spans="1:12" ht="11.25" hidden="1" customHeight="1">
      <c r="L58" s="345"/>
    </row>
    <row r="59" spans="1:12" ht="11.25" hidden="1" customHeight="1">
      <c r="C59" s="336">
        <f>C34-'A4-FinPerf RE'!C19</f>
        <v>-7437817</v>
      </c>
      <c r="D59" s="336">
        <f>D34-'A4-FinPerf RE'!D19</f>
        <v>-35690775.583800003</v>
      </c>
      <c r="E59" s="336">
        <f>E34-'A4-FinPerf RE'!E19</f>
        <v>-26974491.153999999</v>
      </c>
      <c r="F59" s="336">
        <f>F34-'A4-FinPerf RE'!F19</f>
        <v>-16605000</v>
      </c>
      <c r="G59" s="336">
        <f>G34-'A4-FinPerf RE'!G19</f>
        <v>-16625000</v>
      </c>
      <c r="H59" s="336">
        <f>H34-'A4-FinPerf RE'!H19</f>
        <v>-18044873</v>
      </c>
      <c r="I59" s="336">
        <f>I34-'A4-FinPerf RE'!J19</f>
        <v>-152000</v>
      </c>
      <c r="J59" s="336">
        <f>J34-'A4-FinPerf RE'!K19</f>
        <v>-19804000</v>
      </c>
      <c r="K59" s="336">
        <f>K34-'A4-FinPerf RE'!L19</f>
        <v>-21904000</v>
      </c>
      <c r="L59" s="345"/>
    </row>
    <row r="60" spans="1:12" ht="11.25" hidden="1" customHeight="1">
      <c r="C60" s="336">
        <f>C53-'A4-FinPerf RE'!C39</f>
        <v>0</v>
      </c>
      <c r="D60" s="336">
        <f>D53-'A4-FinPerf RE'!D39</f>
        <v>0</v>
      </c>
      <c r="E60" s="336">
        <f>E53-'A4-FinPerf RE'!E39</f>
        <v>0</v>
      </c>
      <c r="F60" s="336">
        <f>F53-'A4-FinPerf RE'!F39</f>
        <v>0</v>
      </c>
      <c r="G60" s="336">
        <f>G53-'A4-FinPerf RE'!G39</f>
        <v>0</v>
      </c>
      <c r="H60" s="336">
        <f>H53-'A4-FinPerf RE'!H39</f>
        <v>0</v>
      </c>
      <c r="I60" s="336">
        <f>I53-'A4-FinPerf RE'!J39</f>
        <v>0</v>
      </c>
      <c r="J60" s="336">
        <f>J53-'A4-FinPerf RE'!K39</f>
        <v>-11537000</v>
      </c>
      <c r="K60" s="336">
        <f>K53-'A4-FinPerf RE'!L39</f>
        <v>-12171000</v>
      </c>
      <c r="L60" s="345"/>
    </row>
    <row r="61" spans="1:12" ht="11.25" hidden="1" customHeight="1"/>
    <row r="62" spans="1:12" ht="11.25" hidden="1" customHeight="1"/>
    <row r="63" spans="1:12" ht="11.25" hidden="1" customHeight="1"/>
    <row r="64" spans="1:12"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sheetData>
  <sheetProtection sheet="1" objects="1" scenarios="1"/>
  <mergeCells count="2">
    <mergeCell ref="F2:H2"/>
    <mergeCell ref="I2:K2"/>
  </mergeCells>
  <phoneticPr fontId="3" type="noConversion"/>
  <printOptions horizontalCentered="1"/>
  <pageMargins left="0" right="0" top="0.78740157480314965" bottom="0.59055118110236227" header="0.51181102362204722" footer="0.39370078740157483"/>
  <pageSetup paperSize="9" scale="90"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enableFormatConditionsCalculation="0">
    <tabColor rgb="FFCCFFCC"/>
    <pageSetUpPr fitToPage="1"/>
  </sheetPr>
  <dimension ref="A1:O87"/>
  <sheetViews>
    <sheetView showGridLines="0" workbookViewId="0">
      <pane xSplit="2" ySplit="3" topLeftCell="C4" activePane="bottomRight" state="frozen"/>
      <selection activeCell="O37" sqref="A1:IV65536"/>
      <selection pane="topRight" activeCell="O37" sqref="A1:IV65536"/>
      <selection pane="bottomLeft" activeCell="O37" sqref="A1:IV65536"/>
      <selection pane="bottomRight" activeCell="H16" sqref="H16"/>
    </sheetView>
  </sheetViews>
  <sheetFormatPr defaultRowHeight="12.75"/>
  <cols>
    <col min="1" max="1" width="32.28515625" style="150" customWidth="1"/>
    <col min="2" max="2" width="3" style="233" hidden="1" customWidth="1"/>
    <col min="3" max="11" width="9.28515625" style="150" customWidth="1"/>
    <col min="12" max="12" width="9.85546875" style="150" customWidth="1"/>
    <col min="13" max="13" width="9.5703125" style="150" customWidth="1"/>
    <col min="14" max="14" width="9.85546875" style="150" customWidth="1"/>
    <col min="15" max="17" width="9.5703125" style="150" customWidth="1"/>
    <col min="18" max="18" width="9.85546875" style="150" customWidth="1"/>
    <col min="19" max="21" width="9.5703125" style="150" customWidth="1"/>
    <col min="22" max="23" width="9.85546875" style="150" customWidth="1"/>
    <col min="24" max="16384" width="9.140625" style="150"/>
  </cols>
  <sheetData>
    <row r="1" spans="1:11" ht="13.5" customHeight="1">
      <c r="A1" s="148" t="str">
        <f>muni&amp;" - "&amp; TableA20</f>
        <v>NC071 Ubuntu - Supporting Table SA20 Reconciliation of transfers, grant receipts and unspent funds</v>
      </c>
      <c r="B1" s="148"/>
      <c r="C1" s="148"/>
      <c r="D1" s="148"/>
      <c r="E1" s="148"/>
      <c r="F1" s="148"/>
      <c r="G1" s="148"/>
      <c r="H1" s="148"/>
      <c r="I1" s="148"/>
      <c r="J1" s="148"/>
      <c r="K1" s="148"/>
    </row>
    <row r="2" spans="1:11" ht="28.5" customHeight="1">
      <c r="A2" s="979" t="str">
        <f>desc</f>
        <v>Description</v>
      </c>
      <c r="B2" s="394" t="str">
        <f>head27</f>
        <v>Ref</v>
      </c>
      <c r="C2" s="151" t="str">
        <f>head1b</f>
        <v>2007/8</v>
      </c>
      <c r="D2" s="740" t="str">
        <f>head1A</f>
        <v>2008/9</v>
      </c>
      <c r="E2" s="147" t="str">
        <f>Head1</f>
        <v>2009/10</v>
      </c>
      <c r="F2" s="2772" t="str">
        <f>Head2</f>
        <v>Current Year 2010/11</v>
      </c>
      <c r="G2" s="2773"/>
      <c r="H2" s="2777"/>
      <c r="I2" s="2769" t="str">
        <f>Head3</f>
        <v>2011/12 Medium Term Revenue &amp; Expenditure Framework</v>
      </c>
      <c r="J2" s="2770"/>
      <c r="K2" s="2771"/>
    </row>
    <row r="3" spans="1:11" ht="25.5">
      <c r="A3" s="169" t="s">
        <v>697</v>
      </c>
      <c r="B3" s="984"/>
      <c r="C3" s="365" t="str">
        <f>Head5</f>
        <v>Audited Outcome</v>
      </c>
      <c r="D3" s="993" t="str">
        <f>Head5</f>
        <v>Audited Outcome</v>
      </c>
      <c r="E3" s="366" t="str">
        <f>Head5</f>
        <v>Audited Outcome</v>
      </c>
      <c r="F3" s="283" t="str">
        <f>Head6</f>
        <v>Original Budget</v>
      </c>
      <c r="G3" s="365" t="str">
        <f>Head7</f>
        <v>Adjusted Budget</v>
      </c>
      <c r="H3" s="366" t="str">
        <f>Head8</f>
        <v>Full Year Forecast</v>
      </c>
      <c r="I3" s="283" t="str">
        <f>Head9</f>
        <v>Budget Year 2011/12</v>
      </c>
      <c r="J3" s="365" t="str">
        <f>Head10</f>
        <v>Budget Year +1 2012/13</v>
      </c>
      <c r="K3" s="366" t="str">
        <f>Head11</f>
        <v>Budget Year +2 2013/14</v>
      </c>
    </row>
    <row r="4" spans="1:11" ht="11.25" customHeight="1">
      <c r="A4" s="235" t="s">
        <v>316</v>
      </c>
      <c r="B4" s="171" t="s">
        <v>543</v>
      </c>
      <c r="C4" s="735"/>
      <c r="D4" s="735"/>
      <c r="E4" s="736"/>
      <c r="F4" s="737"/>
      <c r="G4" s="735"/>
      <c r="H4" s="738"/>
      <c r="I4" s="739"/>
      <c r="J4" s="735"/>
      <c r="K4" s="736"/>
    </row>
    <row r="5" spans="1:11" ht="11.25" customHeight="1">
      <c r="A5" s="348" t="str">
        <f>'SA18'!A7</f>
        <v>National Government:</v>
      </c>
      <c r="B5" s="171"/>
      <c r="C5" s="735"/>
      <c r="D5" s="735"/>
      <c r="E5" s="736"/>
      <c r="F5" s="737"/>
      <c r="G5" s="735"/>
      <c r="H5" s="738"/>
      <c r="I5" s="739"/>
      <c r="J5" s="735"/>
      <c r="K5" s="736"/>
    </row>
    <row r="6" spans="1:11" ht="11.25" customHeight="1">
      <c r="A6" s="343" t="s">
        <v>1297</v>
      </c>
      <c r="B6" s="171"/>
      <c r="C6" s="2161"/>
      <c r="D6" s="2161">
        <f>[5]SA20!$E$6</f>
        <v>1390173</v>
      </c>
      <c r="E6" s="2162"/>
      <c r="F6" s="2163"/>
      <c r="G6" s="2161"/>
      <c r="H6" s="2162"/>
      <c r="I6" s="2164"/>
      <c r="J6" s="2161"/>
      <c r="K6" s="2165"/>
    </row>
    <row r="7" spans="1:11" ht="11.25" customHeight="1">
      <c r="A7" s="343" t="s">
        <v>1298</v>
      </c>
      <c r="B7" s="171"/>
      <c r="C7" s="2161"/>
      <c r="D7" s="2161">
        <f>[5]SA20!$E$7</f>
        <v>10024000</v>
      </c>
      <c r="E7" s="2162"/>
      <c r="F7" s="2163">
        <f>[5]SA20!$I$7</f>
        <v>15936000</v>
      </c>
      <c r="G7" s="2161"/>
      <c r="H7" s="2162"/>
      <c r="I7" s="2164"/>
      <c r="J7" s="2161"/>
      <c r="K7" s="2165"/>
    </row>
    <row r="8" spans="1:11" ht="11.25" customHeight="1">
      <c r="A8" s="770" t="s">
        <v>1296</v>
      </c>
      <c r="B8" s="171"/>
      <c r="C8" s="771">
        <f>C6+C7-C9</f>
        <v>0</v>
      </c>
      <c r="D8" s="772">
        <f t="shared" ref="D8:K8" si="0">D6+D7-D9</f>
        <v>11414173</v>
      </c>
      <c r="E8" s="773">
        <f t="shared" si="0"/>
        <v>0</v>
      </c>
      <c r="F8" s="774">
        <f t="shared" si="0"/>
        <v>15936000</v>
      </c>
      <c r="G8" s="772">
        <f t="shared" si="0"/>
        <v>0</v>
      </c>
      <c r="H8" s="775">
        <f t="shared" si="0"/>
        <v>0</v>
      </c>
      <c r="I8" s="776">
        <f t="shared" si="0"/>
        <v>0</v>
      </c>
      <c r="J8" s="772">
        <f t="shared" si="0"/>
        <v>0</v>
      </c>
      <c r="K8" s="773">
        <f t="shared" si="0"/>
        <v>0</v>
      </c>
    </row>
    <row r="9" spans="1:11" ht="11.25" customHeight="1">
      <c r="A9" s="343" t="s">
        <v>488</v>
      </c>
      <c r="B9" s="171"/>
      <c r="C9" s="2161"/>
      <c r="D9" s="2161"/>
      <c r="E9" s="2162"/>
      <c r="F9" s="2163"/>
      <c r="G9" s="2161"/>
      <c r="H9" s="2162"/>
      <c r="I9" s="2164"/>
      <c r="J9" s="2161"/>
      <c r="K9" s="2165"/>
    </row>
    <row r="10" spans="1:11" ht="11.25" customHeight="1">
      <c r="A10" s="754" t="s">
        <v>1092</v>
      </c>
      <c r="B10" s="171"/>
      <c r="C10" s="777"/>
      <c r="D10" s="777"/>
      <c r="E10" s="738"/>
      <c r="F10" s="737"/>
      <c r="G10" s="735"/>
      <c r="H10" s="738"/>
      <c r="I10" s="739"/>
      <c r="J10" s="735"/>
      <c r="K10" s="736"/>
    </row>
    <row r="11" spans="1:11" ht="11.25" customHeight="1">
      <c r="A11" s="343" t="s">
        <v>1297</v>
      </c>
      <c r="B11" s="171"/>
      <c r="C11" s="2161"/>
      <c r="D11" s="2161"/>
      <c r="E11" s="2162"/>
      <c r="F11" s="2163"/>
      <c r="G11" s="2161"/>
      <c r="H11" s="2162"/>
      <c r="I11" s="2164"/>
      <c r="J11" s="2161"/>
      <c r="K11" s="2165"/>
    </row>
    <row r="12" spans="1:11" ht="11.25" customHeight="1">
      <c r="A12" s="778" t="str">
        <f>A7</f>
        <v>Current year receipts</v>
      </c>
      <c r="B12" s="171"/>
      <c r="C12" s="2161"/>
      <c r="D12" s="2161">
        <f>[5]SA20!$E$12</f>
        <v>368000</v>
      </c>
      <c r="E12" s="2162"/>
      <c r="F12" s="2163">
        <f>[5]SA20!$I$12</f>
        <v>669000</v>
      </c>
      <c r="G12" s="2161"/>
      <c r="H12" s="2162"/>
      <c r="I12" s="2164"/>
      <c r="J12" s="2161"/>
      <c r="K12" s="2165"/>
    </row>
    <row r="13" spans="1:11" ht="11.25" customHeight="1">
      <c r="A13" s="780" t="str">
        <f>A8</f>
        <v>Conditions met - transferred to revenue</v>
      </c>
      <c r="B13" s="171"/>
      <c r="C13" s="771">
        <f t="shared" ref="C13:K13" si="1">C11+C12-C14</f>
        <v>0</v>
      </c>
      <c r="D13" s="772">
        <f t="shared" si="1"/>
        <v>368000</v>
      </c>
      <c r="E13" s="773">
        <f t="shared" si="1"/>
        <v>0</v>
      </c>
      <c r="F13" s="774">
        <f t="shared" si="1"/>
        <v>669000</v>
      </c>
      <c r="G13" s="772">
        <f t="shared" si="1"/>
        <v>0</v>
      </c>
      <c r="H13" s="775">
        <f t="shared" si="1"/>
        <v>0</v>
      </c>
      <c r="I13" s="776">
        <f t="shared" si="1"/>
        <v>0</v>
      </c>
      <c r="J13" s="772">
        <f t="shared" si="1"/>
        <v>0</v>
      </c>
      <c r="K13" s="773">
        <f t="shared" si="1"/>
        <v>0</v>
      </c>
    </row>
    <row r="14" spans="1:11" ht="11.25" customHeight="1">
      <c r="A14" s="778" t="str">
        <f>A9</f>
        <v>Conditions still to be met - transferred to liabilities</v>
      </c>
      <c r="B14" s="171"/>
      <c r="C14" s="2161"/>
      <c r="D14" s="2161"/>
      <c r="E14" s="2162"/>
      <c r="F14" s="2163"/>
      <c r="G14" s="2161"/>
      <c r="H14" s="2162"/>
      <c r="I14" s="2164"/>
      <c r="J14" s="2161"/>
      <c r="K14" s="2165"/>
    </row>
    <row r="15" spans="1:11" ht="11.25" customHeight="1">
      <c r="A15" s="754" t="s">
        <v>1128</v>
      </c>
      <c r="B15" s="171"/>
      <c r="C15" s="769"/>
      <c r="D15" s="769"/>
      <c r="E15" s="779"/>
      <c r="F15" s="766"/>
      <c r="G15" s="764"/>
      <c r="H15" s="765"/>
      <c r="I15" s="767"/>
      <c r="J15" s="764"/>
      <c r="K15" s="768"/>
    </row>
    <row r="16" spans="1:11" ht="11.25" customHeight="1">
      <c r="A16" s="343" t="str">
        <f>A11</f>
        <v>Balance unspent at beginning of the year</v>
      </c>
      <c r="B16" s="171"/>
      <c r="C16" s="2161"/>
      <c r="D16" s="2161"/>
      <c r="E16" s="2162"/>
      <c r="F16" s="2163"/>
      <c r="G16" s="2161"/>
      <c r="H16" s="2162"/>
      <c r="I16" s="2164"/>
      <c r="J16" s="2161"/>
      <c r="K16" s="2165"/>
    </row>
    <row r="17" spans="1:11" ht="11.25" customHeight="1">
      <c r="A17" s="778" t="str">
        <f>A12</f>
        <v>Current year receipts</v>
      </c>
      <c r="B17" s="171"/>
      <c r="C17" s="2161"/>
      <c r="D17" s="2161"/>
      <c r="E17" s="2162"/>
      <c r="F17" s="2163"/>
      <c r="G17" s="2161"/>
      <c r="H17" s="2162"/>
      <c r="I17" s="2164"/>
      <c r="J17" s="2161"/>
      <c r="K17" s="2165"/>
    </row>
    <row r="18" spans="1:11" ht="11.25" customHeight="1">
      <c r="A18" s="780" t="str">
        <f>A13</f>
        <v>Conditions met - transferred to revenue</v>
      </c>
      <c r="B18" s="171"/>
      <c r="C18" s="771">
        <f t="shared" ref="C18:K18" si="2">C16+C17-C19</f>
        <v>0</v>
      </c>
      <c r="D18" s="772">
        <f t="shared" si="2"/>
        <v>0</v>
      </c>
      <c r="E18" s="773">
        <f t="shared" si="2"/>
        <v>0</v>
      </c>
      <c r="F18" s="774">
        <f t="shared" si="2"/>
        <v>0</v>
      </c>
      <c r="G18" s="772">
        <f t="shared" si="2"/>
        <v>0</v>
      </c>
      <c r="H18" s="775">
        <f t="shared" si="2"/>
        <v>0</v>
      </c>
      <c r="I18" s="776">
        <f t="shared" si="2"/>
        <v>0</v>
      </c>
      <c r="J18" s="772">
        <f t="shared" si="2"/>
        <v>0</v>
      </c>
      <c r="K18" s="773">
        <f t="shared" si="2"/>
        <v>0</v>
      </c>
    </row>
    <row r="19" spans="1:11" ht="11.25" customHeight="1">
      <c r="A19" s="778" t="str">
        <f>A14</f>
        <v>Conditions still to be met - transferred to liabilities</v>
      </c>
      <c r="B19" s="171"/>
      <c r="C19" s="2161"/>
      <c r="D19" s="2161"/>
      <c r="E19" s="2162"/>
      <c r="F19" s="2163"/>
      <c r="G19" s="2161"/>
      <c r="H19" s="2162"/>
      <c r="I19" s="2164"/>
      <c r="J19" s="2161"/>
      <c r="K19" s="2165"/>
    </row>
    <row r="20" spans="1:11" ht="11.25" customHeight="1">
      <c r="A20" s="754" t="s">
        <v>614</v>
      </c>
      <c r="B20" s="171"/>
      <c r="C20" s="769"/>
      <c r="D20" s="769"/>
      <c r="E20" s="779"/>
      <c r="F20" s="766"/>
      <c r="G20" s="764"/>
      <c r="H20" s="765"/>
      <c r="I20" s="767"/>
      <c r="J20" s="764"/>
      <c r="K20" s="768"/>
    </row>
    <row r="21" spans="1:11" ht="11.25" customHeight="1">
      <c r="A21" s="778" t="str">
        <f>A11</f>
        <v>Balance unspent at beginning of the year</v>
      </c>
      <c r="B21" s="171"/>
      <c r="C21" s="2161"/>
      <c r="D21" s="2161"/>
      <c r="E21" s="2162"/>
      <c r="F21" s="2163"/>
      <c r="G21" s="2161"/>
      <c r="H21" s="2162"/>
      <c r="I21" s="2164"/>
      <c r="J21" s="2161"/>
      <c r="K21" s="2165"/>
    </row>
    <row r="22" spans="1:11" ht="11.25" customHeight="1">
      <c r="A22" s="778" t="str">
        <f>A12</f>
        <v>Current year receipts</v>
      </c>
      <c r="B22" s="171"/>
      <c r="C22" s="2161"/>
      <c r="D22" s="2161"/>
      <c r="E22" s="2162"/>
      <c r="F22" s="2163"/>
      <c r="G22" s="2161"/>
      <c r="H22" s="2162"/>
      <c r="I22" s="2164"/>
      <c r="J22" s="2161"/>
      <c r="K22" s="2165"/>
    </row>
    <row r="23" spans="1:11" ht="11.25" customHeight="1">
      <c r="A23" s="780" t="str">
        <f>A13</f>
        <v>Conditions met - transferred to revenue</v>
      </c>
      <c r="B23" s="171"/>
      <c r="C23" s="771">
        <f t="shared" ref="C23:K23" si="3">C21+C22-C24</f>
        <v>0</v>
      </c>
      <c r="D23" s="772">
        <f t="shared" si="3"/>
        <v>0</v>
      </c>
      <c r="E23" s="773">
        <f t="shared" si="3"/>
        <v>0</v>
      </c>
      <c r="F23" s="774">
        <f t="shared" si="3"/>
        <v>0</v>
      </c>
      <c r="G23" s="772">
        <f t="shared" si="3"/>
        <v>0</v>
      </c>
      <c r="H23" s="775">
        <f t="shared" si="3"/>
        <v>0</v>
      </c>
      <c r="I23" s="776">
        <f t="shared" si="3"/>
        <v>0</v>
      </c>
      <c r="J23" s="772">
        <f t="shared" si="3"/>
        <v>0</v>
      </c>
      <c r="K23" s="773">
        <f t="shared" si="3"/>
        <v>0</v>
      </c>
    </row>
    <row r="24" spans="1:11" ht="11.25" customHeight="1">
      <c r="A24" s="778" t="str">
        <f>A14</f>
        <v>Conditions still to be met - transferred to liabilities</v>
      </c>
      <c r="B24" s="171"/>
      <c r="C24" s="2161">
        <v>0</v>
      </c>
      <c r="D24" s="2161">
        <v>0</v>
      </c>
      <c r="E24" s="2165">
        <v>0</v>
      </c>
      <c r="F24" s="2163">
        <v>0</v>
      </c>
      <c r="G24" s="2161">
        <v>0</v>
      </c>
      <c r="H24" s="2162">
        <v>0</v>
      </c>
      <c r="I24" s="2164">
        <v>0</v>
      </c>
      <c r="J24" s="2161">
        <v>0</v>
      </c>
      <c r="K24" s="2165">
        <v>0</v>
      </c>
    </row>
    <row r="25" spans="1:11" ht="11.25" customHeight="1">
      <c r="A25" s="781" t="s">
        <v>368</v>
      </c>
      <c r="B25" s="782"/>
      <c r="C25" s="772">
        <f t="shared" ref="C25:K26" si="4">C8+C13+C18+C23</f>
        <v>0</v>
      </c>
      <c r="D25" s="772">
        <f t="shared" si="4"/>
        <v>11782173</v>
      </c>
      <c r="E25" s="773">
        <f t="shared" si="4"/>
        <v>0</v>
      </c>
      <c r="F25" s="774">
        <f t="shared" si="4"/>
        <v>16605000</v>
      </c>
      <c r="G25" s="772">
        <f t="shared" si="4"/>
        <v>0</v>
      </c>
      <c r="H25" s="775">
        <f t="shared" si="4"/>
        <v>0</v>
      </c>
      <c r="I25" s="776">
        <f t="shared" si="4"/>
        <v>0</v>
      </c>
      <c r="J25" s="772">
        <f t="shared" si="4"/>
        <v>0</v>
      </c>
      <c r="K25" s="773">
        <f t="shared" si="4"/>
        <v>0</v>
      </c>
    </row>
    <row r="26" spans="1:11" ht="11.25" customHeight="1">
      <c r="A26" s="781" t="s">
        <v>369</v>
      </c>
      <c r="B26" s="782">
        <v>2</v>
      </c>
      <c r="C26" s="772">
        <f t="shared" si="4"/>
        <v>0</v>
      </c>
      <c r="D26" s="772">
        <f t="shared" si="4"/>
        <v>0</v>
      </c>
      <c r="E26" s="773">
        <f t="shared" si="4"/>
        <v>0</v>
      </c>
      <c r="F26" s="774">
        <f t="shared" si="4"/>
        <v>0</v>
      </c>
      <c r="G26" s="772">
        <f t="shared" si="4"/>
        <v>0</v>
      </c>
      <c r="H26" s="775">
        <f t="shared" si="4"/>
        <v>0</v>
      </c>
      <c r="I26" s="776">
        <f t="shared" si="4"/>
        <v>0</v>
      </c>
      <c r="J26" s="772">
        <f t="shared" si="4"/>
        <v>0</v>
      </c>
      <c r="K26" s="773">
        <f t="shared" si="4"/>
        <v>0</v>
      </c>
    </row>
    <row r="27" spans="1:11" ht="5.0999999999999996" customHeight="1">
      <c r="A27" s="259"/>
      <c r="B27" s="171"/>
      <c r="C27" s="699"/>
      <c r="D27" s="699"/>
      <c r="E27" s="695"/>
      <c r="F27" s="696"/>
      <c r="G27" s="699"/>
      <c r="H27" s="697"/>
      <c r="I27" s="700"/>
      <c r="J27" s="699"/>
      <c r="K27" s="695"/>
    </row>
    <row r="28" spans="1:11" ht="11.25" customHeight="1">
      <c r="A28" s="235" t="s">
        <v>315</v>
      </c>
      <c r="B28" s="171" t="s">
        <v>543</v>
      </c>
      <c r="C28" s="699"/>
      <c r="D28" s="699"/>
      <c r="E28" s="695"/>
      <c r="F28" s="696"/>
      <c r="G28" s="699"/>
      <c r="H28" s="697"/>
      <c r="I28" s="700"/>
      <c r="J28" s="699"/>
      <c r="K28" s="695"/>
    </row>
    <row r="29" spans="1:11" ht="11.25" customHeight="1">
      <c r="A29" s="754" t="str">
        <f>A5</f>
        <v>National Government:</v>
      </c>
      <c r="B29" s="171"/>
      <c r="C29" s="699"/>
      <c r="D29" s="699"/>
      <c r="E29" s="695"/>
      <c r="F29" s="696"/>
      <c r="G29" s="699"/>
      <c r="H29" s="697"/>
      <c r="I29" s="700"/>
      <c r="J29" s="699"/>
      <c r="K29" s="695"/>
    </row>
    <row r="30" spans="1:11" ht="11.25" customHeight="1">
      <c r="A30" s="343" t="s">
        <v>1297</v>
      </c>
      <c r="B30" s="171"/>
      <c r="C30" s="2161"/>
      <c r="D30" s="2161"/>
      <c r="E30" s="2162"/>
      <c r="F30" s="2163"/>
      <c r="G30" s="2161"/>
      <c r="H30" s="2162"/>
      <c r="I30" s="2164"/>
      <c r="J30" s="2161"/>
      <c r="K30" s="2165"/>
    </row>
    <row r="31" spans="1:11" ht="11.25" customHeight="1">
      <c r="A31" s="343" t="s">
        <v>1298</v>
      </c>
      <c r="B31" s="171"/>
      <c r="C31" s="2134"/>
      <c r="D31" s="2134">
        <f>[5]SA20!$E$31</f>
        <v>5973000</v>
      </c>
      <c r="E31" s="2137"/>
      <c r="F31" s="2136">
        <f>[5]SA20!$I$31</f>
        <v>7889000</v>
      </c>
      <c r="G31" s="2134"/>
      <c r="H31" s="2137"/>
      <c r="I31" s="2138"/>
      <c r="J31" s="2134"/>
      <c r="K31" s="2135"/>
    </row>
    <row r="32" spans="1:11" ht="11.25" customHeight="1">
      <c r="A32" s="770" t="s">
        <v>1296</v>
      </c>
      <c r="B32" s="171"/>
      <c r="C32" s="771">
        <f t="shared" ref="C32:K32" si="5">C30+C31-C33</f>
        <v>0</v>
      </c>
      <c r="D32" s="772">
        <f t="shared" si="5"/>
        <v>5973000</v>
      </c>
      <c r="E32" s="773">
        <f t="shared" si="5"/>
        <v>0</v>
      </c>
      <c r="F32" s="774">
        <f t="shared" si="5"/>
        <v>7889000</v>
      </c>
      <c r="G32" s="772">
        <f t="shared" si="5"/>
        <v>0</v>
      </c>
      <c r="H32" s="775">
        <f t="shared" si="5"/>
        <v>0</v>
      </c>
      <c r="I32" s="776">
        <f t="shared" si="5"/>
        <v>0</v>
      </c>
      <c r="J32" s="772">
        <f t="shared" si="5"/>
        <v>0</v>
      </c>
      <c r="K32" s="773">
        <f t="shared" si="5"/>
        <v>0</v>
      </c>
    </row>
    <row r="33" spans="1:15" ht="11.25" customHeight="1">
      <c r="A33" s="343" t="s">
        <v>488</v>
      </c>
      <c r="B33" s="171"/>
      <c r="C33" s="2161"/>
      <c r="D33" s="2161"/>
      <c r="E33" s="2162"/>
      <c r="F33" s="2163"/>
      <c r="G33" s="2161"/>
      <c r="H33" s="2162"/>
      <c r="I33" s="2164"/>
      <c r="J33" s="2161"/>
      <c r="K33" s="2165"/>
    </row>
    <row r="34" spans="1:15" ht="11.25" customHeight="1">
      <c r="A34" s="754" t="s">
        <v>1092</v>
      </c>
      <c r="B34" s="171"/>
      <c r="C34" s="777"/>
      <c r="D34" s="777"/>
      <c r="E34" s="738"/>
      <c r="F34" s="737"/>
      <c r="G34" s="735"/>
      <c r="H34" s="738"/>
      <c r="I34" s="739"/>
      <c r="J34" s="735"/>
      <c r="K34" s="736"/>
    </row>
    <row r="35" spans="1:15" ht="11.25" customHeight="1">
      <c r="A35" s="343" t="s">
        <v>1297</v>
      </c>
      <c r="B35" s="171"/>
      <c r="C35" s="2161">
        <v>0</v>
      </c>
      <c r="D35" s="2161">
        <v>0</v>
      </c>
      <c r="E35" s="2162">
        <v>0</v>
      </c>
      <c r="F35" s="2163">
        <v>0</v>
      </c>
      <c r="G35" s="2161">
        <v>0</v>
      </c>
      <c r="H35" s="2162">
        <v>0</v>
      </c>
      <c r="I35" s="2164">
        <v>0</v>
      </c>
      <c r="J35" s="2161">
        <v>0</v>
      </c>
      <c r="K35" s="2165">
        <v>0</v>
      </c>
    </row>
    <row r="36" spans="1:15" ht="11.25" customHeight="1">
      <c r="A36" s="778" t="str">
        <f>A31</f>
        <v>Current year receipts</v>
      </c>
      <c r="B36" s="171"/>
      <c r="C36" s="2161">
        <f>'SA18'!C43</f>
        <v>0</v>
      </c>
      <c r="D36" s="2134">
        <f>'SA18'!D43</f>
        <v>0</v>
      </c>
      <c r="E36" s="2137">
        <f>'SA18'!E43</f>
        <v>0</v>
      </c>
      <c r="F36" s="2136">
        <f>[5]SA20!$I$36</f>
        <v>3034000</v>
      </c>
      <c r="G36" s="2134">
        <f>'SA18'!G43</f>
        <v>0</v>
      </c>
      <c r="H36" s="2137">
        <f>'SA18'!H43</f>
        <v>0</v>
      </c>
      <c r="I36" s="2138">
        <f>'SA18'!I43</f>
        <v>0</v>
      </c>
      <c r="J36" s="2134">
        <f>'SA18'!J43</f>
        <v>0</v>
      </c>
      <c r="K36" s="2135">
        <f>'SA18'!K43</f>
        <v>0</v>
      </c>
    </row>
    <row r="37" spans="1:15" ht="11.25" customHeight="1">
      <c r="A37" s="780" t="str">
        <f>A32</f>
        <v>Conditions met - transferred to revenue</v>
      </c>
      <c r="B37" s="171"/>
      <c r="C37" s="771">
        <f t="shared" ref="C37:K37" si="6">C35+C36-C38</f>
        <v>0</v>
      </c>
      <c r="D37" s="772">
        <f t="shared" si="6"/>
        <v>0</v>
      </c>
      <c r="E37" s="773">
        <f t="shared" si="6"/>
        <v>0</v>
      </c>
      <c r="F37" s="774">
        <f t="shared" si="6"/>
        <v>3034000</v>
      </c>
      <c r="G37" s="772">
        <f t="shared" si="6"/>
        <v>0</v>
      </c>
      <c r="H37" s="775">
        <f t="shared" si="6"/>
        <v>0</v>
      </c>
      <c r="I37" s="776">
        <f t="shared" si="6"/>
        <v>0</v>
      </c>
      <c r="J37" s="772">
        <f t="shared" si="6"/>
        <v>0</v>
      </c>
      <c r="K37" s="773">
        <f t="shared" si="6"/>
        <v>0</v>
      </c>
      <c r="O37" s="345"/>
    </row>
    <row r="38" spans="1:15" ht="11.25" customHeight="1">
      <c r="A38" s="778" t="str">
        <f>A33</f>
        <v>Conditions still to be met - transferred to liabilities</v>
      </c>
      <c r="B38" s="171"/>
      <c r="C38" s="2161">
        <v>0</v>
      </c>
      <c r="D38" s="2161">
        <v>0</v>
      </c>
      <c r="E38" s="2162">
        <v>0</v>
      </c>
      <c r="F38" s="2163">
        <v>0</v>
      </c>
      <c r="G38" s="2161">
        <v>0</v>
      </c>
      <c r="H38" s="2162">
        <v>0</v>
      </c>
      <c r="I38" s="2164">
        <v>0</v>
      </c>
      <c r="J38" s="2161">
        <v>0</v>
      </c>
      <c r="K38" s="2165">
        <v>0</v>
      </c>
    </row>
    <row r="39" spans="1:15" ht="11.25" customHeight="1">
      <c r="A39" s="754" t="s">
        <v>1128</v>
      </c>
      <c r="B39" s="171"/>
      <c r="C39" s="769"/>
      <c r="D39" s="769"/>
      <c r="E39" s="779"/>
      <c r="F39" s="766"/>
      <c r="G39" s="764"/>
      <c r="H39" s="765"/>
      <c r="I39" s="767"/>
      <c r="J39" s="764"/>
      <c r="K39" s="768"/>
    </row>
    <row r="40" spans="1:15" ht="11.25" customHeight="1">
      <c r="A40" s="343" t="str">
        <f>A35</f>
        <v>Balance unspent at beginning of the year</v>
      </c>
      <c r="B40" s="171"/>
      <c r="C40" s="2161">
        <v>0</v>
      </c>
      <c r="D40" s="2161">
        <v>0</v>
      </c>
      <c r="E40" s="2162">
        <v>0</v>
      </c>
      <c r="F40" s="2163">
        <v>0</v>
      </c>
      <c r="G40" s="2161">
        <v>0</v>
      </c>
      <c r="H40" s="2162">
        <v>0</v>
      </c>
      <c r="I40" s="2164">
        <v>0</v>
      </c>
      <c r="J40" s="2161">
        <v>0</v>
      </c>
      <c r="K40" s="2165">
        <v>0</v>
      </c>
    </row>
    <row r="41" spans="1:15" ht="11.25" customHeight="1">
      <c r="A41" s="778" t="str">
        <f>A36</f>
        <v>Current year receipts</v>
      </c>
      <c r="B41" s="171"/>
      <c r="C41" s="2161">
        <f>'SA18'!C45</f>
        <v>0</v>
      </c>
      <c r="D41" s="2161">
        <f>'SA18'!D45</f>
        <v>0</v>
      </c>
      <c r="E41" s="2162">
        <f>'SA18'!E45</f>
        <v>0</v>
      </c>
      <c r="F41" s="2163">
        <f>'SA18'!F45</f>
        <v>0</v>
      </c>
      <c r="G41" s="2161">
        <f>'SA18'!G45</f>
        <v>0</v>
      </c>
      <c r="H41" s="2162">
        <f>'SA18'!H45</f>
        <v>0</v>
      </c>
      <c r="I41" s="2164">
        <f>'SA18'!I45</f>
        <v>0</v>
      </c>
      <c r="J41" s="2161">
        <f>'SA18'!J45</f>
        <v>0</v>
      </c>
      <c r="K41" s="2165">
        <f>'SA18'!K45</f>
        <v>0</v>
      </c>
    </row>
    <row r="42" spans="1:15" ht="11.25" customHeight="1">
      <c r="A42" s="780" t="str">
        <f>A37</f>
        <v>Conditions met - transferred to revenue</v>
      </c>
      <c r="B42" s="171"/>
      <c r="C42" s="771">
        <f t="shared" ref="C42:K42" si="7">C40+C41-C43</f>
        <v>0</v>
      </c>
      <c r="D42" s="772">
        <f t="shared" si="7"/>
        <v>0</v>
      </c>
      <c r="E42" s="773">
        <f t="shared" si="7"/>
        <v>0</v>
      </c>
      <c r="F42" s="774">
        <f t="shared" si="7"/>
        <v>0</v>
      </c>
      <c r="G42" s="772">
        <f t="shared" si="7"/>
        <v>0</v>
      </c>
      <c r="H42" s="775">
        <f t="shared" si="7"/>
        <v>0</v>
      </c>
      <c r="I42" s="776">
        <f t="shared" si="7"/>
        <v>0</v>
      </c>
      <c r="J42" s="772">
        <f t="shared" si="7"/>
        <v>0</v>
      </c>
      <c r="K42" s="773">
        <f t="shared" si="7"/>
        <v>0</v>
      </c>
    </row>
    <row r="43" spans="1:15" ht="11.25" customHeight="1">
      <c r="A43" s="778" t="str">
        <f>A38</f>
        <v>Conditions still to be met - transferred to liabilities</v>
      </c>
      <c r="B43" s="171"/>
      <c r="C43" s="2161">
        <v>0</v>
      </c>
      <c r="D43" s="2161">
        <v>0</v>
      </c>
      <c r="E43" s="2162">
        <v>0</v>
      </c>
      <c r="F43" s="2163">
        <v>0</v>
      </c>
      <c r="G43" s="2161">
        <v>0</v>
      </c>
      <c r="H43" s="2162">
        <v>0</v>
      </c>
      <c r="I43" s="2164">
        <v>0</v>
      </c>
      <c r="J43" s="2161">
        <v>0</v>
      </c>
      <c r="K43" s="2165">
        <v>0</v>
      </c>
    </row>
    <row r="44" spans="1:15" ht="11.25" customHeight="1">
      <c r="A44" s="754" t="s">
        <v>614</v>
      </c>
      <c r="B44" s="171"/>
      <c r="C44" s="769"/>
      <c r="D44" s="769"/>
      <c r="E44" s="779"/>
      <c r="F44" s="766"/>
      <c r="G44" s="764"/>
      <c r="H44" s="765"/>
      <c r="I44" s="767"/>
      <c r="J44" s="764"/>
      <c r="K44" s="768"/>
    </row>
    <row r="45" spans="1:15" ht="11.25" customHeight="1">
      <c r="A45" s="778" t="str">
        <f>A35</f>
        <v>Balance unspent at beginning of the year</v>
      </c>
      <c r="B45" s="171"/>
      <c r="C45" s="2161">
        <v>0</v>
      </c>
      <c r="D45" s="2161">
        <v>0</v>
      </c>
      <c r="E45" s="2162">
        <v>0</v>
      </c>
      <c r="F45" s="2163">
        <v>0</v>
      </c>
      <c r="G45" s="2161">
        <v>0</v>
      </c>
      <c r="H45" s="2162">
        <v>0</v>
      </c>
      <c r="I45" s="2164">
        <v>0</v>
      </c>
      <c r="J45" s="2161">
        <v>0</v>
      </c>
      <c r="K45" s="2165">
        <v>0</v>
      </c>
    </row>
    <row r="46" spans="1:15" ht="11.25" customHeight="1">
      <c r="A46" s="778" t="str">
        <f>A36</f>
        <v>Current year receipts</v>
      </c>
      <c r="B46" s="171"/>
      <c r="C46" s="2161">
        <f>'SA18'!C48</f>
        <v>0</v>
      </c>
      <c r="D46" s="2161">
        <f>'SA18'!D48</f>
        <v>0</v>
      </c>
      <c r="E46" s="2162">
        <f>'SA18'!E48</f>
        <v>0</v>
      </c>
      <c r="F46" s="2163">
        <f>'SA18'!F48</f>
        <v>0</v>
      </c>
      <c r="G46" s="2161">
        <f>'SA18'!G48</f>
        <v>0</v>
      </c>
      <c r="H46" s="2162">
        <f>'SA18'!H48</f>
        <v>0</v>
      </c>
      <c r="I46" s="2164">
        <f>'SA18'!I48</f>
        <v>0</v>
      </c>
      <c r="J46" s="2161">
        <f>'SA18'!J48</f>
        <v>0</v>
      </c>
      <c r="K46" s="2165">
        <f>'SA18'!K48</f>
        <v>0</v>
      </c>
    </row>
    <row r="47" spans="1:15" ht="11.25" customHeight="1">
      <c r="A47" s="780" t="str">
        <f>A37</f>
        <v>Conditions met - transferred to revenue</v>
      </c>
      <c r="B47" s="171"/>
      <c r="C47" s="771">
        <f t="shared" ref="C47:K47" si="8">C45+C46-C48</f>
        <v>0</v>
      </c>
      <c r="D47" s="772">
        <f t="shared" si="8"/>
        <v>0</v>
      </c>
      <c r="E47" s="773">
        <f t="shared" si="8"/>
        <v>0</v>
      </c>
      <c r="F47" s="774">
        <f t="shared" si="8"/>
        <v>0</v>
      </c>
      <c r="G47" s="772">
        <f t="shared" si="8"/>
        <v>0</v>
      </c>
      <c r="H47" s="775">
        <f t="shared" si="8"/>
        <v>0</v>
      </c>
      <c r="I47" s="776">
        <f t="shared" si="8"/>
        <v>0</v>
      </c>
      <c r="J47" s="772">
        <f t="shared" si="8"/>
        <v>0</v>
      </c>
      <c r="K47" s="773">
        <f t="shared" si="8"/>
        <v>0</v>
      </c>
    </row>
    <row r="48" spans="1:15" ht="11.25" customHeight="1">
      <c r="A48" s="778" t="str">
        <f>A38</f>
        <v>Conditions still to be met - transferred to liabilities</v>
      </c>
      <c r="B48" s="171"/>
      <c r="C48" s="2161">
        <v>0</v>
      </c>
      <c r="D48" s="2161">
        <v>0</v>
      </c>
      <c r="E48" s="2165">
        <v>0</v>
      </c>
      <c r="F48" s="2163">
        <v>0</v>
      </c>
      <c r="G48" s="2161">
        <v>0</v>
      </c>
      <c r="H48" s="2162">
        <v>0</v>
      </c>
      <c r="I48" s="2164">
        <v>0</v>
      </c>
      <c r="J48" s="2161">
        <v>0</v>
      </c>
      <c r="K48" s="2165">
        <v>0</v>
      </c>
    </row>
    <row r="49" spans="1:11">
      <c r="A49" s="781" t="s">
        <v>654</v>
      </c>
      <c r="B49" s="782"/>
      <c r="C49" s="783">
        <f t="shared" ref="C49:K50" si="9">C32+C37+C42+C47</f>
        <v>0</v>
      </c>
      <c r="D49" s="783">
        <f t="shared" si="9"/>
        <v>5973000</v>
      </c>
      <c r="E49" s="784">
        <f t="shared" si="9"/>
        <v>0</v>
      </c>
      <c r="F49" s="785">
        <f t="shared" si="9"/>
        <v>10923000</v>
      </c>
      <c r="G49" s="783">
        <f t="shared" si="9"/>
        <v>0</v>
      </c>
      <c r="H49" s="786">
        <f t="shared" si="9"/>
        <v>0</v>
      </c>
      <c r="I49" s="787">
        <f t="shared" si="9"/>
        <v>0</v>
      </c>
      <c r="J49" s="783">
        <f t="shared" si="9"/>
        <v>0</v>
      </c>
      <c r="K49" s="784">
        <f t="shared" si="9"/>
        <v>0</v>
      </c>
    </row>
    <row r="50" spans="1:11">
      <c r="A50" s="781" t="s">
        <v>370</v>
      </c>
      <c r="B50" s="782">
        <v>2</v>
      </c>
      <c r="C50" s="783">
        <f t="shared" si="9"/>
        <v>0</v>
      </c>
      <c r="D50" s="783">
        <f t="shared" si="9"/>
        <v>0</v>
      </c>
      <c r="E50" s="784">
        <f t="shared" si="9"/>
        <v>0</v>
      </c>
      <c r="F50" s="785">
        <f t="shared" si="9"/>
        <v>0</v>
      </c>
      <c r="G50" s="783">
        <f t="shared" si="9"/>
        <v>0</v>
      </c>
      <c r="H50" s="786">
        <f t="shared" si="9"/>
        <v>0</v>
      </c>
      <c r="I50" s="787">
        <f t="shared" si="9"/>
        <v>0</v>
      </c>
      <c r="J50" s="783">
        <f t="shared" si="9"/>
        <v>0</v>
      </c>
      <c r="K50" s="784">
        <f t="shared" si="9"/>
        <v>0</v>
      </c>
    </row>
    <row r="51" spans="1:11" ht="5.0999999999999996" customHeight="1">
      <c r="A51" s="788"/>
      <c r="B51" s="171"/>
      <c r="C51" s="769"/>
      <c r="D51" s="769"/>
      <c r="E51" s="779"/>
      <c r="F51" s="766"/>
      <c r="G51" s="764"/>
      <c r="H51" s="765"/>
      <c r="I51" s="767"/>
      <c r="J51" s="764"/>
      <c r="K51" s="768"/>
    </row>
    <row r="52" spans="1:11" ht="11.25" customHeight="1">
      <c r="A52" s="1092" t="s">
        <v>295</v>
      </c>
      <c r="B52" s="1093"/>
      <c r="C52" s="1094">
        <f t="shared" ref="C52:K52" si="10">C25+C49</f>
        <v>0</v>
      </c>
      <c r="D52" s="1094">
        <f t="shared" si="10"/>
        <v>17755173</v>
      </c>
      <c r="E52" s="1095">
        <f t="shared" si="10"/>
        <v>0</v>
      </c>
      <c r="F52" s="1096">
        <f t="shared" si="10"/>
        <v>27528000</v>
      </c>
      <c r="G52" s="1094">
        <f t="shared" si="10"/>
        <v>0</v>
      </c>
      <c r="H52" s="1097">
        <f t="shared" si="10"/>
        <v>0</v>
      </c>
      <c r="I52" s="1098">
        <f t="shared" si="10"/>
        <v>0</v>
      </c>
      <c r="J52" s="1094">
        <f t="shared" si="10"/>
        <v>0</v>
      </c>
      <c r="K52" s="1095">
        <f t="shared" si="10"/>
        <v>0</v>
      </c>
    </row>
    <row r="53" spans="1:11" ht="11.25" customHeight="1">
      <c r="A53" s="267" t="s">
        <v>1531</v>
      </c>
      <c r="B53" s="211"/>
      <c r="C53" s="712">
        <f>C26+C50</f>
        <v>0</v>
      </c>
      <c r="D53" s="712">
        <f t="shared" ref="D53:K53" si="11">D26+D50</f>
        <v>0</v>
      </c>
      <c r="E53" s="713">
        <f t="shared" si="11"/>
        <v>0</v>
      </c>
      <c r="F53" s="714">
        <f t="shared" si="11"/>
        <v>0</v>
      </c>
      <c r="G53" s="712">
        <f t="shared" si="11"/>
        <v>0</v>
      </c>
      <c r="H53" s="715">
        <f t="shared" si="11"/>
        <v>0</v>
      </c>
      <c r="I53" s="716">
        <f t="shared" si="11"/>
        <v>0</v>
      </c>
      <c r="J53" s="712">
        <f t="shared" si="11"/>
        <v>0</v>
      </c>
      <c r="K53" s="713">
        <f t="shared" si="11"/>
        <v>0</v>
      </c>
    </row>
    <row r="54" spans="1:11" s="693" customFormat="1" ht="11.25" hidden="1" customHeight="1">
      <c r="A54" s="1220" t="str">
        <f>head27a</f>
        <v>References</v>
      </c>
      <c r="B54" s="1072"/>
      <c r="C54" s="1069"/>
      <c r="D54" s="1069"/>
      <c r="E54" s="1069"/>
      <c r="F54" s="1069"/>
      <c r="G54" s="1069"/>
      <c r="H54" s="1069"/>
      <c r="I54" s="1069"/>
      <c r="J54" s="1069"/>
      <c r="K54" s="1069"/>
    </row>
    <row r="55" spans="1:11" s="693" customFormat="1" ht="11.25" hidden="1" customHeight="1">
      <c r="A55" s="2790" t="s">
        <v>653</v>
      </c>
      <c r="B55" s="2790"/>
      <c r="C55" s="2790"/>
      <c r="D55" s="2790"/>
      <c r="E55" s="2790"/>
      <c r="F55" s="2790"/>
      <c r="G55" s="2790"/>
      <c r="H55" s="2790"/>
      <c r="I55" s="2790"/>
      <c r="J55" s="2790"/>
      <c r="K55" s="2790"/>
    </row>
    <row r="56" spans="1:11" s="693" customFormat="1" ht="11.25" hidden="1" customHeight="1">
      <c r="A56" s="2790" t="s">
        <v>294</v>
      </c>
      <c r="B56" s="2790"/>
      <c r="C56" s="2790"/>
      <c r="D56" s="2790"/>
      <c r="E56" s="2790"/>
      <c r="F56" s="2790"/>
      <c r="G56" s="2790"/>
      <c r="H56" s="2790"/>
      <c r="I56" s="2790"/>
      <c r="J56" s="2790"/>
      <c r="K56" s="2790"/>
    </row>
    <row r="57" spans="1:11" s="693" customFormat="1" ht="11.25" hidden="1" customHeight="1">
      <c r="A57" s="2790" t="s">
        <v>948</v>
      </c>
      <c r="B57" s="2790"/>
      <c r="C57" s="2790"/>
      <c r="D57" s="2790"/>
      <c r="E57" s="2790"/>
      <c r="F57" s="2790"/>
      <c r="G57" s="2790"/>
      <c r="H57" s="2790"/>
      <c r="I57" s="2790"/>
      <c r="J57" s="2790"/>
      <c r="K57" s="2790"/>
    </row>
    <row r="58" spans="1:11" ht="11.25" hidden="1" customHeight="1">
      <c r="A58" s="790"/>
      <c r="B58" s="790"/>
      <c r="C58" s="790"/>
      <c r="D58" s="790"/>
      <c r="E58" s="790"/>
      <c r="F58" s="790"/>
      <c r="G58" s="790"/>
      <c r="H58" s="790"/>
      <c r="I58" s="790"/>
      <c r="J58" s="790"/>
      <c r="K58" s="790"/>
    </row>
    <row r="59" spans="1:11" ht="11.25" hidden="1" customHeight="1">
      <c r="A59" s="411" t="s">
        <v>489</v>
      </c>
      <c r="C59" s="336">
        <f>C25-'A4-FinPerf RE'!C19</f>
        <v>-7437817</v>
      </c>
      <c r="D59" s="336">
        <f>D25-'A4-FinPerf RE'!D19</f>
        <v>-23908602.583800003</v>
      </c>
      <c r="E59" s="336">
        <f>E25-'A4-FinPerf RE'!E19</f>
        <v>-26974491.153999999</v>
      </c>
      <c r="F59" s="336">
        <f>F25-'A4-FinPerf RE'!F19</f>
        <v>0</v>
      </c>
      <c r="G59" s="336">
        <f>G25-'A4-FinPerf RE'!G19</f>
        <v>-16625000</v>
      </c>
      <c r="H59" s="336">
        <f>H25-'A4-FinPerf RE'!H19</f>
        <v>-18044873</v>
      </c>
      <c r="I59" s="336">
        <f>I25-'A4-FinPerf RE'!J19</f>
        <v>-18061000</v>
      </c>
      <c r="J59" s="336">
        <f>J25-'A4-FinPerf RE'!K19</f>
        <v>-19804000</v>
      </c>
      <c r="K59" s="336">
        <f>K25-'A4-FinPerf RE'!L19</f>
        <v>-21904000</v>
      </c>
    </row>
    <row r="60" spans="1:11" ht="11.25" hidden="1" customHeight="1">
      <c r="A60" s="411" t="s">
        <v>490</v>
      </c>
      <c r="C60" s="336">
        <f>C49-'A5-Capex'!C70</f>
        <v>0</v>
      </c>
      <c r="D60" s="336">
        <f>D49-'A5-Capex'!D70</f>
        <v>5973000</v>
      </c>
      <c r="E60" s="336">
        <f>E49-'A5-Capex'!E70</f>
        <v>0</v>
      </c>
      <c r="F60" s="336">
        <f>F49-'A5-Capex'!F70</f>
        <v>10923000</v>
      </c>
      <c r="G60" s="336">
        <f>G49-'A5-Capex'!G70</f>
        <v>0</v>
      </c>
      <c r="H60" s="336">
        <f>H49-'A5-Capex'!H70</f>
        <v>0</v>
      </c>
      <c r="I60" s="336">
        <f>I49-'A5-Capex'!J70</f>
        <v>-9488000</v>
      </c>
      <c r="J60" s="336">
        <f>J49-'A5-Capex'!K70</f>
        <v>-11537000</v>
      </c>
      <c r="K60" s="336">
        <f>K49-'A5-Capex'!L70</f>
        <v>-12171000</v>
      </c>
    </row>
    <row r="61" spans="1:11" ht="11.25" hidden="1" customHeight="1"/>
    <row r="62" spans="1:11" ht="11.25" hidden="1" customHeight="1"/>
    <row r="63" spans="1:11" ht="11.25" hidden="1" customHeight="1"/>
    <row r="64" spans="1:11"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sheetData>
  <sheetProtection sheet="1" objects="1" scenarios="1"/>
  <mergeCells count="5">
    <mergeCell ref="A57:K57"/>
    <mergeCell ref="F2:H2"/>
    <mergeCell ref="I2:K2"/>
    <mergeCell ref="A55:K55"/>
    <mergeCell ref="A56:K56"/>
  </mergeCells>
  <phoneticPr fontId="3" type="noConversion"/>
  <printOptions horizontalCentered="1"/>
  <pageMargins left="0" right="0" top="0.78740157480314965" bottom="0.59055118110236227" header="0.51181102362204722" footer="0.51181102362204722"/>
  <pageSetup paperSize="9" scale="8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enableFormatConditionsCalculation="0">
    <tabColor indexed="42"/>
    <pageSetUpPr fitToPage="1"/>
  </sheetPr>
  <dimension ref="A1:O64"/>
  <sheetViews>
    <sheetView showGridLines="0" workbookViewId="0">
      <pane xSplit="2" ySplit="3" topLeftCell="C4" activePane="bottomRight" state="frozen"/>
      <selection activeCell="O37" sqref="A1:IV65536"/>
      <selection pane="topRight" activeCell="O37" sqref="A1:IV65536"/>
      <selection pane="bottomLeft" activeCell="O37" sqref="A1:IV65536"/>
      <selection pane="bottomRight" activeCell="A4" sqref="A4"/>
    </sheetView>
  </sheetViews>
  <sheetFormatPr defaultRowHeight="12.75"/>
  <cols>
    <col min="1" max="1" width="34.28515625" style="150" customWidth="1"/>
    <col min="2" max="2" width="3" style="233" hidden="1" customWidth="1"/>
    <col min="3" max="11" width="9.28515625" style="150" customWidth="1"/>
    <col min="12" max="12" width="9.85546875" style="150" customWidth="1"/>
    <col min="13" max="13" width="9.5703125" style="150" customWidth="1"/>
    <col min="14" max="14" width="9.85546875" style="150" customWidth="1"/>
    <col min="15" max="17" width="9.5703125" style="150" customWidth="1"/>
    <col min="18" max="18" width="9.85546875" style="150" customWidth="1"/>
    <col min="19" max="21" width="9.5703125" style="150" customWidth="1"/>
    <col min="22" max="23" width="9.85546875" style="150" customWidth="1"/>
    <col min="24" max="16384" width="9.140625" style="150"/>
  </cols>
  <sheetData>
    <row r="1" spans="1:11" ht="13.5" customHeight="1">
      <c r="A1" s="148" t="str">
        <f>muni&amp;" - "&amp; TableA21</f>
        <v>NC071 Ubuntu - Supporting Table SA21 Transfers and grants made by the municipality</v>
      </c>
      <c r="B1" s="148"/>
      <c r="C1" s="148"/>
      <c r="D1" s="148"/>
      <c r="E1" s="148"/>
      <c r="F1" s="148"/>
      <c r="G1" s="148"/>
      <c r="H1" s="148"/>
      <c r="I1" s="148"/>
      <c r="J1" s="148"/>
      <c r="K1" s="148"/>
    </row>
    <row r="2" spans="1:11" ht="28.5" customHeight="1">
      <c r="A2" s="1731" t="str">
        <f>desc</f>
        <v>Description</v>
      </c>
      <c r="B2" s="1732" t="str">
        <f>head27</f>
        <v>Ref</v>
      </c>
      <c r="C2" s="151" t="str">
        <f>head1b</f>
        <v>2007/8</v>
      </c>
      <c r="D2" s="740" t="str">
        <f>head1A</f>
        <v>2008/9</v>
      </c>
      <c r="E2" s="147" t="str">
        <f>Head1</f>
        <v>2009/10</v>
      </c>
      <c r="F2" s="2772" t="str">
        <f>Head2</f>
        <v>Current Year 2010/11</v>
      </c>
      <c r="G2" s="2773"/>
      <c r="H2" s="2777"/>
      <c r="I2" s="2769" t="str">
        <f>Head3</f>
        <v>2011/12 Medium Term Revenue &amp; Expenditure Framework</v>
      </c>
      <c r="J2" s="2770"/>
      <c r="K2" s="2771"/>
    </row>
    <row r="3" spans="1:11" ht="25.5">
      <c r="A3" s="169" t="s">
        <v>697</v>
      </c>
      <c r="B3" s="1733"/>
      <c r="C3" s="365" t="str">
        <f>Head5</f>
        <v>Audited Outcome</v>
      </c>
      <c r="D3" s="993" t="str">
        <f>Head5</f>
        <v>Audited Outcome</v>
      </c>
      <c r="E3" s="366" t="str">
        <f>Head5</f>
        <v>Audited Outcome</v>
      </c>
      <c r="F3" s="283" t="str">
        <f>Head6</f>
        <v>Original Budget</v>
      </c>
      <c r="G3" s="365" t="str">
        <f>Head7</f>
        <v>Adjusted Budget</v>
      </c>
      <c r="H3" s="366" t="str">
        <f>Head8</f>
        <v>Full Year Forecast</v>
      </c>
      <c r="I3" s="283" t="str">
        <f>Head9</f>
        <v>Budget Year 2011/12</v>
      </c>
      <c r="J3" s="365" t="str">
        <f>Head10</f>
        <v>Budget Year +1 2012/13</v>
      </c>
      <c r="K3" s="366" t="str">
        <f>Head11</f>
        <v>Budget Year +2 2013/14</v>
      </c>
    </row>
    <row r="4" spans="1:11" ht="11.25" customHeight="1">
      <c r="A4" s="235" t="s">
        <v>655</v>
      </c>
      <c r="B4" s="1734"/>
      <c r="C4" s="189"/>
      <c r="D4" s="189"/>
      <c r="E4" s="190"/>
      <c r="F4" s="191"/>
      <c r="G4" s="189"/>
      <c r="H4" s="792"/>
      <c r="I4" s="188"/>
      <c r="J4" s="189"/>
      <c r="K4" s="190"/>
    </row>
    <row r="5" spans="1:11" ht="12" customHeight="1">
      <c r="A5" s="2166" t="s">
        <v>1166</v>
      </c>
      <c r="B5" s="1734">
        <v>1</v>
      </c>
      <c r="C5" s="1805">
        <v>0</v>
      </c>
      <c r="D5" s="1805">
        <v>0</v>
      </c>
      <c r="E5" s="1820">
        <v>0</v>
      </c>
      <c r="F5" s="1821">
        <v>0</v>
      </c>
      <c r="G5" s="1805">
        <v>0</v>
      </c>
      <c r="H5" s="1808">
        <v>0</v>
      </c>
      <c r="I5" s="1822">
        <v>0</v>
      </c>
      <c r="J5" s="1805">
        <v>0</v>
      </c>
      <c r="K5" s="1820">
        <v>0</v>
      </c>
    </row>
    <row r="6" spans="1:11" ht="11.25" customHeight="1">
      <c r="A6" s="2167"/>
      <c r="B6" s="1734"/>
      <c r="C6" s="1805"/>
      <c r="D6" s="1805"/>
      <c r="E6" s="1820"/>
      <c r="F6" s="1821"/>
      <c r="G6" s="1805"/>
      <c r="H6" s="1808"/>
      <c r="I6" s="1822"/>
      <c r="J6" s="1805"/>
      <c r="K6" s="1820"/>
    </row>
    <row r="7" spans="1:11" ht="11.25" customHeight="1">
      <c r="A7" s="2167"/>
      <c r="B7" s="1734"/>
      <c r="C7" s="1805"/>
      <c r="D7" s="1805"/>
      <c r="E7" s="1820"/>
      <c r="F7" s="1821"/>
      <c r="G7" s="1805"/>
      <c r="H7" s="1808"/>
      <c r="I7" s="1822"/>
      <c r="J7" s="1805"/>
      <c r="K7" s="1820"/>
    </row>
    <row r="8" spans="1:11" ht="11.25" customHeight="1">
      <c r="A8" s="781" t="s">
        <v>656</v>
      </c>
      <c r="B8" s="1735"/>
      <c r="C8" s="262">
        <f>SUM(C5:C7)</f>
        <v>0</v>
      </c>
      <c r="D8" s="262">
        <f t="shared" ref="D8:K8" si="0">SUM(D5:D7)</f>
        <v>0</v>
      </c>
      <c r="E8" s="263">
        <f t="shared" si="0"/>
        <v>0</v>
      </c>
      <c r="F8" s="264">
        <f t="shared" si="0"/>
        <v>0</v>
      </c>
      <c r="G8" s="262">
        <f t="shared" si="0"/>
        <v>0</v>
      </c>
      <c r="H8" s="793">
        <f t="shared" si="0"/>
        <v>0</v>
      </c>
      <c r="I8" s="261">
        <f t="shared" si="0"/>
        <v>0</v>
      </c>
      <c r="J8" s="262">
        <f t="shared" si="0"/>
        <v>0</v>
      </c>
      <c r="K8" s="263">
        <f t="shared" si="0"/>
        <v>0</v>
      </c>
    </row>
    <row r="9" spans="1:11">
      <c r="A9" s="259"/>
      <c r="B9" s="1734"/>
      <c r="C9" s="189"/>
      <c r="D9" s="189"/>
      <c r="E9" s="190"/>
      <c r="F9" s="191"/>
      <c r="G9" s="189"/>
      <c r="H9" s="792"/>
      <c r="I9" s="188"/>
      <c r="J9" s="189"/>
      <c r="K9" s="190"/>
    </row>
    <row r="10" spans="1:11" ht="11.25" customHeight="1">
      <c r="A10" s="794" t="s">
        <v>1436</v>
      </c>
      <c r="B10" s="1736"/>
      <c r="C10" s="193"/>
      <c r="D10" s="193"/>
      <c r="E10" s="250"/>
      <c r="F10" s="237"/>
      <c r="G10" s="193"/>
      <c r="H10" s="543"/>
      <c r="I10" s="196"/>
      <c r="J10" s="193"/>
      <c r="K10" s="250"/>
    </row>
    <row r="11" spans="1:11" ht="11.25" customHeight="1">
      <c r="A11" s="2166" t="str">
        <f>$A$5</f>
        <v>Insert description</v>
      </c>
      <c r="B11" s="1736">
        <v>2</v>
      </c>
      <c r="C11" s="1805">
        <v>0</v>
      </c>
      <c r="D11" s="1805">
        <v>0</v>
      </c>
      <c r="E11" s="1820">
        <v>0</v>
      </c>
      <c r="F11" s="1821">
        <v>0</v>
      </c>
      <c r="G11" s="1805">
        <v>0</v>
      </c>
      <c r="H11" s="1808">
        <v>0</v>
      </c>
      <c r="I11" s="1822">
        <v>0</v>
      </c>
      <c r="J11" s="1805">
        <v>0</v>
      </c>
      <c r="K11" s="1820">
        <v>0</v>
      </c>
    </row>
    <row r="12" spans="1:11" ht="11.25" customHeight="1">
      <c r="A12" s="2139"/>
      <c r="B12" s="1736"/>
      <c r="C12" s="1805"/>
      <c r="D12" s="1805"/>
      <c r="E12" s="1820"/>
      <c r="F12" s="1821"/>
      <c r="G12" s="1805"/>
      <c r="H12" s="1808"/>
      <c r="I12" s="1822"/>
      <c r="J12" s="1805"/>
      <c r="K12" s="1820"/>
    </row>
    <row r="13" spans="1:11" ht="11.25" customHeight="1">
      <c r="A13" s="2139"/>
      <c r="B13" s="1736"/>
      <c r="C13" s="1805"/>
      <c r="D13" s="1805"/>
      <c r="E13" s="1820"/>
      <c r="F13" s="1821"/>
      <c r="G13" s="1805"/>
      <c r="H13" s="1808"/>
      <c r="I13" s="1822"/>
      <c r="J13" s="1805"/>
      <c r="K13" s="1820"/>
    </row>
    <row r="14" spans="1:11" ht="11.25" customHeight="1">
      <c r="A14" s="795" t="s">
        <v>1437</v>
      </c>
      <c r="B14" s="1737"/>
      <c r="C14" s="797">
        <f>SUM(C11:C13)</f>
        <v>0</v>
      </c>
      <c r="D14" s="797">
        <f t="shared" ref="D14:K14" si="1">SUM(D11:D13)</f>
        <v>0</v>
      </c>
      <c r="E14" s="798">
        <f t="shared" si="1"/>
        <v>0</v>
      </c>
      <c r="F14" s="799">
        <f t="shared" si="1"/>
        <v>0</v>
      </c>
      <c r="G14" s="797">
        <f t="shared" si="1"/>
        <v>0</v>
      </c>
      <c r="H14" s="800">
        <f t="shared" si="1"/>
        <v>0</v>
      </c>
      <c r="I14" s="801">
        <f t="shared" si="1"/>
        <v>0</v>
      </c>
      <c r="J14" s="797">
        <f t="shared" si="1"/>
        <v>0</v>
      </c>
      <c r="K14" s="798">
        <f t="shared" si="1"/>
        <v>0</v>
      </c>
    </row>
    <row r="15" spans="1:11">
      <c r="A15" s="634"/>
      <c r="B15" s="1736"/>
      <c r="C15" s="369"/>
      <c r="D15" s="369"/>
      <c r="E15" s="319"/>
      <c r="F15" s="370"/>
      <c r="G15" s="369"/>
      <c r="H15" s="608"/>
      <c r="I15" s="371"/>
      <c r="J15" s="369"/>
      <c r="K15" s="319"/>
    </row>
    <row r="16" spans="1:11" ht="11.25" customHeight="1">
      <c r="A16" s="794" t="s">
        <v>1438</v>
      </c>
      <c r="B16" s="1736"/>
      <c r="C16" s="193"/>
      <c r="D16" s="193"/>
      <c r="E16" s="250"/>
      <c r="F16" s="237"/>
      <c r="G16" s="193"/>
      <c r="H16" s="543"/>
      <c r="I16" s="196"/>
      <c r="J16" s="193"/>
      <c r="K16" s="250"/>
    </row>
    <row r="17" spans="1:11" ht="11.25" customHeight="1">
      <c r="A17" s="2166" t="str">
        <f>$A$5</f>
        <v>Insert description</v>
      </c>
      <c r="B17" s="1736">
        <v>3</v>
      </c>
      <c r="C17" s="1805">
        <v>0</v>
      </c>
      <c r="D17" s="1805">
        <v>0</v>
      </c>
      <c r="E17" s="1820">
        <v>0</v>
      </c>
      <c r="F17" s="1821">
        <v>0</v>
      </c>
      <c r="G17" s="1805">
        <v>0</v>
      </c>
      <c r="H17" s="1808">
        <v>0</v>
      </c>
      <c r="I17" s="1822">
        <v>0</v>
      </c>
      <c r="J17" s="1805">
        <v>0</v>
      </c>
      <c r="K17" s="1820">
        <v>0</v>
      </c>
    </row>
    <row r="18" spans="1:11" ht="11.25" customHeight="1">
      <c r="A18" s="2139"/>
      <c r="B18" s="1736"/>
      <c r="C18" s="1805"/>
      <c r="D18" s="1805"/>
      <c r="E18" s="1820"/>
      <c r="F18" s="1821"/>
      <c r="G18" s="1805"/>
      <c r="H18" s="1808"/>
      <c r="I18" s="1822"/>
      <c r="J18" s="1805"/>
      <c r="K18" s="1820"/>
    </row>
    <row r="19" spans="1:11" ht="11.25" customHeight="1">
      <c r="A19" s="2139"/>
      <c r="B19" s="1736"/>
      <c r="C19" s="1805"/>
      <c r="D19" s="1805"/>
      <c r="E19" s="1820"/>
      <c r="F19" s="1821"/>
      <c r="G19" s="1805"/>
      <c r="H19" s="1808"/>
      <c r="I19" s="1822"/>
      <c r="J19" s="1805"/>
      <c r="K19" s="1820"/>
    </row>
    <row r="20" spans="1:11" ht="11.25" customHeight="1">
      <c r="A20" s="795" t="s">
        <v>652</v>
      </c>
      <c r="B20" s="1737"/>
      <c r="C20" s="797">
        <f>SUM(C17:C19)</f>
        <v>0</v>
      </c>
      <c r="D20" s="797">
        <f t="shared" ref="D20:K20" si="2">SUM(D17:D19)</f>
        <v>0</v>
      </c>
      <c r="E20" s="798">
        <f t="shared" si="2"/>
        <v>0</v>
      </c>
      <c r="F20" s="799">
        <f t="shared" si="2"/>
        <v>0</v>
      </c>
      <c r="G20" s="797">
        <f t="shared" si="2"/>
        <v>0</v>
      </c>
      <c r="H20" s="800">
        <f t="shared" si="2"/>
        <v>0</v>
      </c>
      <c r="I20" s="801">
        <f t="shared" si="2"/>
        <v>0</v>
      </c>
      <c r="J20" s="797">
        <f t="shared" si="2"/>
        <v>0</v>
      </c>
      <c r="K20" s="798">
        <f t="shared" si="2"/>
        <v>0</v>
      </c>
    </row>
    <row r="21" spans="1:11">
      <c r="A21" s="802"/>
      <c r="B21" s="1736"/>
      <c r="C21" s="193"/>
      <c r="D21" s="193"/>
      <c r="E21" s="250"/>
      <c r="F21" s="237"/>
      <c r="G21" s="193"/>
      <c r="H21" s="543"/>
      <c r="I21" s="196"/>
      <c r="J21" s="193"/>
      <c r="K21" s="250"/>
    </row>
    <row r="22" spans="1:11" ht="11.25" customHeight="1">
      <c r="A22" s="794" t="s">
        <v>1389</v>
      </c>
      <c r="B22" s="1736"/>
      <c r="C22" s="193"/>
      <c r="D22" s="193"/>
      <c r="E22" s="250"/>
      <c r="F22" s="237"/>
      <c r="G22" s="193"/>
      <c r="H22" s="543"/>
      <c r="I22" s="196"/>
      <c r="J22" s="193"/>
      <c r="K22" s="250"/>
    </row>
    <row r="23" spans="1:11" ht="11.25" customHeight="1">
      <c r="A23" s="2166" t="str">
        <f>$A$5</f>
        <v>Insert description</v>
      </c>
      <c r="B23" s="1736">
        <v>4</v>
      </c>
      <c r="C23" s="1805">
        <v>0</v>
      </c>
      <c r="D23" s="1805">
        <v>0</v>
      </c>
      <c r="E23" s="1820">
        <v>0</v>
      </c>
      <c r="F23" s="1821">
        <v>0</v>
      </c>
      <c r="G23" s="1805">
        <v>0</v>
      </c>
      <c r="H23" s="1808">
        <v>0</v>
      </c>
      <c r="I23" s="1822">
        <v>0</v>
      </c>
      <c r="J23" s="1805">
        <v>0</v>
      </c>
      <c r="K23" s="1820">
        <v>0</v>
      </c>
    </row>
    <row r="24" spans="1:11" ht="11.25" customHeight="1">
      <c r="A24" s="2139"/>
      <c r="B24" s="1736"/>
      <c r="C24" s="1805"/>
      <c r="D24" s="1805"/>
      <c r="E24" s="1820"/>
      <c r="F24" s="1821"/>
      <c r="G24" s="1805"/>
      <c r="H24" s="1808"/>
      <c r="I24" s="1822"/>
      <c r="J24" s="1805"/>
      <c r="K24" s="1820"/>
    </row>
    <row r="25" spans="1:11" ht="11.25" customHeight="1">
      <c r="A25" s="2139"/>
      <c r="B25" s="1736"/>
      <c r="C25" s="1805"/>
      <c r="D25" s="1805"/>
      <c r="E25" s="1820"/>
      <c r="F25" s="1821"/>
      <c r="G25" s="1805"/>
      <c r="H25" s="1808"/>
      <c r="I25" s="1822"/>
      <c r="J25" s="1805"/>
      <c r="K25" s="1820"/>
    </row>
    <row r="26" spans="1:11" ht="24.75" customHeight="1">
      <c r="A26" s="1534" t="s">
        <v>1390</v>
      </c>
      <c r="B26" s="1737"/>
      <c r="C26" s="797">
        <f>SUM(C23:C25)</f>
        <v>0</v>
      </c>
      <c r="D26" s="797">
        <f t="shared" ref="D26:K26" si="3">SUM(D23:D25)</f>
        <v>0</v>
      </c>
      <c r="E26" s="798">
        <f t="shared" si="3"/>
        <v>0</v>
      </c>
      <c r="F26" s="799">
        <f t="shared" si="3"/>
        <v>0</v>
      </c>
      <c r="G26" s="797">
        <f t="shared" si="3"/>
        <v>0</v>
      </c>
      <c r="H26" s="800">
        <f t="shared" si="3"/>
        <v>0</v>
      </c>
      <c r="I26" s="801">
        <f t="shared" si="3"/>
        <v>0</v>
      </c>
      <c r="J26" s="797">
        <f t="shared" si="3"/>
        <v>0</v>
      </c>
      <c r="K26" s="798">
        <f t="shared" si="3"/>
        <v>0</v>
      </c>
    </row>
    <row r="27" spans="1:11" ht="6" customHeight="1">
      <c r="A27" s="802"/>
      <c r="B27" s="1736"/>
      <c r="C27" s="193"/>
      <c r="D27" s="193"/>
      <c r="E27" s="250"/>
      <c r="F27" s="237"/>
      <c r="G27" s="193"/>
      <c r="H27" s="543"/>
      <c r="I27" s="196"/>
      <c r="J27" s="193"/>
      <c r="K27" s="250"/>
    </row>
    <row r="28" spans="1:11">
      <c r="A28" s="803" t="s">
        <v>317</v>
      </c>
      <c r="B28" s="1738">
        <v>5</v>
      </c>
      <c r="C28" s="213">
        <f>C8+C14+C20+C26</f>
        <v>0</v>
      </c>
      <c r="D28" s="213">
        <f t="shared" ref="D28:J28" si="4">D8+D14+D20+D26</f>
        <v>0</v>
      </c>
      <c r="E28" s="326">
        <f t="shared" si="4"/>
        <v>0</v>
      </c>
      <c r="F28" s="327">
        <f t="shared" si="4"/>
        <v>0</v>
      </c>
      <c r="G28" s="213">
        <f>G8+G14+G20+G26</f>
        <v>0</v>
      </c>
      <c r="H28" s="804">
        <f t="shared" si="4"/>
        <v>0</v>
      </c>
      <c r="I28" s="212">
        <f t="shared" si="4"/>
        <v>0</v>
      </c>
      <c r="J28" s="213">
        <f t="shared" si="4"/>
        <v>0</v>
      </c>
      <c r="K28" s="326">
        <f>K8+K14+K20+K26</f>
        <v>0</v>
      </c>
    </row>
    <row r="29" spans="1:11" hidden="1">
      <c r="A29" s="221" t="str">
        <f>head27a</f>
        <v>References</v>
      </c>
      <c r="B29" s="222"/>
      <c r="C29" s="227"/>
      <c r="D29" s="227"/>
      <c r="E29" s="227"/>
      <c r="F29" s="227"/>
      <c r="G29" s="227"/>
      <c r="H29" s="227"/>
      <c r="I29" s="227"/>
      <c r="J29" s="227"/>
      <c r="K29" s="227"/>
    </row>
    <row r="30" spans="1:11" ht="11.25" hidden="1" customHeight="1">
      <c r="A30" s="228" t="s">
        <v>1439</v>
      </c>
    </row>
    <row r="31" spans="1:11" ht="11.25" hidden="1" customHeight="1">
      <c r="A31" s="228" t="s">
        <v>1392</v>
      </c>
    </row>
    <row r="32" spans="1:11" ht="11.25" hidden="1" customHeight="1">
      <c r="A32" s="228" t="s">
        <v>1491</v>
      </c>
    </row>
    <row r="33" spans="1:15" ht="11.25" hidden="1" customHeight="1">
      <c r="A33" s="228" t="s">
        <v>1842</v>
      </c>
    </row>
    <row r="34" spans="1:15" ht="11.25" hidden="1" customHeight="1">
      <c r="A34" s="228" t="s">
        <v>1716</v>
      </c>
    </row>
    <row r="35" spans="1:15" ht="11.25" hidden="1" customHeight="1"/>
    <row r="36" spans="1:15" ht="11.25" hidden="1" customHeight="1"/>
    <row r="37" spans="1:15" ht="11.25" hidden="1" customHeight="1">
      <c r="O37" s="345"/>
    </row>
    <row r="38" spans="1:15" ht="11.25" hidden="1" customHeight="1"/>
    <row r="39" spans="1:15" ht="11.25" hidden="1" customHeight="1"/>
    <row r="40" spans="1:15" ht="11.25" hidden="1" customHeight="1"/>
    <row r="41" spans="1:15" ht="11.25" hidden="1" customHeight="1"/>
    <row r="42" spans="1:15" ht="11.25" hidden="1" customHeight="1"/>
    <row r="43" spans="1:15" ht="11.25" hidden="1" customHeight="1"/>
    <row r="44" spans="1:15" ht="11.25" hidden="1" customHeight="1"/>
    <row r="45" spans="1:15" ht="11.25" hidden="1" customHeight="1"/>
    <row r="46" spans="1:15" ht="11.25" hidden="1" customHeight="1"/>
    <row r="47" spans="1:15" ht="11.25" hidden="1" customHeight="1"/>
    <row r="48" spans="1:15" ht="11.25" hidden="1" customHeight="1"/>
    <row r="49" ht="11.25" hidden="1"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row r="61" ht="11.25" customHeight="1"/>
    <row r="62" ht="11.25" customHeight="1"/>
    <row r="63" ht="11.25" customHeight="1"/>
    <row r="64" ht="11.25" customHeight="1"/>
  </sheetData>
  <sheetProtection sheet="1" objects="1" scenarios="1"/>
  <mergeCells count="2">
    <mergeCell ref="F2:H2"/>
    <mergeCell ref="I2:K2"/>
  </mergeCells>
  <phoneticPr fontId="3" type="noConversion"/>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indexed="40"/>
  </sheetPr>
  <dimension ref="A1:AC312"/>
  <sheetViews>
    <sheetView workbookViewId="0">
      <pane xSplit="1" ySplit="1" topLeftCell="B2" activePane="bottomRight" state="frozen"/>
      <selection pane="topRight"/>
      <selection pane="bottomLeft"/>
      <selection pane="bottomRight" activeCell="C30" sqref="C30"/>
    </sheetView>
  </sheetViews>
  <sheetFormatPr defaultRowHeight="11.25"/>
  <cols>
    <col min="1" max="1" width="28.85546875" style="2" bestFit="1" customWidth="1"/>
    <col min="2" max="2" width="29.5703125" style="2" customWidth="1"/>
    <col min="3" max="3" width="29.42578125" style="2" customWidth="1"/>
    <col min="4" max="4" width="41.85546875" style="2" bestFit="1" customWidth="1"/>
    <col min="5" max="14" width="41.85546875" style="2" customWidth="1"/>
    <col min="15" max="15" width="43.5703125" style="2" bestFit="1" customWidth="1"/>
    <col min="16" max="16" width="1.28515625" style="2" customWidth="1"/>
    <col min="17" max="17" width="5" style="2" bestFit="1" customWidth="1"/>
    <col min="18" max="18" width="2.7109375" style="2" bestFit="1" customWidth="1"/>
    <col min="19" max="19" width="4.140625" style="2" bestFit="1" customWidth="1"/>
    <col min="20" max="20" width="9.7109375" style="2" bestFit="1" customWidth="1"/>
    <col min="21" max="21" width="9.5703125" style="2" bestFit="1" customWidth="1"/>
    <col min="22" max="22" width="3.85546875" style="2" bestFit="1" customWidth="1"/>
    <col min="23" max="23" width="6.7109375" style="2" bestFit="1" customWidth="1"/>
    <col min="24" max="24" width="4.28515625" style="2" bestFit="1" customWidth="1"/>
    <col min="25" max="25" width="9.140625" style="2"/>
    <col min="26" max="26" width="31.7109375" style="2" customWidth="1"/>
    <col min="27" max="27" width="17.5703125" style="2" bestFit="1" customWidth="1"/>
    <col min="28" max="28" width="31.7109375" style="2" customWidth="1"/>
    <col min="29" max="29" width="23.140625" style="2" customWidth="1"/>
    <col min="30" max="16384" width="9.140625" style="2"/>
  </cols>
  <sheetData>
    <row r="1" spans="1:29" s="3" customFormat="1">
      <c r="A1" s="1003" t="s">
        <v>814</v>
      </c>
      <c r="B1" s="1004">
        <v>2007</v>
      </c>
      <c r="C1" s="1004">
        <v>2008</v>
      </c>
      <c r="D1" s="1004">
        <v>2009</v>
      </c>
      <c r="E1" s="1026">
        <v>2010</v>
      </c>
      <c r="F1" s="1026">
        <v>2011</v>
      </c>
      <c r="G1" s="1004">
        <v>2012</v>
      </c>
      <c r="H1" s="1026">
        <v>2013</v>
      </c>
      <c r="I1" s="1026">
        <v>2014</v>
      </c>
      <c r="J1" s="1026">
        <v>2015</v>
      </c>
      <c r="K1" s="1026">
        <v>2016</v>
      </c>
      <c r="L1" s="1026">
        <v>2017</v>
      </c>
      <c r="M1" s="1026">
        <v>2018</v>
      </c>
      <c r="N1" s="1026">
        <v>2019</v>
      </c>
      <c r="O1" s="1026">
        <v>2020</v>
      </c>
      <c r="P1" s="1027"/>
      <c r="Q1" s="1030" t="s">
        <v>157</v>
      </c>
      <c r="R1" s="1031"/>
      <c r="S1" s="1031"/>
      <c r="T1" s="1031"/>
      <c r="U1" s="1031"/>
      <c r="V1" s="1031"/>
      <c r="W1" s="1031"/>
      <c r="X1" s="1031"/>
      <c r="Y1" s="1171" t="s">
        <v>1699</v>
      </c>
      <c r="Z1" s="1171" t="s">
        <v>1700</v>
      </c>
      <c r="AA1" s="1171" t="s">
        <v>1702</v>
      </c>
      <c r="AB1" s="1171" t="s">
        <v>1701</v>
      </c>
      <c r="AC1" s="1171" t="s">
        <v>1311</v>
      </c>
    </row>
    <row r="2" spans="1:29">
      <c r="A2" s="10" t="str">
        <f>'Template names'!C2</f>
        <v>Prior year -1</v>
      </c>
      <c r="B2" s="6" t="s">
        <v>1124</v>
      </c>
      <c r="C2" s="6" t="s">
        <v>1385</v>
      </c>
      <c r="D2" s="6" t="s">
        <v>1177</v>
      </c>
      <c r="E2" s="13" t="str">
        <f t="shared" ref="E2:O2" si="0">E1-2&amp;"/"&amp;RIGHT(E1,2)-1</f>
        <v>2008/9</v>
      </c>
      <c r="F2" s="13" t="str">
        <f t="shared" si="0"/>
        <v>2009/10</v>
      </c>
      <c r="G2" s="13" t="str">
        <f t="shared" si="0"/>
        <v>2010/11</v>
      </c>
      <c r="H2" s="13" t="str">
        <f t="shared" si="0"/>
        <v>2011/12</v>
      </c>
      <c r="I2" s="13" t="str">
        <f t="shared" si="0"/>
        <v>2012/13</v>
      </c>
      <c r="J2" s="13" t="str">
        <f t="shared" si="0"/>
        <v>2013/14</v>
      </c>
      <c r="K2" s="13" t="str">
        <f t="shared" si="0"/>
        <v>2014/15</v>
      </c>
      <c r="L2" s="13" t="str">
        <f t="shared" si="0"/>
        <v>2015/16</v>
      </c>
      <c r="M2" s="13" t="str">
        <f t="shared" si="0"/>
        <v>2016/17</v>
      </c>
      <c r="N2" s="13" t="str">
        <f t="shared" si="0"/>
        <v>2017/18</v>
      </c>
      <c r="O2" s="13" t="str">
        <f t="shared" si="0"/>
        <v>2018/19</v>
      </c>
      <c r="P2" s="6"/>
      <c r="Q2" s="24" t="s">
        <v>443</v>
      </c>
      <c r="R2" s="1029" t="s">
        <v>158</v>
      </c>
      <c r="S2" s="1029" t="s">
        <v>159</v>
      </c>
      <c r="T2" s="4" t="s">
        <v>161</v>
      </c>
      <c r="U2" s="13" t="s">
        <v>165</v>
      </c>
      <c r="V2" s="4" t="s">
        <v>443</v>
      </c>
      <c r="W2" s="21" t="s">
        <v>1157</v>
      </c>
      <c r="X2" s="21" t="s">
        <v>1801</v>
      </c>
      <c r="Z2" s="1" t="s">
        <v>2061</v>
      </c>
      <c r="AA2" s="1" t="s">
        <v>2062</v>
      </c>
      <c r="AB2" s="1" t="s">
        <v>2057</v>
      </c>
      <c r="AC2" s="1" t="s">
        <v>2050</v>
      </c>
    </row>
    <row r="3" spans="1:29">
      <c r="A3" s="10" t="str">
        <f>'Template names'!C3</f>
        <v>Prior year -2</v>
      </c>
      <c r="B3" s="6" t="s">
        <v>1125</v>
      </c>
      <c r="C3" s="6" t="s">
        <v>1124</v>
      </c>
      <c r="D3" s="6" t="s">
        <v>1385</v>
      </c>
      <c r="E3" s="13" t="str">
        <f t="shared" ref="E3:O3" si="1">E1-3&amp;"/"&amp;RIGHT(E1,2)-2</f>
        <v>2007/8</v>
      </c>
      <c r="F3" s="13" t="str">
        <f t="shared" si="1"/>
        <v>2008/9</v>
      </c>
      <c r="G3" s="13" t="str">
        <f t="shared" si="1"/>
        <v>2009/10</v>
      </c>
      <c r="H3" s="13" t="str">
        <f t="shared" si="1"/>
        <v>2010/11</v>
      </c>
      <c r="I3" s="13" t="str">
        <f t="shared" si="1"/>
        <v>2011/12</v>
      </c>
      <c r="J3" s="13" t="str">
        <f t="shared" si="1"/>
        <v>2012/13</v>
      </c>
      <c r="K3" s="13" t="str">
        <f t="shared" si="1"/>
        <v>2013/14</v>
      </c>
      <c r="L3" s="13" t="str">
        <f t="shared" si="1"/>
        <v>2014/15</v>
      </c>
      <c r="M3" s="13" t="str">
        <f t="shared" si="1"/>
        <v>2015/16</v>
      </c>
      <c r="N3" s="13" t="str">
        <f t="shared" si="1"/>
        <v>2016/17</v>
      </c>
      <c r="O3" s="13" t="str">
        <f t="shared" si="1"/>
        <v>2017/18</v>
      </c>
      <c r="P3" s="6"/>
      <c r="Q3" s="24" t="s">
        <v>879</v>
      </c>
      <c r="R3" s="4">
        <v>1</v>
      </c>
      <c r="S3" s="4">
        <v>4</v>
      </c>
      <c r="T3" s="4" t="s">
        <v>162</v>
      </c>
      <c r="U3" s="13" t="s">
        <v>163</v>
      </c>
      <c r="V3" s="22" t="s">
        <v>879</v>
      </c>
      <c r="W3" s="22" t="s">
        <v>1798</v>
      </c>
      <c r="X3" s="22" t="s">
        <v>1802</v>
      </c>
      <c r="Z3" s="1" t="s">
        <v>2060</v>
      </c>
      <c r="AA3" s="1" t="s">
        <v>2063</v>
      </c>
      <c r="AB3" s="1" t="s">
        <v>2056</v>
      </c>
      <c r="AC3" s="1" t="s">
        <v>2051</v>
      </c>
    </row>
    <row r="4" spans="1:29">
      <c r="A4" s="10" t="str">
        <f>'Template names'!C4</f>
        <v>Prior year -3</v>
      </c>
      <c r="B4" s="6" t="s">
        <v>1126</v>
      </c>
      <c r="C4" s="6" t="s">
        <v>1125</v>
      </c>
      <c r="D4" s="6" t="s">
        <v>1124</v>
      </c>
      <c r="E4" s="13" t="str">
        <f t="shared" ref="E4:O4" si="2">E1-4&amp;"/"&amp;RIGHT(E1,2)-3</f>
        <v>2006/7</v>
      </c>
      <c r="F4" s="13" t="str">
        <f t="shared" si="2"/>
        <v>2007/8</v>
      </c>
      <c r="G4" s="13" t="str">
        <f t="shared" si="2"/>
        <v>2008/9</v>
      </c>
      <c r="H4" s="13" t="str">
        <f t="shared" si="2"/>
        <v>2009/10</v>
      </c>
      <c r="I4" s="13" t="str">
        <f t="shared" si="2"/>
        <v>2010/11</v>
      </c>
      <c r="J4" s="13" t="str">
        <f t="shared" si="2"/>
        <v>2011/12</v>
      </c>
      <c r="K4" s="13" t="str">
        <f t="shared" si="2"/>
        <v>2012/13</v>
      </c>
      <c r="L4" s="13" t="str">
        <f t="shared" si="2"/>
        <v>2013/14</v>
      </c>
      <c r="M4" s="13" t="str">
        <f t="shared" si="2"/>
        <v>2014/15</v>
      </c>
      <c r="N4" s="13" t="str">
        <f t="shared" si="2"/>
        <v>2015/16</v>
      </c>
      <c r="O4" s="13" t="str">
        <f t="shared" si="2"/>
        <v>2016/17</v>
      </c>
      <c r="P4" s="6"/>
      <c r="Q4" s="25"/>
      <c r="R4" s="4">
        <v>2</v>
      </c>
      <c r="S4" s="4">
        <v>5</v>
      </c>
      <c r="T4" s="22" t="s">
        <v>297</v>
      </c>
      <c r="U4" s="14" t="s">
        <v>297</v>
      </c>
      <c r="V4" s="23"/>
      <c r="Z4" s="1" t="s">
        <v>2059</v>
      </c>
      <c r="AA4" s="1" t="s">
        <v>1828</v>
      </c>
      <c r="AB4" s="1" t="s">
        <v>2045</v>
      </c>
      <c r="AC4" s="1" t="s">
        <v>1912</v>
      </c>
    </row>
    <row r="5" spans="1:29">
      <c r="A5" s="10" t="str">
        <f>'Template names'!C5</f>
        <v>Year in which budget is being prepared</v>
      </c>
      <c r="B5" s="6" t="s">
        <v>421</v>
      </c>
      <c r="C5" s="6" t="s">
        <v>1176</v>
      </c>
      <c r="D5" s="6" t="s">
        <v>1184</v>
      </c>
      <c r="E5" s="13" t="str">
        <f t="shared" ref="E5:O5" si="3">"Current Year "&amp; E1-1&amp;"/"&amp;RIGHT(E1,2)</f>
        <v>Current Year 2009/10</v>
      </c>
      <c r="F5" s="13" t="str">
        <f t="shared" si="3"/>
        <v>Current Year 2010/11</v>
      </c>
      <c r="G5" s="13" t="str">
        <f t="shared" si="3"/>
        <v>Current Year 2011/12</v>
      </c>
      <c r="H5" s="13" t="str">
        <f t="shared" si="3"/>
        <v>Current Year 2012/13</v>
      </c>
      <c r="I5" s="13" t="str">
        <f t="shared" si="3"/>
        <v>Current Year 2013/14</v>
      </c>
      <c r="J5" s="13" t="str">
        <f t="shared" si="3"/>
        <v>Current Year 2014/15</v>
      </c>
      <c r="K5" s="13" t="str">
        <f t="shared" si="3"/>
        <v>Current Year 2015/16</v>
      </c>
      <c r="L5" s="13" t="str">
        <f t="shared" si="3"/>
        <v>Current Year 2016/17</v>
      </c>
      <c r="M5" s="13" t="str">
        <f t="shared" si="3"/>
        <v>Current Year 2017/18</v>
      </c>
      <c r="N5" s="13" t="str">
        <f t="shared" si="3"/>
        <v>Current Year 2018/19</v>
      </c>
      <c r="O5" s="13" t="str">
        <f t="shared" si="3"/>
        <v>Current Year 2019/20</v>
      </c>
      <c r="P5" s="6"/>
      <c r="R5" s="4">
        <v>3</v>
      </c>
      <c r="S5" s="4">
        <v>6</v>
      </c>
      <c r="Z5" s="1" t="s">
        <v>2058</v>
      </c>
      <c r="AA5" s="1" t="s">
        <v>2055</v>
      </c>
      <c r="AB5" s="1" t="s">
        <v>2047</v>
      </c>
      <c r="AC5" s="1" t="s">
        <v>2052</v>
      </c>
    </row>
    <row r="6" spans="1:29">
      <c r="A6" s="10" t="str">
        <f>'Template names'!C6</f>
        <v>Year in which budget is being prepared</v>
      </c>
      <c r="B6" s="6" t="s">
        <v>1385</v>
      </c>
      <c r="C6" s="6" t="s">
        <v>1177</v>
      </c>
      <c r="D6" s="6" t="s">
        <v>1185</v>
      </c>
      <c r="E6" s="13" t="str">
        <f t="shared" ref="E6:O6" si="4">E1-1&amp;"/"&amp;RIGHT(E1,2)</f>
        <v>2009/10</v>
      </c>
      <c r="F6" s="13" t="str">
        <f t="shared" si="4"/>
        <v>2010/11</v>
      </c>
      <c r="G6" s="13" t="str">
        <f t="shared" si="4"/>
        <v>2011/12</v>
      </c>
      <c r="H6" s="13" t="str">
        <f t="shared" si="4"/>
        <v>2012/13</v>
      </c>
      <c r="I6" s="13" t="str">
        <f t="shared" si="4"/>
        <v>2013/14</v>
      </c>
      <c r="J6" s="13" t="str">
        <f t="shared" si="4"/>
        <v>2014/15</v>
      </c>
      <c r="K6" s="13" t="str">
        <f t="shared" si="4"/>
        <v>2015/16</v>
      </c>
      <c r="L6" s="13" t="str">
        <f t="shared" si="4"/>
        <v>2016/17</v>
      </c>
      <c r="M6" s="13" t="str">
        <f t="shared" si="4"/>
        <v>2017/18</v>
      </c>
      <c r="N6" s="13" t="str">
        <f t="shared" si="4"/>
        <v>2018/19</v>
      </c>
      <c r="O6" s="13" t="str">
        <f t="shared" si="4"/>
        <v>2019/20</v>
      </c>
      <c r="P6" s="6"/>
      <c r="R6" s="4">
        <v>4</v>
      </c>
      <c r="S6" s="1028" t="s">
        <v>1156</v>
      </c>
      <c r="Z6" s="2" t="s">
        <v>2038</v>
      </c>
      <c r="AB6" s="1" t="s">
        <v>2046</v>
      </c>
      <c r="AC6" s="1" t="s">
        <v>2053</v>
      </c>
    </row>
    <row r="7" spans="1:29">
      <c r="A7" s="10" t="str">
        <f>'Template names'!C7</f>
        <v>MTREF name</v>
      </c>
      <c r="B7" s="6" t="s">
        <v>850</v>
      </c>
      <c r="C7" s="6" t="s">
        <v>851</v>
      </c>
      <c r="D7" s="6" t="s">
        <v>852</v>
      </c>
      <c r="E7" s="13" t="str">
        <f t="shared" ref="E7:O7" si="5">E1&amp;"/"&amp;RIGHT(E1,2)+1&amp;" Medium Term Revenue &amp; Expenditure Framework"</f>
        <v>2010/11 Medium Term Revenue &amp; Expenditure Framework</v>
      </c>
      <c r="F7" s="13" t="str">
        <f t="shared" si="5"/>
        <v>2011/12 Medium Term Revenue &amp; Expenditure Framework</v>
      </c>
      <c r="G7" s="13" t="str">
        <f t="shared" si="5"/>
        <v>2012/13 Medium Term Revenue &amp; Expenditure Framework</v>
      </c>
      <c r="H7" s="13" t="str">
        <f t="shared" si="5"/>
        <v>2013/14 Medium Term Revenue &amp; Expenditure Framework</v>
      </c>
      <c r="I7" s="13" t="str">
        <f t="shared" si="5"/>
        <v>2014/15 Medium Term Revenue &amp; Expenditure Framework</v>
      </c>
      <c r="J7" s="13" t="str">
        <f t="shared" si="5"/>
        <v>2015/16 Medium Term Revenue &amp; Expenditure Framework</v>
      </c>
      <c r="K7" s="13" t="str">
        <f t="shared" si="5"/>
        <v>2016/17 Medium Term Revenue &amp; Expenditure Framework</v>
      </c>
      <c r="L7" s="13" t="str">
        <f t="shared" si="5"/>
        <v>2017/18 Medium Term Revenue &amp; Expenditure Framework</v>
      </c>
      <c r="M7" s="13" t="str">
        <f t="shared" si="5"/>
        <v>2018/19 Medium Term Revenue &amp; Expenditure Framework</v>
      </c>
      <c r="N7" s="13" t="str">
        <f t="shared" si="5"/>
        <v>2019/20 Medium Term Revenue &amp; Expenditure Framework</v>
      </c>
      <c r="O7" s="13" t="str">
        <f t="shared" si="5"/>
        <v>2020/21 Medium Term Revenue &amp; Expenditure Framework</v>
      </c>
      <c r="P7" s="6"/>
      <c r="R7" s="4">
        <v>5</v>
      </c>
      <c r="S7" s="22" t="s">
        <v>160</v>
      </c>
      <c r="Z7" s="2" t="s">
        <v>2039</v>
      </c>
      <c r="AB7" s="1" t="s">
        <v>2043</v>
      </c>
      <c r="AC7" s="1" t="s">
        <v>2054</v>
      </c>
    </row>
    <row r="8" spans="1:29">
      <c r="A8" s="10" t="str">
        <f>'Template names'!C15</f>
        <v>1st year of MTREF</v>
      </c>
      <c r="B8" s="6" t="s">
        <v>1737</v>
      </c>
      <c r="C8" s="6" t="s">
        <v>1178</v>
      </c>
      <c r="D8" s="6" t="s">
        <v>1186</v>
      </c>
      <c r="E8" s="13" t="str">
        <f t="shared" ref="E8:O8" si="6">"Budget Year "&amp;E1&amp;"/"&amp;RIGHT(E1,2)+1</f>
        <v>Budget Year 2010/11</v>
      </c>
      <c r="F8" s="13" t="str">
        <f t="shared" si="6"/>
        <v>Budget Year 2011/12</v>
      </c>
      <c r="G8" s="13" t="str">
        <f t="shared" si="6"/>
        <v>Budget Year 2012/13</v>
      </c>
      <c r="H8" s="13" t="str">
        <f t="shared" si="6"/>
        <v>Budget Year 2013/14</v>
      </c>
      <c r="I8" s="13" t="str">
        <f t="shared" si="6"/>
        <v>Budget Year 2014/15</v>
      </c>
      <c r="J8" s="13" t="str">
        <f t="shared" si="6"/>
        <v>Budget Year 2015/16</v>
      </c>
      <c r="K8" s="13" t="str">
        <f t="shared" si="6"/>
        <v>Budget Year 2016/17</v>
      </c>
      <c r="L8" s="13" t="str">
        <f t="shared" si="6"/>
        <v>Budget Year 2017/18</v>
      </c>
      <c r="M8" s="13" t="str">
        <f t="shared" si="6"/>
        <v>Budget Year 2018/19</v>
      </c>
      <c r="N8" s="13" t="str">
        <f t="shared" si="6"/>
        <v>Budget Year 2019/20</v>
      </c>
      <c r="O8" s="13" t="str">
        <f t="shared" si="6"/>
        <v>Budget Year 2020/21</v>
      </c>
      <c r="P8" s="6"/>
      <c r="R8" s="22" t="s">
        <v>1155</v>
      </c>
      <c r="Z8" s="2" t="s">
        <v>2040</v>
      </c>
      <c r="AB8" s="1" t="s">
        <v>2044</v>
      </c>
      <c r="AC8" s="1" t="s">
        <v>2055</v>
      </c>
    </row>
    <row r="9" spans="1:29">
      <c r="A9" s="10" t="str">
        <f>'Template names'!C16</f>
        <v>2nd year of MTREF</v>
      </c>
      <c r="B9" s="6" t="s">
        <v>1738</v>
      </c>
      <c r="C9" s="6" t="s">
        <v>1179</v>
      </c>
      <c r="D9" s="6" t="s">
        <v>1474</v>
      </c>
      <c r="E9" s="13" t="str">
        <f t="shared" ref="E9:O9" si="7">"Budget Year +1 "&amp;E1+1&amp;"/"&amp;RIGHT(E1,2)+2</f>
        <v>Budget Year +1 2011/12</v>
      </c>
      <c r="F9" s="13" t="str">
        <f t="shared" si="7"/>
        <v>Budget Year +1 2012/13</v>
      </c>
      <c r="G9" s="13" t="str">
        <f t="shared" si="7"/>
        <v>Budget Year +1 2013/14</v>
      </c>
      <c r="H9" s="13" t="str">
        <f t="shared" si="7"/>
        <v>Budget Year +1 2014/15</v>
      </c>
      <c r="I9" s="13" t="str">
        <f t="shared" si="7"/>
        <v>Budget Year +1 2015/16</v>
      </c>
      <c r="J9" s="13" t="str">
        <f t="shared" si="7"/>
        <v>Budget Year +1 2016/17</v>
      </c>
      <c r="K9" s="13" t="str">
        <f t="shared" si="7"/>
        <v>Budget Year +1 2017/18</v>
      </c>
      <c r="L9" s="13" t="str">
        <f t="shared" si="7"/>
        <v>Budget Year +1 2018/19</v>
      </c>
      <c r="M9" s="13" t="str">
        <f t="shared" si="7"/>
        <v>Budget Year +1 2019/20</v>
      </c>
      <c r="N9" s="13" t="str">
        <f t="shared" si="7"/>
        <v>Budget Year +1 2020/21</v>
      </c>
      <c r="O9" s="13" t="str">
        <f t="shared" si="7"/>
        <v>Budget Year +1 2021/22</v>
      </c>
      <c r="P9" s="6"/>
      <c r="Z9" s="1" t="s">
        <v>2041</v>
      </c>
    </row>
    <row r="10" spans="1:29">
      <c r="A10" s="10" t="str">
        <f>'Template names'!C17</f>
        <v>3rd year of MTREF</v>
      </c>
      <c r="B10" s="6" t="s">
        <v>1739</v>
      </c>
      <c r="C10" s="6" t="s">
        <v>1180</v>
      </c>
      <c r="D10" s="6" t="s">
        <v>1475</v>
      </c>
      <c r="E10" s="13" t="str">
        <f t="shared" ref="E10:O10" si="8">"Budget Year +2 "&amp;E1+2&amp;"/"&amp;RIGHT(E1,2)+3</f>
        <v>Budget Year +2 2012/13</v>
      </c>
      <c r="F10" s="13" t="str">
        <f t="shared" si="8"/>
        <v>Budget Year +2 2013/14</v>
      </c>
      <c r="G10" s="13" t="str">
        <f t="shared" si="8"/>
        <v>Budget Year +2 2014/15</v>
      </c>
      <c r="H10" s="13" t="str">
        <f t="shared" si="8"/>
        <v>Budget Year +2 2015/16</v>
      </c>
      <c r="I10" s="13" t="str">
        <f t="shared" si="8"/>
        <v>Budget Year +2 2016/17</v>
      </c>
      <c r="J10" s="13" t="str">
        <f t="shared" si="8"/>
        <v>Budget Year +2 2017/18</v>
      </c>
      <c r="K10" s="13" t="str">
        <f t="shared" si="8"/>
        <v>Budget Year +2 2018/19</v>
      </c>
      <c r="L10" s="13" t="str">
        <f t="shared" si="8"/>
        <v>Budget Year +2 2019/20</v>
      </c>
      <c r="M10" s="13" t="str">
        <f t="shared" si="8"/>
        <v>Budget Year +2 2020/21</v>
      </c>
      <c r="N10" s="13" t="str">
        <f t="shared" si="8"/>
        <v>Budget Year +2 2021/22</v>
      </c>
      <c r="O10" s="13" t="str">
        <f t="shared" si="8"/>
        <v>Budget Year +2 2022/23</v>
      </c>
      <c r="P10" s="6"/>
      <c r="Z10" s="1" t="s">
        <v>2042</v>
      </c>
    </row>
    <row r="11" spans="1:29">
      <c r="A11" s="10" t="str">
        <f>'Template names'!C18</f>
        <v>1st yr of long term forecast</v>
      </c>
      <c r="B11" s="6" t="s">
        <v>1824</v>
      </c>
      <c r="C11" s="6" t="s">
        <v>1825</v>
      </c>
      <c r="D11" s="6" t="s">
        <v>1826</v>
      </c>
      <c r="E11" s="13" t="str">
        <f t="shared" ref="E11:O11" si="9">"Forecast "&amp;E1+3&amp;"/"&amp;RIGHT(E1,2)+4</f>
        <v>Forecast 2013/14</v>
      </c>
      <c r="F11" s="13" t="str">
        <f t="shared" si="9"/>
        <v>Forecast 2014/15</v>
      </c>
      <c r="G11" s="13" t="str">
        <f t="shared" si="9"/>
        <v>Forecast 2015/16</v>
      </c>
      <c r="H11" s="13" t="str">
        <f t="shared" si="9"/>
        <v>Forecast 2016/17</v>
      </c>
      <c r="I11" s="13" t="str">
        <f t="shared" si="9"/>
        <v>Forecast 2017/18</v>
      </c>
      <c r="J11" s="13" t="str">
        <f t="shared" si="9"/>
        <v>Forecast 2018/19</v>
      </c>
      <c r="K11" s="13" t="str">
        <f t="shared" si="9"/>
        <v>Forecast 2019/20</v>
      </c>
      <c r="L11" s="13" t="str">
        <f t="shared" si="9"/>
        <v>Forecast 2020/21</v>
      </c>
      <c r="M11" s="13" t="str">
        <f t="shared" si="9"/>
        <v>Forecast 2021/22</v>
      </c>
      <c r="N11" s="13" t="str">
        <f t="shared" si="9"/>
        <v>Forecast 2022/23</v>
      </c>
      <c r="O11" s="13" t="str">
        <f t="shared" si="9"/>
        <v>Forecast 2023/24</v>
      </c>
      <c r="P11" s="6"/>
      <c r="Z11" s="1" t="s">
        <v>2048</v>
      </c>
    </row>
    <row r="12" spans="1:29">
      <c r="A12" s="10" t="str">
        <f>'Template names'!C19</f>
        <v>Next yr of long term forecast</v>
      </c>
      <c r="B12" s="6" t="s">
        <v>1825</v>
      </c>
      <c r="C12" s="6" t="s">
        <v>1826</v>
      </c>
      <c r="D12" s="6" t="s">
        <v>1827</v>
      </c>
      <c r="E12" s="13" t="str">
        <f t="shared" ref="E12:O12" si="10">"Forecast "&amp;E1+4&amp;"/"&amp;RIGHT(E1,2)+5</f>
        <v>Forecast 2014/15</v>
      </c>
      <c r="F12" s="13" t="str">
        <f t="shared" si="10"/>
        <v>Forecast 2015/16</v>
      </c>
      <c r="G12" s="13" t="str">
        <f t="shared" si="10"/>
        <v>Forecast 2016/17</v>
      </c>
      <c r="H12" s="13" t="str">
        <f t="shared" si="10"/>
        <v>Forecast 2017/18</v>
      </c>
      <c r="I12" s="13" t="str">
        <f t="shared" si="10"/>
        <v>Forecast 2018/19</v>
      </c>
      <c r="J12" s="13" t="str">
        <f t="shared" si="10"/>
        <v>Forecast 2019/20</v>
      </c>
      <c r="K12" s="13" t="str">
        <f t="shared" si="10"/>
        <v>Forecast 2020/21</v>
      </c>
      <c r="L12" s="13" t="str">
        <f t="shared" si="10"/>
        <v>Forecast 2021/22</v>
      </c>
      <c r="M12" s="13" t="str">
        <f t="shared" si="10"/>
        <v>Forecast 2022/23</v>
      </c>
      <c r="N12" s="13" t="str">
        <f t="shared" si="10"/>
        <v>Forecast 2023/24</v>
      </c>
      <c r="O12" s="13" t="str">
        <f t="shared" si="10"/>
        <v>Forecast 2024/25</v>
      </c>
      <c r="P12" s="6"/>
      <c r="Z12" s="1" t="s">
        <v>2049</v>
      </c>
    </row>
    <row r="13" spans="1:29">
      <c r="A13" s="10" t="str">
        <f>'Template names'!C20</f>
        <v>Next yr of long term forecast</v>
      </c>
      <c r="B13" s="6" t="s">
        <v>1826</v>
      </c>
      <c r="C13" s="6" t="s">
        <v>1827</v>
      </c>
      <c r="D13" s="6" t="s">
        <v>978</v>
      </c>
      <c r="E13" s="13" t="str">
        <f t="shared" ref="E13:O13" si="11">"Forecast "&amp;E1+5&amp;"/"&amp;RIGHT(E1,2)+6</f>
        <v>Forecast 2015/16</v>
      </c>
      <c r="F13" s="13" t="str">
        <f t="shared" si="11"/>
        <v>Forecast 2016/17</v>
      </c>
      <c r="G13" s="13" t="str">
        <f t="shared" si="11"/>
        <v>Forecast 2017/18</v>
      </c>
      <c r="H13" s="13" t="str">
        <f t="shared" si="11"/>
        <v>Forecast 2018/19</v>
      </c>
      <c r="I13" s="13" t="str">
        <f t="shared" si="11"/>
        <v>Forecast 2019/20</v>
      </c>
      <c r="J13" s="13" t="str">
        <f t="shared" si="11"/>
        <v>Forecast 2020/21</v>
      </c>
      <c r="K13" s="13" t="str">
        <f t="shared" si="11"/>
        <v>Forecast 2021/22</v>
      </c>
      <c r="L13" s="13" t="str">
        <f t="shared" si="11"/>
        <v>Forecast 2022/23</v>
      </c>
      <c r="M13" s="13" t="str">
        <f t="shared" si="11"/>
        <v>Forecast 2023/24</v>
      </c>
      <c r="N13" s="13" t="str">
        <f t="shared" si="11"/>
        <v>Forecast 2024/25</v>
      </c>
      <c r="O13" s="13" t="str">
        <f t="shared" si="11"/>
        <v>Forecast 2025/26</v>
      </c>
      <c r="P13" s="6"/>
    </row>
    <row r="14" spans="1:29">
      <c r="A14" s="10" t="str">
        <f>'Template names'!C21</f>
        <v>Next yr of long term forecast</v>
      </c>
      <c r="B14" s="6" t="s">
        <v>1827</v>
      </c>
      <c r="C14" s="6" t="s">
        <v>978</v>
      </c>
      <c r="D14" s="6" t="s">
        <v>979</v>
      </c>
      <c r="E14" s="13" t="str">
        <f t="shared" ref="E14:O14" si="12">"Forecast "&amp;E1+6&amp;"/"&amp;RIGHT(E1,2)+7</f>
        <v>Forecast 2016/17</v>
      </c>
      <c r="F14" s="13" t="str">
        <f t="shared" si="12"/>
        <v>Forecast 2017/18</v>
      </c>
      <c r="G14" s="13" t="str">
        <f t="shared" si="12"/>
        <v>Forecast 2018/19</v>
      </c>
      <c r="H14" s="13" t="str">
        <f t="shared" si="12"/>
        <v>Forecast 2019/20</v>
      </c>
      <c r="I14" s="13" t="str">
        <f t="shared" si="12"/>
        <v>Forecast 2020/21</v>
      </c>
      <c r="J14" s="13" t="str">
        <f t="shared" si="12"/>
        <v>Forecast 2021/22</v>
      </c>
      <c r="K14" s="13" t="str">
        <f t="shared" si="12"/>
        <v>Forecast 2022/23</v>
      </c>
      <c r="L14" s="13" t="str">
        <f t="shared" si="12"/>
        <v>Forecast 2023/24</v>
      </c>
      <c r="M14" s="13" t="str">
        <f t="shared" si="12"/>
        <v>Forecast 2024/25</v>
      </c>
      <c r="N14" s="13" t="str">
        <f t="shared" si="12"/>
        <v>Forecast 2025/26</v>
      </c>
      <c r="O14" s="13" t="str">
        <f t="shared" si="12"/>
        <v>Forecast 2026/27</v>
      </c>
      <c r="P14" s="6"/>
    </row>
    <row r="15" spans="1:29">
      <c r="A15" s="10" t="str">
        <f>'Template names'!C22</f>
        <v>Next yr of long term forecast</v>
      </c>
      <c r="B15" s="6" t="s">
        <v>978</v>
      </c>
      <c r="C15" s="6" t="s">
        <v>979</v>
      </c>
      <c r="D15" s="6" t="s">
        <v>980</v>
      </c>
      <c r="E15" s="13" t="str">
        <f t="shared" ref="E15:O15" si="13">"Forecast "&amp;E1+7&amp;"/"&amp;RIGHT(E1,2)+8</f>
        <v>Forecast 2017/18</v>
      </c>
      <c r="F15" s="13" t="str">
        <f t="shared" si="13"/>
        <v>Forecast 2018/19</v>
      </c>
      <c r="G15" s="13" t="str">
        <f t="shared" si="13"/>
        <v>Forecast 2019/20</v>
      </c>
      <c r="H15" s="13" t="str">
        <f t="shared" si="13"/>
        <v>Forecast 2020/21</v>
      </c>
      <c r="I15" s="13" t="str">
        <f t="shared" si="13"/>
        <v>Forecast 2021/22</v>
      </c>
      <c r="J15" s="13" t="str">
        <f t="shared" si="13"/>
        <v>Forecast 2022/23</v>
      </c>
      <c r="K15" s="13" t="str">
        <f t="shared" si="13"/>
        <v>Forecast 2023/24</v>
      </c>
      <c r="L15" s="13" t="str">
        <f t="shared" si="13"/>
        <v>Forecast 2024/25</v>
      </c>
      <c r="M15" s="13" t="str">
        <f t="shared" si="13"/>
        <v>Forecast 2025/26</v>
      </c>
      <c r="N15" s="13" t="str">
        <f t="shared" si="13"/>
        <v>Forecast 2026/27</v>
      </c>
      <c r="O15" s="13" t="str">
        <f t="shared" si="13"/>
        <v>Forecast 2027/28</v>
      </c>
      <c r="P15" s="6"/>
    </row>
    <row r="16" spans="1:29">
      <c r="A16" s="10" t="str">
        <f>'Template names'!C23</f>
        <v>Next yr of long term forecast</v>
      </c>
      <c r="B16" s="6" t="s">
        <v>979</v>
      </c>
      <c r="C16" s="6" t="s">
        <v>980</v>
      </c>
      <c r="D16" s="6" t="s">
        <v>981</v>
      </c>
      <c r="E16" s="13" t="str">
        <f t="shared" ref="E16:O16" si="14">"Forecast "&amp;E1+8&amp;"/"&amp;RIGHT(E1,2)+9</f>
        <v>Forecast 2018/19</v>
      </c>
      <c r="F16" s="13" t="str">
        <f t="shared" si="14"/>
        <v>Forecast 2019/20</v>
      </c>
      <c r="G16" s="13" t="str">
        <f t="shared" si="14"/>
        <v>Forecast 2020/21</v>
      </c>
      <c r="H16" s="13" t="str">
        <f t="shared" si="14"/>
        <v>Forecast 2021/22</v>
      </c>
      <c r="I16" s="13" t="str">
        <f t="shared" si="14"/>
        <v>Forecast 2022/23</v>
      </c>
      <c r="J16" s="13" t="str">
        <f t="shared" si="14"/>
        <v>Forecast 2023/24</v>
      </c>
      <c r="K16" s="13" t="str">
        <f t="shared" si="14"/>
        <v>Forecast 2024/25</v>
      </c>
      <c r="L16" s="13" t="str">
        <f t="shared" si="14"/>
        <v>Forecast 2025/26</v>
      </c>
      <c r="M16" s="13" t="str">
        <f t="shared" si="14"/>
        <v>Forecast 2026/27</v>
      </c>
      <c r="N16" s="13" t="str">
        <f t="shared" si="14"/>
        <v>Forecast 2027/28</v>
      </c>
      <c r="O16" s="13" t="str">
        <f t="shared" si="14"/>
        <v>Forecast 2028/29</v>
      </c>
      <c r="P16" s="6"/>
    </row>
    <row r="17" spans="1:16">
      <c r="A17" s="10" t="str">
        <f>'Template names'!C24</f>
        <v>Next yr of long term forecast</v>
      </c>
      <c r="B17" s="6" t="s">
        <v>980</v>
      </c>
      <c r="C17" s="6" t="s">
        <v>981</v>
      </c>
      <c r="D17" s="6" t="s">
        <v>1657</v>
      </c>
      <c r="E17" s="13" t="str">
        <f t="shared" ref="E17:O17" si="15">"Forecast "&amp;E1+9&amp;"/"&amp;RIGHT(E1,2)+10</f>
        <v>Forecast 2019/20</v>
      </c>
      <c r="F17" s="13" t="str">
        <f t="shared" si="15"/>
        <v>Forecast 2020/21</v>
      </c>
      <c r="G17" s="13" t="str">
        <f t="shared" si="15"/>
        <v>Forecast 2021/22</v>
      </c>
      <c r="H17" s="13" t="str">
        <f t="shared" si="15"/>
        <v>Forecast 2022/23</v>
      </c>
      <c r="I17" s="13" t="str">
        <f t="shared" si="15"/>
        <v>Forecast 2023/24</v>
      </c>
      <c r="J17" s="13" t="str">
        <f t="shared" si="15"/>
        <v>Forecast 2024/25</v>
      </c>
      <c r="K17" s="13" t="str">
        <f t="shared" si="15"/>
        <v>Forecast 2025/26</v>
      </c>
      <c r="L17" s="13" t="str">
        <f t="shared" si="15"/>
        <v>Forecast 2026/27</v>
      </c>
      <c r="M17" s="13" t="str">
        <f t="shared" si="15"/>
        <v>Forecast 2027/28</v>
      </c>
      <c r="N17" s="13" t="str">
        <f t="shared" si="15"/>
        <v>Forecast 2028/29</v>
      </c>
      <c r="O17" s="13" t="str">
        <f t="shared" si="15"/>
        <v>Forecast 2029/30</v>
      </c>
      <c r="P17" s="6"/>
    </row>
    <row r="18" spans="1:16">
      <c r="A18" s="10" t="str">
        <f>'Template names'!C25</f>
        <v>Next yr of long term forecast</v>
      </c>
      <c r="B18" s="6" t="s">
        <v>981</v>
      </c>
      <c r="C18" s="6" t="s">
        <v>1657</v>
      </c>
      <c r="D18" s="6" t="s">
        <v>1656</v>
      </c>
      <c r="E18" s="13" t="str">
        <f t="shared" ref="E18:O18" si="16">"Forecast "&amp;E1+10&amp;"/"&amp;RIGHT(E1,2)+11</f>
        <v>Forecast 2020/21</v>
      </c>
      <c r="F18" s="13" t="str">
        <f t="shared" si="16"/>
        <v>Forecast 2021/22</v>
      </c>
      <c r="G18" s="13" t="str">
        <f t="shared" si="16"/>
        <v>Forecast 2022/23</v>
      </c>
      <c r="H18" s="13" t="str">
        <f t="shared" si="16"/>
        <v>Forecast 2023/24</v>
      </c>
      <c r="I18" s="13" t="str">
        <f t="shared" si="16"/>
        <v>Forecast 2024/25</v>
      </c>
      <c r="J18" s="13" t="str">
        <f t="shared" si="16"/>
        <v>Forecast 2025/26</v>
      </c>
      <c r="K18" s="13" t="str">
        <f t="shared" si="16"/>
        <v>Forecast 2026/27</v>
      </c>
      <c r="L18" s="13" t="str">
        <f t="shared" si="16"/>
        <v>Forecast 2027/28</v>
      </c>
      <c r="M18" s="13" t="str">
        <f t="shared" si="16"/>
        <v>Forecast 2028/29</v>
      </c>
      <c r="N18" s="13" t="str">
        <f t="shared" si="16"/>
        <v>Forecast 2029/30</v>
      </c>
      <c r="O18" s="13" t="str">
        <f t="shared" si="16"/>
        <v>Forecast 2030/31</v>
      </c>
      <c r="P18" s="6"/>
    </row>
    <row r="19" spans="1:16">
      <c r="A19" s="10" t="str">
        <f>'Template names'!C26</f>
        <v>Next yr of long term forecast</v>
      </c>
      <c r="B19" s="6" t="s">
        <v>1657</v>
      </c>
      <c r="C19" s="6" t="s">
        <v>1656</v>
      </c>
      <c r="D19" s="6" t="s">
        <v>982</v>
      </c>
      <c r="E19" s="13" t="str">
        <f t="shared" ref="E19:O19" si="17">"Forecast "&amp;E1+11&amp;"/"&amp;RIGHT(E1,2)+12</f>
        <v>Forecast 2021/22</v>
      </c>
      <c r="F19" s="13" t="str">
        <f t="shared" si="17"/>
        <v>Forecast 2022/23</v>
      </c>
      <c r="G19" s="13" t="str">
        <f t="shared" si="17"/>
        <v>Forecast 2023/24</v>
      </c>
      <c r="H19" s="13" t="str">
        <f t="shared" si="17"/>
        <v>Forecast 2024/25</v>
      </c>
      <c r="I19" s="13" t="str">
        <f t="shared" si="17"/>
        <v>Forecast 2025/26</v>
      </c>
      <c r="J19" s="13" t="str">
        <f t="shared" si="17"/>
        <v>Forecast 2026/27</v>
      </c>
      <c r="K19" s="13" t="str">
        <f t="shared" si="17"/>
        <v>Forecast 2027/28</v>
      </c>
      <c r="L19" s="13" t="str">
        <f t="shared" si="17"/>
        <v>Forecast 2028/29</v>
      </c>
      <c r="M19" s="13" t="str">
        <f t="shared" si="17"/>
        <v>Forecast 2029/30</v>
      </c>
      <c r="N19" s="13" t="str">
        <f t="shared" si="17"/>
        <v>Forecast 2030/31</v>
      </c>
      <c r="O19" s="13" t="str">
        <f t="shared" si="17"/>
        <v>Forecast 2031/32</v>
      </c>
      <c r="P19" s="6"/>
    </row>
    <row r="20" spans="1:16">
      <c r="A20" s="10" t="str">
        <f>'Template names'!C27</f>
        <v>Next yr of long term forecast</v>
      </c>
      <c r="B20" s="6" t="s">
        <v>1656</v>
      </c>
      <c r="C20" s="6" t="s">
        <v>982</v>
      </c>
      <c r="D20" s="6" t="s">
        <v>1736</v>
      </c>
      <c r="E20" s="13" t="str">
        <f t="shared" ref="E20:O20" si="18">"Forecast "&amp;E1+12&amp;"/"&amp;RIGHT(E1,2)+13</f>
        <v>Forecast 2022/23</v>
      </c>
      <c r="F20" s="13" t="str">
        <f t="shared" si="18"/>
        <v>Forecast 2023/24</v>
      </c>
      <c r="G20" s="13" t="str">
        <f t="shared" si="18"/>
        <v>Forecast 2024/25</v>
      </c>
      <c r="H20" s="13" t="str">
        <f t="shared" si="18"/>
        <v>Forecast 2025/26</v>
      </c>
      <c r="I20" s="13" t="str">
        <f t="shared" si="18"/>
        <v>Forecast 2026/27</v>
      </c>
      <c r="J20" s="13" t="str">
        <f t="shared" si="18"/>
        <v>Forecast 2027/28</v>
      </c>
      <c r="K20" s="13" t="str">
        <f t="shared" si="18"/>
        <v>Forecast 2028/29</v>
      </c>
      <c r="L20" s="13" t="str">
        <f t="shared" si="18"/>
        <v>Forecast 2029/30</v>
      </c>
      <c r="M20" s="13" t="str">
        <f t="shared" si="18"/>
        <v>Forecast 2030/31</v>
      </c>
      <c r="N20" s="13" t="str">
        <f t="shared" si="18"/>
        <v>Forecast 2031/32</v>
      </c>
      <c r="O20" s="13" t="str">
        <f t="shared" si="18"/>
        <v>Forecast 2032/33</v>
      </c>
      <c r="P20" s="6"/>
    </row>
    <row r="21" spans="1:16">
      <c r="A21" s="10" t="str">
        <f>'Template names'!C28</f>
        <v>Next yr of long term forecast</v>
      </c>
      <c r="B21" s="6" t="s">
        <v>982</v>
      </c>
      <c r="C21" s="6" t="s">
        <v>1736</v>
      </c>
      <c r="D21" s="6" t="s">
        <v>1181</v>
      </c>
      <c r="E21" s="13" t="str">
        <f t="shared" ref="E21:O21" si="19">"Forecast "&amp;E1+13&amp;"/"&amp;RIGHT(E1,2)+14</f>
        <v>Forecast 2023/24</v>
      </c>
      <c r="F21" s="13" t="str">
        <f t="shared" si="19"/>
        <v>Forecast 2024/25</v>
      </c>
      <c r="G21" s="13" t="str">
        <f t="shared" si="19"/>
        <v>Forecast 2025/26</v>
      </c>
      <c r="H21" s="13" t="str">
        <f t="shared" si="19"/>
        <v>Forecast 2026/27</v>
      </c>
      <c r="I21" s="13" t="str">
        <f t="shared" si="19"/>
        <v>Forecast 2027/28</v>
      </c>
      <c r="J21" s="13" t="str">
        <f t="shared" si="19"/>
        <v>Forecast 2028/29</v>
      </c>
      <c r="K21" s="13" t="str">
        <f t="shared" si="19"/>
        <v>Forecast 2029/30</v>
      </c>
      <c r="L21" s="13" t="str">
        <f t="shared" si="19"/>
        <v>Forecast 2030/31</v>
      </c>
      <c r="M21" s="13" t="str">
        <f t="shared" si="19"/>
        <v>Forecast 2031/32</v>
      </c>
      <c r="N21" s="13" t="str">
        <f t="shared" si="19"/>
        <v>Forecast 2032/33</v>
      </c>
      <c r="O21" s="13" t="str">
        <f t="shared" si="19"/>
        <v>Forecast 2033/34</v>
      </c>
      <c r="P21" s="6"/>
    </row>
    <row r="22" spans="1:16">
      <c r="A22" s="10" t="str">
        <f>'Template names'!C29</f>
        <v>Next yr of long term forecast</v>
      </c>
      <c r="B22" s="6" t="s">
        <v>1736</v>
      </c>
      <c r="C22" s="6" t="s">
        <v>1181</v>
      </c>
      <c r="D22" s="6" t="s">
        <v>1476</v>
      </c>
      <c r="E22" s="13" t="str">
        <f t="shared" ref="E22:O22" si="20">"Forecast "&amp;E1+14&amp;"/"&amp;RIGHT(E1,2)+15</f>
        <v>Forecast 2024/25</v>
      </c>
      <c r="F22" s="13" t="str">
        <f t="shared" si="20"/>
        <v>Forecast 2025/26</v>
      </c>
      <c r="G22" s="13" t="str">
        <f t="shared" si="20"/>
        <v>Forecast 2026/27</v>
      </c>
      <c r="H22" s="13" t="str">
        <f t="shared" si="20"/>
        <v>Forecast 2027/28</v>
      </c>
      <c r="I22" s="13" t="str">
        <f t="shared" si="20"/>
        <v>Forecast 2028/29</v>
      </c>
      <c r="J22" s="13" t="str">
        <f t="shared" si="20"/>
        <v>Forecast 2029/30</v>
      </c>
      <c r="K22" s="13" t="str">
        <f t="shared" si="20"/>
        <v>Forecast 2030/31</v>
      </c>
      <c r="L22" s="13" t="str">
        <f t="shared" si="20"/>
        <v>Forecast 2031/32</v>
      </c>
      <c r="M22" s="13" t="str">
        <f t="shared" si="20"/>
        <v>Forecast 2032/33</v>
      </c>
      <c r="N22" s="13" t="str">
        <f t="shared" si="20"/>
        <v>Forecast 2033/34</v>
      </c>
      <c r="O22" s="13" t="str">
        <f t="shared" si="20"/>
        <v>Forecast 2034/35</v>
      </c>
      <c r="P22" s="6"/>
    </row>
    <row r="23" spans="1:16">
      <c r="A23" s="10" t="s">
        <v>1479</v>
      </c>
      <c r="B23" s="6" t="s">
        <v>1850</v>
      </c>
      <c r="C23" s="6" t="s">
        <v>1182</v>
      </c>
      <c r="D23" s="6" t="s">
        <v>1477</v>
      </c>
      <c r="E23" s="13" t="str">
        <f t="shared" ref="E23:O23" si="21">"Annual target " &amp; E1&amp;"/"&amp;RIGHT(E1,2)+1</f>
        <v>Annual target 2010/11</v>
      </c>
      <c r="F23" s="13" t="str">
        <f t="shared" si="21"/>
        <v>Annual target 2011/12</v>
      </c>
      <c r="G23" s="13" t="str">
        <f t="shared" si="21"/>
        <v>Annual target 2012/13</v>
      </c>
      <c r="H23" s="13" t="str">
        <f t="shared" si="21"/>
        <v>Annual target 2013/14</v>
      </c>
      <c r="I23" s="13" t="str">
        <f t="shared" si="21"/>
        <v>Annual target 2014/15</v>
      </c>
      <c r="J23" s="13" t="str">
        <f t="shared" si="21"/>
        <v>Annual target 2015/16</v>
      </c>
      <c r="K23" s="13" t="str">
        <f t="shared" si="21"/>
        <v>Annual target 2016/17</v>
      </c>
      <c r="L23" s="13" t="str">
        <f t="shared" si="21"/>
        <v>Annual target 2017/18</v>
      </c>
      <c r="M23" s="13" t="str">
        <f t="shared" si="21"/>
        <v>Annual target 2018/19</v>
      </c>
      <c r="N23" s="13" t="str">
        <f t="shared" si="21"/>
        <v>Annual target 2019/20</v>
      </c>
      <c r="O23" s="13" t="str">
        <f t="shared" si="21"/>
        <v>Annual target 2020/21</v>
      </c>
      <c r="P23" s="6"/>
    </row>
    <row r="24" spans="1:16">
      <c r="A24" s="11" t="str">
        <f>A23</f>
        <v>Adjustments Budget</v>
      </c>
      <c r="B24" s="19" t="s">
        <v>1851</v>
      </c>
      <c r="C24" s="19" t="s">
        <v>1183</v>
      </c>
      <c r="D24" s="19" t="s">
        <v>1478</v>
      </c>
      <c r="E24" s="14" t="str">
        <f t="shared" ref="E24:O24" si="22">"Revised target "&amp; E1&amp;"/"&amp;RIGHT(E1,2)+1</f>
        <v>Revised target 2010/11</v>
      </c>
      <c r="F24" s="14" t="str">
        <f t="shared" si="22"/>
        <v>Revised target 2011/12</v>
      </c>
      <c r="G24" s="14" t="str">
        <f t="shared" si="22"/>
        <v>Revised target 2012/13</v>
      </c>
      <c r="H24" s="14" t="str">
        <f t="shared" si="22"/>
        <v>Revised target 2013/14</v>
      </c>
      <c r="I24" s="14" t="str">
        <f t="shared" si="22"/>
        <v>Revised target 2014/15</v>
      </c>
      <c r="J24" s="14" t="str">
        <f t="shared" si="22"/>
        <v>Revised target 2015/16</v>
      </c>
      <c r="K24" s="14" t="str">
        <f t="shared" si="22"/>
        <v>Revised target 2016/17</v>
      </c>
      <c r="L24" s="14" t="str">
        <f t="shared" si="22"/>
        <v>Revised target 2017/18</v>
      </c>
      <c r="M24" s="14" t="str">
        <f t="shared" si="22"/>
        <v>Revised target 2018/19</v>
      </c>
      <c r="N24" s="14" t="str">
        <f t="shared" si="22"/>
        <v>Revised target 2019/20</v>
      </c>
      <c r="O24" s="14" t="str">
        <f t="shared" si="22"/>
        <v>Revised target 2020/21</v>
      </c>
      <c r="P24" s="6"/>
    </row>
    <row r="25" spans="1:16" ht="18">
      <c r="A25" s="1017" t="s">
        <v>567</v>
      </c>
    </row>
    <row r="27" spans="1:16" ht="12.75">
      <c r="A27" s="1479" t="s">
        <v>93</v>
      </c>
      <c r="B27" s="1479">
        <v>219</v>
      </c>
      <c r="C27" s="1479"/>
      <c r="D27" s="1479"/>
    </row>
    <row r="28" spans="1:16" ht="12.75">
      <c r="A28" s="1479" t="s">
        <v>92</v>
      </c>
      <c r="B28" s="1479" t="str">
        <f>INDEX(B29:B312,B27,1)</f>
        <v>NC071 Ubuntu</v>
      </c>
      <c r="C28" s="1479"/>
      <c r="D28" s="1479"/>
    </row>
    <row r="29" spans="1:16" ht="12.75">
      <c r="A29" s="1479"/>
      <c r="B29" s="1479" t="s">
        <v>91</v>
      </c>
      <c r="C29" s="1479" t="s">
        <v>777</v>
      </c>
      <c r="D29" s="1479"/>
    </row>
    <row r="30" spans="1:16" ht="12.75">
      <c r="A30" s="1479"/>
      <c r="B30" s="1592" t="s">
        <v>1097</v>
      </c>
      <c r="C30" s="1382" t="s">
        <v>1098</v>
      </c>
      <c r="D30" s="1479"/>
    </row>
    <row r="31" spans="1:16" ht="12.75">
      <c r="A31" s="1479"/>
      <c r="B31" s="1592" t="s">
        <v>1099</v>
      </c>
      <c r="C31" s="1387" t="s">
        <v>115</v>
      </c>
      <c r="D31" s="1479"/>
    </row>
    <row r="32" spans="1:16" ht="12.75">
      <c r="A32" s="1479"/>
      <c r="B32" s="1592" t="s">
        <v>1876</v>
      </c>
      <c r="C32" s="1382" t="s">
        <v>115</v>
      </c>
      <c r="D32" s="1479"/>
    </row>
    <row r="33" spans="1:4" ht="12.75">
      <c r="A33" s="1479"/>
      <c r="B33" s="1592" t="s">
        <v>1862</v>
      </c>
      <c r="C33" s="1382" t="s">
        <v>115</v>
      </c>
      <c r="D33" s="1479"/>
    </row>
    <row r="34" spans="1:4" ht="12.75">
      <c r="A34" s="1479"/>
      <c r="B34" s="1592" t="s">
        <v>2018</v>
      </c>
      <c r="C34" s="1382" t="s">
        <v>115</v>
      </c>
      <c r="D34" s="1479"/>
    </row>
    <row r="35" spans="1:4" ht="12.75">
      <c r="A35" s="1479"/>
      <c r="B35" s="1592" t="s">
        <v>1864</v>
      </c>
      <c r="C35" s="1382" t="s">
        <v>115</v>
      </c>
      <c r="D35" s="1479"/>
    </row>
    <row r="36" spans="1:4" ht="12.75">
      <c r="A36" s="1479"/>
      <c r="B36" s="1592" t="s">
        <v>1865</v>
      </c>
      <c r="C36" s="1382" t="s">
        <v>1866</v>
      </c>
      <c r="D36" s="1479"/>
    </row>
    <row r="37" spans="1:4" ht="12.75">
      <c r="A37" s="1479"/>
      <c r="B37" s="1592" t="s">
        <v>1868</v>
      </c>
      <c r="C37" s="1387" t="s">
        <v>1866</v>
      </c>
      <c r="D37" s="1479"/>
    </row>
    <row r="38" spans="1:4" ht="12.75">
      <c r="A38" s="1479"/>
      <c r="B38" s="1592" t="s">
        <v>1870</v>
      </c>
      <c r="C38" s="1382" t="s">
        <v>1866</v>
      </c>
      <c r="D38" s="1479"/>
    </row>
    <row r="39" spans="1:4" ht="12.75">
      <c r="A39" s="1479"/>
      <c r="B39" s="1592" t="s">
        <v>1872</v>
      </c>
      <c r="C39" s="1593" t="s">
        <v>1866</v>
      </c>
      <c r="D39" s="1479"/>
    </row>
    <row r="40" spans="1:4" ht="12.75">
      <c r="A40" s="1479"/>
      <c r="B40" s="1592" t="s">
        <v>2019</v>
      </c>
      <c r="C40" s="1593" t="s">
        <v>1098</v>
      </c>
      <c r="D40" s="1479"/>
    </row>
    <row r="41" spans="1:4" ht="12.75">
      <c r="A41" s="1479"/>
      <c r="B41" s="1592" t="s">
        <v>1875</v>
      </c>
      <c r="C41" s="1593" t="s">
        <v>1866</v>
      </c>
      <c r="D41" s="1479"/>
    </row>
    <row r="42" spans="1:4" ht="12.75">
      <c r="A42" s="1479"/>
      <c r="B42" s="1592" t="s">
        <v>1208</v>
      </c>
      <c r="C42" s="1594" t="s">
        <v>2020</v>
      </c>
      <c r="D42" s="1479"/>
    </row>
    <row r="43" spans="1:4" ht="12.75">
      <c r="A43" s="1479"/>
      <c r="B43" s="1592" t="s">
        <v>1210</v>
      </c>
      <c r="C43" s="1594" t="s">
        <v>2020</v>
      </c>
      <c r="D43" s="1479"/>
    </row>
    <row r="44" spans="1:4" ht="12.75">
      <c r="A44" s="1479"/>
      <c r="B44" s="1592" t="s">
        <v>1212</v>
      </c>
      <c r="C44" s="1594" t="s">
        <v>2020</v>
      </c>
      <c r="D44" s="1479"/>
    </row>
    <row r="45" spans="1:4" ht="12.75">
      <c r="A45" s="1479"/>
      <c r="B45" s="1592" t="s">
        <v>1213</v>
      </c>
      <c r="C45" s="1594" t="s">
        <v>2020</v>
      </c>
      <c r="D45" s="1479"/>
    </row>
    <row r="46" spans="1:4" ht="12.75">
      <c r="A46" s="1479"/>
      <c r="B46" s="1592" t="s">
        <v>1214</v>
      </c>
      <c r="C46" s="1594" t="s">
        <v>2020</v>
      </c>
      <c r="D46" s="1479"/>
    </row>
    <row r="47" spans="1:4" ht="12.75">
      <c r="A47" s="1479"/>
      <c r="B47" s="1592" t="s">
        <v>1216</v>
      </c>
      <c r="C47" s="1594" t="s">
        <v>2020</v>
      </c>
      <c r="D47" s="1479"/>
    </row>
    <row r="48" spans="1:4" ht="12.75">
      <c r="A48" s="1479"/>
      <c r="B48" s="1592" t="s">
        <v>1218</v>
      </c>
      <c r="C48" s="1594" t="s">
        <v>2020</v>
      </c>
      <c r="D48" s="1479"/>
    </row>
    <row r="49" spans="1:4" ht="12.75">
      <c r="A49" s="1479"/>
      <c r="B49" s="1592" t="s">
        <v>1220</v>
      </c>
      <c r="C49" s="1594" t="s">
        <v>2020</v>
      </c>
      <c r="D49" s="1479"/>
    </row>
    <row r="50" spans="1:4" ht="12.75">
      <c r="A50" s="1479"/>
      <c r="B50" s="1592" t="s">
        <v>1224</v>
      </c>
      <c r="C50" s="1594" t="s">
        <v>2020</v>
      </c>
      <c r="D50" s="1479"/>
    </row>
    <row r="51" spans="1:4" ht="12.75">
      <c r="A51" s="1479"/>
      <c r="B51" s="1592" t="s">
        <v>1226</v>
      </c>
      <c r="C51" s="1593" t="s">
        <v>1098</v>
      </c>
      <c r="D51" s="1479"/>
    </row>
    <row r="52" spans="1:4" ht="12.75">
      <c r="A52" s="1479"/>
      <c r="B52" s="1592" t="s">
        <v>1227</v>
      </c>
      <c r="C52" s="1593" t="s">
        <v>1228</v>
      </c>
      <c r="D52" s="1479"/>
    </row>
    <row r="53" spans="1:4" ht="12.75">
      <c r="A53" s="1479"/>
      <c r="B53" s="1592" t="s">
        <v>1230</v>
      </c>
      <c r="C53" s="1593" t="s">
        <v>1228</v>
      </c>
      <c r="D53" s="1479"/>
    </row>
    <row r="54" spans="1:4" ht="12.75">
      <c r="A54" s="1479"/>
      <c r="B54" s="1592" t="s">
        <v>1231</v>
      </c>
      <c r="C54" s="1593" t="s">
        <v>1228</v>
      </c>
      <c r="D54" s="1479"/>
    </row>
    <row r="55" spans="1:4" ht="12.75">
      <c r="A55" s="1479"/>
      <c r="B55" s="1592" t="s">
        <v>1233</v>
      </c>
      <c r="C55" s="1593" t="s">
        <v>1234</v>
      </c>
      <c r="D55" s="1479"/>
    </row>
    <row r="56" spans="1:4" ht="12.75">
      <c r="A56" s="1479"/>
      <c r="B56" s="1592" t="s">
        <v>1237</v>
      </c>
      <c r="C56" s="1593" t="s">
        <v>1234</v>
      </c>
      <c r="D56" s="1479"/>
    </row>
    <row r="57" spans="1:4" ht="12.75">
      <c r="A57" s="1479"/>
      <c r="B57" s="1592" t="s">
        <v>1238</v>
      </c>
      <c r="C57" s="1381" t="s">
        <v>1234</v>
      </c>
      <c r="D57" s="1479"/>
    </row>
    <row r="58" spans="1:4" ht="12.75">
      <c r="A58" s="1479"/>
      <c r="B58" s="1592" t="s">
        <v>1239</v>
      </c>
      <c r="C58" s="1413" t="s">
        <v>1234</v>
      </c>
      <c r="D58" s="1479"/>
    </row>
    <row r="59" spans="1:4" ht="12.75">
      <c r="A59" s="1479"/>
      <c r="B59" s="1592" t="s">
        <v>1240</v>
      </c>
      <c r="C59" s="1413" t="s">
        <v>1241</v>
      </c>
      <c r="D59" s="1479"/>
    </row>
    <row r="60" spans="1:4" ht="12.75">
      <c r="A60" s="1479"/>
      <c r="B60" s="1592" t="s">
        <v>1242</v>
      </c>
      <c r="C60" s="1593" t="s">
        <v>1241</v>
      </c>
      <c r="D60" s="1479"/>
    </row>
    <row r="61" spans="1:4" ht="25.5">
      <c r="A61" s="1479"/>
      <c r="B61" s="1592" t="s">
        <v>1877</v>
      </c>
      <c r="C61" s="1593" t="s">
        <v>1241</v>
      </c>
      <c r="D61" s="1479"/>
    </row>
    <row r="62" spans="1:4" ht="12.75">
      <c r="A62" s="1479"/>
      <c r="B62" s="1592" t="s">
        <v>1245</v>
      </c>
      <c r="C62" s="1593" t="s">
        <v>1098</v>
      </c>
      <c r="D62" s="1479"/>
    </row>
    <row r="63" spans="1:4" ht="12.75">
      <c r="A63" s="1479"/>
      <c r="B63" s="1592" t="s">
        <v>1878</v>
      </c>
      <c r="C63" s="1593" t="s">
        <v>1241</v>
      </c>
      <c r="D63" s="1479"/>
    </row>
    <row r="64" spans="1:4" ht="12.75">
      <c r="A64" s="1479"/>
      <c r="B64" s="1592" t="s">
        <v>1252</v>
      </c>
      <c r="C64" s="1593" t="s">
        <v>1253</v>
      </c>
      <c r="D64" s="1479"/>
    </row>
    <row r="65" spans="1:4" ht="12.75">
      <c r="A65" s="1479"/>
      <c r="B65" s="1592" t="s">
        <v>1254</v>
      </c>
      <c r="C65" s="1594" t="s">
        <v>2020</v>
      </c>
      <c r="D65" s="1479"/>
    </row>
    <row r="66" spans="1:4" ht="12.75">
      <c r="A66" s="1479"/>
      <c r="B66" s="1592" t="s">
        <v>511</v>
      </c>
      <c r="C66" s="1593" t="s">
        <v>115</v>
      </c>
      <c r="D66" s="1479"/>
    </row>
    <row r="67" spans="1:4" ht="12.75">
      <c r="A67" s="1479"/>
      <c r="B67" s="1592" t="s">
        <v>2021</v>
      </c>
      <c r="C67" s="1593" t="s">
        <v>1258</v>
      </c>
      <c r="D67" s="1479"/>
    </row>
    <row r="68" spans="1:4" ht="12.75">
      <c r="A68" s="1479"/>
      <c r="B68" s="1592" t="s">
        <v>512</v>
      </c>
      <c r="C68" s="1593" t="s">
        <v>1253</v>
      </c>
      <c r="D68" s="1479"/>
    </row>
    <row r="69" spans="1:4" ht="12.75">
      <c r="A69" s="1479"/>
      <c r="B69" s="1592" t="s">
        <v>513</v>
      </c>
      <c r="C69" s="1593" t="s">
        <v>1234</v>
      </c>
      <c r="D69" s="1479"/>
    </row>
    <row r="70" spans="1:4" ht="12.75">
      <c r="A70" s="1479"/>
      <c r="B70" s="1592" t="s">
        <v>1255</v>
      </c>
      <c r="C70" s="1593" t="s">
        <v>1253</v>
      </c>
      <c r="D70" s="1479"/>
    </row>
    <row r="71" spans="1:4" ht="12.75">
      <c r="A71" s="1479"/>
      <c r="B71" s="1592" t="s">
        <v>1256</v>
      </c>
      <c r="C71" s="1593" t="s">
        <v>1098</v>
      </c>
      <c r="D71" s="1479"/>
    </row>
    <row r="72" spans="1:4" ht="12.75">
      <c r="A72" s="1479"/>
      <c r="B72" s="1592" t="s">
        <v>1257</v>
      </c>
      <c r="C72" s="1593" t="s">
        <v>1258</v>
      </c>
      <c r="D72" s="1479"/>
    </row>
    <row r="73" spans="1:4" ht="12.75">
      <c r="A73" s="1479"/>
      <c r="B73" s="1592" t="s">
        <v>2022</v>
      </c>
      <c r="C73" s="1593" t="s">
        <v>1258</v>
      </c>
      <c r="D73" s="1479"/>
    </row>
    <row r="74" spans="1:4" ht="12.75">
      <c r="A74" s="1479"/>
      <c r="B74" s="1592" t="s">
        <v>1259</v>
      </c>
      <c r="C74" s="1593" t="s">
        <v>1258</v>
      </c>
      <c r="D74" s="1479"/>
    </row>
    <row r="75" spans="1:4" ht="12.75">
      <c r="A75" s="1479"/>
      <c r="B75" s="1592" t="s">
        <v>1260</v>
      </c>
      <c r="C75" s="1593" t="s">
        <v>1258</v>
      </c>
      <c r="D75" s="1479"/>
    </row>
    <row r="76" spans="1:4" ht="12.75">
      <c r="A76" s="1479"/>
      <c r="B76" s="1592" t="s">
        <v>1261</v>
      </c>
      <c r="C76" s="1593" t="s">
        <v>115</v>
      </c>
      <c r="D76" s="1479"/>
    </row>
    <row r="77" spans="1:4" ht="12.75">
      <c r="A77" s="1479"/>
      <c r="B77" s="1592" t="s">
        <v>1262</v>
      </c>
      <c r="C77" s="1593" t="s">
        <v>115</v>
      </c>
      <c r="D77" s="1479"/>
    </row>
    <row r="78" spans="1:4" ht="12.75">
      <c r="A78" s="1479"/>
      <c r="B78" s="1592" t="s">
        <v>1263</v>
      </c>
      <c r="C78" s="1593" t="s">
        <v>115</v>
      </c>
      <c r="D78" s="1479"/>
    </row>
    <row r="79" spans="1:4" ht="12.75">
      <c r="A79" s="1479"/>
      <c r="B79" s="1592" t="s">
        <v>1264</v>
      </c>
      <c r="C79" s="1593" t="s">
        <v>115</v>
      </c>
      <c r="D79" s="1479"/>
    </row>
    <row r="80" spans="1:4" ht="12.75">
      <c r="A80" s="1479"/>
      <c r="B80" s="1592" t="s">
        <v>1265</v>
      </c>
      <c r="C80" s="1593" t="s">
        <v>115</v>
      </c>
      <c r="D80" s="1479"/>
    </row>
    <row r="81" spans="1:4" ht="12.75">
      <c r="A81" s="1479"/>
      <c r="B81" s="1592" t="s">
        <v>1266</v>
      </c>
      <c r="C81" s="1593" t="s">
        <v>115</v>
      </c>
      <c r="D81" s="1479"/>
    </row>
    <row r="82" spans="1:4" ht="12.75">
      <c r="A82" s="1479"/>
      <c r="B82" s="1592" t="s">
        <v>1267</v>
      </c>
      <c r="C82" s="1593" t="s">
        <v>115</v>
      </c>
      <c r="D82" s="1479"/>
    </row>
    <row r="83" spans="1:4" ht="12.75">
      <c r="A83" s="1479"/>
      <c r="B83" s="1592" t="s">
        <v>1268</v>
      </c>
      <c r="C83" s="1593" t="s">
        <v>115</v>
      </c>
      <c r="D83" s="1479"/>
    </row>
    <row r="84" spans="1:4" ht="12.75">
      <c r="A84" s="1479"/>
      <c r="B84" s="1592" t="s">
        <v>1269</v>
      </c>
      <c r="C84" s="1593" t="s">
        <v>115</v>
      </c>
      <c r="D84" s="1479"/>
    </row>
    <row r="85" spans="1:4" ht="12.75">
      <c r="A85" s="1479"/>
      <c r="B85" s="1592" t="s">
        <v>2023</v>
      </c>
      <c r="C85" s="1593" t="s">
        <v>115</v>
      </c>
      <c r="D85" s="1479"/>
    </row>
    <row r="86" spans="1:4" ht="12.75">
      <c r="A86" s="1479"/>
      <c r="B86" s="1592" t="s">
        <v>1270</v>
      </c>
      <c r="C86" s="1593" t="s">
        <v>115</v>
      </c>
      <c r="D86" s="1479"/>
    </row>
    <row r="87" spans="1:4" ht="12.75">
      <c r="A87" s="1479"/>
      <c r="B87" s="1592" t="s">
        <v>1271</v>
      </c>
      <c r="C87" s="1593" t="s">
        <v>115</v>
      </c>
      <c r="D87" s="1479"/>
    </row>
    <row r="88" spans="1:4" ht="12.75">
      <c r="A88" s="1479"/>
      <c r="B88" s="1592" t="s">
        <v>1272</v>
      </c>
      <c r="C88" s="1593" t="s">
        <v>115</v>
      </c>
      <c r="D88" s="1479"/>
    </row>
    <row r="89" spans="1:4" ht="12.75">
      <c r="A89" s="1479"/>
      <c r="B89" s="1592" t="s">
        <v>1273</v>
      </c>
      <c r="C89" s="1593" t="s">
        <v>115</v>
      </c>
      <c r="D89" s="1479"/>
    </row>
    <row r="90" spans="1:4" ht="12.75">
      <c r="A90" s="1479"/>
      <c r="B90" s="1592" t="s">
        <v>1274</v>
      </c>
      <c r="C90" s="1593" t="s">
        <v>115</v>
      </c>
      <c r="D90" s="1479"/>
    </row>
    <row r="91" spans="1:4" ht="12.75">
      <c r="A91" s="1479"/>
      <c r="B91" s="1592" t="s">
        <v>1275</v>
      </c>
      <c r="C91" s="1593" t="s">
        <v>115</v>
      </c>
      <c r="D91" s="1479"/>
    </row>
    <row r="92" spans="1:4" ht="12.75">
      <c r="A92" s="1479"/>
      <c r="B92" s="1592" t="s">
        <v>1276</v>
      </c>
      <c r="C92" s="1593" t="s">
        <v>115</v>
      </c>
      <c r="D92" s="1479"/>
    </row>
    <row r="93" spans="1:4" ht="12.75">
      <c r="A93" s="1479"/>
      <c r="B93" s="1592" t="s">
        <v>1277</v>
      </c>
      <c r="C93" s="1593" t="s">
        <v>115</v>
      </c>
      <c r="D93" s="1479"/>
    </row>
    <row r="94" spans="1:4" ht="12.75">
      <c r="A94" s="1479"/>
      <c r="B94" s="1592" t="s">
        <v>1278</v>
      </c>
      <c r="C94" s="1593" t="s">
        <v>115</v>
      </c>
      <c r="D94" s="1479"/>
    </row>
    <row r="95" spans="1:4" ht="12.75">
      <c r="A95" s="1479"/>
      <c r="B95" s="1592" t="s">
        <v>1279</v>
      </c>
      <c r="C95" s="1593" t="s">
        <v>115</v>
      </c>
      <c r="D95" s="1479"/>
    </row>
    <row r="96" spans="1:4" ht="12.75">
      <c r="A96" s="1479"/>
      <c r="B96" s="1592" t="s">
        <v>1280</v>
      </c>
      <c r="C96" s="1593" t="s">
        <v>115</v>
      </c>
      <c r="D96" s="1479"/>
    </row>
    <row r="97" spans="1:4" ht="12.75">
      <c r="A97" s="1479"/>
      <c r="B97" s="1592" t="s">
        <v>183</v>
      </c>
      <c r="C97" s="1593" t="s">
        <v>115</v>
      </c>
      <c r="D97" s="1479"/>
    </row>
    <row r="98" spans="1:4" ht="12.75">
      <c r="A98" s="1479"/>
      <c r="B98" s="1592" t="s">
        <v>184</v>
      </c>
      <c r="C98" s="1593" t="s">
        <v>115</v>
      </c>
      <c r="D98" s="1479"/>
    </row>
    <row r="99" spans="1:4" ht="12.75">
      <c r="A99" s="1479"/>
      <c r="B99" s="1592" t="s">
        <v>185</v>
      </c>
      <c r="C99" s="1593" t="s">
        <v>115</v>
      </c>
      <c r="D99" s="1479"/>
    </row>
    <row r="100" spans="1:4" ht="12.75">
      <c r="A100" s="1479"/>
      <c r="B100" s="1592" t="s">
        <v>186</v>
      </c>
      <c r="C100" s="1593" t="s">
        <v>115</v>
      </c>
      <c r="D100" s="1479"/>
    </row>
    <row r="101" spans="1:4" ht="12.75">
      <c r="A101" s="1479"/>
      <c r="B101" s="1592" t="s">
        <v>187</v>
      </c>
      <c r="C101" s="1593" t="s">
        <v>115</v>
      </c>
      <c r="D101" s="1479"/>
    </row>
    <row r="102" spans="1:4" ht="12.75">
      <c r="A102" s="1479"/>
      <c r="B102" s="1592" t="s">
        <v>188</v>
      </c>
      <c r="C102" s="1593" t="s">
        <v>115</v>
      </c>
      <c r="D102" s="1479"/>
    </row>
    <row r="103" spans="1:4" ht="12.75">
      <c r="A103" s="1479"/>
      <c r="B103" s="1592" t="s">
        <v>189</v>
      </c>
      <c r="C103" s="1593" t="s">
        <v>115</v>
      </c>
      <c r="D103" s="1479"/>
    </row>
    <row r="104" spans="1:4" ht="12.75">
      <c r="A104" s="1479"/>
      <c r="B104" s="1592" t="s">
        <v>190</v>
      </c>
      <c r="C104" s="1593" t="s">
        <v>115</v>
      </c>
      <c r="D104" s="1479"/>
    </row>
    <row r="105" spans="1:4" ht="12.75">
      <c r="A105" s="1479"/>
      <c r="B105" s="1592" t="s">
        <v>910</v>
      </c>
      <c r="C105" s="1593" t="s">
        <v>115</v>
      </c>
      <c r="D105" s="1479"/>
    </row>
    <row r="106" spans="1:4" ht="12.75">
      <c r="A106" s="1479"/>
      <c r="B106" s="1592" t="s">
        <v>911</v>
      </c>
      <c r="C106" s="1593" t="s">
        <v>115</v>
      </c>
      <c r="D106" s="1479"/>
    </row>
    <row r="107" spans="1:4" ht="12.75">
      <c r="A107" s="1479"/>
      <c r="B107" s="1592" t="s">
        <v>912</v>
      </c>
      <c r="C107" s="1593" t="s">
        <v>115</v>
      </c>
      <c r="D107" s="1479"/>
    </row>
    <row r="108" spans="1:4" ht="12.75">
      <c r="A108" s="1479"/>
      <c r="B108" s="1592" t="s">
        <v>1879</v>
      </c>
      <c r="C108" s="1593" t="s">
        <v>115</v>
      </c>
      <c r="D108" s="1479"/>
    </row>
    <row r="109" spans="1:4" ht="12.75">
      <c r="A109" s="1479"/>
      <c r="B109" s="1592" t="s">
        <v>913</v>
      </c>
      <c r="C109" s="1593" t="s">
        <v>115</v>
      </c>
      <c r="D109" s="1479"/>
    </row>
    <row r="110" spans="1:4" ht="12.75">
      <c r="A110" s="1479"/>
      <c r="B110" s="1592" t="s">
        <v>914</v>
      </c>
      <c r="C110" s="1593" t="s">
        <v>115</v>
      </c>
      <c r="D110" s="1479"/>
    </row>
    <row r="111" spans="1:4" ht="12.75">
      <c r="A111" s="1479"/>
      <c r="B111" s="1592" t="s">
        <v>915</v>
      </c>
      <c r="C111" s="1593" t="s">
        <v>115</v>
      </c>
      <c r="D111" s="1479"/>
    </row>
    <row r="112" spans="1:4" ht="12.75">
      <c r="A112" s="1479"/>
      <c r="B112" s="1592" t="s">
        <v>916</v>
      </c>
      <c r="C112" s="1593" t="s">
        <v>115</v>
      </c>
      <c r="D112" s="1479"/>
    </row>
    <row r="113" spans="1:4" ht="12.75">
      <c r="A113" s="1479"/>
      <c r="B113" s="1592" t="s">
        <v>1880</v>
      </c>
      <c r="C113" s="1593" t="s">
        <v>115</v>
      </c>
      <c r="D113" s="1479"/>
    </row>
    <row r="114" spans="1:4" ht="12.75">
      <c r="A114" s="1479"/>
      <c r="B114" s="1592" t="s">
        <v>1881</v>
      </c>
      <c r="C114" s="1593" t="s">
        <v>115</v>
      </c>
      <c r="D114" s="1479"/>
    </row>
    <row r="115" spans="1:4" ht="12.75">
      <c r="A115" s="1479"/>
      <c r="B115" s="1592" t="s">
        <v>917</v>
      </c>
      <c r="C115" s="1382" t="s">
        <v>1866</v>
      </c>
      <c r="D115" s="1479"/>
    </row>
    <row r="116" spans="1:4" ht="12.75">
      <c r="A116" s="1479"/>
      <c r="B116" s="1592" t="s">
        <v>918</v>
      </c>
      <c r="C116" s="1382" t="s">
        <v>1866</v>
      </c>
      <c r="D116" s="1479"/>
    </row>
    <row r="117" spans="1:4" ht="12.75">
      <c r="A117" s="1479"/>
      <c r="B117" s="1592" t="s">
        <v>919</v>
      </c>
      <c r="C117" s="1382" t="s">
        <v>1866</v>
      </c>
      <c r="D117" s="1479"/>
    </row>
    <row r="118" spans="1:4" ht="12.75">
      <c r="A118" s="1479"/>
      <c r="B118" s="1592" t="s">
        <v>920</v>
      </c>
      <c r="C118" s="1382" t="s">
        <v>1866</v>
      </c>
      <c r="D118" s="1479"/>
    </row>
    <row r="119" spans="1:4" ht="12.75">
      <c r="A119" s="1479"/>
      <c r="B119" s="1592" t="s">
        <v>921</v>
      </c>
      <c r="C119" s="1382" t="s">
        <v>1866</v>
      </c>
      <c r="D119" s="1479"/>
    </row>
    <row r="120" spans="1:4" ht="12.75">
      <c r="A120" s="1479"/>
      <c r="B120" s="1592" t="s">
        <v>922</v>
      </c>
      <c r="C120" s="1382" t="s">
        <v>1866</v>
      </c>
      <c r="D120" s="1479"/>
    </row>
    <row r="121" spans="1:4" ht="12.75">
      <c r="A121" s="1479"/>
      <c r="B121" s="1592" t="s">
        <v>923</v>
      </c>
      <c r="C121" s="1382" t="s">
        <v>1866</v>
      </c>
      <c r="D121" s="1479"/>
    </row>
    <row r="122" spans="1:4" ht="12.75">
      <c r="A122" s="1479"/>
      <c r="B122" s="1592" t="s">
        <v>924</v>
      </c>
      <c r="C122" s="1382" t="s">
        <v>1866</v>
      </c>
      <c r="D122" s="1479"/>
    </row>
    <row r="123" spans="1:4" ht="12.75">
      <c r="A123" s="1479"/>
      <c r="B123" s="1592" t="s">
        <v>925</v>
      </c>
      <c r="C123" s="1382" t="s">
        <v>1866</v>
      </c>
      <c r="D123" s="1479"/>
    </row>
    <row r="124" spans="1:4" ht="12.75">
      <c r="A124" s="1479"/>
      <c r="B124" s="1592" t="s">
        <v>926</v>
      </c>
      <c r="C124" s="1382" t="s">
        <v>1866</v>
      </c>
      <c r="D124" s="1479"/>
    </row>
    <row r="125" spans="1:4" ht="12.75">
      <c r="A125" s="1479"/>
      <c r="B125" s="1592" t="s">
        <v>927</v>
      </c>
      <c r="C125" s="1382" t="s">
        <v>1866</v>
      </c>
      <c r="D125" s="1479"/>
    </row>
    <row r="126" spans="1:4" ht="12.75">
      <c r="A126" s="1479"/>
      <c r="B126" s="1592" t="s">
        <v>928</v>
      </c>
      <c r="C126" s="1382" t="s">
        <v>1866</v>
      </c>
      <c r="D126" s="1479"/>
    </row>
    <row r="127" spans="1:4" ht="12.75">
      <c r="A127" s="1479"/>
      <c r="B127" s="1592" t="s">
        <v>929</v>
      </c>
      <c r="C127" s="1382" t="s">
        <v>1866</v>
      </c>
      <c r="D127" s="1479"/>
    </row>
    <row r="128" spans="1:4" ht="12.75">
      <c r="A128" s="1479"/>
      <c r="B128" s="1592" t="s">
        <v>930</v>
      </c>
      <c r="C128" s="1382" t="s">
        <v>1866</v>
      </c>
      <c r="D128" s="1479"/>
    </row>
    <row r="129" spans="1:4" ht="12.75">
      <c r="A129" s="1479"/>
      <c r="B129" s="1592" t="s">
        <v>1882</v>
      </c>
      <c r="C129" s="1382" t="s">
        <v>1866</v>
      </c>
      <c r="D129" s="1479"/>
    </row>
    <row r="130" spans="1:4" ht="12.75">
      <c r="A130" s="1479"/>
      <c r="B130" s="1592" t="s">
        <v>931</v>
      </c>
      <c r="C130" s="1382" t="s">
        <v>1866</v>
      </c>
      <c r="D130" s="1479"/>
    </row>
    <row r="131" spans="1:4" ht="12.75">
      <c r="A131" s="1479"/>
      <c r="B131" s="1592" t="s">
        <v>932</v>
      </c>
      <c r="C131" s="1382" t="s">
        <v>1866</v>
      </c>
      <c r="D131" s="1479"/>
    </row>
    <row r="132" spans="1:4" ht="12.75">
      <c r="A132" s="1479"/>
      <c r="B132" s="1489" t="s">
        <v>933</v>
      </c>
      <c r="C132" s="1382" t="s">
        <v>1866</v>
      </c>
      <c r="D132" s="1479"/>
    </row>
    <row r="133" spans="1:4" ht="12.75">
      <c r="A133" s="1479"/>
      <c r="B133" s="1489" t="s">
        <v>960</v>
      </c>
      <c r="C133" s="1382" t="s">
        <v>1866</v>
      </c>
      <c r="D133" s="1479"/>
    </row>
    <row r="134" spans="1:4" ht="12.75">
      <c r="A134" s="1479"/>
      <c r="B134" s="1489" t="s">
        <v>961</v>
      </c>
      <c r="C134" s="1382" t="s">
        <v>1866</v>
      </c>
      <c r="D134" s="1479"/>
    </row>
    <row r="135" spans="1:4" ht="12.75">
      <c r="A135" s="1479"/>
      <c r="B135" s="1592" t="s">
        <v>962</v>
      </c>
      <c r="C135" s="1593" t="s">
        <v>1253</v>
      </c>
      <c r="D135" s="1479"/>
    </row>
    <row r="136" spans="1:4" ht="12.75">
      <c r="A136" s="1479"/>
      <c r="B136" s="1592" t="s">
        <v>963</v>
      </c>
      <c r="C136" s="1593" t="s">
        <v>1253</v>
      </c>
      <c r="D136" s="1479"/>
    </row>
    <row r="137" spans="1:4" ht="12.75">
      <c r="A137" s="1479"/>
      <c r="B137" s="1592" t="s">
        <v>964</v>
      </c>
      <c r="C137" s="1593" t="s">
        <v>1253</v>
      </c>
      <c r="D137" s="1479"/>
    </row>
    <row r="138" spans="1:4" ht="12.75">
      <c r="A138" s="1479"/>
      <c r="B138" s="1489" t="s">
        <v>965</v>
      </c>
      <c r="C138" s="1593" t="s">
        <v>1253</v>
      </c>
      <c r="D138" s="1479"/>
    </row>
    <row r="139" spans="1:4" ht="12.75">
      <c r="A139" s="1479"/>
      <c r="B139" s="1489" t="s">
        <v>966</v>
      </c>
      <c r="C139" s="1593" t="s">
        <v>1253</v>
      </c>
      <c r="D139" s="1479"/>
    </row>
    <row r="140" spans="1:4" ht="12.75">
      <c r="A140" s="1479"/>
      <c r="B140" s="1489" t="s">
        <v>249</v>
      </c>
      <c r="C140" s="1593" t="s">
        <v>1253</v>
      </c>
      <c r="D140" s="1479"/>
    </row>
    <row r="141" spans="1:4" ht="12.75">
      <c r="A141" s="1479"/>
      <c r="B141" s="1489" t="s">
        <v>1883</v>
      </c>
      <c r="C141" s="1593" t="s">
        <v>1253</v>
      </c>
      <c r="D141" s="1479"/>
    </row>
    <row r="142" spans="1:4" ht="12.75">
      <c r="A142" s="1479"/>
      <c r="B142" s="1489" t="s">
        <v>1884</v>
      </c>
      <c r="C142" s="1593" t="s">
        <v>1253</v>
      </c>
      <c r="D142" s="1479"/>
    </row>
    <row r="143" spans="1:4" ht="12.75">
      <c r="A143" s="1479"/>
      <c r="B143" s="1489" t="s">
        <v>887</v>
      </c>
      <c r="C143" s="1593" t="s">
        <v>1253</v>
      </c>
      <c r="D143" s="1479"/>
    </row>
    <row r="144" spans="1:4" ht="12.75">
      <c r="A144" s="1479"/>
      <c r="B144" s="1489" t="s">
        <v>888</v>
      </c>
      <c r="C144" s="1593" t="s">
        <v>1253</v>
      </c>
      <c r="D144" s="1479"/>
    </row>
    <row r="145" spans="1:4" ht="12.75">
      <c r="A145" s="1479"/>
      <c r="B145" s="1489" t="s">
        <v>889</v>
      </c>
      <c r="C145" s="1593" t="s">
        <v>1253</v>
      </c>
      <c r="D145" s="1479"/>
    </row>
    <row r="146" spans="1:4" ht="12.75">
      <c r="A146" s="1479"/>
      <c r="B146" s="1489" t="s">
        <v>2024</v>
      </c>
      <c r="C146" s="1593" t="s">
        <v>1253</v>
      </c>
      <c r="D146" s="1479"/>
    </row>
    <row r="147" spans="1:4" ht="12.75">
      <c r="A147" s="1479"/>
      <c r="B147" s="1592" t="s">
        <v>1885</v>
      </c>
      <c r="C147" s="1594" t="s">
        <v>2020</v>
      </c>
      <c r="D147" s="1479"/>
    </row>
    <row r="148" spans="1:4" ht="12.75">
      <c r="A148" s="1479"/>
      <c r="B148" s="1489" t="s">
        <v>1886</v>
      </c>
      <c r="C148" s="1594" t="s">
        <v>2020</v>
      </c>
      <c r="D148" s="1479"/>
    </row>
    <row r="149" spans="1:4" ht="12.75">
      <c r="A149" s="1479"/>
      <c r="B149" s="1489" t="s">
        <v>1887</v>
      </c>
      <c r="C149" s="1594" t="s">
        <v>2020</v>
      </c>
      <c r="D149" s="1479"/>
    </row>
    <row r="150" spans="1:4" ht="12.75">
      <c r="A150" s="1479"/>
      <c r="B150" s="1489" t="s">
        <v>1888</v>
      </c>
      <c r="C150" s="1594" t="s">
        <v>2020</v>
      </c>
      <c r="D150" s="1479"/>
    </row>
    <row r="151" spans="1:4" ht="12.75">
      <c r="A151" s="1479"/>
      <c r="B151" s="1489" t="s">
        <v>1889</v>
      </c>
      <c r="C151" s="1594" t="s">
        <v>2020</v>
      </c>
      <c r="D151" s="1479"/>
    </row>
    <row r="152" spans="1:4" ht="12.75">
      <c r="A152" s="1479"/>
      <c r="B152" s="1489" t="s">
        <v>2025</v>
      </c>
      <c r="C152" s="1594" t="s">
        <v>2020</v>
      </c>
      <c r="D152" s="1479"/>
    </row>
    <row r="153" spans="1:4" ht="12.75">
      <c r="A153" s="1479"/>
      <c r="B153" s="1489" t="s">
        <v>1890</v>
      </c>
      <c r="C153" s="1594" t="s">
        <v>2020</v>
      </c>
      <c r="D153" s="1479"/>
    </row>
    <row r="154" spans="1:4" ht="12.75">
      <c r="A154" s="1479"/>
      <c r="B154" s="1489" t="s">
        <v>1891</v>
      </c>
      <c r="C154" s="1594" t="s">
        <v>2020</v>
      </c>
      <c r="D154" s="1479"/>
    </row>
    <row r="155" spans="1:4" ht="12.75">
      <c r="A155" s="1479"/>
      <c r="B155" s="1489" t="s">
        <v>1892</v>
      </c>
      <c r="C155" s="1594" t="s">
        <v>2020</v>
      </c>
      <c r="D155" s="1479"/>
    </row>
    <row r="156" spans="1:4" ht="12.75">
      <c r="A156" s="1479"/>
      <c r="B156" s="1489" t="s">
        <v>1893</v>
      </c>
      <c r="C156" s="1594" t="s">
        <v>2020</v>
      </c>
      <c r="D156" s="1479"/>
    </row>
    <row r="157" spans="1:4" ht="12.75">
      <c r="A157" s="1479"/>
      <c r="B157" s="1489" t="s">
        <v>1894</v>
      </c>
      <c r="C157" s="1594" t="s">
        <v>2020</v>
      </c>
      <c r="D157" s="1479"/>
    </row>
    <row r="158" spans="1:4" ht="12.75">
      <c r="A158" s="1479"/>
      <c r="B158" s="1489" t="s">
        <v>1895</v>
      </c>
      <c r="C158" s="1594" t="s">
        <v>2020</v>
      </c>
      <c r="D158" s="1479"/>
    </row>
    <row r="159" spans="1:4" ht="12.75">
      <c r="A159" s="1479"/>
      <c r="B159" s="1489" t="s">
        <v>1896</v>
      </c>
      <c r="C159" s="1594" t="s">
        <v>2020</v>
      </c>
      <c r="D159" s="1479"/>
    </row>
    <row r="160" spans="1:4" ht="12.75">
      <c r="A160" s="1479"/>
      <c r="B160" s="1489" t="s">
        <v>1897</v>
      </c>
      <c r="C160" s="1594" t="s">
        <v>2020</v>
      </c>
      <c r="D160" s="1479"/>
    </row>
    <row r="161" spans="1:4" ht="12.75">
      <c r="A161" s="1479"/>
      <c r="B161" s="1489" t="s">
        <v>1898</v>
      </c>
      <c r="C161" s="1594" t="s">
        <v>2020</v>
      </c>
      <c r="D161" s="1479"/>
    </row>
    <row r="162" spans="1:4" ht="12.75">
      <c r="A162" s="1479"/>
      <c r="B162" s="1489" t="s">
        <v>1899</v>
      </c>
      <c r="C162" s="1594" t="s">
        <v>2020</v>
      </c>
      <c r="D162" s="1479"/>
    </row>
    <row r="163" spans="1:4" ht="12.75">
      <c r="A163" s="1479"/>
      <c r="B163" s="1489" t="s">
        <v>1900</v>
      </c>
      <c r="C163" s="1594" t="s">
        <v>2020</v>
      </c>
      <c r="D163" s="1479"/>
    </row>
    <row r="164" spans="1:4" ht="12.75">
      <c r="A164" s="1479"/>
      <c r="B164" s="1489" t="s">
        <v>1901</v>
      </c>
      <c r="C164" s="1594" t="s">
        <v>2020</v>
      </c>
      <c r="D164" s="1479"/>
    </row>
    <row r="165" spans="1:4" ht="12.75">
      <c r="A165" s="1479"/>
      <c r="B165" s="1489" t="s">
        <v>1902</v>
      </c>
      <c r="C165" s="1594" t="s">
        <v>2020</v>
      </c>
      <c r="D165" s="1479"/>
    </row>
    <row r="166" spans="1:4" ht="12.75">
      <c r="A166" s="1479"/>
      <c r="B166" s="1489" t="s">
        <v>1903</v>
      </c>
      <c r="C166" s="1594" t="s">
        <v>2020</v>
      </c>
      <c r="D166" s="1479"/>
    </row>
    <row r="167" spans="1:4" ht="12.75">
      <c r="A167" s="1479"/>
      <c r="B167" s="1489" t="s">
        <v>1904</v>
      </c>
      <c r="C167" s="1594" t="s">
        <v>2020</v>
      </c>
      <c r="D167" s="1479"/>
    </row>
    <row r="168" spans="1:4" ht="12.75">
      <c r="A168" s="1479"/>
      <c r="B168" s="1489" t="s">
        <v>1905</v>
      </c>
      <c r="C168" s="1594" t="s">
        <v>2020</v>
      </c>
      <c r="D168" s="1479"/>
    </row>
    <row r="169" spans="1:4" ht="12.75">
      <c r="A169" s="1479"/>
      <c r="B169" s="1489" t="s">
        <v>1906</v>
      </c>
      <c r="C169" s="1594" t="s">
        <v>2020</v>
      </c>
      <c r="D169" s="1479"/>
    </row>
    <row r="170" spans="1:4" ht="12.75">
      <c r="A170" s="1479"/>
      <c r="B170" s="1489" t="s">
        <v>1907</v>
      </c>
      <c r="C170" s="1594" t="s">
        <v>2020</v>
      </c>
      <c r="D170" s="1479"/>
    </row>
    <row r="171" spans="1:4" ht="12.75">
      <c r="A171" s="1479"/>
      <c r="B171" s="1489" t="s">
        <v>1908</v>
      </c>
      <c r="C171" s="1594" t="s">
        <v>2020</v>
      </c>
      <c r="D171" s="1479"/>
    </row>
    <row r="172" spans="1:4" ht="12.75">
      <c r="A172" s="1479"/>
      <c r="B172" s="1489" t="s">
        <v>1909</v>
      </c>
      <c r="C172" s="1594" t="s">
        <v>2020</v>
      </c>
      <c r="D172" s="1479"/>
    </row>
    <row r="173" spans="1:4" ht="12.75">
      <c r="A173" s="1479"/>
      <c r="B173" s="1489" t="s">
        <v>1910</v>
      </c>
      <c r="C173" s="1594" t="s">
        <v>2020</v>
      </c>
      <c r="D173" s="1479"/>
    </row>
    <row r="174" spans="1:4" ht="12.75">
      <c r="A174" s="1479"/>
      <c r="B174" s="1489" t="s">
        <v>1911</v>
      </c>
      <c r="C174" s="1594" t="s">
        <v>2020</v>
      </c>
      <c r="D174" s="1479"/>
    </row>
    <row r="175" spans="1:4" ht="12.75">
      <c r="A175" s="1479"/>
      <c r="B175" s="1489" t="s">
        <v>46</v>
      </c>
      <c r="C175" s="1594" t="s">
        <v>2020</v>
      </c>
      <c r="D175" s="1479"/>
    </row>
    <row r="176" spans="1:4" ht="12.75">
      <c r="A176" s="1479"/>
      <c r="B176" s="1489" t="s">
        <v>47</v>
      </c>
      <c r="C176" s="1594" t="s">
        <v>2020</v>
      </c>
      <c r="D176" s="1479"/>
    </row>
    <row r="177" spans="1:4" ht="12.75">
      <c r="A177" s="1479"/>
      <c r="B177" s="1489" t="s">
        <v>48</v>
      </c>
      <c r="C177" s="1594" t="s">
        <v>2020</v>
      </c>
      <c r="D177" s="1479"/>
    </row>
    <row r="178" spans="1:4" ht="12.75">
      <c r="A178" s="1479"/>
      <c r="B178" s="1489" t="s">
        <v>49</v>
      </c>
      <c r="C178" s="1594" t="s">
        <v>2020</v>
      </c>
      <c r="D178" s="1479"/>
    </row>
    <row r="179" spans="1:4" ht="12.75">
      <c r="A179" s="1479"/>
      <c r="B179" s="1489" t="s">
        <v>50</v>
      </c>
      <c r="C179" s="1594" t="s">
        <v>2020</v>
      </c>
      <c r="D179" s="1479"/>
    </row>
    <row r="180" spans="1:4" ht="12.75">
      <c r="A180" s="1479"/>
      <c r="B180" s="1489" t="s">
        <v>2026</v>
      </c>
      <c r="C180" s="1594" t="s">
        <v>2020</v>
      </c>
      <c r="D180" s="1479"/>
    </row>
    <row r="181" spans="1:4" ht="12.75">
      <c r="A181" s="1479"/>
      <c r="B181" s="1489" t="s">
        <v>51</v>
      </c>
      <c r="C181" s="1594" t="s">
        <v>2020</v>
      </c>
      <c r="D181" s="1479"/>
    </row>
    <row r="182" spans="1:4" ht="12.75">
      <c r="A182" s="1479"/>
      <c r="B182" s="1489" t="s">
        <v>52</v>
      </c>
      <c r="C182" s="1594" t="s">
        <v>2020</v>
      </c>
      <c r="D182" s="1479"/>
    </row>
    <row r="183" spans="1:4" ht="12.75">
      <c r="A183" s="1479"/>
      <c r="B183" s="1489" t="s">
        <v>2027</v>
      </c>
      <c r="C183" s="1594" t="s">
        <v>2020</v>
      </c>
      <c r="D183" s="1479"/>
    </row>
    <row r="184" spans="1:4" ht="12.75">
      <c r="A184" s="1479"/>
      <c r="B184" s="1489" t="s">
        <v>53</v>
      </c>
      <c r="C184" s="1594" t="s">
        <v>2020</v>
      </c>
      <c r="D184" s="1479"/>
    </row>
    <row r="185" spans="1:4" ht="12.75">
      <c r="A185" s="1479"/>
      <c r="B185" s="1489" t="s">
        <v>54</v>
      </c>
      <c r="C185" s="1594" t="s">
        <v>2020</v>
      </c>
      <c r="D185" s="1479"/>
    </row>
    <row r="186" spans="1:4" ht="12.75">
      <c r="A186" s="1479"/>
      <c r="B186" s="1489" t="s">
        <v>2028</v>
      </c>
      <c r="C186" s="1594" t="s">
        <v>2020</v>
      </c>
      <c r="D186" s="1479"/>
    </row>
    <row r="187" spans="1:4" ht="12.75">
      <c r="A187" s="1479"/>
      <c r="B187" s="1489" t="s">
        <v>55</v>
      </c>
      <c r="C187" s="1594" t="s">
        <v>2020</v>
      </c>
      <c r="D187" s="1479"/>
    </row>
    <row r="188" spans="1:4" ht="12.75">
      <c r="A188" s="1479"/>
      <c r="B188" s="1489" t="s">
        <v>56</v>
      </c>
      <c r="C188" s="1594" t="s">
        <v>2020</v>
      </c>
      <c r="D188" s="1479"/>
    </row>
    <row r="189" spans="1:4" ht="12.75">
      <c r="A189" s="1479"/>
      <c r="B189" s="1489" t="s">
        <v>57</v>
      </c>
      <c r="C189" s="1594" t="s">
        <v>2020</v>
      </c>
      <c r="D189" s="1479"/>
    </row>
    <row r="190" spans="1:4" ht="12.75">
      <c r="A190" s="1479"/>
      <c r="B190" s="1489" t="s">
        <v>58</v>
      </c>
      <c r="C190" s="1594" t="s">
        <v>2020</v>
      </c>
      <c r="D190" s="1479"/>
    </row>
    <row r="191" spans="1:4" ht="12.75">
      <c r="A191" s="1479"/>
      <c r="B191" s="1489" t="s">
        <v>59</v>
      </c>
      <c r="C191" s="1594" t="s">
        <v>2020</v>
      </c>
      <c r="D191" s="1479"/>
    </row>
    <row r="192" spans="1:4" ht="12.75">
      <c r="A192" s="1479"/>
      <c r="B192" s="1489" t="s">
        <v>60</v>
      </c>
      <c r="C192" s="1594" t="s">
        <v>2020</v>
      </c>
      <c r="D192" s="1479"/>
    </row>
    <row r="193" spans="1:4" ht="12.75">
      <c r="A193" s="1479"/>
      <c r="B193" s="1489" t="s">
        <v>61</v>
      </c>
      <c r="C193" s="1594" t="s">
        <v>2020</v>
      </c>
      <c r="D193" s="1479"/>
    </row>
    <row r="194" spans="1:4" ht="12.75">
      <c r="A194" s="1479"/>
      <c r="B194" s="1489" t="s">
        <v>62</v>
      </c>
      <c r="C194" s="1594" t="s">
        <v>2020</v>
      </c>
      <c r="D194" s="1479"/>
    </row>
    <row r="195" spans="1:4" ht="12.75">
      <c r="A195" s="1479"/>
      <c r="B195" s="1489" t="s">
        <v>63</v>
      </c>
      <c r="C195" s="1594" t="s">
        <v>2020</v>
      </c>
      <c r="D195" s="1479"/>
    </row>
    <row r="196" spans="1:4" ht="12.75">
      <c r="A196" s="1479"/>
      <c r="B196" s="1489" t="s">
        <v>64</v>
      </c>
      <c r="C196" s="1594" t="s">
        <v>2020</v>
      </c>
      <c r="D196" s="1479"/>
    </row>
    <row r="197" spans="1:4" ht="12.75">
      <c r="A197" s="1479"/>
      <c r="B197" s="1489" t="s">
        <v>65</v>
      </c>
      <c r="C197" s="1594" t="s">
        <v>2020</v>
      </c>
      <c r="D197" s="1479"/>
    </row>
    <row r="198" spans="1:4" ht="12.75">
      <c r="A198" s="1479"/>
      <c r="B198" s="1489" t="s">
        <v>66</v>
      </c>
      <c r="C198" s="1593" t="s">
        <v>1234</v>
      </c>
      <c r="D198" s="1479"/>
    </row>
    <row r="199" spans="1:4" ht="12.75">
      <c r="A199" s="1479"/>
      <c r="B199" s="1489" t="s">
        <v>67</v>
      </c>
      <c r="C199" s="1593" t="s">
        <v>1234</v>
      </c>
      <c r="D199" s="1479"/>
    </row>
    <row r="200" spans="1:4" ht="12.75">
      <c r="A200" s="1479"/>
      <c r="B200" s="1489" t="s">
        <v>68</v>
      </c>
      <c r="C200" s="1593" t="s">
        <v>1234</v>
      </c>
      <c r="D200" s="1479"/>
    </row>
    <row r="201" spans="1:4" ht="12.75">
      <c r="A201" s="1479"/>
      <c r="B201" s="1489" t="s">
        <v>69</v>
      </c>
      <c r="C201" s="1593" t="s">
        <v>1234</v>
      </c>
      <c r="D201" s="1479"/>
    </row>
    <row r="202" spans="1:4" ht="12.75">
      <c r="A202" s="1479"/>
      <c r="B202" s="1489" t="s">
        <v>70</v>
      </c>
      <c r="C202" s="1593" t="s">
        <v>1234</v>
      </c>
      <c r="D202" s="1479"/>
    </row>
    <row r="203" spans="1:4" ht="12.75">
      <c r="A203" s="1479"/>
      <c r="B203" s="1489" t="s">
        <v>71</v>
      </c>
      <c r="C203" s="1593" t="s">
        <v>1234</v>
      </c>
      <c r="D203" s="1479"/>
    </row>
    <row r="204" spans="1:4" ht="12.75">
      <c r="A204" s="1479"/>
      <c r="B204" s="1489" t="s">
        <v>72</v>
      </c>
      <c r="C204" s="1593" t="s">
        <v>1234</v>
      </c>
      <c r="D204" s="1479"/>
    </row>
    <row r="205" spans="1:4" ht="12.75">
      <c r="A205" s="1479"/>
      <c r="B205" s="1489" t="s">
        <v>73</v>
      </c>
      <c r="C205" s="1593" t="s">
        <v>1234</v>
      </c>
      <c r="D205" s="1479"/>
    </row>
    <row r="206" spans="1:4" ht="12.75">
      <c r="A206" s="1479"/>
      <c r="B206" s="1489" t="s">
        <v>74</v>
      </c>
      <c r="C206" s="1593" t="s">
        <v>1234</v>
      </c>
      <c r="D206" s="1479"/>
    </row>
    <row r="207" spans="1:4" ht="12.75">
      <c r="A207" s="1479"/>
      <c r="B207" s="1489" t="s">
        <v>75</v>
      </c>
      <c r="C207" s="1593" t="s">
        <v>1234</v>
      </c>
      <c r="D207" s="1479"/>
    </row>
    <row r="208" spans="1:4" ht="12.75">
      <c r="A208" s="1479"/>
      <c r="B208" s="1489" t="s">
        <v>76</v>
      </c>
      <c r="C208" s="1593" t="s">
        <v>1234</v>
      </c>
      <c r="D208" s="1479"/>
    </row>
    <row r="209" spans="1:4" ht="12.75">
      <c r="A209" s="1479"/>
      <c r="B209" s="1489" t="s">
        <v>77</v>
      </c>
      <c r="C209" s="1593" t="s">
        <v>1234</v>
      </c>
      <c r="D209" s="1479"/>
    </row>
    <row r="210" spans="1:4" ht="12.75">
      <c r="A210" s="1479"/>
      <c r="B210" s="1489" t="s">
        <v>78</v>
      </c>
      <c r="C210" s="1593" t="s">
        <v>1234</v>
      </c>
      <c r="D210" s="1479"/>
    </row>
    <row r="211" spans="1:4" ht="12.75">
      <c r="A211" s="1479"/>
      <c r="B211" s="1489" t="s">
        <v>79</v>
      </c>
      <c r="C211" s="1593" t="s">
        <v>1234</v>
      </c>
      <c r="D211" s="1479"/>
    </row>
    <row r="212" spans="1:4" ht="12.75">
      <c r="A212" s="1479"/>
      <c r="B212" s="1489" t="s">
        <v>80</v>
      </c>
      <c r="C212" s="1593" t="s">
        <v>1234</v>
      </c>
      <c r="D212" s="1479"/>
    </row>
    <row r="213" spans="1:4" ht="12.75">
      <c r="A213" s="1479"/>
      <c r="B213" s="1489" t="s">
        <v>81</v>
      </c>
      <c r="C213" s="1593" t="s">
        <v>1234</v>
      </c>
      <c r="D213" s="1479"/>
    </row>
    <row r="214" spans="1:4" ht="12.75">
      <c r="A214" s="1479"/>
      <c r="B214" s="1489" t="s">
        <v>82</v>
      </c>
      <c r="C214" s="1593" t="s">
        <v>1234</v>
      </c>
      <c r="D214" s="1479"/>
    </row>
    <row r="215" spans="1:4" ht="12.75">
      <c r="A215" s="1479"/>
      <c r="B215" s="1489" t="s">
        <v>83</v>
      </c>
      <c r="C215" s="1593" t="s">
        <v>1234</v>
      </c>
      <c r="D215" s="1479"/>
    </row>
    <row r="216" spans="1:4" ht="12.75">
      <c r="A216" s="1479"/>
      <c r="B216" s="1489" t="s">
        <v>84</v>
      </c>
      <c r="C216" s="1593" t="s">
        <v>1234</v>
      </c>
      <c r="D216" s="1479"/>
    </row>
    <row r="217" spans="1:4" ht="12.75">
      <c r="A217" s="1479"/>
      <c r="B217" s="1489" t="s">
        <v>85</v>
      </c>
      <c r="C217" s="1593" t="s">
        <v>1234</v>
      </c>
      <c r="D217" s="1479"/>
    </row>
    <row r="218" spans="1:4" ht="12.75">
      <c r="A218" s="1479"/>
      <c r="B218" s="1489" t="s">
        <v>2029</v>
      </c>
      <c r="C218" s="1593" t="s">
        <v>1234</v>
      </c>
      <c r="D218" s="1479"/>
    </row>
    <row r="219" spans="1:4" ht="12.75">
      <c r="A219" s="1479"/>
      <c r="B219" s="1489" t="s">
        <v>86</v>
      </c>
      <c r="C219" s="1593" t="s">
        <v>1234</v>
      </c>
      <c r="D219" s="1479"/>
    </row>
    <row r="220" spans="1:4" ht="12.75">
      <c r="A220" s="1479"/>
      <c r="B220" s="1489" t="s">
        <v>2030</v>
      </c>
      <c r="C220" s="1593" t="s">
        <v>1234</v>
      </c>
      <c r="D220" s="1479"/>
    </row>
    <row r="221" spans="1:4" ht="12.75">
      <c r="A221" s="1479"/>
      <c r="B221" s="1489" t="s">
        <v>87</v>
      </c>
      <c r="C221" s="1593" t="s">
        <v>1234</v>
      </c>
      <c r="D221" s="1479"/>
    </row>
    <row r="222" spans="1:4" ht="12.75">
      <c r="A222" s="1479"/>
      <c r="B222" s="1489" t="s">
        <v>88</v>
      </c>
      <c r="C222" s="1593" t="s">
        <v>1234</v>
      </c>
      <c r="D222" s="1479"/>
    </row>
    <row r="223" spans="1:4" ht="12.75">
      <c r="A223" s="1479"/>
      <c r="B223" s="1489" t="s">
        <v>890</v>
      </c>
      <c r="C223" s="1593" t="s">
        <v>1228</v>
      </c>
      <c r="D223" s="1479"/>
    </row>
    <row r="224" spans="1:4" ht="12.75">
      <c r="A224" s="1479"/>
      <c r="B224" s="1489" t="s">
        <v>891</v>
      </c>
      <c r="C224" s="1593" t="s">
        <v>1228</v>
      </c>
      <c r="D224" s="1479"/>
    </row>
    <row r="225" spans="1:4" ht="12.75">
      <c r="A225" s="1479"/>
      <c r="B225" s="1489" t="s">
        <v>892</v>
      </c>
      <c r="C225" s="1593" t="s">
        <v>1228</v>
      </c>
      <c r="D225" s="1479"/>
    </row>
    <row r="226" spans="1:4" ht="12.75">
      <c r="A226" s="1479"/>
      <c r="B226" s="1489" t="s">
        <v>2031</v>
      </c>
      <c r="C226" s="1593" t="s">
        <v>1228</v>
      </c>
      <c r="D226" s="1479"/>
    </row>
    <row r="227" spans="1:4" ht="12.75">
      <c r="A227" s="1479"/>
      <c r="B227" s="1489" t="s">
        <v>893</v>
      </c>
      <c r="C227" s="1593" t="s">
        <v>1228</v>
      </c>
      <c r="D227" s="1479"/>
    </row>
    <row r="228" spans="1:4" ht="12.75">
      <c r="A228" s="1479"/>
      <c r="B228" s="1489" t="s">
        <v>894</v>
      </c>
      <c r="C228" s="1593" t="s">
        <v>1228</v>
      </c>
      <c r="D228" s="1479"/>
    </row>
    <row r="229" spans="1:4" ht="12.75">
      <c r="A229" s="1479"/>
      <c r="B229" s="1489" t="s">
        <v>895</v>
      </c>
      <c r="C229" s="1593" t="s">
        <v>1228</v>
      </c>
      <c r="D229" s="1479"/>
    </row>
    <row r="230" spans="1:4" ht="12.75">
      <c r="A230" s="1479"/>
      <c r="B230" s="1489" t="s">
        <v>2032</v>
      </c>
      <c r="C230" s="1593" t="s">
        <v>1228</v>
      </c>
      <c r="D230" s="1479"/>
    </row>
    <row r="231" spans="1:4" ht="12.75">
      <c r="A231" s="1479"/>
      <c r="B231" s="1489" t="s">
        <v>2033</v>
      </c>
      <c r="C231" s="1593" t="s">
        <v>1228</v>
      </c>
      <c r="D231" s="1479"/>
    </row>
    <row r="232" spans="1:4" ht="12.75">
      <c r="A232" s="1479"/>
      <c r="B232" s="1489" t="s">
        <v>896</v>
      </c>
      <c r="C232" s="1593" t="s">
        <v>1228</v>
      </c>
      <c r="D232" s="1479"/>
    </row>
    <row r="233" spans="1:4" ht="12.75">
      <c r="A233" s="1479"/>
      <c r="B233" s="1489" t="s">
        <v>897</v>
      </c>
      <c r="C233" s="1593" t="s">
        <v>1228</v>
      </c>
      <c r="D233" s="1479"/>
    </row>
    <row r="234" spans="1:4" ht="12.75">
      <c r="A234" s="1479"/>
      <c r="B234" s="1489" t="s">
        <v>898</v>
      </c>
      <c r="C234" s="1593" t="s">
        <v>1228</v>
      </c>
      <c r="D234" s="1479"/>
    </row>
    <row r="235" spans="1:4" ht="12.75">
      <c r="A235" s="1479"/>
      <c r="B235" s="1489" t="s">
        <v>89</v>
      </c>
      <c r="C235" s="1593" t="s">
        <v>1228</v>
      </c>
      <c r="D235" s="1479"/>
    </row>
    <row r="236" spans="1:4" ht="12.75">
      <c r="A236" s="1479"/>
      <c r="B236" s="1489" t="s">
        <v>899</v>
      </c>
      <c r="C236" s="1593" t="s">
        <v>1228</v>
      </c>
      <c r="D236" s="1479"/>
    </row>
    <row r="237" spans="1:4" ht="12.75">
      <c r="A237" s="1479"/>
      <c r="B237" s="1489" t="s">
        <v>900</v>
      </c>
      <c r="C237" s="1593" t="s">
        <v>1228</v>
      </c>
      <c r="D237" s="1479"/>
    </row>
    <row r="238" spans="1:4" ht="12.75">
      <c r="A238" s="1479"/>
      <c r="B238" s="1489" t="s">
        <v>901</v>
      </c>
      <c r="C238" s="1593" t="s">
        <v>1228</v>
      </c>
      <c r="D238" s="1479"/>
    </row>
    <row r="239" spans="1:4" ht="12.75">
      <c r="A239" s="1479"/>
      <c r="B239" s="1489" t="s">
        <v>902</v>
      </c>
      <c r="C239" s="1593" t="s">
        <v>1228</v>
      </c>
      <c r="D239" s="1479"/>
    </row>
    <row r="240" spans="1:4" ht="12.75">
      <c r="A240" s="1479"/>
      <c r="B240" s="1489" t="s">
        <v>903</v>
      </c>
      <c r="C240" s="1593" t="s">
        <v>1228</v>
      </c>
      <c r="D240" s="1479"/>
    </row>
    <row r="241" spans="1:4" ht="12.75">
      <c r="A241" s="1479"/>
      <c r="B241" s="1489" t="s">
        <v>904</v>
      </c>
      <c r="C241" s="1593" t="s">
        <v>1258</v>
      </c>
      <c r="D241" s="1479"/>
    </row>
    <row r="242" spans="1:4" ht="12.75">
      <c r="A242" s="1479"/>
      <c r="B242" s="1489" t="s">
        <v>905</v>
      </c>
      <c r="C242" s="1593" t="s">
        <v>1258</v>
      </c>
      <c r="D242" s="1479"/>
    </row>
    <row r="243" spans="1:4" ht="12.75">
      <c r="A243" s="1479"/>
      <c r="B243" s="1489" t="s">
        <v>906</v>
      </c>
      <c r="C243" s="1593" t="s">
        <v>1258</v>
      </c>
      <c r="D243" s="1479"/>
    </row>
    <row r="244" spans="1:4" ht="12.75">
      <c r="A244" s="1479"/>
      <c r="B244" s="1489" t="s">
        <v>907</v>
      </c>
      <c r="C244" s="1593" t="s">
        <v>1258</v>
      </c>
      <c r="D244" s="1479"/>
    </row>
    <row r="245" spans="1:4" ht="12.75">
      <c r="A245" s="1479"/>
      <c r="B245" s="1489" t="s">
        <v>908</v>
      </c>
      <c r="C245" s="1593" t="s">
        <v>1258</v>
      </c>
      <c r="D245" s="1479"/>
    </row>
    <row r="246" spans="1:4" ht="12.75">
      <c r="A246" s="1479"/>
      <c r="B246" s="1489" t="s">
        <v>909</v>
      </c>
      <c r="C246" s="1593" t="s">
        <v>1258</v>
      </c>
      <c r="D246" s="1479"/>
    </row>
    <row r="247" spans="1:4" ht="12.75">
      <c r="A247" s="1479"/>
      <c r="B247" s="1489" t="s">
        <v>1362</v>
      </c>
      <c r="C247" s="1593" t="s">
        <v>1258</v>
      </c>
      <c r="D247" s="1479"/>
    </row>
    <row r="248" spans="1:4" ht="12.75">
      <c r="A248" s="1479"/>
      <c r="B248" s="1489" t="s">
        <v>1363</v>
      </c>
      <c r="C248" s="1593" t="s">
        <v>1258</v>
      </c>
      <c r="D248" s="1479"/>
    </row>
    <row r="249" spans="1:4" ht="12.75">
      <c r="A249" s="1479"/>
      <c r="B249" s="1489" t="s">
        <v>1364</v>
      </c>
      <c r="C249" s="1593" t="s">
        <v>1258</v>
      </c>
      <c r="D249" s="1479"/>
    </row>
    <row r="250" spans="1:4" ht="12.75">
      <c r="A250" s="1479"/>
      <c r="B250" s="1489" t="s">
        <v>1365</v>
      </c>
      <c r="C250" s="1593" t="s">
        <v>1258</v>
      </c>
      <c r="D250" s="1479"/>
    </row>
    <row r="251" spans="1:4" ht="12.75">
      <c r="A251" s="1479"/>
      <c r="B251" s="1489" t="s">
        <v>1366</v>
      </c>
      <c r="C251" s="1593" t="s">
        <v>1258</v>
      </c>
      <c r="D251" s="1479"/>
    </row>
    <row r="252" spans="1:4" ht="12.75">
      <c r="A252" s="1479"/>
      <c r="B252" s="1489" t="s">
        <v>1367</v>
      </c>
      <c r="C252" s="1593" t="s">
        <v>1258</v>
      </c>
      <c r="D252" s="1479"/>
    </row>
    <row r="253" spans="1:4" ht="12.75">
      <c r="A253" s="1479"/>
      <c r="B253" s="1489" t="s">
        <v>250</v>
      </c>
      <c r="C253" s="1593" t="s">
        <v>1258</v>
      </c>
      <c r="D253" s="1479"/>
    </row>
    <row r="254" spans="1:4" ht="12.75">
      <c r="A254" s="1479"/>
      <c r="B254" s="1489" t="s">
        <v>251</v>
      </c>
      <c r="C254" s="1593" t="s">
        <v>1258</v>
      </c>
      <c r="D254" s="1479"/>
    </row>
    <row r="255" spans="1:4" ht="12.75">
      <c r="A255" s="1479"/>
      <c r="B255" s="1489" t="s">
        <v>252</v>
      </c>
      <c r="C255" s="1593" t="s">
        <v>1258</v>
      </c>
      <c r="D255" s="1479"/>
    </row>
    <row r="256" spans="1:4" ht="12.75">
      <c r="A256" s="1479"/>
      <c r="B256" s="1489" t="s">
        <v>253</v>
      </c>
      <c r="C256" s="1593" t="s">
        <v>1258</v>
      </c>
      <c r="D256" s="1479"/>
    </row>
    <row r="257" spans="1:4" ht="12.75">
      <c r="A257" s="1479"/>
      <c r="B257" s="1489" t="s">
        <v>254</v>
      </c>
      <c r="C257" s="1593" t="s">
        <v>1258</v>
      </c>
      <c r="D257" s="1479"/>
    </row>
    <row r="258" spans="1:4" ht="12.75">
      <c r="A258" s="1479"/>
      <c r="B258" s="1489" t="s">
        <v>255</v>
      </c>
      <c r="C258" s="1593" t="s">
        <v>1258</v>
      </c>
      <c r="D258" s="1479"/>
    </row>
    <row r="259" spans="1:4" ht="12.75">
      <c r="A259" s="1479"/>
      <c r="B259" s="1489" t="s">
        <v>256</v>
      </c>
      <c r="C259" s="1593" t="s">
        <v>1258</v>
      </c>
      <c r="D259" s="1479"/>
    </row>
    <row r="260" spans="1:4" ht="12.75">
      <c r="A260" s="1479"/>
      <c r="B260" s="1489" t="s">
        <v>257</v>
      </c>
      <c r="C260" s="1593" t="s">
        <v>1258</v>
      </c>
      <c r="D260" s="1479"/>
    </row>
    <row r="261" spans="1:4" ht="12.75">
      <c r="A261" s="1479"/>
      <c r="B261" s="1489" t="s">
        <v>258</v>
      </c>
      <c r="C261" s="1593" t="s">
        <v>1258</v>
      </c>
      <c r="D261" s="1479"/>
    </row>
    <row r="262" spans="1:4" ht="12.75">
      <c r="A262" s="1479"/>
      <c r="B262" s="1489" t="s">
        <v>259</v>
      </c>
      <c r="C262" s="1593" t="s">
        <v>1258</v>
      </c>
      <c r="D262" s="1479"/>
    </row>
    <row r="263" spans="1:4" ht="12.75">
      <c r="A263" s="1479"/>
      <c r="B263" s="1489" t="s">
        <v>260</v>
      </c>
      <c r="C263" s="1593" t="s">
        <v>1258</v>
      </c>
      <c r="D263" s="1479"/>
    </row>
    <row r="264" spans="1:4" ht="12.75">
      <c r="A264" s="1479"/>
      <c r="B264" s="1489" t="s">
        <v>261</v>
      </c>
      <c r="C264" s="1593" t="s">
        <v>1258</v>
      </c>
      <c r="D264" s="1479"/>
    </row>
    <row r="265" spans="1:4" ht="12.75">
      <c r="A265" s="1479"/>
      <c r="B265" s="1489" t="s">
        <v>2034</v>
      </c>
      <c r="C265" s="1593" t="s">
        <v>1258</v>
      </c>
      <c r="D265" s="1479"/>
    </row>
    <row r="266" spans="1:4" ht="12.75">
      <c r="A266" s="1479"/>
      <c r="B266" s="1489" t="s">
        <v>262</v>
      </c>
      <c r="C266" s="1593" t="s">
        <v>1258</v>
      </c>
      <c r="D266" s="1479"/>
    </row>
    <row r="267" spans="1:4" ht="12.75">
      <c r="A267" s="1479"/>
      <c r="B267" s="1489" t="s">
        <v>263</v>
      </c>
      <c r="C267" s="1593" t="s">
        <v>1258</v>
      </c>
      <c r="D267" s="1479"/>
    </row>
    <row r="268" spans="1:4" ht="12.75">
      <c r="A268" s="1479"/>
      <c r="B268" s="1489" t="s">
        <v>264</v>
      </c>
      <c r="C268" s="1593" t="s">
        <v>1241</v>
      </c>
      <c r="D268" s="1479"/>
    </row>
    <row r="269" spans="1:4" ht="12.75">
      <c r="A269" s="1479"/>
      <c r="B269" s="1489" t="s">
        <v>265</v>
      </c>
      <c r="C269" s="1593" t="s">
        <v>1241</v>
      </c>
      <c r="D269" s="1479"/>
    </row>
    <row r="270" spans="1:4" ht="12.75">
      <c r="A270" s="1479"/>
      <c r="B270" s="1489" t="s">
        <v>266</v>
      </c>
      <c r="C270" s="1593" t="s">
        <v>1241</v>
      </c>
      <c r="D270" s="1479"/>
    </row>
    <row r="271" spans="1:4" ht="12.75">
      <c r="A271" s="1479"/>
      <c r="B271" s="1489" t="s">
        <v>267</v>
      </c>
      <c r="C271" s="1593" t="s">
        <v>1241</v>
      </c>
      <c r="D271" s="1479"/>
    </row>
    <row r="272" spans="1:4" ht="12.75">
      <c r="A272" s="1479"/>
      <c r="B272" s="1489" t="s">
        <v>208</v>
      </c>
      <c r="C272" s="1593" t="s">
        <v>1241</v>
      </c>
      <c r="D272" s="1479"/>
    </row>
    <row r="273" spans="1:4" ht="12.75">
      <c r="A273" s="1479"/>
      <c r="B273" s="1489" t="s">
        <v>209</v>
      </c>
      <c r="C273" s="1593" t="s">
        <v>1241</v>
      </c>
      <c r="D273" s="1479"/>
    </row>
    <row r="274" spans="1:4" ht="12.75">
      <c r="A274" s="1479"/>
      <c r="B274" s="1489" t="s">
        <v>210</v>
      </c>
      <c r="C274" s="1593" t="s">
        <v>1241</v>
      </c>
      <c r="D274" s="1479"/>
    </row>
    <row r="275" spans="1:4" ht="12.75">
      <c r="A275" s="1479"/>
      <c r="B275" s="1489" t="s">
        <v>211</v>
      </c>
      <c r="C275" s="1593" t="s">
        <v>1241</v>
      </c>
      <c r="D275" s="1479"/>
    </row>
    <row r="276" spans="1:4" ht="12.75">
      <c r="A276" s="1479"/>
      <c r="B276" s="1489" t="s">
        <v>212</v>
      </c>
      <c r="C276" s="1593" t="s">
        <v>1241</v>
      </c>
      <c r="D276" s="1479"/>
    </row>
    <row r="277" spans="1:4" ht="12.75">
      <c r="A277" s="1479"/>
      <c r="B277" s="1489" t="s">
        <v>213</v>
      </c>
      <c r="C277" s="1593" t="s">
        <v>1241</v>
      </c>
      <c r="D277" s="1479"/>
    </row>
    <row r="278" spans="1:4" ht="12.75">
      <c r="A278" s="1479"/>
      <c r="B278" s="1489" t="s">
        <v>214</v>
      </c>
      <c r="C278" s="1593" t="s">
        <v>1241</v>
      </c>
      <c r="D278" s="1479"/>
    </row>
    <row r="279" spans="1:4" ht="12.75">
      <c r="A279" s="1479"/>
      <c r="B279" s="1489" t="s">
        <v>215</v>
      </c>
      <c r="C279" s="1593" t="s">
        <v>1241</v>
      </c>
      <c r="D279" s="1479"/>
    </row>
    <row r="280" spans="1:4" ht="12.75">
      <c r="A280" s="1479"/>
      <c r="B280" s="1489" t="s">
        <v>216</v>
      </c>
      <c r="C280" s="1593" t="s">
        <v>1241</v>
      </c>
      <c r="D280" s="1479"/>
    </row>
    <row r="281" spans="1:4" ht="12.75">
      <c r="A281" s="1479"/>
      <c r="B281" s="1489" t="s">
        <v>217</v>
      </c>
      <c r="C281" s="1593" t="s">
        <v>1241</v>
      </c>
      <c r="D281" s="1479"/>
    </row>
    <row r="282" spans="1:4" ht="12.75">
      <c r="A282" s="1479"/>
      <c r="B282" s="1489" t="s">
        <v>218</v>
      </c>
      <c r="C282" s="1593" t="s">
        <v>1241</v>
      </c>
      <c r="D282" s="1479"/>
    </row>
    <row r="283" spans="1:4" ht="12.75">
      <c r="A283" s="1479"/>
      <c r="B283" s="1489" t="s">
        <v>219</v>
      </c>
      <c r="C283" s="1593" t="s">
        <v>1241</v>
      </c>
      <c r="D283" s="1479"/>
    </row>
    <row r="284" spans="1:4" ht="12.75">
      <c r="A284" s="1479"/>
      <c r="B284" s="1489" t="s">
        <v>220</v>
      </c>
      <c r="C284" s="1593" t="s">
        <v>1241</v>
      </c>
      <c r="D284" s="1479"/>
    </row>
    <row r="285" spans="1:4" ht="12.75">
      <c r="A285" s="1479"/>
      <c r="B285" s="1489" t="s">
        <v>221</v>
      </c>
      <c r="C285" s="1593" t="s">
        <v>1241</v>
      </c>
      <c r="D285" s="1479"/>
    </row>
    <row r="286" spans="1:4" ht="12.75">
      <c r="A286" s="1479"/>
      <c r="B286" s="1489" t="s">
        <v>90</v>
      </c>
      <c r="C286" s="1593" t="s">
        <v>1241</v>
      </c>
      <c r="D286" s="1479"/>
    </row>
    <row r="287" spans="1:4" ht="12.75">
      <c r="A287" s="1479"/>
      <c r="B287" s="1489" t="s">
        <v>222</v>
      </c>
      <c r="C287" s="1593" t="s">
        <v>1241</v>
      </c>
      <c r="D287" s="1479"/>
    </row>
    <row r="288" spans="1:4" ht="12.75">
      <c r="A288" s="1479"/>
      <c r="B288" s="1592" t="s">
        <v>2035</v>
      </c>
      <c r="C288" s="1593" t="s">
        <v>1098</v>
      </c>
      <c r="D288" s="1479"/>
    </row>
    <row r="289" spans="1:4" ht="12.75">
      <c r="A289" s="1479"/>
      <c r="B289" s="1489" t="s">
        <v>223</v>
      </c>
      <c r="C289" s="1593" t="s">
        <v>1098</v>
      </c>
      <c r="D289" s="1479"/>
    </row>
    <row r="290" spans="1:4" ht="12.75">
      <c r="A290" s="1479"/>
      <c r="B290" s="1489" t="s">
        <v>224</v>
      </c>
      <c r="C290" s="1593" t="s">
        <v>1098</v>
      </c>
      <c r="D290" s="1479"/>
    </row>
    <row r="291" spans="1:4" ht="12.75">
      <c r="A291" s="1479"/>
      <c r="B291" s="1489" t="s">
        <v>225</v>
      </c>
      <c r="C291" s="1593" t="s">
        <v>1098</v>
      </c>
      <c r="D291" s="1479"/>
    </row>
    <row r="292" spans="1:4" ht="12.75">
      <c r="A292" s="1479"/>
      <c r="B292" s="1489" t="s">
        <v>226</v>
      </c>
      <c r="C292" s="1593" t="s">
        <v>1098</v>
      </c>
      <c r="D292" s="1479"/>
    </row>
    <row r="293" spans="1:4" ht="12.75">
      <c r="A293" s="1479"/>
      <c r="B293" s="1489" t="s">
        <v>227</v>
      </c>
      <c r="C293" s="1593" t="s">
        <v>1098</v>
      </c>
      <c r="D293" s="1479"/>
    </row>
    <row r="294" spans="1:4" ht="12.75">
      <c r="A294" s="1479"/>
      <c r="B294" s="1489" t="s">
        <v>228</v>
      </c>
      <c r="C294" s="1593" t="s">
        <v>1098</v>
      </c>
      <c r="D294" s="1479"/>
    </row>
    <row r="295" spans="1:4" ht="12.75">
      <c r="A295" s="1479"/>
      <c r="B295" s="1489" t="s">
        <v>229</v>
      </c>
      <c r="C295" s="1593" t="s">
        <v>1098</v>
      </c>
      <c r="D295" s="1479"/>
    </row>
    <row r="296" spans="1:4" ht="12.75">
      <c r="A296" s="1479"/>
      <c r="B296" s="1489" t="s">
        <v>230</v>
      </c>
      <c r="C296" s="1593" t="s">
        <v>1098</v>
      </c>
      <c r="D296" s="1479"/>
    </row>
    <row r="297" spans="1:4" ht="12.75">
      <c r="A297" s="1479"/>
      <c r="B297" s="1489" t="s">
        <v>231</v>
      </c>
      <c r="C297" s="1593" t="s">
        <v>1098</v>
      </c>
      <c r="D297" s="1479"/>
    </row>
    <row r="298" spans="1:4" ht="12.75">
      <c r="A298" s="1479"/>
      <c r="B298" s="1489" t="s">
        <v>2036</v>
      </c>
      <c r="C298" s="1593" t="s">
        <v>1098</v>
      </c>
      <c r="D298" s="1479"/>
    </row>
    <row r="299" spans="1:4" ht="12.75">
      <c r="A299" s="1479"/>
      <c r="B299" s="1489" t="s">
        <v>232</v>
      </c>
      <c r="C299" s="1593" t="s">
        <v>1098</v>
      </c>
      <c r="D299" s="1479"/>
    </row>
    <row r="300" spans="1:4" ht="12.75">
      <c r="A300" s="1479"/>
      <c r="B300" s="1489" t="s">
        <v>233</v>
      </c>
      <c r="C300" s="1593" t="s">
        <v>1098</v>
      </c>
      <c r="D300" s="1479"/>
    </row>
    <row r="301" spans="1:4" ht="12.75">
      <c r="A301" s="1479"/>
      <c r="B301" s="1489" t="s">
        <v>234</v>
      </c>
      <c r="C301" s="1593" t="s">
        <v>1098</v>
      </c>
      <c r="D301" s="1479"/>
    </row>
    <row r="302" spans="1:4" ht="12.75">
      <c r="A302" s="1479"/>
      <c r="B302" s="1489" t="s">
        <v>235</v>
      </c>
      <c r="C302" s="1593" t="s">
        <v>1098</v>
      </c>
      <c r="D302" s="1479"/>
    </row>
    <row r="303" spans="1:4" ht="12.75">
      <c r="A303" s="1479"/>
      <c r="B303" s="1489" t="s">
        <v>236</v>
      </c>
      <c r="C303" s="1593" t="s">
        <v>1098</v>
      </c>
      <c r="D303" s="1479"/>
    </row>
    <row r="304" spans="1:4" ht="12.75">
      <c r="A304" s="1479"/>
      <c r="B304" s="1489" t="s">
        <v>237</v>
      </c>
      <c r="C304" s="1593" t="s">
        <v>1098</v>
      </c>
      <c r="D304" s="1479"/>
    </row>
    <row r="305" spans="1:4" ht="12.75">
      <c r="A305" s="1479"/>
      <c r="B305" s="1489" t="s">
        <v>238</v>
      </c>
      <c r="C305" s="1593" t="s">
        <v>1098</v>
      </c>
      <c r="D305" s="1479"/>
    </row>
    <row r="306" spans="1:4" ht="12.75">
      <c r="A306" s="1479"/>
      <c r="B306" s="1489" t="s">
        <v>239</v>
      </c>
      <c r="C306" s="1593" t="s">
        <v>1098</v>
      </c>
      <c r="D306" s="1479"/>
    </row>
    <row r="307" spans="1:4" ht="12.75">
      <c r="A307" s="1479"/>
      <c r="B307" s="1489" t="s">
        <v>240</v>
      </c>
      <c r="C307" s="1593" t="s">
        <v>1098</v>
      </c>
      <c r="D307" s="1479"/>
    </row>
    <row r="308" spans="1:4" ht="12.75">
      <c r="A308" s="1479"/>
      <c r="B308" s="1489" t="s">
        <v>241</v>
      </c>
      <c r="C308" s="1593" t="s">
        <v>1098</v>
      </c>
      <c r="D308" s="1479"/>
    </row>
    <row r="309" spans="1:4" ht="12.75">
      <c r="A309" s="1479"/>
      <c r="B309" s="1489" t="s">
        <v>242</v>
      </c>
      <c r="C309" s="1593" t="s">
        <v>1098</v>
      </c>
      <c r="D309" s="1479"/>
    </row>
    <row r="310" spans="1:4" ht="12.75">
      <c r="A310" s="1479"/>
      <c r="B310" s="1489" t="s">
        <v>243</v>
      </c>
      <c r="C310" s="1593" t="s">
        <v>1098</v>
      </c>
      <c r="D310" s="1479"/>
    </row>
    <row r="311" spans="1:4" ht="12.75">
      <c r="A311" s="1479"/>
      <c r="B311" s="1489" t="s">
        <v>244</v>
      </c>
      <c r="C311" s="1593" t="s">
        <v>1098</v>
      </c>
      <c r="D311" s="1479"/>
    </row>
    <row r="312" spans="1:4" ht="12.75">
      <c r="A312" s="1479"/>
      <c r="B312" s="1489" t="s">
        <v>245</v>
      </c>
      <c r="C312" s="1593" t="s">
        <v>1098</v>
      </c>
      <c r="D312" s="1479"/>
    </row>
  </sheetData>
  <phoneticPr fontId="3" type="noConversion"/>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enableFormatConditionsCalculation="0">
    <tabColor rgb="FFCCFFCC"/>
    <pageSetUpPr fitToPage="1"/>
  </sheetPr>
  <dimension ref="A1:O180"/>
  <sheetViews>
    <sheetView showGridLines="0" topLeftCell="A10" workbookViewId="0">
      <selection activeCell="F18" sqref="F18"/>
    </sheetView>
  </sheetViews>
  <sheetFormatPr defaultRowHeight="12.75"/>
  <cols>
    <col min="1" max="1" width="30.7109375" style="150" customWidth="1"/>
    <col min="2" max="2" width="3" style="233" hidden="1" customWidth="1"/>
    <col min="3" max="11" width="9.28515625" style="150" customWidth="1"/>
    <col min="12" max="12" width="9.85546875" style="150" customWidth="1"/>
    <col min="13" max="13" width="9.5703125" style="150" customWidth="1"/>
    <col min="14" max="14" width="9.85546875" style="150" customWidth="1"/>
    <col min="15" max="17" width="9.5703125" style="150" customWidth="1"/>
    <col min="18" max="18" width="9.85546875" style="150" customWidth="1"/>
    <col min="19" max="21" width="9.5703125" style="150" customWidth="1"/>
    <col min="22" max="23" width="9.85546875" style="150" customWidth="1"/>
    <col min="24" max="16384" width="9.140625" style="150"/>
  </cols>
  <sheetData>
    <row r="1" spans="1:12" ht="13.5" customHeight="1">
      <c r="A1" s="148" t="str">
        <f>muni&amp;" - "&amp;TableA22</f>
        <v>NC071 Ubuntu - Supporting Table SA22 Summary councillor and staff benefits</v>
      </c>
      <c r="B1" s="148"/>
      <c r="C1" s="148"/>
      <c r="D1" s="148"/>
      <c r="E1" s="148"/>
      <c r="F1" s="148"/>
      <c r="G1" s="148"/>
      <c r="H1" s="148"/>
      <c r="I1" s="148"/>
      <c r="J1" s="148"/>
      <c r="K1" s="148"/>
    </row>
    <row r="2" spans="1:12" ht="28.5" customHeight="1">
      <c r="A2" s="979" t="s">
        <v>1754</v>
      </c>
      <c r="B2" s="394" t="str">
        <f>head27</f>
        <v>Ref</v>
      </c>
      <c r="C2" s="151" t="str">
        <f>head1b</f>
        <v>2007/8</v>
      </c>
      <c r="D2" s="740" t="str">
        <f>head1A</f>
        <v>2008/9</v>
      </c>
      <c r="E2" s="147" t="str">
        <f>Head1</f>
        <v>2009/10</v>
      </c>
      <c r="F2" s="2772" t="str">
        <f>Head2</f>
        <v>Current Year 2010/11</v>
      </c>
      <c r="G2" s="2773"/>
      <c r="H2" s="2777"/>
      <c r="I2" s="2770" t="str">
        <f>Head3</f>
        <v>2011/12 Medium Term Revenue &amp; Expenditure Framework</v>
      </c>
      <c r="J2" s="2770"/>
      <c r="K2" s="2771"/>
    </row>
    <row r="3" spans="1:12" ht="25.5">
      <c r="A3" s="169" t="s">
        <v>697</v>
      </c>
      <c r="B3" s="984"/>
      <c r="C3" s="365" t="str">
        <f>Head5</f>
        <v>Audited Outcome</v>
      </c>
      <c r="D3" s="993" t="str">
        <f>Head5</f>
        <v>Audited Outcome</v>
      </c>
      <c r="E3" s="366" t="str">
        <f>Head5</f>
        <v>Audited Outcome</v>
      </c>
      <c r="F3" s="283" t="str">
        <f>Head6</f>
        <v>Original Budget</v>
      </c>
      <c r="G3" s="365" t="str">
        <f>Head7</f>
        <v>Adjusted Budget</v>
      </c>
      <c r="H3" s="366" t="str">
        <f>Head8</f>
        <v>Full Year Forecast</v>
      </c>
      <c r="I3" s="364" t="str">
        <f>Head9</f>
        <v>Budget Year 2011/12</v>
      </c>
      <c r="J3" s="365" t="str">
        <f>Head10</f>
        <v>Budget Year +1 2012/13</v>
      </c>
      <c r="K3" s="366" t="str">
        <f>Head11</f>
        <v>Budget Year +2 2013/14</v>
      </c>
    </row>
    <row r="4" spans="1:12">
      <c r="A4" s="235"/>
      <c r="B4" s="171">
        <v>1</v>
      </c>
      <c r="C4" s="171" t="s">
        <v>423</v>
      </c>
      <c r="D4" s="171" t="s">
        <v>1441</v>
      </c>
      <c r="E4" s="805" t="s">
        <v>520</v>
      </c>
      <c r="F4" s="806" t="s">
        <v>571</v>
      </c>
      <c r="G4" s="171" t="s">
        <v>1658</v>
      </c>
      <c r="H4" s="805" t="s">
        <v>1659</v>
      </c>
      <c r="I4" s="636" t="s">
        <v>1660</v>
      </c>
      <c r="J4" s="171" t="s">
        <v>585</v>
      </c>
      <c r="K4" s="805" t="s">
        <v>586</v>
      </c>
    </row>
    <row r="5" spans="1:12" ht="11.25" customHeight="1">
      <c r="A5" s="235" t="s">
        <v>799</v>
      </c>
      <c r="B5" s="171"/>
      <c r="C5" s="189"/>
      <c r="D5" s="189"/>
      <c r="E5" s="190"/>
      <c r="F5" s="191"/>
      <c r="G5" s="189"/>
      <c r="H5" s="190"/>
      <c r="I5" s="188"/>
      <c r="J5" s="189"/>
      <c r="K5" s="190"/>
    </row>
    <row r="6" spans="1:12" ht="11.25" customHeight="1">
      <c r="A6" s="236" t="s">
        <v>112</v>
      </c>
      <c r="B6" s="171"/>
      <c r="C6" s="1805">
        <f>SUMIFS(TB!N:N,TB!$L:$L,'SA22'!$A$5,TB!$M:$M,'SA22'!$A6)</f>
        <v>0</v>
      </c>
      <c r="D6" s="1805">
        <f>[5]SA22!$E$6</f>
        <v>912269</v>
      </c>
      <c r="E6" s="1820">
        <f>[5]SA22!$F$6</f>
        <v>930168</v>
      </c>
      <c r="F6" s="1821">
        <f>[5]SA22!$I$6</f>
        <v>1014693</v>
      </c>
      <c r="G6" s="1805">
        <f>SUMIFS(TB!R:R,TB!$L:$L,'SA22'!$A$5,TB!$M:$M,'SA22'!$A6)</f>
        <v>0</v>
      </c>
      <c r="H6" s="1820">
        <f>SUMIFS(TB!S:S,TB!$L:$L,'SA22'!$A$5,TB!$M:$M,'SA22'!$A6)</f>
        <v>0</v>
      </c>
      <c r="I6" s="1822">
        <v>937724.8</v>
      </c>
      <c r="J6" s="1805">
        <f>SUMIFS(TB!V:V,TB!$L:$L,'SA22'!$A$5,TB!$M:$M,'SA22'!$A6)</f>
        <v>0</v>
      </c>
      <c r="K6" s="1820">
        <f>SUMIFS(TB!W:W,TB!$L:$L,'SA22'!$A$5,TB!$M:$M,'SA22'!$A6)</f>
        <v>0</v>
      </c>
    </row>
    <row r="7" spans="1:12" ht="11.25" customHeight="1">
      <c r="A7" s="236" t="s">
        <v>800</v>
      </c>
      <c r="B7" s="171"/>
      <c r="C7" s="1805">
        <f>SUMIFS(TB!N:N,TB!$L:$L,'SA22'!$A$5,TB!$M:$M,'SA22'!$A7)</f>
        <v>0</v>
      </c>
      <c r="D7" s="1805">
        <f>[5]SA22!$E$7</f>
        <v>160988</v>
      </c>
      <c r="E7" s="1820">
        <f>[5]SA22!$F$7</f>
        <v>120938</v>
      </c>
      <c r="F7" s="1821">
        <f>[5]SA22!$I$7</f>
        <v>160938</v>
      </c>
      <c r="G7" s="1805">
        <f>SUMIFS(TB!R:R,TB!$L:$L,'SA22'!$A$5,TB!$M:$M,'SA22'!$A7)</f>
        <v>0</v>
      </c>
      <c r="H7" s="1820">
        <f>SUMIFS(TB!S:S,TB!$L:$L,'SA22'!$A$5,TB!$M:$M,'SA22'!$A7)</f>
        <v>0</v>
      </c>
      <c r="I7" s="1822">
        <v>157376</v>
      </c>
      <c r="J7" s="1805">
        <f>SUMIFS(TB!V:V,TB!$L:$L,'SA22'!$A$5,TB!$M:$M,'SA22'!$A7)</f>
        <v>0</v>
      </c>
      <c r="K7" s="1820">
        <f>SUMIFS(TB!W:W,TB!$L:$L,'SA22'!$A$5,TB!$M:$M,'SA22'!$A7)</f>
        <v>0</v>
      </c>
    </row>
    <row r="8" spans="1:12" ht="11.25" customHeight="1">
      <c r="A8" s="236" t="s">
        <v>801</v>
      </c>
      <c r="B8" s="171"/>
      <c r="C8" s="1805">
        <f>SUMIFS(TB!N:N,TB!$L:$L,'SA22'!$A$5,TB!$M:$M,'SA22'!$A8)</f>
        <v>0</v>
      </c>
      <c r="D8" s="1805">
        <v>0</v>
      </c>
      <c r="E8" s="1820">
        <f>[5]SA22!$F$8</f>
        <v>103680</v>
      </c>
      <c r="F8" s="1821">
        <f>[5]SA22!$I$8</f>
        <v>144680</v>
      </c>
      <c r="G8" s="1805">
        <f>SUMIFS(TB!R:R,TB!$L:$L,'SA22'!$A$5,TB!$M:$M,'SA22'!$A8)</f>
        <v>0</v>
      </c>
      <c r="H8" s="1820">
        <f>SUMIFS(TB!S:S,TB!$L:$L,'SA22'!$A$5,TB!$M:$M,'SA22'!$A8)</f>
        <v>0</v>
      </c>
      <c r="I8" s="1822">
        <v>0</v>
      </c>
      <c r="J8" s="1805">
        <f>SUMIFS(TB!V:V,TB!$L:$L,'SA22'!$A$5,TB!$M:$M,'SA22'!$A8)</f>
        <v>0</v>
      </c>
      <c r="K8" s="1820">
        <f>SUMIFS(TB!W:W,TB!$L:$L,'SA22'!$A$5,TB!$M:$M,'SA22'!$A8)</f>
        <v>0</v>
      </c>
    </row>
    <row r="9" spans="1:12" ht="11.25" customHeight="1">
      <c r="A9" s="236" t="s">
        <v>1715</v>
      </c>
      <c r="B9" s="171"/>
      <c r="C9" s="1805">
        <f>SUMIFS(TB!N:N,TB!$L:$L,'SA22'!$A$5,TB!$M:$M,'SA22'!$A9)</f>
        <v>0</v>
      </c>
      <c r="D9" s="1805">
        <v>0</v>
      </c>
      <c r="E9" s="1820">
        <f>[5]SA22!$F$9</f>
        <v>268751</v>
      </c>
      <c r="F9" s="1821">
        <f>[5]SA22!$I$9</f>
        <v>308751</v>
      </c>
      <c r="G9" s="1805">
        <f>SUMIFS(TB!R:R,TB!$L:$L,'SA22'!$A$5,TB!$M:$M,'SA22'!$A9)</f>
        <v>0</v>
      </c>
      <c r="H9" s="1820">
        <f>SUMIFS(TB!S:S,TB!$L:$L,'SA22'!$A$5,TB!$M:$M,'SA22'!$A9)</f>
        <v>0</v>
      </c>
      <c r="I9" s="1822">
        <v>317420.53999999998</v>
      </c>
      <c r="J9" s="1805">
        <f>SUMIFS(TB!V:V,TB!$L:$L,'SA22'!$A$5,TB!$M:$M,'SA22'!$A9)</f>
        <v>0</v>
      </c>
      <c r="K9" s="1820">
        <f>SUMIFS(TB!W:W,TB!$L:$L,'SA22'!$A$5,TB!$M:$M,'SA22'!$A9)</f>
        <v>0</v>
      </c>
      <c r="L9" s="345"/>
    </row>
    <row r="10" spans="1:12" ht="11.25" customHeight="1">
      <c r="A10" s="236" t="s">
        <v>1641</v>
      </c>
      <c r="B10" s="171"/>
      <c r="C10" s="1805">
        <f>SUMIFS(TB!N:N,TB!$L:$L,'SA22'!$A$5,TB!$M:$M,'SA22'!$A10)</f>
        <v>0</v>
      </c>
      <c r="D10" s="1805">
        <f>[5]SA22!$E$9</f>
        <v>357752</v>
      </c>
      <c r="E10" s="1820">
        <f>[5]SA22!$F$10</f>
        <v>120938</v>
      </c>
      <c r="F10" s="1821">
        <f>[5]SA22!$I$10</f>
        <v>150938</v>
      </c>
      <c r="G10" s="1805">
        <f>SUMIFS(TB!R:R,TB!$L:$L,'SA22'!$A$5,TB!$M:$M,'SA22'!$A10)</f>
        <v>0</v>
      </c>
      <c r="H10" s="1820">
        <f>SUMIFS(TB!S:S,TB!$L:$L,'SA22'!$A$5,TB!$M:$M,'SA22'!$A10)</f>
        <v>0</v>
      </c>
      <c r="I10" s="1822">
        <v>15408</v>
      </c>
      <c r="J10" s="1805">
        <f>SUMIFS(TB!V:V,TB!$L:$L,'SA22'!$A$5,TB!$M:$M,'SA22'!$A10)</f>
        <v>0</v>
      </c>
      <c r="K10" s="1820">
        <f>SUMIFS(TB!W:W,TB!$L:$L,'SA22'!$A$5,TB!$M:$M,'SA22'!$A10)</f>
        <v>0</v>
      </c>
      <c r="L10" s="345"/>
    </row>
    <row r="11" spans="1:12" ht="11.25" customHeight="1">
      <c r="A11" s="236" t="s">
        <v>1035</v>
      </c>
      <c r="B11" s="171"/>
      <c r="C11" s="1805">
        <f>SUMIFS(TB!N:N,TB!$L:$L,'SA22'!$A$5,TB!$M:$M,'SA22'!$A11)</f>
        <v>0</v>
      </c>
      <c r="D11" s="1805">
        <f>[5]SA22!$E$10</f>
        <v>81553</v>
      </c>
      <c r="E11" s="1820">
        <f>SUMIFS(TB!P:P,TB!$L:$L,'SA22'!$A$5,TB!$M:$M,'SA22'!$A11)</f>
        <v>0</v>
      </c>
      <c r="F11" s="1821">
        <f>SUMIFS(TB!Q:Q,TB!$L:$L,'SA22'!$A$5,TB!$M:$M,'SA22'!$A11)</f>
        <v>0</v>
      </c>
      <c r="G11" s="1805">
        <f>SUMIFS(TB!R:R,TB!$L:$L,'SA22'!$A$5,TB!$M:$M,'SA22'!$A11)</f>
        <v>0</v>
      </c>
      <c r="H11" s="1820">
        <f>SUMIFS(TB!S:S,TB!$L:$L,'SA22'!$A$5,TB!$M:$M,'SA22'!$A11)</f>
        <v>0</v>
      </c>
      <c r="I11" s="1822">
        <f>SUMIFS(TB!U:U,TB!$L:$L,'SA22'!$A$5,TB!$M:$M,'SA22'!$A11)</f>
        <v>0</v>
      </c>
      <c r="J11" s="1805">
        <f>SUMIFS(TB!V:V,TB!$L:$L,'SA22'!$A$5,TB!$M:$M,'SA22'!$A11)</f>
        <v>0</v>
      </c>
      <c r="K11" s="1820">
        <f>SUMIFS(TB!W:W,TB!$L:$L,'SA22'!$A$5,TB!$M:$M,'SA22'!$A11)</f>
        <v>0</v>
      </c>
      <c r="L11" s="345"/>
    </row>
    <row r="12" spans="1:12" ht="11.25" customHeight="1">
      <c r="A12" s="179" t="s">
        <v>1403</v>
      </c>
      <c r="B12" s="171"/>
      <c r="C12" s="1805">
        <f>SUMIFS(TB!N:N,TB!$L:$L,'SA22'!$A$5,TB!$M:$M,'SA22'!$A12)</f>
        <v>0</v>
      </c>
      <c r="D12" s="1805">
        <v>0</v>
      </c>
      <c r="E12" s="1820">
        <f>SUMIFS(TB!P:P,TB!$L:$L,'SA22'!$A$5,TB!$M:$M,'SA22'!$A12)</f>
        <v>0</v>
      </c>
      <c r="F12" s="1821">
        <f>SUMIFS(TB!Q:Q,TB!$L:$L,'SA22'!$A$5,TB!$M:$M,'SA22'!$A12)</f>
        <v>0</v>
      </c>
      <c r="G12" s="1805">
        <f>SUMIFS(TB!R:R,TB!$L:$L,'SA22'!$A$5,TB!$M:$M,'SA22'!$A12)</f>
        <v>0</v>
      </c>
      <c r="H12" s="1820">
        <f>SUMIFS(TB!S:S,TB!$L:$L,'SA22'!$A$5,TB!$M:$M,'SA22'!$A12)</f>
        <v>0</v>
      </c>
      <c r="I12" s="1822">
        <f>SUMIFS(TB!U:U,TB!$L:$L,'SA22'!$A$5,TB!$M:$M,'SA22'!$A12)</f>
        <v>0</v>
      </c>
      <c r="J12" s="1805">
        <f>SUMIFS(TB!V:V,TB!$L:$L,'SA22'!$A$5,TB!$M:$M,'SA22'!$A12)</f>
        <v>0</v>
      </c>
      <c r="K12" s="1820">
        <f>SUMIFS(TB!W:W,TB!$L:$L,'SA22'!$A$5,TB!$M:$M,'SA22'!$A12)</f>
        <v>0</v>
      </c>
      <c r="L12" s="345"/>
    </row>
    <row r="13" spans="1:12" ht="11.25" customHeight="1">
      <c r="A13" s="179" t="s">
        <v>1033</v>
      </c>
      <c r="B13" s="171"/>
      <c r="C13" s="1805">
        <f>SUMIFS(TB!N:N,TB!$L:$L,'SA22'!$A$5,TB!$M:$M,'SA22'!$A13)</f>
        <v>0</v>
      </c>
      <c r="D13" s="1805">
        <f>[5]SA22!$E$13</f>
        <v>70445</v>
      </c>
      <c r="E13" s="1820">
        <f>SUMIFS(TB!P:P,TB!$L:$L,'SA22'!$A$5,TB!$M:$M,'SA22'!$A13)</f>
        <v>0</v>
      </c>
      <c r="F13" s="1821">
        <f>SUMIFS(TB!Q:Q,TB!$L:$L,'SA22'!$A$5,TB!$M:$M,'SA22'!$A13)</f>
        <v>0</v>
      </c>
      <c r="G13" s="1805">
        <f>SUMIFS(TB!R:R,TB!$L:$L,'SA22'!$A$5,TB!$M:$M,'SA22'!$A13)</f>
        <v>0</v>
      </c>
      <c r="H13" s="1820">
        <f>SUMIFS(TB!S:S,TB!$L:$L,'SA22'!$A$5,TB!$M:$M,'SA22'!$A13)</f>
        <v>0</v>
      </c>
      <c r="I13" s="1822">
        <f>SUMIFS(TB!U:U,TB!$L:$L,'SA22'!$A$5,TB!$M:$M,'SA22'!$A13)</f>
        <v>0</v>
      </c>
      <c r="J13" s="1805">
        <f>SUMIFS(TB!V:V,TB!$L:$L,'SA22'!$A$5,TB!$M:$M,'SA22'!$A13)</f>
        <v>0</v>
      </c>
      <c r="K13" s="1820">
        <f>SUMIFS(TB!W:W,TB!$L:$L,'SA22'!$A$5,TB!$M:$M,'SA22'!$A13)</f>
        <v>0</v>
      </c>
      <c r="L13" s="345"/>
    </row>
    <row r="14" spans="1:12" ht="11.25" customHeight="1">
      <c r="A14" s="251" t="s">
        <v>802</v>
      </c>
      <c r="B14" s="171"/>
      <c r="C14" s="253">
        <f t="shared" ref="C14:K14" si="0">SUM(C6:C13)</f>
        <v>0</v>
      </c>
      <c r="D14" s="199">
        <f t="shared" si="0"/>
        <v>1583007</v>
      </c>
      <c r="E14" s="200">
        <f t="shared" si="0"/>
        <v>1544475</v>
      </c>
      <c r="F14" s="201">
        <f t="shared" si="0"/>
        <v>1780000</v>
      </c>
      <c r="G14" s="199">
        <f t="shared" si="0"/>
        <v>0</v>
      </c>
      <c r="H14" s="200">
        <f t="shared" si="0"/>
        <v>0</v>
      </c>
      <c r="I14" s="198">
        <f t="shared" si="0"/>
        <v>1427929.34</v>
      </c>
      <c r="J14" s="199">
        <f t="shared" si="0"/>
        <v>0</v>
      </c>
      <c r="K14" s="200">
        <f t="shared" si="0"/>
        <v>0</v>
      </c>
      <c r="L14" s="345"/>
    </row>
    <row r="15" spans="1:12" ht="11.25" customHeight="1">
      <c r="A15" s="348" t="s">
        <v>989</v>
      </c>
      <c r="B15" s="171">
        <v>4</v>
      </c>
      <c r="C15" s="807"/>
      <c r="D15" s="808">
        <f>IF(ISERROR((D14/C14)-1),0,((D14/C14)-1))</f>
        <v>0</v>
      </c>
      <c r="E15" s="843">
        <f t="shared" ref="E15:K15" si="1">IF(ISERROR((E14/D14)-1),0,((E14/D14)-1))</f>
        <v>-2.4341016811675553E-2</v>
      </c>
      <c r="F15" s="1191">
        <f t="shared" si="1"/>
        <v>0.15249518444778976</v>
      </c>
      <c r="G15" s="808">
        <f t="shared" si="1"/>
        <v>-1</v>
      </c>
      <c r="H15" s="843">
        <f t="shared" si="1"/>
        <v>0</v>
      </c>
      <c r="I15" s="1191">
        <f t="shared" si="1"/>
        <v>0</v>
      </c>
      <c r="J15" s="808">
        <f t="shared" si="1"/>
        <v>-1</v>
      </c>
      <c r="K15" s="843">
        <f t="shared" si="1"/>
        <v>0</v>
      </c>
      <c r="L15" s="345"/>
    </row>
    <row r="16" spans="1:12" ht="5.0999999999999996" customHeight="1">
      <c r="A16" s="259"/>
      <c r="B16" s="171"/>
      <c r="C16" s="492"/>
      <c r="D16" s="378"/>
      <c r="E16" s="181"/>
      <c r="F16" s="375"/>
      <c r="G16" s="378"/>
      <c r="H16" s="181"/>
      <c r="I16" s="290"/>
      <c r="J16" s="378"/>
      <c r="K16" s="181"/>
      <c r="L16" s="345"/>
    </row>
    <row r="17" spans="1:12" ht="11.25" customHeight="1">
      <c r="A17" s="235" t="s">
        <v>1401</v>
      </c>
      <c r="B17" s="171">
        <v>2</v>
      </c>
      <c r="C17" s="193"/>
      <c r="D17" s="189"/>
      <c r="E17" s="190"/>
      <c r="F17" s="191"/>
      <c r="G17" s="189"/>
      <c r="H17" s="190"/>
      <c r="I17" s="188"/>
      <c r="J17" s="189"/>
      <c r="K17" s="190"/>
      <c r="L17" s="345"/>
    </row>
    <row r="18" spans="1:12" ht="11.25" customHeight="1">
      <c r="A18" s="236" t="str">
        <f>$A$6</f>
        <v>Salary</v>
      </c>
      <c r="B18" s="171"/>
      <c r="C18" s="1805"/>
      <c r="D18" s="1805">
        <f>[5]SA22!$E$18</f>
        <v>1327041</v>
      </c>
      <c r="E18" s="1820">
        <f>[5]SA22!$F$18</f>
        <v>1484512</v>
      </c>
      <c r="F18" s="1821">
        <f>[5]SA22!$I$18</f>
        <v>1683770</v>
      </c>
      <c r="G18" s="1805"/>
      <c r="H18" s="1820"/>
      <c r="I18" s="1822">
        <v>1669940</v>
      </c>
      <c r="J18" s="1805"/>
      <c r="K18" s="1820">
        <f>J18*1.075</f>
        <v>0</v>
      </c>
      <c r="L18" s="345"/>
    </row>
    <row r="19" spans="1:12" ht="11.25" customHeight="1">
      <c r="A19" s="236" t="str">
        <f>A7</f>
        <v>Pension Contributions</v>
      </c>
      <c r="B19" s="171"/>
      <c r="C19" s="1805"/>
      <c r="D19" s="1805">
        <f>[5]SA22!$E$19</f>
        <v>195566</v>
      </c>
      <c r="E19" s="1820">
        <f>[5]SA22!$F$19</f>
        <v>199706</v>
      </c>
      <c r="F19" s="1821">
        <f>[5]SA22!$I$19</f>
        <v>226510</v>
      </c>
      <c r="G19" s="1805"/>
      <c r="H19" s="1820"/>
      <c r="I19" s="1822">
        <v>280488.87</v>
      </c>
      <c r="J19" s="1805"/>
      <c r="K19" s="1820">
        <f t="shared" ref="K19:K26" si="2">J19*1.075</f>
        <v>0</v>
      </c>
      <c r="L19" s="345"/>
    </row>
    <row r="20" spans="1:12" ht="11.25" customHeight="1">
      <c r="A20" s="236" t="str">
        <f>A8</f>
        <v>Medical Aid Contributions</v>
      </c>
      <c r="B20" s="171"/>
      <c r="C20" s="1805"/>
      <c r="D20" s="1805">
        <f>[5]SA22!$E$20</f>
        <v>41146</v>
      </c>
      <c r="E20" s="1820">
        <f>[5]SA22!$F$20</f>
        <v>71924</v>
      </c>
      <c r="F20" s="1821">
        <f>[5]SA22!$I$20</f>
        <v>81577</v>
      </c>
      <c r="G20" s="1805"/>
      <c r="H20" s="1820"/>
      <c r="I20" s="1822">
        <v>113233.8</v>
      </c>
      <c r="J20" s="1805"/>
      <c r="K20" s="1820">
        <f t="shared" si="2"/>
        <v>0</v>
      </c>
      <c r="L20" s="345"/>
    </row>
    <row r="21" spans="1:12" ht="11.25" customHeight="1">
      <c r="A21" s="236" t="str">
        <f>A9</f>
        <v>Motor vehicle allowance</v>
      </c>
      <c r="B21" s="171"/>
      <c r="C21" s="1805"/>
      <c r="D21" s="1805">
        <f>[5]SA22!$E$21</f>
        <v>384297</v>
      </c>
      <c r="E21" s="1820">
        <f>[5]SA22!$F$21</f>
        <v>384297</v>
      </c>
      <c r="F21" s="1821">
        <f>[5]SA22!$I$21</f>
        <v>435878</v>
      </c>
      <c r="G21" s="1805"/>
      <c r="H21" s="1820"/>
      <c r="I21" s="1822">
        <v>397123.8</v>
      </c>
      <c r="J21" s="1805"/>
      <c r="K21" s="1820">
        <f t="shared" si="2"/>
        <v>0</v>
      </c>
      <c r="L21" s="345"/>
    </row>
    <row r="22" spans="1:12" ht="11.25" customHeight="1">
      <c r="A22" s="236" t="s">
        <v>1641</v>
      </c>
      <c r="B22" s="171"/>
      <c r="C22" s="1805"/>
      <c r="D22" s="1805">
        <f>[5]SA22!$E$22</f>
        <v>16597</v>
      </c>
      <c r="E22" s="1820">
        <f>[5]SA22!$F$22</f>
        <v>16597</v>
      </c>
      <c r="F22" s="1821">
        <f>[5]SA22!$I$22</f>
        <v>18823</v>
      </c>
      <c r="G22" s="1805"/>
      <c r="H22" s="1820"/>
      <c r="I22" s="1822">
        <v>20712</v>
      </c>
      <c r="J22" s="1805"/>
      <c r="K22" s="1820">
        <f t="shared" si="2"/>
        <v>0</v>
      </c>
      <c r="L22" s="345"/>
    </row>
    <row r="23" spans="1:12" ht="11.25" customHeight="1">
      <c r="A23" s="236" t="str">
        <f>A11</f>
        <v>Housing allowance</v>
      </c>
      <c r="B23" s="171"/>
      <c r="C23" s="1805"/>
      <c r="D23" s="1805">
        <f>[5]SA22!$E$23</f>
        <v>12346</v>
      </c>
      <c r="E23" s="1820">
        <f>[5]SA22!$F$23</f>
        <v>12346</v>
      </c>
      <c r="F23" s="1821">
        <f>[5]SA22!$I$23</f>
        <v>14002</v>
      </c>
      <c r="G23" s="1805"/>
      <c r="H23" s="1820"/>
      <c r="I23" s="1822">
        <v>0</v>
      </c>
      <c r="J23" s="1805">
        <f>I23*1.07</f>
        <v>0</v>
      </c>
      <c r="K23" s="1820">
        <f t="shared" si="2"/>
        <v>0</v>
      </c>
      <c r="L23" s="345"/>
    </row>
    <row r="24" spans="1:12" ht="11.25" customHeight="1">
      <c r="A24" s="236" t="s">
        <v>803</v>
      </c>
      <c r="B24" s="171"/>
      <c r="C24" s="1805"/>
      <c r="D24" s="1805">
        <f>[5]SA22!$E$24</f>
        <v>212480</v>
      </c>
      <c r="E24" s="1820">
        <f>[5]SA22!$F$24</f>
        <v>226291</v>
      </c>
      <c r="F24" s="1821">
        <f>[5]SA22!$I$24</f>
        <v>256663</v>
      </c>
      <c r="G24" s="1805"/>
      <c r="H24" s="1820"/>
      <c r="I24" s="1822">
        <f>'SA23'!G57</f>
        <v>0</v>
      </c>
      <c r="J24" s="1805">
        <f>I24*1.07</f>
        <v>0</v>
      </c>
      <c r="K24" s="1820">
        <f t="shared" si="2"/>
        <v>0</v>
      </c>
      <c r="L24" s="345"/>
    </row>
    <row r="25" spans="1:12" ht="11.25" customHeight="1">
      <c r="A25" s="236" t="s">
        <v>1403</v>
      </c>
      <c r="B25" s="171"/>
      <c r="C25" s="1805"/>
      <c r="D25" s="1805">
        <f>[5]SA22!$E$25</f>
        <v>15563</v>
      </c>
      <c r="E25" s="1820"/>
      <c r="F25" s="1821"/>
      <c r="G25" s="1805"/>
      <c r="H25" s="1820"/>
      <c r="I25" s="1822">
        <v>0</v>
      </c>
      <c r="J25" s="1805">
        <f>I25*1.07</f>
        <v>0</v>
      </c>
      <c r="K25" s="1820">
        <f t="shared" si="2"/>
        <v>0</v>
      </c>
      <c r="L25" s="345"/>
    </row>
    <row r="26" spans="1:12" ht="11.25" customHeight="1">
      <c r="A26" s="236" t="s">
        <v>1033</v>
      </c>
      <c r="B26" s="171"/>
      <c r="C26" s="1805"/>
      <c r="D26" s="1805"/>
      <c r="E26" s="1820"/>
      <c r="F26" s="1821"/>
      <c r="G26" s="1805"/>
      <c r="H26" s="1820"/>
      <c r="I26" s="1822">
        <v>0</v>
      </c>
      <c r="J26" s="1805">
        <f>I26*1.07</f>
        <v>0</v>
      </c>
      <c r="K26" s="1820">
        <f t="shared" si="2"/>
        <v>0</v>
      </c>
      <c r="L26" s="345"/>
    </row>
    <row r="27" spans="1:12" ht="11.25" customHeight="1">
      <c r="A27" s="251" t="s">
        <v>804</v>
      </c>
      <c r="B27" s="171"/>
      <c r="C27" s="253">
        <f>SUM(C18:C26)</f>
        <v>0</v>
      </c>
      <c r="D27" s="199">
        <f t="shared" ref="D27:K27" si="3">SUM(D18:D26)</f>
        <v>2205036</v>
      </c>
      <c r="E27" s="200">
        <f t="shared" si="3"/>
        <v>2395673</v>
      </c>
      <c r="F27" s="201">
        <f t="shared" si="3"/>
        <v>2717223</v>
      </c>
      <c r="G27" s="199">
        <f t="shared" si="3"/>
        <v>0</v>
      </c>
      <c r="H27" s="200">
        <f t="shared" si="3"/>
        <v>0</v>
      </c>
      <c r="I27" s="198">
        <f t="shared" si="3"/>
        <v>2481498.4700000002</v>
      </c>
      <c r="J27" s="199">
        <f t="shared" si="3"/>
        <v>0</v>
      </c>
      <c r="K27" s="200">
        <f t="shared" si="3"/>
        <v>0</v>
      </c>
      <c r="L27" s="345"/>
    </row>
    <row r="28" spans="1:12" ht="11.25" customHeight="1">
      <c r="A28" s="348" t="str">
        <f>$A$15</f>
        <v>% increase</v>
      </c>
      <c r="B28" s="171">
        <f>$B$15</f>
        <v>4</v>
      </c>
      <c r="C28" s="807"/>
      <c r="D28" s="808">
        <f>IF(ISERROR((D27/C27)-1),0,((D27/C27)-1))</f>
        <v>0</v>
      </c>
      <c r="E28" s="809">
        <f t="shared" ref="E28:K28" si="4">IF(ISERROR((E27/D27)-1),0,((E27/D27)-1))</f>
        <v>8.645527782766349E-2</v>
      </c>
      <c r="F28" s="810">
        <f t="shared" si="4"/>
        <v>0.13422115622624631</v>
      </c>
      <c r="G28" s="808">
        <f t="shared" si="4"/>
        <v>-1</v>
      </c>
      <c r="H28" s="809">
        <f t="shared" si="4"/>
        <v>0</v>
      </c>
      <c r="I28" s="811">
        <f t="shared" si="4"/>
        <v>0</v>
      </c>
      <c r="J28" s="808">
        <f t="shared" si="4"/>
        <v>-1</v>
      </c>
      <c r="K28" s="809">
        <f t="shared" si="4"/>
        <v>0</v>
      </c>
      <c r="L28" s="345"/>
    </row>
    <row r="29" spans="1:12" ht="5.0999999999999996" customHeight="1">
      <c r="A29" s="259"/>
      <c r="B29" s="171"/>
      <c r="C29" s="492"/>
      <c r="D29" s="378"/>
      <c r="E29" s="181"/>
      <c r="F29" s="375"/>
      <c r="G29" s="378"/>
      <c r="H29" s="181"/>
      <c r="I29" s="290"/>
      <c r="J29" s="378"/>
      <c r="K29" s="181"/>
      <c r="L29" s="345"/>
    </row>
    <row r="30" spans="1:12" ht="11.25" customHeight="1">
      <c r="A30" s="235" t="s">
        <v>805</v>
      </c>
      <c r="B30" s="171"/>
      <c r="C30" s="193"/>
      <c r="D30" s="189"/>
      <c r="E30" s="190"/>
      <c r="F30" s="191"/>
      <c r="G30" s="189"/>
      <c r="H30" s="190"/>
      <c r="I30" s="188"/>
      <c r="J30" s="189"/>
      <c r="K30" s="190"/>
      <c r="L30" s="345"/>
    </row>
    <row r="31" spans="1:12" ht="11.25" customHeight="1">
      <c r="A31" s="236" t="s">
        <v>1402</v>
      </c>
      <c r="B31" s="171"/>
      <c r="C31" s="1805">
        <f>SUMIFS(TB!N:N,TB!$K:$K,"Employee Related Costs",TB!$M:$M,'SA22'!$A31)-C18-C24</f>
        <v>0</v>
      </c>
      <c r="D31" s="1805">
        <f>[5]SA22!$E$31</f>
        <v>8302318</v>
      </c>
      <c r="E31" s="1820">
        <f>SUMIFS(TB!P:P,TB!$K:$K,"Employee Related Costs",TB!$M:$M,'SA22'!$A31)-E18-E24</f>
        <v>-1710803</v>
      </c>
      <c r="F31" s="1821">
        <f>SUMIFS(TB!Q:Q,TB!$K:$K,"Employee Related Costs",TB!$M:$M,'SA22'!$A31)-F18-F24</f>
        <v>-1940433</v>
      </c>
      <c r="G31" s="1805">
        <f>SUMIFS(TB!R:R,TB!$K:$K,"Employee Related Costs",TB!$M:$M,'SA22'!$A31)-G18-G24</f>
        <v>0</v>
      </c>
      <c r="H31" s="1820">
        <f>SUMIFS(TB!S:S,TB!$K:$K,"Employee Related Costs",TB!$M:$M,'SA22'!$A31)-H18-H24</f>
        <v>0</v>
      </c>
      <c r="I31" s="1822">
        <v>13867183.550000001</v>
      </c>
      <c r="J31" s="1805">
        <f>SUMIFS(TB!U:U,TB!$K:$K,"Employee Related Costs",TB!$M:$M,'SA22'!$A31)-J18-J24</f>
        <v>0</v>
      </c>
      <c r="K31" s="1820">
        <f>SUMIFS(TB!V:V,TB!$K:$K,"Employee Related Costs",TB!$M:$M,'SA22'!$A31)-K18-K24</f>
        <v>0</v>
      </c>
      <c r="L31" s="345"/>
    </row>
    <row r="32" spans="1:12" ht="11.25" customHeight="1">
      <c r="A32" s="236" t="s">
        <v>800</v>
      </c>
      <c r="B32" s="171"/>
      <c r="C32" s="1805">
        <f>SUMIFS(TB!N:N,TB!$K:$K,"Employee Related Costs",TB!$M:$M,'SA22'!$A32)-C19</f>
        <v>0</v>
      </c>
      <c r="D32" s="1805">
        <f>[5]SA22!$E$32</f>
        <v>1228657</v>
      </c>
      <c r="E32" s="1820">
        <f>SUMIFS(TB!P:P,TB!$K:$K,"Employee Related Costs",TB!$M:$M,'SA22'!$A32)-E19</f>
        <v>-199706</v>
      </c>
      <c r="F32" s="1821">
        <f>SUMIFS(TB!Q:Q,TB!$K:$K,"Employee Related Costs",TB!$M:$M,'SA22'!$A32)-F19</f>
        <v>-226510</v>
      </c>
      <c r="G32" s="1805">
        <f>SUMIFS(TB!R:R,TB!$K:$K,"Employee Related Costs",TB!$M:$M,'SA22'!$A32)-G19</f>
        <v>0</v>
      </c>
      <c r="H32" s="1820">
        <f>SUMIFS(TB!S:S,TB!$K:$K,"Employee Related Costs",TB!$M:$M,'SA22'!$A32)-H19</f>
        <v>0</v>
      </c>
      <c r="I32" s="1822">
        <v>2461340.2999999998</v>
      </c>
      <c r="J32" s="1805">
        <f>SUMIFS(TB!U:U,TB!$K:$K,"Employee Related Costs",TB!$M:$M,'SA22'!$A32)-J19</f>
        <v>0</v>
      </c>
      <c r="K32" s="1820">
        <f>SUMIFS(TB!V:V,TB!$K:$K,"Employee Related Costs",TB!$M:$M,'SA22'!$A32)-K19</f>
        <v>0</v>
      </c>
      <c r="L32" s="345"/>
    </row>
    <row r="33" spans="1:15" ht="11.25" customHeight="1">
      <c r="A33" s="236" t="s">
        <v>801</v>
      </c>
      <c r="B33" s="171"/>
      <c r="C33" s="1805">
        <f>SUMIFS(TB!N:N,TB!$K:$K,"Employee Related Costs",TB!$M:$M,'SA22'!$A33)-C20</f>
        <v>0</v>
      </c>
      <c r="D33" s="1805">
        <v>222372</v>
      </c>
      <c r="E33" s="1820">
        <f>SUMIFS(TB!P:P,TB!$K:$K,"Employee Related Costs",TB!$M:$M,'SA22'!$A33)-E20</f>
        <v>-71924</v>
      </c>
      <c r="F33" s="1821">
        <f>SUMIFS(TB!Q:Q,TB!$K:$K,"Employee Related Costs",TB!$M:$M,'SA22'!$A33)-F20</f>
        <v>-81577</v>
      </c>
      <c r="G33" s="1805">
        <f>SUMIFS(TB!R:R,TB!$K:$K,"Employee Related Costs",TB!$M:$M,'SA22'!$A33)-G20</f>
        <v>0</v>
      </c>
      <c r="H33" s="1820">
        <f>SUMIFS(TB!S:S,TB!$K:$K,"Employee Related Costs",TB!$M:$M,'SA22'!$A33)-H20</f>
        <v>0</v>
      </c>
      <c r="I33" s="1822">
        <v>137542</v>
      </c>
      <c r="J33" s="1805">
        <f>SUMIFS(TB!U:U,TB!$K:$K,"Employee Related Costs",TB!$M:$M,'SA22'!$A33)-J20</f>
        <v>0</v>
      </c>
      <c r="K33" s="1820">
        <f>SUMIFS(TB!V:V,TB!$K:$K,"Employee Related Costs",TB!$M:$M,'SA22'!$A33)-K20</f>
        <v>0</v>
      </c>
      <c r="L33" s="345"/>
    </row>
    <row r="34" spans="1:15" ht="11.25" customHeight="1">
      <c r="A34" s="236" t="str">
        <f>A21</f>
        <v>Motor vehicle allowance</v>
      </c>
      <c r="B34" s="171"/>
      <c r="C34" s="1805">
        <f>SUMIFS(TB!N:N,TB!$K:$K,"Employee Related Costs",TB!$M:$M,'SA22'!$A34)-C21</f>
        <v>0</v>
      </c>
      <c r="D34" s="1805">
        <v>653125</v>
      </c>
      <c r="E34" s="1820">
        <f>SUMIFS(TB!P:P,TB!$K:$K,"Employee Related Costs",TB!$M:$M,'SA22'!$A34)-E21</f>
        <v>-384297</v>
      </c>
      <c r="F34" s="1821">
        <f>SUMIFS(TB!Q:Q,TB!$K:$K,"Employee Related Costs",TB!$M:$M,'SA22'!$A34)-F21</f>
        <v>-435878</v>
      </c>
      <c r="G34" s="1805">
        <f>SUMIFS(TB!R:R,TB!$K:$K,"Employee Related Costs",TB!$M:$M,'SA22'!$A34)-G21</f>
        <v>0</v>
      </c>
      <c r="H34" s="1820">
        <f>SUMIFS(TB!S:S,TB!$K:$K,"Employee Related Costs",TB!$M:$M,'SA22'!$A34)-H21</f>
        <v>0</v>
      </c>
      <c r="I34" s="1822">
        <v>473865</v>
      </c>
      <c r="J34" s="1805">
        <f>SUMIFS(TB!U:U,TB!$K:$K,"Employee Related Costs",TB!$M:$M,'SA22'!$A34)-J21</f>
        <v>0</v>
      </c>
      <c r="K34" s="1820">
        <f>SUMIFS(TB!V:V,TB!$K:$K,"Employee Related Costs",TB!$M:$M,'SA22'!$A34)-K21</f>
        <v>0</v>
      </c>
      <c r="L34" s="345"/>
    </row>
    <row r="35" spans="1:15" ht="11.25" customHeight="1">
      <c r="A35" s="236" t="s">
        <v>1641</v>
      </c>
      <c r="B35" s="171"/>
      <c r="C35" s="1805">
        <f>SUMIFS(TB!N:N,TB!$K:$K,"Employee Related Costs",TB!$M:$M,'SA22'!$A35)-C22</f>
        <v>0</v>
      </c>
      <c r="D35" s="1805">
        <v>12553</v>
      </c>
      <c r="E35" s="1820">
        <f>SUMIFS(TB!P:P,TB!$K:$K,"Employee Related Costs",TB!$M:$M,'SA22'!$A35)-E22</f>
        <v>-16597</v>
      </c>
      <c r="F35" s="1821">
        <f>SUMIFS(TB!Q:Q,TB!$K:$K,"Employee Related Costs",TB!$M:$M,'SA22'!$A35)-F22</f>
        <v>-18823</v>
      </c>
      <c r="G35" s="1805">
        <f>SUMIFS(TB!R:R,TB!$K:$K,"Employee Related Costs",TB!$M:$M,'SA22'!$A35)-G22</f>
        <v>0</v>
      </c>
      <c r="H35" s="1820">
        <f>SUMIFS(TB!S:S,TB!$K:$K,"Employee Related Costs",TB!$M:$M,'SA22'!$A35)-H22</f>
        <v>0</v>
      </c>
      <c r="I35" s="1822">
        <v>29693.45</v>
      </c>
      <c r="J35" s="1805">
        <f>SUMIFS(TB!U:U,TB!$K:$K,"Employee Related Costs",TB!$M:$M,'SA22'!$A35)-J22</f>
        <v>0</v>
      </c>
      <c r="K35" s="1820">
        <f>SUMIFS(TB!V:V,TB!$K:$K,"Employee Related Costs",TB!$M:$M,'SA22'!$A35)-K22</f>
        <v>0</v>
      </c>
      <c r="L35" s="345"/>
    </row>
    <row r="36" spans="1:15" ht="11.25" customHeight="1">
      <c r="A36" s="236" t="str">
        <f>A23</f>
        <v>Housing allowance</v>
      </c>
      <c r="B36" s="171"/>
      <c r="C36" s="1805">
        <f>SUMIFS(TB!N:N,TB!$K:$K,"Employee Related Costs",TB!$M:$M,'SA22'!$A36)-C23</f>
        <v>0</v>
      </c>
      <c r="D36" s="1805">
        <v>46878</v>
      </c>
      <c r="E36" s="1820">
        <f>SUMIFS(TB!P:P,TB!$K:$K,"Employee Related Costs",TB!$M:$M,'SA22'!$A36)-E23</f>
        <v>-12346</v>
      </c>
      <c r="F36" s="1821">
        <f>SUMIFS(TB!Q:Q,TB!$K:$K,"Employee Related Costs",TB!$M:$M,'SA22'!$A36)-F23</f>
        <v>-14002</v>
      </c>
      <c r="G36" s="1805">
        <f>SUMIFS(TB!R:R,TB!$K:$K,"Employee Related Costs",TB!$M:$M,'SA22'!$A36)-G23</f>
        <v>0</v>
      </c>
      <c r="H36" s="1820">
        <f>SUMIFS(TB!S:S,TB!$K:$K,"Employee Related Costs",TB!$M:$M,'SA22'!$A36)-H23</f>
        <v>0</v>
      </c>
      <c r="I36" s="1822">
        <f>SUMIFS(TB!T:T,TB!$K:$K,"Employee Related Costs",TB!$M:$M,'SA22'!$A36)-I23</f>
        <v>0</v>
      </c>
      <c r="J36" s="1805">
        <f>SUMIFS(TB!U:U,TB!$K:$K,"Employee Related Costs",TB!$M:$M,'SA22'!$A36)-J23</f>
        <v>0</v>
      </c>
      <c r="K36" s="1820">
        <f>SUMIFS(TB!V:V,TB!$K:$K,"Employee Related Costs",TB!$M:$M,'SA22'!$A36)-K23</f>
        <v>0</v>
      </c>
      <c r="L36" s="345"/>
    </row>
    <row r="37" spans="1:15" ht="11.25" customHeight="1">
      <c r="A37" s="236" t="s">
        <v>1161</v>
      </c>
      <c r="B37" s="171"/>
      <c r="C37" s="1805">
        <f>SUMIFS(TB!N:N,TB!$K:$K,"Employee Related Costs",TB!$M:$M,'SA22'!$A37)</f>
        <v>0</v>
      </c>
      <c r="D37" s="1805">
        <v>532322</v>
      </c>
      <c r="E37" s="1820">
        <f>SUMIFS(TB!P:P,TB!$K:$K,"Employee Related Costs",TB!$M:$M,'SA22'!$A37)</f>
        <v>0</v>
      </c>
      <c r="F37" s="1821">
        <f>SUMIFS(TB!Q:Q,TB!$K:$K,"Employee Related Costs",TB!$M:$M,'SA22'!$A37)</f>
        <v>0</v>
      </c>
      <c r="G37" s="1805">
        <f>SUMIFS(TB!R:R,TB!$K:$K,"Employee Related Costs",TB!$M:$M,'SA22'!$A37)</f>
        <v>0</v>
      </c>
      <c r="H37" s="1820">
        <f>SUMIFS(TB!S:S,TB!$K:$K,"Employee Related Costs",TB!$M:$M,'SA22'!$A37)</f>
        <v>0</v>
      </c>
      <c r="I37" s="1822">
        <f>SUMIFS(TB!T:T,TB!$K:$K,"Employee Related Costs",TB!$M:$M,'SA22'!$A37)</f>
        <v>0</v>
      </c>
      <c r="J37" s="1805">
        <f>SUMIFS(TB!U:U,TB!$K:$K,"Employee Related Costs",TB!$M:$M,'SA22'!$A37)</f>
        <v>0</v>
      </c>
      <c r="K37" s="1820">
        <f>SUMIFS(TB!V:V,TB!$K:$K,"Employee Related Costs",TB!$M:$M,'SA22'!$A37)</f>
        <v>0</v>
      </c>
      <c r="L37" s="345"/>
      <c r="O37" s="345"/>
    </row>
    <row r="38" spans="1:15" ht="11.25" customHeight="1">
      <c r="A38" s="236" t="s">
        <v>803</v>
      </c>
      <c r="B38" s="171"/>
      <c r="C38" s="1805">
        <v>0</v>
      </c>
      <c r="D38" s="1805"/>
      <c r="E38" s="1820">
        <v>0</v>
      </c>
      <c r="F38" s="1821">
        <v>0</v>
      </c>
      <c r="G38" s="1805">
        <v>0</v>
      </c>
      <c r="H38" s="1820">
        <v>0</v>
      </c>
      <c r="I38" s="1822">
        <v>0</v>
      </c>
      <c r="J38" s="1805">
        <v>0</v>
      </c>
      <c r="K38" s="1820">
        <v>0</v>
      </c>
      <c r="L38" s="345"/>
    </row>
    <row r="39" spans="1:15" ht="11.25" customHeight="1">
      <c r="A39" s="236" t="str">
        <f>A25</f>
        <v>Other benefits or allowances</v>
      </c>
      <c r="B39" s="171"/>
      <c r="C39" s="1805">
        <f>SUMIFS(TB!N:N,TB!$K:$K,"Employee Related Costs",TB!$M:$M,'SA22'!$A39)-C25</f>
        <v>0</v>
      </c>
      <c r="D39" s="1805">
        <v>428795</v>
      </c>
      <c r="E39" s="1820">
        <f>SUMIFS(TB!P:P,TB!$K:$K,"Employee Related Costs",TB!$M:$M,'SA22'!$A39)-E25</f>
        <v>0</v>
      </c>
      <c r="F39" s="1821">
        <f>SUMIFS(TB!Q:Q,TB!$K:$K,"Employee Related Costs",TB!$M:$M,'SA22'!$A39)-F25</f>
        <v>0</v>
      </c>
      <c r="G39" s="1805">
        <f>SUMIFS(TB!R:R,TB!$K:$K,"Employee Related Costs",TB!$M:$M,'SA22'!$A39)-G25</f>
        <v>0</v>
      </c>
      <c r="H39" s="1820">
        <f>SUMIFS(TB!S:S,TB!$K:$K,"Employee Related Costs",TB!$M:$M,'SA22'!$A39)-H25</f>
        <v>0</v>
      </c>
      <c r="I39" s="1822">
        <f>SUMIFS(TB!T:T,TB!$K:$K,"Employee Related Costs",TB!$M:$M,'SA22'!$A39)-I25</f>
        <v>0</v>
      </c>
      <c r="J39" s="1805">
        <f>SUMIFS(TB!U:U,TB!$K:$K,"Employee Related Costs",TB!$M:$M,'SA22'!$A39)-J25</f>
        <v>0</v>
      </c>
      <c r="K39" s="1820">
        <f>SUMIFS(TB!V:V,TB!$K:$K,"Employee Related Costs",TB!$M:$M,'SA22'!$A39)-K25</f>
        <v>0</v>
      </c>
      <c r="L39" s="345"/>
    </row>
    <row r="40" spans="1:15" ht="11.25" customHeight="1">
      <c r="A40" s="236" t="str">
        <f>$A$26</f>
        <v>In-kind benefits</v>
      </c>
      <c r="B40" s="171"/>
      <c r="C40" s="1805">
        <f>SUMIFS(TB!N:N,TB!$K:$K,"Employee Related Costs",TB!$M:$M,'SA22'!$A40)-C26</f>
        <v>0</v>
      </c>
      <c r="D40" s="1805"/>
      <c r="E40" s="1820">
        <f>SUMIFS(TB!P:P,TB!$K:$K,"Employee Related Costs",TB!$M:$M,'SA22'!$A40)-E26</f>
        <v>0</v>
      </c>
      <c r="F40" s="1821">
        <f>SUMIFS(TB!Q:Q,TB!$K:$K,"Employee Related Costs",TB!$M:$M,'SA22'!$A40)-F26</f>
        <v>0</v>
      </c>
      <c r="G40" s="1805">
        <f>SUMIFS(TB!R:R,TB!$K:$K,"Employee Related Costs",TB!$M:$M,'SA22'!$A40)-G26</f>
        <v>0</v>
      </c>
      <c r="H40" s="1820">
        <f>SUMIFS(TB!S:S,TB!$K:$K,"Employee Related Costs",TB!$M:$M,'SA22'!$A40)-H26</f>
        <v>0</v>
      </c>
      <c r="I40" s="1822">
        <f>SUMIFS(TB!T:T,TB!$K:$K,"Employee Related Costs",TB!$M:$M,'SA22'!$A40)-I26</f>
        <v>0</v>
      </c>
      <c r="J40" s="1805">
        <f>SUMIFS(TB!U:U,TB!$K:$K,"Employee Related Costs",TB!$M:$M,'SA22'!$A40)-J26</f>
        <v>0</v>
      </c>
      <c r="K40" s="1820">
        <f>SUMIFS(TB!V:V,TB!$K:$K,"Employee Related Costs",TB!$M:$M,'SA22'!$A40)-K26</f>
        <v>0</v>
      </c>
      <c r="L40" s="345"/>
    </row>
    <row r="41" spans="1:15" ht="11.25" customHeight="1">
      <c r="A41" s="251" t="s">
        <v>1928</v>
      </c>
      <c r="B41" s="171"/>
      <c r="C41" s="199">
        <f>SUM(C31:C40)</f>
        <v>0</v>
      </c>
      <c r="D41" s="199">
        <f t="shared" ref="D41:K41" si="5">SUM(D31:D40)</f>
        <v>11427020</v>
      </c>
      <c r="E41" s="200">
        <f t="shared" si="5"/>
        <v>-2395673</v>
      </c>
      <c r="F41" s="201">
        <f t="shared" si="5"/>
        <v>-2717223</v>
      </c>
      <c r="G41" s="199">
        <f t="shared" si="5"/>
        <v>0</v>
      </c>
      <c r="H41" s="200">
        <f t="shared" si="5"/>
        <v>0</v>
      </c>
      <c r="I41" s="198">
        <f t="shared" si="5"/>
        <v>16969624.300000001</v>
      </c>
      <c r="J41" s="199">
        <f t="shared" si="5"/>
        <v>0</v>
      </c>
      <c r="K41" s="200">
        <f t="shared" si="5"/>
        <v>0</v>
      </c>
      <c r="L41" s="345"/>
    </row>
    <row r="42" spans="1:15" ht="11.25" customHeight="1">
      <c r="A42" s="348" t="str">
        <f>$A$15</f>
        <v>% increase</v>
      </c>
      <c r="B42" s="171">
        <f>$B$15</f>
        <v>4</v>
      </c>
      <c r="C42" s="812"/>
      <c r="D42" s="808">
        <f>IF(ISERROR((D41/C41)-1),0,((D41/C41)-1))</f>
        <v>0</v>
      </c>
      <c r="E42" s="809">
        <f t="shared" ref="E42:K42" si="6">IF(ISERROR((E41/D41)-1),0,((E41/D41)-1))</f>
        <v>-1.2096498474667936</v>
      </c>
      <c r="F42" s="810">
        <f t="shared" si="6"/>
        <v>0.13422115622624631</v>
      </c>
      <c r="G42" s="808">
        <f t="shared" si="6"/>
        <v>-1</v>
      </c>
      <c r="H42" s="809">
        <f t="shared" si="6"/>
        <v>0</v>
      </c>
      <c r="I42" s="811">
        <f t="shared" si="6"/>
        <v>0</v>
      </c>
      <c r="J42" s="808">
        <f t="shared" si="6"/>
        <v>-1</v>
      </c>
      <c r="K42" s="809">
        <f t="shared" si="6"/>
        <v>0</v>
      </c>
      <c r="L42" s="345"/>
    </row>
    <row r="43" spans="1:15" ht="5.0999999999999996" customHeight="1">
      <c r="A43" s="259"/>
      <c r="B43" s="171"/>
      <c r="C43" s="378"/>
      <c r="D43" s="378"/>
      <c r="E43" s="181"/>
      <c r="F43" s="375"/>
      <c r="G43" s="378"/>
      <c r="H43" s="181"/>
      <c r="I43" s="290"/>
      <c r="J43" s="378"/>
      <c r="K43" s="181"/>
      <c r="L43" s="345"/>
    </row>
    <row r="44" spans="1:15" ht="11.25" customHeight="1">
      <c r="A44" s="781" t="s">
        <v>1663</v>
      </c>
      <c r="B44" s="782"/>
      <c r="C44" s="262">
        <f>C14+C27+C41</f>
        <v>0</v>
      </c>
      <c r="D44" s="262">
        <f>D14+D27+D41</f>
        <v>15215063</v>
      </c>
      <c r="E44" s="263">
        <f t="shared" ref="E44:K44" si="7">E14+E27+E41</f>
        <v>1544475</v>
      </c>
      <c r="F44" s="264">
        <f t="shared" si="7"/>
        <v>1780000</v>
      </c>
      <c r="G44" s="262">
        <f t="shared" si="7"/>
        <v>0</v>
      </c>
      <c r="H44" s="263">
        <f t="shared" si="7"/>
        <v>0</v>
      </c>
      <c r="I44" s="261">
        <f t="shared" si="7"/>
        <v>20879052.109999999</v>
      </c>
      <c r="J44" s="262">
        <f t="shared" si="7"/>
        <v>0</v>
      </c>
      <c r="K44" s="263">
        <f t="shared" si="7"/>
        <v>0</v>
      </c>
      <c r="L44" s="345"/>
    </row>
    <row r="45" spans="1:15" ht="11.25" customHeight="1">
      <c r="A45" s="259"/>
      <c r="B45" s="171"/>
      <c r="C45" s="813"/>
      <c r="D45" s="808">
        <f>IF(ISERROR((D44/C44)-1),0,((D44/C44)-1))</f>
        <v>0</v>
      </c>
      <c r="E45" s="809">
        <f t="shared" ref="E45:K45" si="8">IF(ISERROR((E44/D44)-1),0,((E44/D44)-1))</f>
        <v>-0.89849039731218994</v>
      </c>
      <c r="F45" s="810">
        <f t="shared" si="8"/>
        <v>0.15249518444778976</v>
      </c>
      <c r="G45" s="808">
        <f t="shared" si="8"/>
        <v>-1</v>
      </c>
      <c r="H45" s="809">
        <f t="shared" si="8"/>
        <v>0</v>
      </c>
      <c r="I45" s="811">
        <f t="shared" si="8"/>
        <v>0</v>
      </c>
      <c r="J45" s="808">
        <f t="shared" si="8"/>
        <v>-1</v>
      </c>
      <c r="K45" s="809">
        <f t="shared" si="8"/>
        <v>0</v>
      </c>
      <c r="L45" s="345"/>
    </row>
    <row r="46" spans="1:15" ht="5.0999999999999996" customHeight="1">
      <c r="A46" s="259"/>
      <c r="B46" s="171"/>
      <c r="C46" s="378"/>
      <c r="D46" s="814"/>
      <c r="E46" s="815"/>
      <c r="F46" s="816"/>
      <c r="G46" s="814"/>
      <c r="H46" s="815"/>
      <c r="I46" s="817"/>
      <c r="J46" s="814"/>
      <c r="K46" s="815"/>
      <c r="L46" s="345"/>
    </row>
    <row r="47" spans="1:15" ht="11.25" customHeight="1">
      <c r="A47" s="235" t="s">
        <v>976</v>
      </c>
      <c r="B47" s="171"/>
      <c r="C47" s="189"/>
      <c r="D47" s="189"/>
      <c r="E47" s="190"/>
      <c r="F47" s="191"/>
      <c r="G47" s="189"/>
      <c r="H47" s="190"/>
      <c r="I47" s="188"/>
      <c r="J47" s="189"/>
      <c r="K47" s="190"/>
      <c r="L47" s="345"/>
    </row>
    <row r="48" spans="1:15" ht="11.25" customHeight="1">
      <c r="A48" s="236" t="str">
        <f>A6</f>
        <v>Salary</v>
      </c>
      <c r="B48" s="171"/>
      <c r="C48" s="1805">
        <v>0</v>
      </c>
      <c r="D48" s="1805">
        <v>0</v>
      </c>
      <c r="E48" s="1820">
        <v>0</v>
      </c>
      <c r="F48" s="1821">
        <v>0</v>
      </c>
      <c r="G48" s="1805">
        <v>0</v>
      </c>
      <c r="H48" s="1820">
        <v>0</v>
      </c>
      <c r="I48" s="1822">
        <v>0</v>
      </c>
      <c r="J48" s="1805">
        <v>0</v>
      </c>
      <c r="K48" s="1820">
        <v>0</v>
      </c>
      <c r="L48" s="345"/>
    </row>
    <row r="49" spans="1:12" ht="11.25" customHeight="1">
      <c r="A49" s="236" t="str">
        <f>A7</f>
        <v>Pension Contributions</v>
      </c>
      <c r="B49" s="171"/>
      <c r="C49" s="1805">
        <v>0</v>
      </c>
      <c r="D49" s="1805">
        <v>0</v>
      </c>
      <c r="E49" s="1820">
        <v>0</v>
      </c>
      <c r="F49" s="1821">
        <v>0</v>
      </c>
      <c r="G49" s="1805">
        <v>0</v>
      </c>
      <c r="H49" s="1820">
        <v>0</v>
      </c>
      <c r="I49" s="1822">
        <v>0</v>
      </c>
      <c r="J49" s="1805">
        <v>0</v>
      </c>
      <c r="K49" s="1820">
        <v>0</v>
      </c>
      <c r="L49" s="345"/>
    </row>
    <row r="50" spans="1:12" ht="11.25" customHeight="1">
      <c r="A50" s="236" t="str">
        <f>A8</f>
        <v>Medical Aid Contributions</v>
      </c>
      <c r="B50" s="171"/>
      <c r="C50" s="1805">
        <v>0</v>
      </c>
      <c r="D50" s="1805">
        <v>0</v>
      </c>
      <c r="E50" s="1820">
        <v>0</v>
      </c>
      <c r="F50" s="1821">
        <v>0</v>
      </c>
      <c r="G50" s="1805">
        <v>0</v>
      </c>
      <c r="H50" s="1820">
        <v>0</v>
      </c>
      <c r="I50" s="1822">
        <v>0</v>
      </c>
      <c r="J50" s="1805">
        <v>0</v>
      </c>
      <c r="K50" s="1820">
        <v>0</v>
      </c>
      <c r="L50" s="345"/>
    </row>
    <row r="51" spans="1:12" ht="11.25" customHeight="1">
      <c r="A51" s="236" t="str">
        <f>A9</f>
        <v>Motor vehicle allowance</v>
      </c>
      <c r="B51" s="171"/>
      <c r="C51" s="1805">
        <v>0</v>
      </c>
      <c r="D51" s="1805">
        <v>0</v>
      </c>
      <c r="E51" s="1820">
        <v>0</v>
      </c>
      <c r="F51" s="1821">
        <v>0</v>
      </c>
      <c r="G51" s="1805">
        <v>0</v>
      </c>
      <c r="H51" s="1820">
        <v>0</v>
      </c>
      <c r="I51" s="1822">
        <v>0</v>
      </c>
      <c r="J51" s="1805">
        <v>0</v>
      </c>
      <c r="K51" s="1820">
        <v>0</v>
      </c>
      <c r="L51" s="345"/>
    </row>
    <row r="52" spans="1:12" ht="11.25" customHeight="1">
      <c r="A52" s="236" t="s">
        <v>1643</v>
      </c>
      <c r="B52" s="171"/>
      <c r="C52" s="1805">
        <v>0</v>
      </c>
      <c r="D52" s="1805">
        <v>0</v>
      </c>
      <c r="E52" s="1820">
        <v>0</v>
      </c>
      <c r="F52" s="1821">
        <v>0</v>
      </c>
      <c r="G52" s="1805">
        <v>0</v>
      </c>
      <c r="H52" s="1820">
        <v>0</v>
      </c>
      <c r="I52" s="1822">
        <v>0</v>
      </c>
      <c r="J52" s="1805">
        <v>0</v>
      </c>
      <c r="K52" s="1820">
        <v>0</v>
      </c>
      <c r="L52" s="345"/>
    </row>
    <row r="53" spans="1:12" ht="11.25" customHeight="1">
      <c r="A53" s="236" t="str">
        <f>A11</f>
        <v>Housing allowance</v>
      </c>
      <c r="B53" s="171"/>
      <c r="C53" s="1805">
        <v>0</v>
      </c>
      <c r="D53" s="1805">
        <v>0</v>
      </c>
      <c r="E53" s="1820">
        <v>0</v>
      </c>
      <c r="F53" s="1821">
        <v>0</v>
      </c>
      <c r="G53" s="1805">
        <v>0</v>
      </c>
      <c r="H53" s="1820">
        <v>0</v>
      </c>
      <c r="I53" s="1822">
        <v>0</v>
      </c>
      <c r="J53" s="1805">
        <v>0</v>
      </c>
      <c r="K53" s="1820">
        <v>0</v>
      </c>
      <c r="L53" s="345"/>
    </row>
    <row r="54" spans="1:12" ht="11.25" customHeight="1">
      <c r="A54" s="236" t="s">
        <v>977</v>
      </c>
      <c r="B54" s="171"/>
      <c r="C54" s="1805">
        <v>0</v>
      </c>
      <c r="D54" s="1805">
        <v>0</v>
      </c>
      <c r="E54" s="1820">
        <v>0</v>
      </c>
      <c r="F54" s="1821">
        <v>0</v>
      </c>
      <c r="G54" s="1805">
        <v>0</v>
      </c>
      <c r="H54" s="1820">
        <v>0</v>
      </c>
      <c r="I54" s="1822">
        <v>0</v>
      </c>
      <c r="J54" s="1805">
        <v>0</v>
      </c>
      <c r="K54" s="1820">
        <v>0</v>
      </c>
      <c r="L54" s="345"/>
    </row>
    <row r="55" spans="1:12" ht="11.25" customHeight="1">
      <c r="A55" s="236" t="s">
        <v>1642</v>
      </c>
      <c r="B55" s="171"/>
      <c r="C55" s="1805">
        <v>0</v>
      </c>
      <c r="D55" s="1805">
        <v>0</v>
      </c>
      <c r="E55" s="1820">
        <v>0</v>
      </c>
      <c r="F55" s="1821">
        <v>0</v>
      </c>
      <c r="G55" s="1805">
        <v>0</v>
      </c>
      <c r="H55" s="1820">
        <v>0</v>
      </c>
      <c r="I55" s="1822">
        <v>0</v>
      </c>
      <c r="J55" s="1805">
        <v>0</v>
      </c>
      <c r="K55" s="1820">
        <v>0</v>
      </c>
      <c r="L55" s="345"/>
    </row>
    <row r="56" spans="1:12" ht="11.25" customHeight="1">
      <c r="A56" s="236" t="str">
        <f>$A$26</f>
        <v>In-kind benefits</v>
      </c>
      <c r="B56" s="171"/>
      <c r="C56" s="1805">
        <v>0</v>
      </c>
      <c r="D56" s="1805">
        <v>0</v>
      </c>
      <c r="E56" s="1820">
        <v>0</v>
      </c>
      <c r="F56" s="1821">
        <v>0</v>
      </c>
      <c r="G56" s="1805">
        <v>0</v>
      </c>
      <c r="H56" s="1820">
        <v>0</v>
      </c>
      <c r="I56" s="1822">
        <v>0</v>
      </c>
      <c r="J56" s="1805">
        <v>0</v>
      </c>
      <c r="K56" s="1820">
        <v>0</v>
      </c>
      <c r="L56" s="345"/>
    </row>
    <row r="57" spans="1:12" ht="11.25" customHeight="1">
      <c r="A57" s="251" t="s">
        <v>1429</v>
      </c>
      <c r="B57" s="171"/>
      <c r="C57" s="199">
        <f>SUM(C48:C56)</f>
        <v>0</v>
      </c>
      <c r="D57" s="199">
        <f t="shared" ref="D57:K57" si="9">SUM(D48:D56)</f>
        <v>0</v>
      </c>
      <c r="E57" s="200">
        <f t="shared" si="9"/>
        <v>0</v>
      </c>
      <c r="F57" s="201">
        <f t="shared" si="9"/>
        <v>0</v>
      </c>
      <c r="G57" s="199">
        <f t="shared" si="9"/>
        <v>0</v>
      </c>
      <c r="H57" s="200">
        <f t="shared" si="9"/>
        <v>0</v>
      </c>
      <c r="I57" s="198">
        <f t="shared" si="9"/>
        <v>0</v>
      </c>
      <c r="J57" s="199">
        <f t="shared" si="9"/>
        <v>0</v>
      </c>
      <c r="K57" s="200">
        <f t="shared" si="9"/>
        <v>0</v>
      </c>
      <c r="L57" s="345"/>
    </row>
    <row r="58" spans="1:12" ht="11.25" customHeight="1">
      <c r="A58" s="348" t="str">
        <f>$A$15</f>
        <v>% increase</v>
      </c>
      <c r="B58" s="171">
        <f>$B$15</f>
        <v>4</v>
      </c>
      <c r="C58" s="812"/>
      <c r="D58" s="808">
        <f>IF(ISERROR((D57/C57)-1),0,((D57/C57)-1))</f>
        <v>0</v>
      </c>
      <c r="E58" s="809">
        <f t="shared" ref="E58:K58" si="10">IF(ISERROR((E57/D57)-1),0,((E57/D57)-1))</f>
        <v>0</v>
      </c>
      <c r="F58" s="810">
        <f t="shared" si="10"/>
        <v>0</v>
      </c>
      <c r="G58" s="808">
        <f t="shared" si="10"/>
        <v>0</v>
      </c>
      <c r="H58" s="809">
        <f t="shared" si="10"/>
        <v>0</v>
      </c>
      <c r="I58" s="811">
        <f t="shared" si="10"/>
        <v>0</v>
      </c>
      <c r="J58" s="808">
        <f t="shared" si="10"/>
        <v>0</v>
      </c>
      <c r="K58" s="809">
        <f t="shared" si="10"/>
        <v>0</v>
      </c>
      <c r="L58" s="345"/>
    </row>
    <row r="59" spans="1:12" ht="5.0999999999999996" customHeight="1">
      <c r="A59" s="259"/>
      <c r="B59" s="171"/>
      <c r="C59" s="378"/>
      <c r="D59" s="378"/>
      <c r="E59" s="181"/>
      <c r="F59" s="375"/>
      <c r="G59" s="378"/>
      <c r="H59" s="181"/>
      <c r="I59" s="290"/>
      <c r="J59" s="378"/>
      <c r="K59" s="181"/>
      <c r="L59" s="345"/>
    </row>
    <row r="60" spans="1:12" ht="11.25" customHeight="1">
      <c r="A60" s="235" t="s">
        <v>290</v>
      </c>
      <c r="B60" s="171"/>
      <c r="C60" s="189"/>
      <c r="D60" s="189"/>
      <c r="E60" s="190"/>
      <c r="F60" s="191"/>
      <c r="G60" s="189"/>
      <c r="H60" s="190"/>
      <c r="I60" s="188"/>
      <c r="J60" s="189"/>
      <c r="K60" s="190"/>
      <c r="L60" s="345"/>
    </row>
    <row r="61" spans="1:12" ht="11.25" customHeight="1">
      <c r="A61" s="236" t="str">
        <f>A48</f>
        <v>Salary</v>
      </c>
      <c r="B61" s="171"/>
      <c r="C61" s="1805">
        <v>0</v>
      </c>
      <c r="D61" s="1805">
        <v>0</v>
      </c>
      <c r="E61" s="1820">
        <v>0</v>
      </c>
      <c r="F61" s="1821">
        <v>0</v>
      </c>
      <c r="G61" s="1805">
        <v>0</v>
      </c>
      <c r="H61" s="1820">
        <v>0</v>
      </c>
      <c r="I61" s="1822">
        <v>0</v>
      </c>
      <c r="J61" s="1805">
        <v>0</v>
      </c>
      <c r="K61" s="1820">
        <v>0</v>
      </c>
      <c r="L61" s="345"/>
    </row>
    <row r="62" spans="1:12" ht="11.25" customHeight="1">
      <c r="A62" s="236" t="str">
        <f>A49</f>
        <v>Pension Contributions</v>
      </c>
      <c r="B62" s="171"/>
      <c r="C62" s="1805">
        <v>0</v>
      </c>
      <c r="D62" s="1805">
        <v>0</v>
      </c>
      <c r="E62" s="1820">
        <v>0</v>
      </c>
      <c r="F62" s="1821">
        <v>0</v>
      </c>
      <c r="G62" s="1805">
        <v>0</v>
      </c>
      <c r="H62" s="1820">
        <v>0</v>
      </c>
      <c r="I62" s="1822">
        <v>0</v>
      </c>
      <c r="J62" s="1805">
        <v>0</v>
      </c>
      <c r="K62" s="1820">
        <v>0</v>
      </c>
      <c r="L62" s="345"/>
    </row>
    <row r="63" spans="1:12" ht="11.25" customHeight="1">
      <c r="A63" s="236" t="str">
        <f>A50</f>
        <v>Medical Aid Contributions</v>
      </c>
      <c r="B63" s="171"/>
      <c r="C63" s="1805">
        <v>0</v>
      </c>
      <c r="D63" s="1805">
        <v>0</v>
      </c>
      <c r="E63" s="1820">
        <v>0</v>
      </c>
      <c r="F63" s="1821">
        <v>0</v>
      </c>
      <c r="G63" s="1805">
        <v>0</v>
      </c>
      <c r="H63" s="1820">
        <v>0</v>
      </c>
      <c r="I63" s="1822">
        <v>0</v>
      </c>
      <c r="J63" s="1805">
        <v>0</v>
      </c>
      <c r="K63" s="1820">
        <v>0</v>
      </c>
      <c r="L63" s="345"/>
    </row>
    <row r="64" spans="1:12" ht="11.25" customHeight="1">
      <c r="A64" s="236" t="str">
        <f>A51</f>
        <v>Motor vehicle allowance</v>
      </c>
      <c r="B64" s="171"/>
      <c r="C64" s="1805">
        <v>0</v>
      </c>
      <c r="D64" s="1805">
        <v>0</v>
      </c>
      <c r="E64" s="1820">
        <v>0</v>
      </c>
      <c r="F64" s="1821">
        <v>0</v>
      </c>
      <c r="G64" s="1805">
        <v>0</v>
      </c>
      <c r="H64" s="1820">
        <v>0</v>
      </c>
      <c r="I64" s="1822">
        <v>0</v>
      </c>
      <c r="J64" s="1805">
        <v>0</v>
      </c>
      <c r="K64" s="1820">
        <v>0</v>
      </c>
      <c r="L64" s="345"/>
    </row>
    <row r="65" spans="1:12" ht="11.25" customHeight="1">
      <c r="A65" s="236" t="s">
        <v>1643</v>
      </c>
      <c r="B65" s="171"/>
      <c r="C65" s="1805">
        <v>0</v>
      </c>
      <c r="D65" s="1805">
        <v>0</v>
      </c>
      <c r="E65" s="1820">
        <v>0</v>
      </c>
      <c r="F65" s="1821">
        <v>0</v>
      </c>
      <c r="G65" s="1805">
        <v>0</v>
      </c>
      <c r="H65" s="1820">
        <v>0</v>
      </c>
      <c r="I65" s="1822">
        <v>0</v>
      </c>
      <c r="J65" s="1805">
        <v>0</v>
      </c>
      <c r="K65" s="1820">
        <v>0</v>
      </c>
      <c r="L65" s="345"/>
    </row>
    <row r="66" spans="1:12" ht="11.25" customHeight="1">
      <c r="A66" s="236" t="str">
        <f>A53</f>
        <v>Housing allowance</v>
      </c>
      <c r="B66" s="171"/>
      <c r="C66" s="1805">
        <v>0</v>
      </c>
      <c r="D66" s="1805">
        <v>0</v>
      </c>
      <c r="E66" s="1820">
        <v>0</v>
      </c>
      <c r="F66" s="1821">
        <v>0</v>
      </c>
      <c r="G66" s="1805">
        <v>0</v>
      </c>
      <c r="H66" s="1820">
        <v>0</v>
      </c>
      <c r="I66" s="1822">
        <v>0</v>
      </c>
      <c r="J66" s="1805">
        <v>0</v>
      </c>
      <c r="K66" s="1820">
        <v>0</v>
      </c>
      <c r="L66" s="345"/>
    </row>
    <row r="67" spans="1:12" ht="11.25" customHeight="1">
      <c r="A67" s="236" t="s">
        <v>803</v>
      </c>
      <c r="B67" s="171"/>
      <c r="C67" s="1805">
        <v>0</v>
      </c>
      <c r="D67" s="1805">
        <v>0</v>
      </c>
      <c r="E67" s="1820">
        <v>0</v>
      </c>
      <c r="F67" s="1821">
        <v>0</v>
      </c>
      <c r="G67" s="1805">
        <v>0</v>
      </c>
      <c r="H67" s="1820">
        <v>0</v>
      </c>
      <c r="I67" s="1822">
        <v>0</v>
      </c>
      <c r="J67" s="1805">
        <v>0</v>
      </c>
      <c r="K67" s="1820">
        <v>0</v>
      </c>
      <c r="L67" s="345"/>
    </row>
    <row r="68" spans="1:12" ht="11.25" customHeight="1">
      <c r="A68" s="236" t="str">
        <f>A25</f>
        <v>Other benefits or allowances</v>
      </c>
      <c r="B68" s="171"/>
      <c r="C68" s="1805">
        <v>0</v>
      </c>
      <c r="D68" s="1805">
        <v>0</v>
      </c>
      <c r="E68" s="1820">
        <v>0</v>
      </c>
      <c r="F68" s="1821">
        <v>0</v>
      </c>
      <c r="G68" s="1805">
        <v>0</v>
      </c>
      <c r="H68" s="1820">
        <v>0</v>
      </c>
      <c r="I68" s="1822">
        <v>0</v>
      </c>
      <c r="J68" s="1805">
        <v>0</v>
      </c>
      <c r="K68" s="1820">
        <v>0</v>
      </c>
      <c r="L68" s="345"/>
    </row>
    <row r="69" spans="1:12" ht="11.25" customHeight="1">
      <c r="A69" s="236" t="str">
        <f>$A$26</f>
        <v>In-kind benefits</v>
      </c>
      <c r="B69" s="171"/>
      <c r="C69" s="1805">
        <v>0</v>
      </c>
      <c r="D69" s="1805">
        <v>0</v>
      </c>
      <c r="E69" s="1820">
        <v>0</v>
      </c>
      <c r="F69" s="1821">
        <v>0</v>
      </c>
      <c r="G69" s="1805">
        <v>0</v>
      </c>
      <c r="H69" s="1820">
        <v>0</v>
      </c>
      <c r="I69" s="1822">
        <v>0</v>
      </c>
      <c r="J69" s="1805">
        <v>0</v>
      </c>
      <c r="K69" s="1820">
        <v>0</v>
      </c>
      <c r="L69" s="345"/>
    </row>
    <row r="70" spans="1:12" ht="11.25" customHeight="1">
      <c r="A70" s="251" t="s">
        <v>291</v>
      </c>
      <c r="B70" s="171"/>
      <c r="C70" s="199">
        <f>SUM(C61:C69)</f>
        <v>0</v>
      </c>
      <c r="D70" s="199">
        <f t="shared" ref="D70:K70" si="11">SUM(D61:D69)</f>
        <v>0</v>
      </c>
      <c r="E70" s="200">
        <f t="shared" si="11"/>
        <v>0</v>
      </c>
      <c r="F70" s="201">
        <f t="shared" si="11"/>
        <v>0</v>
      </c>
      <c r="G70" s="199">
        <f t="shared" si="11"/>
        <v>0</v>
      </c>
      <c r="H70" s="200">
        <f t="shared" si="11"/>
        <v>0</v>
      </c>
      <c r="I70" s="198">
        <f t="shared" si="11"/>
        <v>0</v>
      </c>
      <c r="J70" s="199">
        <f t="shared" si="11"/>
        <v>0</v>
      </c>
      <c r="K70" s="200">
        <f t="shared" si="11"/>
        <v>0</v>
      </c>
      <c r="L70" s="345"/>
    </row>
    <row r="71" spans="1:12" ht="11.25" customHeight="1">
      <c r="A71" s="348" t="str">
        <f>$A$15</f>
        <v>% increase</v>
      </c>
      <c r="B71" s="171">
        <f>$B$15</f>
        <v>4</v>
      </c>
      <c r="C71" s="812"/>
      <c r="D71" s="808">
        <f>IF(ISERROR((D70/C70)-1),0,((D70/C70)-1))</f>
        <v>0</v>
      </c>
      <c r="E71" s="809">
        <f t="shared" ref="E71:K71" si="12">IF(ISERROR((E70/D70)-1),0,((E70/D70)-1))</f>
        <v>0</v>
      </c>
      <c r="F71" s="810">
        <f t="shared" si="12"/>
        <v>0</v>
      </c>
      <c r="G71" s="808">
        <f t="shared" si="12"/>
        <v>0</v>
      </c>
      <c r="H71" s="809">
        <f t="shared" si="12"/>
        <v>0</v>
      </c>
      <c r="I71" s="811">
        <f t="shared" si="12"/>
        <v>0</v>
      </c>
      <c r="J71" s="808">
        <f t="shared" si="12"/>
        <v>0</v>
      </c>
      <c r="K71" s="809">
        <f t="shared" si="12"/>
        <v>0</v>
      </c>
      <c r="L71" s="345"/>
    </row>
    <row r="72" spans="1:12" ht="5.0999999999999996" customHeight="1">
      <c r="A72" s="259"/>
      <c r="B72" s="171"/>
      <c r="C72" s="378"/>
      <c r="D72" s="378"/>
      <c r="E72" s="181"/>
      <c r="F72" s="375"/>
      <c r="G72" s="378"/>
      <c r="H72" s="181"/>
      <c r="I72" s="290"/>
      <c r="J72" s="378"/>
      <c r="K72" s="181"/>
      <c r="L72" s="345"/>
    </row>
    <row r="73" spans="1:12" ht="11.25" customHeight="1">
      <c r="A73" s="235" t="s">
        <v>292</v>
      </c>
      <c r="B73" s="171"/>
      <c r="C73" s="189"/>
      <c r="D73" s="189"/>
      <c r="E73" s="190"/>
      <c r="F73" s="191"/>
      <c r="G73" s="189"/>
      <c r="H73" s="190"/>
      <c r="I73" s="188"/>
      <c r="J73" s="189"/>
      <c r="K73" s="190"/>
      <c r="L73" s="345"/>
    </row>
    <row r="74" spans="1:12" ht="11.25" customHeight="1">
      <c r="A74" s="236" t="s">
        <v>1402</v>
      </c>
      <c r="B74" s="171"/>
      <c r="C74" s="1805">
        <v>0</v>
      </c>
      <c r="D74" s="1805">
        <v>0</v>
      </c>
      <c r="E74" s="1820">
        <v>0</v>
      </c>
      <c r="F74" s="1821">
        <v>0</v>
      </c>
      <c r="G74" s="1805">
        <v>0</v>
      </c>
      <c r="H74" s="1820">
        <v>0</v>
      </c>
      <c r="I74" s="1822">
        <v>0</v>
      </c>
      <c r="J74" s="1805">
        <v>0</v>
      </c>
      <c r="K74" s="1820">
        <v>0</v>
      </c>
      <c r="L74" s="345"/>
    </row>
    <row r="75" spans="1:12" ht="11.25" customHeight="1">
      <c r="A75" s="236" t="str">
        <f>A62</f>
        <v>Pension Contributions</v>
      </c>
      <c r="B75" s="171"/>
      <c r="C75" s="1805">
        <v>0</v>
      </c>
      <c r="D75" s="1805">
        <v>0</v>
      </c>
      <c r="E75" s="1820">
        <v>0</v>
      </c>
      <c r="F75" s="1821">
        <v>0</v>
      </c>
      <c r="G75" s="1805">
        <v>0</v>
      </c>
      <c r="H75" s="1820">
        <v>0</v>
      </c>
      <c r="I75" s="1822">
        <v>0</v>
      </c>
      <c r="J75" s="1805">
        <v>0</v>
      </c>
      <c r="K75" s="1820">
        <v>0</v>
      </c>
      <c r="L75" s="345"/>
    </row>
    <row r="76" spans="1:12" ht="11.25" customHeight="1">
      <c r="A76" s="236" t="str">
        <f>A63</f>
        <v>Medical Aid Contributions</v>
      </c>
      <c r="B76" s="171"/>
      <c r="C76" s="1805">
        <v>0</v>
      </c>
      <c r="D76" s="1805">
        <v>0</v>
      </c>
      <c r="E76" s="1820">
        <v>0</v>
      </c>
      <c r="F76" s="1821">
        <v>0</v>
      </c>
      <c r="G76" s="1805">
        <v>0</v>
      </c>
      <c r="H76" s="1820">
        <v>0</v>
      </c>
      <c r="I76" s="1822">
        <v>0</v>
      </c>
      <c r="J76" s="1805">
        <v>0</v>
      </c>
      <c r="K76" s="1820">
        <v>0</v>
      </c>
      <c r="L76" s="345"/>
    </row>
    <row r="77" spans="1:12" ht="11.25" customHeight="1">
      <c r="A77" s="236" t="str">
        <f>A64</f>
        <v>Motor vehicle allowance</v>
      </c>
      <c r="B77" s="171"/>
      <c r="C77" s="1805">
        <v>0</v>
      </c>
      <c r="D77" s="1805">
        <v>0</v>
      </c>
      <c r="E77" s="1820">
        <v>0</v>
      </c>
      <c r="F77" s="1821">
        <v>0</v>
      </c>
      <c r="G77" s="1805">
        <v>0</v>
      </c>
      <c r="H77" s="1820">
        <v>0</v>
      </c>
      <c r="I77" s="1822">
        <v>0</v>
      </c>
      <c r="J77" s="1805">
        <v>0</v>
      </c>
      <c r="K77" s="1820">
        <v>0</v>
      </c>
      <c r="L77" s="345"/>
    </row>
    <row r="78" spans="1:12" ht="11.25" customHeight="1">
      <c r="A78" s="236" t="s">
        <v>1643</v>
      </c>
      <c r="B78" s="171"/>
      <c r="C78" s="1805">
        <v>0</v>
      </c>
      <c r="D78" s="1805">
        <v>0</v>
      </c>
      <c r="E78" s="1820">
        <v>0</v>
      </c>
      <c r="F78" s="1821">
        <v>0</v>
      </c>
      <c r="G78" s="1805">
        <v>0</v>
      </c>
      <c r="H78" s="1820">
        <v>0</v>
      </c>
      <c r="I78" s="1822">
        <v>0</v>
      </c>
      <c r="J78" s="1805">
        <v>0</v>
      </c>
      <c r="K78" s="1820">
        <v>0</v>
      </c>
      <c r="L78" s="345"/>
    </row>
    <row r="79" spans="1:12" ht="11.25" customHeight="1">
      <c r="A79" s="236" t="str">
        <f>A66</f>
        <v>Housing allowance</v>
      </c>
      <c r="B79" s="171"/>
      <c r="C79" s="1805">
        <v>0</v>
      </c>
      <c r="D79" s="1805">
        <v>0</v>
      </c>
      <c r="E79" s="1820">
        <v>0</v>
      </c>
      <c r="F79" s="1821">
        <v>0</v>
      </c>
      <c r="G79" s="1805">
        <v>0</v>
      </c>
      <c r="H79" s="1820">
        <v>0</v>
      </c>
      <c r="I79" s="1822">
        <v>0</v>
      </c>
      <c r="J79" s="1805">
        <v>0</v>
      </c>
      <c r="K79" s="1820">
        <v>0</v>
      </c>
      <c r="L79" s="345"/>
    </row>
    <row r="80" spans="1:12" ht="11.25" customHeight="1">
      <c r="A80" s="236" t="s">
        <v>1161</v>
      </c>
      <c r="B80" s="171"/>
      <c r="C80" s="1805">
        <v>0</v>
      </c>
      <c r="D80" s="1805">
        <v>0</v>
      </c>
      <c r="E80" s="1820">
        <v>0</v>
      </c>
      <c r="F80" s="1821">
        <v>0</v>
      </c>
      <c r="G80" s="1805">
        <v>0</v>
      </c>
      <c r="H80" s="1820">
        <v>0</v>
      </c>
      <c r="I80" s="1822">
        <v>0</v>
      </c>
      <c r="J80" s="1805">
        <v>0</v>
      </c>
      <c r="K80" s="1820">
        <v>0</v>
      </c>
      <c r="L80" s="345"/>
    </row>
    <row r="81" spans="1:14" ht="11.25" customHeight="1">
      <c r="A81" s="236" t="s">
        <v>803</v>
      </c>
      <c r="B81" s="171"/>
      <c r="C81" s="1805">
        <v>0</v>
      </c>
      <c r="D81" s="1805">
        <v>0</v>
      </c>
      <c r="E81" s="1820">
        <v>0</v>
      </c>
      <c r="F81" s="1821">
        <v>0</v>
      </c>
      <c r="G81" s="1805">
        <v>0</v>
      </c>
      <c r="H81" s="1820">
        <v>0</v>
      </c>
      <c r="I81" s="1822">
        <v>0</v>
      </c>
      <c r="J81" s="1805">
        <v>0</v>
      </c>
      <c r="K81" s="1820">
        <v>0</v>
      </c>
      <c r="L81" s="345"/>
    </row>
    <row r="82" spans="1:14" ht="11.25" customHeight="1">
      <c r="A82" s="236" t="str">
        <f>A68</f>
        <v>Other benefits or allowances</v>
      </c>
      <c r="B82" s="171"/>
      <c r="C82" s="1805">
        <v>0</v>
      </c>
      <c r="D82" s="1805">
        <v>0</v>
      </c>
      <c r="E82" s="1820">
        <v>0</v>
      </c>
      <c r="F82" s="1821">
        <v>0</v>
      </c>
      <c r="G82" s="1805">
        <v>0</v>
      </c>
      <c r="H82" s="1820">
        <v>0</v>
      </c>
      <c r="I82" s="1822">
        <v>0</v>
      </c>
      <c r="J82" s="1805">
        <v>0</v>
      </c>
      <c r="K82" s="1820">
        <v>0</v>
      </c>
      <c r="L82" s="345"/>
    </row>
    <row r="83" spans="1:14" ht="11.25" customHeight="1">
      <c r="A83" s="236" t="str">
        <f>$A$26</f>
        <v>In-kind benefits</v>
      </c>
      <c r="B83" s="171"/>
      <c r="C83" s="1805">
        <v>0</v>
      </c>
      <c r="D83" s="1805">
        <v>0</v>
      </c>
      <c r="E83" s="1820">
        <v>0</v>
      </c>
      <c r="F83" s="1821">
        <v>0</v>
      </c>
      <c r="G83" s="1805">
        <v>0</v>
      </c>
      <c r="H83" s="1820">
        <v>0</v>
      </c>
      <c r="I83" s="1822">
        <v>0</v>
      </c>
      <c r="J83" s="1805">
        <v>0</v>
      </c>
      <c r="K83" s="1820">
        <v>0</v>
      </c>
      <c r="L83" s="345"/>
    </row>
    <row r="84" spans="1:14" ht="11.25" customHeight="1">
      <c r="A84" s="251" t="s">
        <v>1400</v>
      </c>
      <c r="B84" s="171"/>
      <c r="C84" s="199">
        <f>SUM(C74:C83)</f>
        <v>0</v>
      </c>
      <c r="D84" s="199">
        <f t="shared" ref="D84:K84" si="13">SUM(D74:D83)</f>
        <v>0</v>
      </c>
      <c r="E84" s="200">
        <f t="shared" si="13"/>
        <v>0</v>
      </c>
      <c r="F84" s="201">
        <f t="shared" si="13"/>
        <v>0</v>
      </c>
      <c r="G84" s="199">
        <f t="shared" si="13"/>
        <v>0</v>
      </c>
      <c r="H84" s="200">
        <f t="shared" si="13"/>
        <v>0</v>
      </c>
      <c r="I84" s="198">
        <f t="shared" si="13"/>
        <v>0</v>
      </c>
      <c r="J84" s="199">
        <f t="shared" si="13"/>
        <v>0</v>
      </c>
      <c r="K84" s="200">
        <f t="shared" si="13"/>
        <v>0</v>
      </c>
      <c r="L84" s="345"/>
    </row>
    <row r="85" spans="1:14" ht="11.25" customHeight="1">
      <c r="A85" s="348" t="str">
        <f>$A$15</f>
        <v>% increase</v>
      </c>
      <c r="B85" s="171">
        <f>$B$15</f>
        <v>4</v>
      </c>
      <c r="C85" s="812"/>
      <c r="D85" s="808">
        <f>IF(ISERROR((D84/C84)-1),0,((D84/C84)-1))</f>
        <v>0</v>
      </c>
      <c r="E85" s="809">
        <f t="shared" ref="E85:K85" si="14">IF(ISERROR((E84/D84)-1),0,((E84/D84)-1))</f>
        <v>0</v>
      </c>
      <c r="F85" s="810">
        <f t="shared" si="14"/>
        <v>0</v>
      </c>
      <c r="G85" s="808">
        <f t="shared" si="14"/>
        <v>0</v>
      </c>
      <c r="H85" s="809">
        <f t="shared" si="14"/>
        <v>0</v>
      </c>
      <c r="I85" s="811">
        <f t="shared" si="14"/>
        <v>0</v>
      </c>
      <c r="J85" s="808">
        <f t="shared" si="14"/>
        <v>0</v>
      </c>
      <c r="K85" s="809">
        <f t="shared" si="14"/>
        <v>0</v>
      </c>
      <c r="L85" s="345"/>
    </row>
    <row r="86" spans="1:14" ht="5.0999999999999996" customHeight="1">
      <c r="A86" s="259"/>
      <c r="B86" s="171"/>
      <c r="C86" s="378"/>
      <c r="D86" s="378"/>
      <c r="E86" s="181"/>
      <c r="F86" s="375"/>
      <c r="G86" s="378"/>
      <c r="H86" s="181"/>
      <c r="I86" s="290"/>
      <c r="J86" s="378"/>
      <c r="K86" s="181"/>
      <c r="L86" s="345"/>
    </row>
    <row r="87" spans="1:14" ht="11.25" customHeight="1">
      <c r="A87" s="781" t="s">
        <v>1664</v>
      </c>
      <c r="B87" s="782"/>
      <c r="C87" s="262">
        <f>C57+C70+C84</f>
        <v>0</v>
      </c>
      <c r="D87" s="262">
        <f t="shared" ref="D87:K87" si="15">D57+D70+D84</f>
        <v>0</v>
      </c>
      <c r="E87" s="263">
        <f t="shared" si="15"/>
        <v>0</v>
      </c>
      <c r="F87" s="264">
        <f t="shared" si="15"/>
        <v>0</v>
      </c>
      <c r="G87" s="262">
        <f t="shared" si="15"/>
        <v>0</v>
      </c>
      <c r="H87" s="263">
        <f t="shared" si="15"/>
        <v>0</v>
      </c>
      <c r="I87" s="261">
        <f t="shared" si="15"/>
        <v>0</v>
      </c>
      <c r="J87" s="262">
        <f t="shared" si="15"/>
        <v>0</v>
      </c>
      <c r="K87" s="263">
        <f t="shared" si="15"/>
        <v>0</v>
      </c>
      <c r="L87" s="345"/>
    </row>
    <row r="88" spans="1:14" ht="6" customHeight="1">
      <c r="A88" s="259"/>
      <c r="B88" s="171"/>
      <c r="C88" s="378"/>
      <c r="D88" s="378"/>
      <c r="E88" s="181"/>
      <c r="F88" s="375"/>
      <c r="G88" s="378"/>
      <c r="H88" s="181"/>
      <c r="I88" s="290"/>
      <c r="J88" s="378"/>
      <c r="K88" s="181"/>
      <c r="L88" s="345"/>
    </row>
    <row r="89" spans="1:14" ht="25.5">
      <c r="A89" s="1310" t="s">
        <v>592</v>
      </c>
      <c r="B89" s="357"/>
      <c r="C89" s="269">
        <f>C44+C87</f>
        <v>0</v>
      </c>
      <c r="D89" s="269">
        <f>D44+D87</f>
        <v>15215063</v>
      </c>
      <c r="E89" s="270">
        <f t="shared" ref="E89:K89" si="16">E44+E87</f>
        <v>1544475</v>
      </c>
      <c r="F89" s="271">
        <f t="shared" si="16"/>
        <v>1780000</v>
      </c>
      <c r="G89" s="269">
        <f t="shared" si="16"/>
        <v>0</v>
      </c>
      <c r="H89" s="270">
        <f t="shared" si="16"/>
        <v>0</v>
      </c>
      <c r="I89" s="268">
        <f t="shared" si="16"/>
        <v>20879052.109999999</v>
      </c>
      <c r="J89" s="269">
        <f t="shared" si="16"/>
        <v>0</v>
      </c>
      <c r="K89" s="270">
        <f t="shared" si="16"/>
        <v>0</v>
      </c>
      <c r="L89" s="345"/>
    </row>
    <row r="90" spans="1:14" ht="12.75" customHeight="1">
      <c r="A90" s="348" t="str">
        <f>$A$15</f>
        <v>% increase</v>
      </c>
      <c r="B90" s="171">
        <f>$B$15</f>
        <v>4</v>
      </c>
      <c r="C90" s="813"/>
      <c r="D90" s="808">
        <f>IF(ISERROR((D89/C89)-1),0,((D89/C89)-1))</f>
        <v>0</v>
      </c>
      <c r="E90" s="811">
        <f t="shared" ref="E90:K90" si="17">IF(ISERROR((E89/D89)-1),0,((E89/D89)-1))</f>
        <v>-0.89849039731218994</v>
      </c>
      <c r="F90" s="810">
        <f t="shared" si="17"/>
        <v>0.15249518444778976</v>
      </c>
      <c r="G90" s="808">
        <f t="shared" si="17"/>
        <v>-1</v>
      </c>
      <c r="H90" s="809">
        <f t="shared" si="17"/>
        <v>0</v>
      </c>
      <c r="I90" s="811">
        <f t="shared" si="17"/>
        <v>0</v>
      </c>
      <c r="J90" s="808">
        <f t="shared" si="17"/>
        <v>-1</v>
      </c>
      <c r="K90" s="809">
        <f t="shared" si="17"/>
        <v>0</v>
      </c>
      <c r="L90" s="334"/>
      <c r="M90" s="232"/>
      <c r="N90" s="232"/>
    </row>
    <row r="91" spans="1:14" ht="12.75" customHeight="1">
      <c r="A91" s="267" t="s">
        <v>1532</v>
      </c>
      <c r="B91" s="211">
        <v>5</v>
      </c>
      <c r="C91" s="216">
        <f>C27+C41+C70+C84</f>
        <v>0</v>
      </c>
      <c r="D91" s="216">
        <f>D27+D41+D70+D84</f>
        <v>13632056</v>
      </c>
      <c r="E91" s="217">
        <f t="shared" ref="E91:K91" si="18">E27+E41+E70+E84</f>
        <v>0</v>
      </c>
      <c r="F91" s="215">
        <f t="shared" si="18"/>
        <v>0</v>
      </c>
      <c r="G91" s="216">
        <f t="shared" si="18"/>
        <v>0</v>
      </c>
      <c r="H91" s="214">
        <f t="shared" si="18"/>
        <v>0</v>
      </c>
      <c r="I91" s="217">
        <f t="shared" si="18"/>
        <v>19451122.77</v>
      </c>
      <c r="J91" s="216">
        <f t="shared" si="18"/>
        <v>0</v>
      </c>
      <c r="K91" s="214">
        <f t="shared" si="18"/>
        <v>0</v>
      </c>
      <c r="L91" s="334"/>
      <c r="M91" s="232"/>
      <c r="N91" s="232"/>
    </row>
    <row r="92" spans="1:14" s="693" customFormat="1" hidden="1">
      <c r="A92" s="1234" t="str">
        <f>head27a</f>
        <v>References</v>
      </c>
      <c r="B92" s="1033"/>
      <c r="C92" s="1070"/>
      <c r="D92" s="1070"/>
      <c r="E92" s="1070"/>
      <c r="F92" s="1070"/>
      <c r="G92" s="1070"/>
      <c r="H92" s="1070"/>
      <c r="I92" s="1070"/>
      <c r="J92" s="1070"/>
      <c r="K92" s="1070"/>
      <c r="L92" s="1052"/>
      <c r="M92" s="1052"/>
      <c r="N92" s="1052"/>
    </row>
    <row r="93" spans="1:14" s="693" customFormat="1" hidden="1">
      <c r="A93" s="1235" t="s">
        <v>1771</v>
      </c>
      <c r="B93" s="1033"/>
      <c r="C93" s="1070"/>
      <c r="D93" s="1070"/>
      <c r="E93" s="1070"/>
      <c r="F93" s="1070"/>
      <c r="G93" s="1070"/>
      <c r="H93" s="1070"/>
      <c r="I93" s="1070"/>
      <c r="J93" s="1070"/>
      <c r="K93" s="1070"/>
      <c r="L93" s="1052"/>
      <c r="M93" s="1052"/>
      <c r="N93" s="1052"/>
    </row>
    <row r="94" spans="1:14" s="693" customFormat="1" hidden="1">
      <c r="A94" s="1346" t="s">
        <v>713</v>
      </c>
      <c r="B94" s="1033"/>
      <c r="C94" s="1070"/>
      <c r="D94" s="1070"/>
      <c r="E94" s="1070"/>
      <c r="F94" s="1070"/>
      <c r="G94" s="1070"/>
      <c r="H94" s="1070"/>
      <c r="I94" s="1070"/>
      <c r="J94" s="1070"/>
      <c r="K94" s="1070"/>
      <c r="L94" s="1052"/>
      <c r="M94" s="1052"/>
      <c r="N94" s="1052"/>
    </row>
    <row r="95" spans="1:14" s="693" customFormat="1" hidden="1">
      <c r="A95" s="1235" t="s">
        <v>127</v>
      </c>
      <c r="B95" s="1033"/>
      <c r="C95" s="1070"/>
      <c r="D95" s="1070"/>
      <c r="E95" s="1070"/>
      <c r="F95" s="1070"/>
      <c r="G95" s="1070"/>
      <c r="H95" s="1070"/>
      <c r="I95" s="1070"/>
      <c r="J95" s="1070"/>
      <c r="K95" s="1070"/>
      <c r="L95" s="1052"/>
      <c r="M95" s="1052"/>
      <c r="N95" s="1052"/>
    </row>
    <row r="96" spans="1:14" s="693" customFormat="1" hidden="1">
      <c r="A96" s="1346" t="s">
        <v>1772</v>
      </c>
      <c r="B96" s="1043"/>
      <c r="C96" s="1074"/>
    </row>
    <row r="97" spans="1:11" s="693" customFormat="1" hidden="1">
      <c r="A97" s="1346" t="s">
        <v>128</v>
      </c>
      <c r="B97" s="1043"/>
      <c r="C97" s="1074"/>
    </row>
    <row r="98" spans="1:11" s="693" customFormat="1" hidden="1">
      <c r="A98" s="1347" t="s">
        <v>570</v>
      </c>
      <c r="B98" s="1043"/>
    </row>
    <row r="99" spans="1:11" s="693" customFormat="1" hidden="1">
      <c r="A99" s="1346" t="s">
        <v>1843</v>
      </c>
      <c r="B99" s="1043"/>
    </row>
    <row r="100" spans="1:11" s="693" customFormat="1" hidden="1">
      <c r="A100" s="1346" t="s">
        <v>166</v>
      </c>
      <c r="B100" s="1043"/>
    </row>
    <row r="101" spans="1:11" s="693" customFormat="1" hidden="1">
      <c r="A101" s="1346" t="s">
        <v>167</v>
      </c>
      <c r="B101" s="1043"/>
    </row>
    <row r="102" spans="1:11" s="693" customFormat="1" hidden="1">
      <c r="A102" s="1346" t="s">
        <v>168</v>
      </c>
      <c r="B102" s="1043"/>
    </row>
    <row r="103" spans="1:11" s="693" customFormat="1" hidden="1">
      <c r="A103" s="1346" t="s">
        <v>169</v>
      </c>
      <c r="B103" s="1043"/>
    </row>
    <row r="104" spans="1:11" s="693" customFormat="1" hidden="1">
      <c r="A104" s="1346" t="s">
        <v>170</v>
      </c>
      <c r="B104" s="1043"/>
    </row>
    <row r="105" spans="1:11" hidden="1"/>
    <row r="106" spans="1:11" hidden="1">
      <c r="B106" s="150"/>
    </row>
    <row r="107" spans="1:11" hidden="1">
      <c r="A107" s="150" t="s">
        <v>2204</v>
      </c>
      <c r="B107" s="150"/>
      <c r="C107" s="336">
        <f>C14-'A4-FinPerf RE'!C26</f>
        <v>-1423440.1600000001</v>
      </c>
      <c r="D107" s="336">
        <f>D14-'A4-FinPerf RE'!D26</f>
        <v>-8390.9699999999721</v>
      </c>
      <c r="E107" s="336">
        <f>E14-'A4-FinPerf RE'!E26</f>
        <v>-148912.85999999987</v>
      </c>
      <c r="F107" s="336">
        <f>F14-'A4-FinPerf RE'!F26</f>
        <v>0</v>
      </c>
      <c r="G107" s="336">
        <f>G14-'A4-FinPerf RE'!G26</f>
        <v>-1780000</v>
      </c>
      <c r="H107" s="336">
        <f>H14-'A4-FinPerf RE'!H26</f>
        <v>-1783890</v>
      </c>
      <c r="I107" s="336">
        <f>I14-'A4-FinPerf RE'!J26</f>
        <v>-422070.65999999992</v>
      </c>
      <c r="J107" s="336">
        <f>J14-'A4-FinPerf RE'!K26</f>
        <v>-1916000</v>
      </c>
      <c r="K107" s="336">
        <f>K14-'A4-FinPerf RE'!L26</f>
        <v>-2033280</v>
      </c>
    </row>
    <row r="108" spans="1:11" hidden="1">
      <c r="A108" s="150" t="s">
        <v>2205</v>
      </c>
      <c r="B108" s="150"/>
      <c r="C108" s="336">
        <f>C41-'A4-FinPerf RE'!C25+C27</f>
        <v>-10576660.059999999</v>
      </c>
      <c r="D108" s="336">
        <f>D41-'A4-FinPerf RE'!D25+D27</f>
        <v>1816042.2899999991</v>
      </c>
      <c r="E108" s="336">
        <f>E41-'A4-FinPerf RE'!E25+E27</f>
        <v>-13579497.119999997</v>
      </c>
      <c r="F108" s="336">
        <f>F41-'A4-FinPerf RE'!F25+F27</f>
        <v>-18695710</v>
      </c>
      <c r="G108" s="336">
        <f>G41-'A4-FinPerf RE'!G25+G27</f>
        <v>-19220645</v>
      </c>
      <c r="H108" s="336">
        <f>H41-'A4-FinPerf RE'!H25+H27</f>
        <v>-16767022</v>
      </c>
      <c r="I108" s="336">
        <f>I41-'A4-FinPerf RE'!I25+I27</f>
        <v>2684100.7700000009</v>
      </c>
      <c r="J108" s="336">
        <f>J41-'A4-FinPerf RE'!J25+J27</f>
        <v>-23278845.536823008</v>
      </c>
      <c r="K108" s="336">
        <f>K41-'A4-FinPerf RE'!K25+K27</f>
        <v>-24705577.725229669</v>
      </c>
    </row>
    <row r="109" spans="1:11" hidden="1">
      <c r="B109" s="150"/>
    </row>
    <row r="110" spans="1:11" hidden="1">
      <c r="B110" s="150"/>
    </row>
    <row r="111" spans="1:11" hidden="1">
      <c r="B111" s="150"/>
    </row>
    <row r="112" spans="1:11" hidden="1">
      <c r="B112" s="150"/>
    </row>
    <row r="113" spans="2:2">
      <c r="B113" s="150"/>
    </row>
    <row r="114" spans="2:2">
      <c r="B114" s="150"/>
    </row>
    <row r="115" spans="2:2">
      <c r="B115" s="150"/>
    </row>
    <row r="116" spans="2:2">
      <c r="B116" s="150"/>
    </row>
    <row r="117" spans="2:2">
      <c r="B117" s="150"/>
    </row>
    <row r="118" spans="2:2">
      <c r="B118" s="150"/>
    </row>
    <row r="119" spans="2:2">
      <c r="B119" s="150"/>
    </row>
    <row r="120" spans="2:2">
      <c r="B120" s="150"/>
    </row>
    <row r="121" spans="2:2">
      <c r="B121" s="150"/>
    </row>
    <row r="122" spans="2:2">
      <c r="B122" s="150"/>
    </row>
    <row r="123" spans="2:2">
      <c r="B123" s="150"/>
    </row>
    <row r="124" spans="2:2">
      <c r="B124" s="150"/>
    </row>
    <row r="125" spans="2:2">
      <c r="B125" s="150"/>
    </row>
    <row r="126" spans="2:2">
      <c r="B126" s="150"/>
    </row>
    <row r="127" spans="2:2">
      <c r="B127" s="150"/>
    </row>
    <row r="128" spans="2:2">
      <c r="B128" s="150"/>
    </row>
    <row r="129" spans="2:2">
      <c r="B129" s="150"/>
    </row>
    <row r="130" spans="2:2">
      <c r="B130" s="150"/>
    </row>
    <row r="131" spans="2:2">
      <c r="B131" s="150"/>
    </row>
    <row r="132" spans="2:2">
      <c r="B132" s="150"/>
    </row>
    <row r="133" spans="2:2">
      <c r="B133" s="150"/>
    </row>
    <row r="134" spans="2:2">
      <c r="B134" s="150"/>
    </row>
    <row r="135" spans="2:2">
      <c r="B135" s="150"/>
    </row>
    <row r="136" spans="2:2">
      <c r="B136" s="150"/>
    </row>
    <row r="137" spans="2:2">
      <c r="B137" s="150"/>
    </row>
    <row r="138" spans="2:2">
      <c r="B138" s="150"/>
    </row>
    <row r="139" spans="2:2">
      <c r="B139" s="150"/>
    </row>
    <row r="140" spans="2:2">
      <c r="B140" s="150"/>
    </row>
    <row r="141" spans="2:2">
      <c r="B141" s="150"/>
    </row>
    <row r="142" spans="2:2">
      <c r="B142" s="150"/>
    </row>
    <row r="143" spans="2:2">
      <c r="B143" s="150"/>
    </row>
    <row r="144" spans="2:2">
      <c r="B144" s="150"/>
    </row>
    <row r="145" spans="2:2">
      <c r="B145" s="150"/>
    </row>
    <row r="146" spans="2:2">
      <c r="B146" s="150"/>
    </row>
    <row r="147" spans="2:2">
      <c r="B147" s="150"/>
    </row>
    <row r="148" spans="2:2">
      <c r="B148" s="150"/>
    </row>
    <row r="149" spans="2:2">
      <c r="B149" s="150"/>
    </row>
    <row r="150" spans="2:2">
      <c r="B150" s="150"/>
    </row>
    <row r="151" spans="2:2">
      <c r="B151" s="150"/>
    </row>
    <row r="152" spans="2:2">
      <c r="B152" s="150"/>
    </row>
    <row r="153" spans="2:2">
      <c r="B153" s="150"/>
    </row>
    <row r="154" spans="2:2">
      <c r="B154" s="150"/>
    </row>
    <row r="155" spans="2:2">
      <c r="B155" s="150"/>
    </row>
    <row r="156" spans="2:2">
      <c r="B156" s="150"/>
    </row>
    <row r="157" spans="2:2">
      <c r="B157" s="150"/>
    </row>
    <row r="158" spans="2:2">
      <c r="B158" s="150"/>
    </row>
    <row r="159" spans="2:2">
      <c r="B159" s="150"/>
    </row>
    <row r="160" spans="2:2">
      <c r="B160" s="150"/>
    </row>
    <row r="161" spans="2:2">
      <c r="B161" s="150"/>
    </row>
    <row r="162" spans="2:2">
      <c r="B162" s="150"/>
    </row>
    <row r="163" spans="2:2">
      <c r="B163" s="150"/>
    </row>
    <row r="164" spans="2:2">
      <c r="B164" s="150"/>
    </row>
    <row r="165" spans="2:2">
      <c r="B165" s="150"/>
    </row>
    <row r="166" spans="2:2">
      <c r="B166" s="150"/>
    </row>
    <row r="167" spans="2:2">
      <c r="B167" s="150"/>
    </row>
    <row r="168" spans="2:2">
      <c r="B168" s="150"/>
    </row>
    <row r="169" spans="2:2">
      <c r="B169" s="150"/>
    </row>
    <row r="170" spans="2:2">
      <c r="B170" s="150"/>
    </row>
    <row r="171" spans="2:2">
      <c r="B171" s="150"/>
    </row>
    <row r="172" spans="2:2">
      <c r="B172" s="150"/>
    </row>
    <row r="173" spans="2:2">
      <c r="B173" s="150"/>
    </row>
    <row r="174" spans="2:2">
      <c r="B174" s="150"/>
    </row>
    <row r="175" spans="2:2">
      <c r="B175" s="150"/>
    </row>
    <row r="176" spans="2:2">
      <c r="B176" s="150"/>
    </row>
    <row r="177" spans="2:2">
      <c r="B177" s="150"/>
    </row>
    <row r="178" spans="2:2">
      <c r="B178" s="150"/>
    </row>
    <row r="179" spans="2:2">
      <c r="B179" s="150"/>
    </row>
    <row r="180" spans="2:2">
      <c r="B180" s="150"/>
    </row>
  </sheetData>
  <sheetProtection password="A35B" sheet="1" objects="1" scenarios="1"/>
  <mergeCells count="2">
    <mergeCell ref="F2:H2"/>
    <mergeCell ref="I2:K2"/>
  </mergeCells>
  <phoneticPr fontId="3" type="noConversion"/>
  <dataValidations count="1">
    <dataValidation type="decimal" allowBlank="1" showInputMessage="1" showErrorMessage="1" sqref="C6:K13 C74:K83 C31:K40 C48:K56 C61:K69 C18:K26">
      <formula1>-99999999999999900000</formula1>
      <formula2>99999999999999900000</formula2>
    </dataValidation>
  </dataValidations>
  <printOptions horizontalCentered="1"/>
  <pageMargins left="0" right="0" top="0.78740157480314965" bottom="0.39370078740157483" header="0.51181102362204722" footer="0.39370078740157483"/>
  <pageSetup paperSize="9" scale="75" orientation="portrait" r:id="rId1"/>
  <headerFooter alignWithMargins="0"/>
  <rowBreaks count="1" manualBreakCount="1">
    <brk id="91"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enableFormatConditionsCalculation="0">
    <tabColor rgb="FFCCFFCC"/>
    <pageSetUpPr fitToPage="1"/>
  </sheetPr>
  <dimension ref="A1:O79"/>
  <sheetViews>
    <sheetView showGridLines="0" workbookViewId="0">
      <pane xSplit="2" ySplit="3" topLeftCell="C4" activePane="bottomRight" state="frozen"/>
      <selection activeCell="G71" sqref="G71"/>
      <selection pane="topRight" activeCell="G71" sqref="G71"/>
      <selection pane="bottomLeft" activeCell="G71" sqref="G71"/>
      <selection pane="bottomRight" activeCell="H5" sqref="H5"/>
    </sheetView>
  </sheetViews>
  <sheetFormatPr defaultRowHeight="12.75"/>
  <cols>
    <col min="1" max="1" width="38.85546875" style="150" customWidth="1"/>
    <col min="2" max="2" width="3" style="233" hidden="1" customWidth="1"/>
    <col min="3" max="3" width="4.140625" style="233" customWidth="1"/>
    <col min="4" max="9" width="9.28515625" style="150" customWidth="1"/>
    <col min="10" max="10" width="9.85546875" style="150" customWidth="1"/>
    <col min="11" max="11" width="9.5703125" style="150" customWidth="1"/>
    <col min="12" max="12" width="9.85546875" style="150" customWidth="1"/>
    <col min="13" max="15" width="9.5703125" style="150" customWidth="1"/>
    <col min="16" max="16" width="9.85546875" style="150" customWidth="1"/>
    <col min="17" max="19" width="9.5703125" style="150" customWidth="1"/>
    <col min="20" max="21" width="9.85546875" style="150" customWidth="1"/>
    <col min="22" max="16384" width="9.140625" style="150"/>
  </cols>
  <sheetData>
    <row r="1" spans="1:9" ht="13.5" customHeight="1">
      <c r="A1" s="148" t="str">
        <f>muni&amp;" - "&amp;TableA23</f>
        <v>NC071 Ubuntu - Supporting Table SA23 Salaries, allowances &amp; benefits (political office bearers/councillors/senior managers)</v>
      </c>
      <c r="B1" s="148"/>
      <c r="C1" s="148"/>
      <c r="D1" s="148"/>
      <c r="E1" s="148"/>
      <c r="F1" s="148"/>
      <c r="G1" s="148"/>
      <c r="H1" s="148"/>
      <c r="I1" s="148"/>
    </row>
    <row r="2" spans="1:9" ht="24.75" customHeight="1">
      <c r="A2" s="979" t="s">
        <v>341</v>
      </c>
      <c r="B2" s="394" t="str">
        <f>head27</f>
        <v>Ref</v>
      </c>
      <c r="C2" s="2814" t="s">
        <v>480</v>
      </c>
      <c r="D2" s="142" t="s">
        <v>112</v>
      </c>
      <c r="E2" s="142" t="s">
        <v>1741</v>
      </c>
      <c r="F2" s="142" t="s">
        <v>113</v>
      </c>
      <c r="G2" s="142" t="s">
        <v>797</v>
      </c>
      <c r="H2" s="820" t="s">
        <v>1033</v>
      </c>
      <c r="I2" s="820" t="s">
        <v>1034</v>
      </c>
    </row>
    <row r="3" spans="1:9" ht="12.75" customHeight="1">
      <c r="A3" s="169" t="s">
        <v>819</v>
      </c>
      <c r="B3" s="1499"/>
      <c r="C3" s="2815"/>
      <c r="D3" s="365"/>
      <c r="E3" s="994" t="s">
        <v>700</v>
      </c>
      <c r="F3" s="365"/>
      <c r="G3" s="365"/>
      <c r="H3" s="995" t="s">
        <v>1935</v>
      </c>
      <c r="I3" s="995" t="s">
        <v>1936</v>
      </c>
    </row>
    <row r="4" spans="1:9" ht="11.25" customHeight="1">
      <c r="A4" s="235" t="s">
        <v>111</v>
      </c>
      <c r="B4" s="171">
        <v>4</v>
      </c>
      <c r="C4" s="821"/>
      <c r="D4" s="822"/>
      <c r="E4" s="822"/>
      <c r="F4" s="822"/>
      <c r="G4" s="367"/>
      <c r="H4" s="368"/>
      <c r="I4" s="823"/>
    </row>
    <row r="5" spans="1:9" ht="11.25" customHeight="1">
      <c r="A5" s="236" t="s">
        <v>755</v>
      </c>
      <c r="B5" s="171">
        <v>5</v>
      </c>
      <c r="C5" s="2168">
        <v>0</v>
      </c>
      <c r="D5" s="1850">
        <f>29414*12</f>
        <v>352968</v>
      </c>
      <c r="E5" s="1850">
        <f>8668*12</f>
        <v>104016</v>
      </c>
      <c r="F5" s="1850">
        <f>12864*12</f>
        <v>154368</v>
      </c>
      <c r="G5" s="1595"/>
      <c r="H5" s="1596"/>
      <c r="I5" s="823">
        <f t="shared" ref="I5:I10" si="0">SUM(D5:F5)</f>
        <v>611352</v>
      </c>
    </row>
    <row r="6" spans="1:9" ht="11.25" customHeight="1">
      <c r="A6" s="236" t="s">
        <v>1404</v>
      </c>
      <c r="B6" s="171"/>
      <c r="C6" s="2168">
        <v>0</v>
      </c>
      <c r="D6" s="1850"/>
      <c r="E6" s="1850"/>
      <c r="F6" s="1850"/>
      <c r="G6" s="1595"/>
      <c r="H6" s="1596"/>
      <c r="I6" s="823">
        <f t="shared" si="0"/>
        <v>0</v>
      </c>
    </row>
    <row r="7" spans="1:9" ht="11.25" customHeight="1">
      <c r="A7" s="236" t="s">
        <v>756</v>
      </c>
      <c r="B7" s="171"/>
      <c r="C7" s="2168">
        <v>0</v>
      </c>
      <c r="D7" s="1850"/>
      <c r="E7" s="1850"/>
      <c r="F7" s="1850"/>
      <c r="G7" s="1595"/>
      <c r="H7" s="1596"/>
      <c r="I7" s="823">
        <f t="shared" si="0"/>
        <v>0</v>
      </c>
    </row>
    <row r="8" spans="1:9" ht="11.25" customHeight="1">
      <c r="A8" s="236" t="s">
        <v>286</v>
      </c>
      <c r="B8" s="171"/>
      <c r="C8" s="2168">
        <v>0</v>
      </c>
      <c r="D8" s="1850"/>
      <c r="E8" s="1850"/>
      <c r="F8" s="1850"/>
      <c r="G8" s="1595"/>
      <c r="H8" s="1596"/>
      <c r="I8" s="823">
        <f t="shared" si="0"/>
        <v>0</v>
      </c>
    </row>
    <row r="9" spans="1:9" ht="11.25" customHeight="1">
      <c r="A9" s="236" t="s">
        <v>481</v>
      </c>
      <c r="B9" s="171"/>
      <c r="C9" s="2168">
        <v>0</v>
      </c>
      <c r="D9" s="1850"/>
      <c r="E9" s="1850"/>
      <c r="F9" s="1850"/>
      <c r="G9" s="1595"/>
      <c r="H9" s="1596"/>
      <c r="I9" s="823">
        <f t="shared" si="0"/>
        <v>0</v>
      </c>
    </row>
    <row r="10" spans="1:9" ht="11.25" customHeight="1">
      <c r="A10" s="236" t="s">
        <v>482</v>
      </c>
      <c r="B10" s="171"/>
      <c r="C10" s="2168">
        <v>0</v>
      </c>
      <c r="D10" s="1850">
        <f>61770*12</f>
        <v>741240</v>
      </c>
      <c r="E10" s="1850">
        <f>18202*12</f>
        <v>218424</v>
      </c>
      <c r="F10" s="1850">
        <f>30403*12</f>
        <v>364836</v>
      </c>
      <c r="G10" s="1595"/>
      <c r="H10" s="1596"/>
      <c r="I10" s="823">
        <f t="shared" si="0"/>
        <v>1324500</v>
      </c>
    </row>
    <row r="11" spans="1:9" ht="11.25" customHeight="1">
      <c r="A11" s="781" t="str">
        <f>"Total "&amp;A4</f>
        <v>Total Councillors</v>
      </c>
      <c r="B11" s="782">
        <v>9</v>
      </c>
      <c r="C11" s="825">
        <f t="shared" ref="C11:I11" si="1">SUM(C5:C10)</f>
        <v>0</v>
      </c>
      <c r="D11" s="826">
        <f t="shared" si="1"/>
        <v>1094208</v>
      </c>
      <c r="E11" s="826">
        <f t="shared" si="1"/>
        <v>322440</v>
      </c>
      <c r="F11" s="827">
        <f t="shared" si="1"/>
        <v>519204</v>
      </c>
      <c r="G11" s="826"/>
      <c r="H11" s="831"/>
      <c r="I11" s="828">
        <f t="shared" si="1"/>
        <v>1935852</v>
      </c>
    </row>
    <row r="12" spans="1:9">
      <c r="A12" s="259"/>
      <c r="B12" s="171"/>
      <c r="C12" s="821"/>
      <c r="D12" s="822"/>
      <c r="E12" s="367"/>
      <c r="F12" s="822"/>
      <c r="G12" s="367"/>
      <c r="H12" s="368"/>
      <c r="I12" s="823"/>
    </row>
    <row r="13" spans="1:9" ht="11.25" customHeight="1">
      <c r="A13" s="235" t="s">
        <v>1401</v>
      </c>
      <c r="B13" s="171">
        <v>6</v>
      </c>
      <c r="C13" s="821"/>
      <c r="D13" s="822"/>
      <c r="E13" s="367"/>
      <c r="F13" s="822"/>
      <c r="G13" s="367"/>
      <c r="H13" s="368"/>
      <c r="I13" s="823"/>
    </row>
    <row r="14" spans="1:9" ht="11.25" customHeight="1">
      <c r="A14" s="2139" t="s">
        <v>343</v>
      </c>
      <c r="B14" s="171"/>
      <c r="C14" s="2168"/>
      <c r="D14" s="1850">
        <v>42978</v>
      </c>
      <c r="E14" s="1850">
        <v>18095</v>
      </c>
      <c r="F14" s="1850">
        <v>12478</v>
      </c>
      <c r="G14" s="1850">
        <v>0</v>
      </c>
      <c r="H14" s="1852">
        <v>0</v>
      </c>
      <c r="I14" s="823">
        <f t="shared" ref="I14:I19" si="2">SUM(D14:H14)</f>
        <v>73551</v>
      </c>
    </row>
    <row r="15" spans="1:9" ht="11.25" customHeight="1">
      <c r="A15" s="2139" t="s">
        <v>1249</v>
      </c>
      <c r="B15" s="171"/>
      <c r="C15" s="2168"/>
      <c r="D15" s="1850">
        <v>48908</v>
      </c>
      <c r="E15" s="1850">
        <v>2564</v>
      </c>
      <c r="F15" s="1850">
        <v>5000</v>
      </c>
      <c r="G15" s="1850">
        <v>0</v>
      </c>
      <c r="H15" s="1852">
        <v>0</v>
      </c>
      <c r="I15" s="823">
        <f t="shared" si="2"/>
        <v>56472</v>
      </c>
    </row>
    <row r="16" spans="1:9" ht="11.25" customHeight="1">
      <c r="A16" s="2139" t="s">
        <v>3096</v>
      </c>
      <c r="B16" s="171"/>
      <c r="C16" s="2168"/>
      <c r="D16" s="1850">
        <v>30667</v>
      </c>
      <c r="E16" s="1850">
        <v>9267</v>
      </c>
      <c r="F16" s="1850">
        <v>11000</v>
      </c>
      <c r="G16" s="1850">
        <v>0</v>
      </c>
      <c r="H16" s="1852">
        <v>0</v>
      </c>
      <c r="I16" s="823">
        <f t="shared" si="2"/>
        <v>50934</v>
      </c>
    </row>
    <row r="17" spans="1:9" ht="11.25" customHeight="1">
      <c r="A17" s="2139" t="s">
        <v>3097</v>
      </c>
      <c r="B17" s="171"/>
      <c r="C17" s="2168"/>
      <c r="D17" s="1850">
        <v>28044</v>
      </c>
      <c r="E17" s="1850">
        <v>8497</v>
      </c>
      <c r="F17" s="1850">
        <v>6341</v>
      </c>
      <c r="G17" s="1850">
        <v>0</v>
      </c>
      <c r="H17" s="1852">
        <v>0</v>
      </c>
      <c r="I17" s="823">
        <f t="shared" si="2"/>
        <v>42882</v>
      </c>
    </row>
    <row r="18" spans="1:9" ht="11.25" customHeight="1">
      <c r="A18" s="2139"/>
      <c r="B18" s="171"/>
      <c r="C18" s="2168"/>
      <c r="D18" s="1850">
        <v>0</v>
      </c>
      <c r="E18" s="1850">
        <v>0</v>
      </c>
      <c r="F18" s="1850">
        <v>0</v>
      </c>
      <c r="G18" s="1850">
        <v>0</v>
      </c>
      <c r="H18" s="1852">
        <v>0</v>
      </c>
      <c r="I18" s="823">
        <f t="shared" si="2"/>
        <v>0</v>
      </c>
    </row>
    <row r="19" spans="1:9" ht="11.25" customHeight="1">
      <c r="A19" s="2139"/>
      <c r="B19" s="171"/>
      <c r="C19" s="2168"/>
      <c r="D19" s="1850"/>
      <c r="E19" s="1850"/>
      <c r="F19" s="1850"/>
      <c r="G19" s="1850"/>
      <c r="H19" s="1852"/>
      <c r="I19" s="823">
        <f t="shared" si="2"/>
        <v>0</v>
      </c>
    </row>
    <row r="20" spans="1:9" ht="5.0999999999999996" customHeight="1">
      <c r="A20" s="259"/>
      <c r="B20" s="171"/>
      <c r="C20" s="1675"/>
      <c r="D20" s="1676"/>
      <c r="E20" s="1677"/>
      <c r="F20" s="1676"/>
      <c r="G20" s="1677"/>
      <c r="H20" s="1678"/>
      <c r="I20" s="823"/>
    </row>
    <row r="21" spans="1:9" ht="11.25" customHeight="1">
      <c r="A21" s="943" t="s">
        <v>332</v>
      </c>
      <c r="B21" s="171"/>
      <c r="C21" s="821"/>
      <c r="D21" s="822"/>
      <c r="E21" s="367"/>
      <c r="F21" s="822"/>
      <c r="G21" s="367"/>
      <c r="H21" s="368"/>
      <c r="I21" s="823"/>
    </row>
    <row r="22" spans="1:9" ht="11.25" customHeight="1">
      <c r="A22" s="2139" t="s">
        <v>3098</v>
      </c>
      <c r="B22" s="171"/>
      <c r="C22" s="2168"/>
      <c r="D22" s="1850">
        <v>34768</v>
      </c>
      <c r="E22" s="1850"/>
      <c r="F22" s="1850"/>
      <c r="G22" s="1850"/>
      <c r="H22" s="1852"/>
      <c r="I22" s="823">
        <f>SUM(D22:H22)</f>
        <v>34768</v>
      </c>
    </row>
    <row r="23" spans="1:9" ht="11.25" customHeight="1">
      <c r="A23" s="2139" t="s">
        <v>3099</v>
      </c>
      <c r="B23" s="171"/>
      <c r="C23" s="2168"/>
      <c r="D23" s="1850">
        <v>23330</v>
      </c>
      <c r="E23" s="1850"/>
      <c r="F23" s="1850"/>
      <c r="G23" s="1850"/>
      <c r="H23" s="1852"/>
      <c r="I23" s="823">
        <f t="shared" ref="I23:I32" si="3">SUM(D23:H23)</f>
        <v>23330</v>
      </c>
    </row>
    <row r="24" spans="1:9" ht="11.25" customHeight="1">
      <c r="A24" s="2139" t="s">
        <v>3100</v>
      </c>
      <c r="B24" s="171"/>
      <c r="C24" s="2168"/>
      <c r="D24" s="1850">
        <v>17734</v>
      </c>
      <c r="E24" s="1850"/>
      <c r="F24" s="1850"/>
      <c r="G24" s="1850"/>
      <c r="H24" s="1852"/>
      <c r="I24" s="823">
        <f t="shared" si="3"/>
        <v>17734</v>
      </c>
    </row>
    <row r="25" spans="1:9" ht="11.25" customHeight="1">
      <c r="A25" s="2139"/>
      <c r="B25" s="171"/>
      <c r="C25" s="2168"/>
      <c r="D25" s="1850"/>
      <c r="E25" s="1850"/>
      <c r="F25" s="1850"/>
      <c r="G25" s="1850"/>
      <c r="H25" s="1852"/>
      <c r="I25" s="823">
        <f t="shared" si="3"/>
        <v>0</v>
      </c>
    </row>
    <row r="26" spans="1:9" ht="11.25" customHeight="1">
      <c r="A26" s="2139"/>
      <c r="B26" s="171"/>
      <c r="C26" s="2168"/>
      <c r="D26" s="1850"/>
      <c r="E26" s="1850"/>
      <c r="F26" s="1850"/>
      <c r="G26" s="1850"/>
      <c r="H26" s="1852"/>
      <c r="I26" s="823">
        <f t="shared" si="3"/>
        <v>0</v>
      </c>
    </row>
    <row r="27" spans="1:9" ht="11.25" customHeight="1">
      <c r="A27" s="2139"/>
      <c r="B27" s="171"/>
      <c r="C27" s="2168"/>
      <c r="D27" s="1850"/>
      <c r="E27" s="1850"/>
      <c r="F27" s="1850"/>
      <c r="G27" s="1850"/>
      <c r="H27" s="1852"/>
      <c r="I27" s="823">
        <f t="shared" si="3"/>
        <v>0</v>
      </c>
    </row>
    <row r="28" spans="1:9" ht="11.25" customHeight="1">
      <c r="A28" s="2139"/>
      <c r="B28" s="171"/>
      <c r="C28" s="2168"/>
      <c r="D28" s="1850"/>
      <c r="E28" s="1850"/>
      <c r="F28" s="1850"/>
      <c r="G28" s="1850"/>
      <c r="H28" s="1852"/>
      <c r="I28" s="823">
        <f t="shared" si="3"/>
        <v>0</v>
      </c>
    </row>
    <row r="29" spans="1:9" ht="11.25" customHeight="1">
      <c r="A29" s="2139"/>
      <c r="B29" s="171"/>
      <c r="C29" s="2168"/>
      <c r="D29" s="1850"/>
      <c r="E29" s="1850"/>
      <c r="F29" s="1850"/>
      <c r="G29" s="1850"/>
      <c r="H29" s="1852"/>
      <c r="I29" s="823">
        <f t="shared" si="3"/>
        <v>0</v>
      </c>
    </row>
    <row r="30" spans="1:9" ht="11.25" customHeight="1">
      <c r="A30" s="2139"/>
      <c r="B30" s="171"/>
      <c r="C30" s="2168"/>
      <c r="D30" s="1850"/>
      <c r="E30" s="1850"/>
      <c r="F30" s="1850"/>
      <c r="G30" s="1850"/>
      <c r="H30" s="1852"/>
      <c r="I30" s="823">
        <f t="shared" si="3"/>
        <v>0</v>
      </c>
    </row>
    <row r="31" spans="1:9" ht="11.25" customHeight="1">
      <c r="A31" s="2139"/>
      <c r="B31" s="171"/>
      <c r="C31" s="2168"/>
      <c r="D31" s="1850"/>
      <c r="E31" s="1850"/>
      <c r="F31" s="1850"/>
      <c r="G31" s="1850"/>
      <c r="H31" s="1852"/>
      <c r="I31" s="823">
        <f t="shared" si="3"/>
        <v>0</v>
      </c>
    </row>
    <row r="32" spans="1:9" ht="11.25" customHeight="1">
      <c r="A32" s="2139"/>
      <c r="B32" s="171"/>
      <c r="C32" s="2168"/>
      <c r="D32" s="1850"/>
      <c r="E32" s="1850"/>
      <c r="F32" s="1850"/>
      <c r="G32" s="1850"/>
      <c r="H32" s="1852"/>
      <c r="I32" s="823">
        <f t="shared" si="3"/>
        <v>0</v>
      </c>
    </row>
    <row r="33" spans="1:9" ht="11.25" customHeight="1">
      <c r="A33" s="1836"/>
      <c r="B33" s="171"/>
      <c r="C33" s="2168"/>
      <c r="D33" s="1850"/>
      <c r="E33" s="1850"/>
      <c r="F33" s="1850"/>
      <c r="G33" s="1850"/>
      <c r="H33" s="1852"/>
      <c r="I33" s="823">
        <f>SUM(D33:H33)</f>
        <v>0</v>
      </c>
    </row>
    <row r="34" spans="1:9" ht="11.25" customHeight="1">
      <c r="A34" s="1836"/>
      <c r="B34" s="171"/>
      <c r="C34" s="2168"/>
      <c r="D34" s="1850"/>
      <c r="E34" s="1850"/>
      <c r="F34" s="1850"/>
      <c r="G34" s="1850"/>
      <c r="H34" s="1852"/>
      <c r="I34" s="823">
        <f>SUM(D34:H34)</f>
        <v>0</v>
      </c>
    </row>
    <row r="35" spans="1:9" ht="11.25" customHeight="1">
      <c r="A35" s="781" t="str">
        <f>"Total "&amp;A13</f>
        <v>Total Senior Managers of the Municipality</v>
      </c>
      <c r="B35" s="782">
        <v>9</v>
      </c>
      <c r="C35" s="830">
        <f t="shared" ref="C35:H35" si="4">SUM(C14:C34)</f>
        <v>0</v>
      </c>
      <c r="D35" s="827">
        <f t="shared" si="4"/>
        <v>226429</v>
      </c>
      <c r="E35" s="826">
        <f t="shared" si="4"/>
        <v>38423</v>
      </c>
      <c r="F35" s="827">
        <f t="shared" si="4"/>
        <v>34819</v>
      </c>
      <c r="G35" s="826">
        <f t="shared" si="4"/>
        <v>0</v>
      </c>
      <c r="H35" s="831">
        <f t="shared" si="4"/>
        <v>0</v>
      </c>
      <c r="I35" s="828">
        <f>SUM(I14:I34)</f>
        <v>299671</v>
      </c>
    </row>
    <row r="36" spans="1:9">
      <c r="A36" s="259"/>
      <c r="B36" s="171"/>
      <c r="C36" s="821"/>
      <c r="D36" s="822"/>
      <c r="E36" s="367"/>
      <c r="F36" s="822"/>
      <c r="G36" s="367"/>
      <c r="H36" s="368"/>
      <c r="I36" s="823"/>
    </row>
    <row r="37" spans="1:9" ht="11.25" customHeight="1">
      <c r="A37" s="235" t="s">
        <v>798</v>
      </c>
      <c r="B37" s="171" t="s">
        <v>763</v>
      </c>
      <c r="C37" s="821"/>
      <c r="D37" s="822"/>
      <c r="E37" s="367"/>
      <c r="F37" s="822"/>
      <c r="G37" s="367"/>
      <c r="H37" s="368"/>
      <c r="I37" s="823"/>
    </row>
    <row r="38" spans="1:9" ht="11.25" customHeight="1">
      <c r="A38" s="240" t="s">
        <v>114</v>
      </c>
      <c r="B38" s="171"/>
      <c r="C38" s="824"/>
      <c r="D38" s="367"/>
      <c r="E38" s="367"/>
      <c r="F38" s="367"/>
      <c r="G38" s="367"/>
      <c r="H38" s="368"/>
      <c r="I38" s="832"/>
    </row>
    <row r="39" spans="1:9" ht="11.25" customHeight="1">
      <c r="A39" s="2139"/>
      <c r="B39" s="171"/>
      <c r="C39" s="2168"/>
      <c r="D39" s="1850"/>
      <c r="E39" s="1850"/>
      <c r="F39" s="1850"/>
      <c r="G39" s="1850"/>
      <c r="H39" s="1852"/>
      <c r="I39" s="832">
        <f>SUM(D39:G39)</f>
        <v>0</v>
      </c>
    </row>
    <row r="40" spans="1:9" ht="11.25" customHeight="1">
      <c r="A40" s="2139"/>
      <c r="B40" s="171"/>
      <c r="C40" s="2168"/>
      <c r="D40" s="1850"/>
      <c r="E40" s="1850"/>
      <c r="F40" s="1850"/>
      <c r="G40" s="1850"/>
      <c r="H40" s="1852"/>
      <c r="I40" s="832">
        <f t="shared" ref="I40:I54" si="5">SUM(D40:G40)</f>
        <v>0</v>
      </c>
    </row>
    <row r="41" spans="1:9" ht="11.25" customHeight="1">
      <c r="A41" s="2139"/>
      <c r="B41" s="171"/>
      <c r="C41" s="2168"/>
      <c r="D41" s="1850"/>
      <c r="E41" s="1850"/>
      <c r="F41" s="1850"/>
      <c r="G41" s="1850"/>
      <c r="H41" s="1852"/>
      <c r="I41" s="832">
        <f t="shared" si="5"/>
        <v>0</v>
      </c>
    </row>
    <row r="42" spans="1:9" ht="11.25" customHeight="1">
      <c r="A42" s="2139"/>
      <c r="B42" s="171"/>
      <c r="C42" s="2168"/>
      <c r="D42" s="1850"/>
      <c r="E42" s="1850"/>
      <c r="F42" s="1850"/>
      <c r="G42" s="1850"/>
      <c r="H42" s="1852"/>
      <c r="I42" s="832">
        <f t="shared" si="5"/>
        <v>0</v>
      </c>
    </row>
    <row r="43" spans="1:9" ht="11.25" customHeight="1">
      <c r="A43" s="2139"/>
      <c r="B43" s="171"/>
      <c r="C43" s="2168"/>
      <c r="D43" s="1850"/>
      <c r="E43" s="1850"/>
      <c r="F43" s="1850"/>
      <c r="G43" s="1850"/>
      <c r="H43" s="1852"/>
      <c r="I43" s="832">
        <f t="shared" si="5"/>
        <v>0</v>
      </c>
    </row>
    <row r="44" spans="1:9" ht="11.25" customHeight="1">
      <c r="A44" s="2139"/>
      <c r="B44" s="171"/>
      <c r="C44" s="2168"/>
      <c r="D44" s="1850"/>
      <c r="E44" s="1850"/>
      <c r="F44" s="1850"/>
      <c r="G44" s="1850"/>
      <c r="H44" s="1852"/>
      <c r="I44" s="832">
        <f t="shared" si="5"/>
        <v>0</v>
      </c>
    </row>
    <row r="45" spans="1:9" ht="11.25" customHeight="1">
      <c r="A45" s="2139"/>
      <c r="B45" s="171"/>
      <c r="C45" s="2168"/>
      <c r="D45" s="1850"/>
      <c r="E45" s="1850"/>
      <c r="F45" s="1850"/>
      <c r="G45" s="1850"/>
      <c r="H45" s="1852"/>
      <c r="I45" s="832">
        <f t="shared" si="5"/>
        <v>0</v>
      </c>
    </row>
    <row r="46" spans="1:9" ht="11.25" customHeight="1">
      <c r="A46" s="2139"/>
      <c r="B46" s="171"/>
      <c r="C46" s="2168"/>
      <c r="D46" s="1850"/>
      <c r="E46" s="1850"/>
      <c r="F46" s="1850"/>
      <c r="G46" s="1850"/>
      <c r="H46" s="1852"/>
      <c r="I46" s="832">
        <f t="shared" si="5"/>
        <v>0</v>
      </c>
    </row>
    <row r="47" spans="1:9" ht="11.25" customHeight="1">
      <c r="A47" s="2139"/>
      <c r="B47" s="171"/>
      <c r="C47" s="2168"/>
      <c r="D47" s="1850"/>
      <c r="E47" s="1850"/>
      <c r="F47" s="1850"/>
      <c r="G47" s="1850"/>
      <c r="H47" s="1852"/>
      <c r="I47" s="832">
        <f t="shared" si="5"/>
        <v>0</v>
      </c>
    </row>
    <row r="48" spans="1:9" ht="11.25" customHeight="1">
      <c r="A48" s="2139"/>
      <c r="B48" s="171"/>
      <c r="C48" s="2168"/>
      <c r="D48" s="1850"/>
      <c r="E48" s="1850"/>
      <c r="F48" s="1850"/>
      <c r="G48" s="1850"/>
      <c r="H48" s="1852"/>
      <c r="I48" s="832">
        <f t="shared" si="5"/>
        <v>0</v>
      </c>
    </row>
    <row r="49" spans="1:15" ht="11.25" customHeight="1">
      <c r="A49" s="2139"/>
      <c r="B49" s="171"/>
      <c r="C49" s="2168"/>
      <c r="D49" s="1850"/>
      <c r="E49" s="1850"/>
      <c r="F49" s="1850"/>
      <c r="G49" s="1850"/>
      <c r="H49" s="1852"/>
      <c r="I49" s="832">
        <f t="shared" si="5"/>
        <v>0</v>
      </c>
    </row>
    <row r="50" spans="1:15" ht="11.25" customHeight="1">
      <c r="A50" s="2139"/>
      <c r="B50" s="171"/>
      <c r="C50" s="2168"/>
      <c r="D50" s="1850"/>
      <c r="E50" s="1850"/>
      <c r="F50" s="1850"/>
      <c r="G50" s="1850"/>
      <c r="H50" s="1852"/>
      <c r="I50" s="832">
        <f t="shared" si="5"/>
        <v>0</v>
      </c>
    </row>
    <row r="51" spans="1:15" ht="11.25" customHeight="1">
      <c r="A51" s="2139"/>
      <c r="B51" s="171"/>
      <c r="C51" s="2168"/>
      <c r="D51" s="1850"/>
      <c r="E51" s="1850"/>
      <c r="F51" s="1850"/>
      <c r="G51" s="1850"/>
      <c r="H51" s="1852"/>
      <c r="I51" s="832">
        <f t="shared" si="5"/>
        <v>0</v>
      </c>
    </row>
    <row r="52" spans="1:15" ht="11.25" customHeight="1">
      <c r="A52" s="2139"/>
      <c r="B52" s="171"/>
      <c r="C52" s="2168"/>
      <c r="D52" s="1850"/>
      <c r="E52" s="1850"/>
      <c r="F52" s="1850"/>
      <c r="G52" s="1850"/>
      <c r="H52" s="1852"/>
      <c r="I52" s="832">
        <f t="shared" si="5"/>
        <v>0</v>
      </c>
    </row>
    <row r="53" spans="1:15" ht="11.25" customHeight="1">
      <c r="A53" s="2139"/>
      <c r="B53" s="171"/>
      <c r="C53" s="2168"/>
      <c r="D53" s="1850"/>
      <c r="E53" s="1850"/>
      <c r="F53" s="1850"/>
      <c r="G53" s="1850"/>
      <c r="H53" s="1852"/>
      <c r="I53" s="832">
        <f t="shared" si="5"/>
        <v>0</v>
      </c>
    </row>
    <row r="54" spans="1:15" ht="11.25" customHeight="1">
      <c r="A54" s="2139"/>
      <c r="B54" s="171"/>
      <c r="C54" s="2168"/>
      <c r="D54" s="1850"/>
      <c r="E54" s="1850"/>
      <c r="F54" s="1850"/>
      <c r="G54" s="1850"/>
      <c r="H54" s="1852"/>
      <c r="I54" s="832">
        <f t="shared" si="5"/>
        <v>0</v>
      </c>
    </row>
    <row r="55" spans="1:15" ht="11.25" customHeight="1">
      <c r="A55" s="781" t="s">
        <v>333</v>
      </c>
      <c r="B55" s="782">
        <v>9</v>
      </c>
      <c r="C55" s="830">
        <f>SUM(C38:C54)</f>
        <v>0</v>
      </c>
      <c r="D55" s="827">
        <f t="shared" ref="D55:I55" si="6">SUM(D39:D54)</f>
        <v>0</v>
      </c>
      <c r="E55" s="826">
        <f t="shared" si="6"/>
        <v>0</v>
      </c>
      <c r="F55" s="827">
        <f t="shared" si="6"/>
        <v>0</v>
      </c>
      <c r="G55" s="826">
        <f t="shared" si="6"/>
        <v>0</v>
      </c>
      <c r="H55" s="831">
        <f t="shared" si="6"/>
        <v>0</v>
      </c>
      <c r="I55" s="828">
        <f t="shared" si="6"/>
        <v>0</v>
      </c>
    </row>
    <row r="56" spans="1:15">
      <c r="A56" s="259"/>
      <c r="B56" s="171"/>
      <c r="C56" s="821"/>
      <c r="D56" s="822"/>
      <c r="E56" s="822"/>
      <c r="F56" s="822"/>
      <c r="G56" s="822"/>
      <c r="H56" s="833"/>
      <c r="I56" s="823"/>
    </row>
    <row r="57" spans="1:15" s="753" customFormat="1" ht="25.5">
      <c r="A57" s="834" t="s">
        <v>287</v>
      </c>
      <c r="B57" s="758"/>
      <c r="C57" s="835">
        <f t="shared" ref="C57:I57" si="7">C11+C35+C55</f>
        <v>0</v>
      </c>
      <c r="D57" s="836">
        <f t="shared" si="7"/>
        <v>1320637</v>
      </c>
      <c r="E57" s="836">
        <f t="shared" si="7"/>
        <v>360863</v>
      </c>
      <c r="F57" s="836">
        <f t="shared" si="7"/>
        <v>554023</v>
      </c>
      <c r="G57" s="836">
        <f t="shared" si="7"/>
        <v>0</v>
      </c>
      <c r="H57" s="837">
        <f t="shared" si="7"/>
        <v>0</v>
      </c>
      <c r="I57" s="838">
        <f t="shared" si="7"/>
        <v>2235523</v>
      </c>
    </row>
    <row r="58" spans="1:15" ht="5.0999999999999996" customHeight="1">
      <c r="A58" s="637"/>
      <c r="B58" s="222"/>
      <c r="C58" s="222"/>
      <c r="D58" s="290"/>
      <c r="E58" s="290"/>
      <c r="F58" s="290"/>
      <c r="G58" s="290"/>
      <c r="H58" s="290"/>
      <c r="I58" s="290"/>
      <c r="J58" s="232"/>
      <c r="K58" s="232"/>
      <c r="L58" s="232"/>
    </row>
    <row r="59" spans="1:15" s="693" customFormat="1" hidden="1">
      <c r="A59" s="1234" t="str">
        <f>head27a</f>
        <v>References</v>
      </c>
      <c r="B59" s="1033"/>
      <c r="C59" s="1033"/>
      <c r="D59" s="1070"/>
      <c r="E59" s="1070"/>
      <c r="F59" s="1070"/>
      <c r="G59" s="1070"/>
      <c r="H59" s="1070"/>
      <c r="I59" s="1070"/>
      <c r="J59" s="1052"/>
      <c r="K59" s="1052"/>
      <c r="L59" s="1052"/>
    </row>
    <row r="60" spans="1:15" s="693" customFormat="1" hidden="1">
      <c r="A60" s="1346" t="s">
        <v>1032</v>
      </c>
      <c r="B60" s="1043"/>
      <c r="C60" s="1043"/>
    </row>
    <row r="61" spans="1:15" s="693" customFormat="1" hidden="1">
      <c r="A61" s="1346" t="s">
        <v>813</v>
      </c>
      <c r="B61" s="1043"/>
      <c r="C61" s="1043"/>
      <c r="O61" s="1077"/>
    </row>
    <row r="62" spans="1:15" s="693" customFormat="1" hidden="1">
      <c r="A62" s="1346" t="s">
        <v>436</v>
      </c>
      <c r="B62" s="1043"/>
      <c r="C62" s="1043"/>
    </row>
    <row r="63" spans="1:15" s="693" customFormat="1" hidden="1">
      <c r="A63" s="1346" t="s">
        <v>1328</v>
      </c>
      <c r="B63" s="1043"/>
      <c r="C63" s="1043"/>
    </row>
    <row r="64" spans="1:15" s="693" customFormat="1" hidden="1">
      <c r="A64" s="1346" t="s">
        <v>1327</v>
      </c>
      <c r="B64" s="1043"/>
      <c r="C64" s="1043"/>
    </row>
    <row r="65" spans="1:3" s="693" customFormat="1" hidden="1">
      <c r="A65" s="1346" t="s">
        <v>479</v>
      </c>
      <c r="B65" s="1043"/>
      <c r="C65" s="1043"/>
    </row>
    <row r="66" spans="1:3" s="693" customFormat="1" hidden="1">
      <c r="A66" s="1346" t="s">
        <v>754</v>
      </c>
      <c r="B66" s="1043"/>
      <c r="C66" s="1043"/>
    </row>
    <row r="67" spans="1:3" s="693" customFormat="1" hidden="1">
      <c r="A67" s="1346" t="s">
        <v>153</v>
      </c>
      <c r="B67" s="1043"/>
      <c r="C67" s="1043"/>
    </row>
    <row r="68" spans="1:3" s="693" customFormat="1" hidden="1">
      <c r="A68" s="1346" t="s">
        <v>764</v>
      </c>
      <c r="B68" s="1043"/>
      <c r="C68" s="1043"/>
    </row>
    <row r="69" spans="1:3" s="693" customFormat="1" hidden="1">
      <c r="A69" s="1346" t="s">
        <v>172</v>
      </c>
      <c r="B69" s="1043"/>
      <c r="C69" s="1043"/>
    </row>
    <row r="70" spans="1:3" s="693" customFormat="1" hidden="1">
      <c r="A70" s="1346" t="s">
        <v>171</v>
      </c>
      <c r="B70" s="1043"/>
      <c r="C70" s="1043"/>
    </row>
    <row r="71" spans="1:3" hidden="1"/>
    <row r="72" spans="1:3" hidden="1"/>
    <row r="73" spans="1:3" hidden="1"/>
    <row r="74" spans="1:3" hidden="1"/>
    <row r="75" spans="1:3" hidden="1"/>
    <row r="76" spans="1:3" hidden="1"/>
    <row r="77" spans="1:3" hidden="1"/>
    <row r="78" spans="1:3" hidden="1"/>
    <row r="79" spans="1:3" hidden="1"/>
  </sheetData>
  <sheetProtection password="A35B" sheet="1" objects="1" scenarios="1"/>
  <mergeCells count="1">
    <mergeCell ref="C2:C3"/>
  </mergeCells>
  <phoneticPr fontId="3" type="noConversion"/>
  <dataValidations count="2">
    <dataValidation type="whole" allowBlank="1" showInputMessage="1" showErrorMessage="1" sqref="C14:C19 C22:C34 C39:C54 C5:C10">
      <formula1>-99999999999</formula1>
      <formula2>999999999999</formula2>
    </dataValidation>
    <dataValidation type="decimal" allowBlank="1" showInputMessage="1" showErrorMessage="1" sqref="D5:F10 D14:H19 D22:H34 D39:H54">
      <formula1>-99999999999999900000</formula1>
      <formula2>99999999999999900000</formula2>
    </dataValidation>
  </dataValidations>
  <printOptions horizontalCentered="1"/>
  <pageMargins left="0" right="0" top="0.78740157480314965" bottom="0.59055118110236227" header="0.51181102362204722" footer="0.43307086614173229"/>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enableFormatConditionsCalculation="0">
    <tabColor rgb="FFCCFFCC"/>
    <pageSetUpPr fitToPage="1"/>
  </sheetPr>
  <dimension ref="A1:O63"/>
  <sheetViews>
    <sheetView showGridLines="0" workbookViewId="0">
      <pane ySplit="3" topLeftCell="A4" activePane="bottomLeft" state="frozen"/>
      <selection activeCell="N1" sqref="N1"/>
      <selection pane="bottomLeft" activeCell="A16" sqref="A16"/>
    </sheetView>
  </sheetViews>
  <sheetFormatPr defaultRowHeight="12.75"/>
  <cols>
    <col min="1" max="1" width="37.7109375" style="150" customWidth="1"/>
    <col min="2" max="2" width="3" style="233" hidden="1" customWidth="1"/>
    <col min="3" max="11" width="8.7109375" style="150" customWidth="1"/>
    <col min="12" max="12" width="9.85546875" style="150" customWidth="1"/>
    <col min="13" max="13" width="9.5703125" style="150" customWidth="1"/>
    <col min="14" max="14" width="9.85546875" style="150" customWidth="1"/>
    <col min="15" max="17" width="9.5703125" style="150" customWidth="1"/>
    <col min="18" max="18" width="9.85546875" style="150" customWidth="1"/>
    <col min="19" max="21" width="9.5703125" style="150" customWidth="1"/>
    <col min="22" max="23" width="9.85546875" style="150" customWidth="1"/>
    <col min="24" max="16384" width="9.140625" style="150"/>
  </cols>
  <sheetData>
    <row r="1" spans="1:12" ht="13.5" customHeight="1">
      <c r="A1" s="148" t="str">
        <f>muni&amp;" - "&amp;TableA24</f>
        <v>NC071 Ubuntu - Supporting Table SA24 Summary of personnel numbers</v>
      </c>
      <c r="B1" s="148"/>
      <c r="C1" s="148"/>
      <c r="D1" s="148"/>
      <c r="E1" s="148"/>
      <c r="F1" s="148"/>
      <c r="G1" s="148"/>
      <c r="H1" s="148"/>
      <c r="I1" s="148"/>
      <c r="J1" s="148"/>
      <c r="K1" s="148"/>
    </row>
    <row r="2" spans="1:12" ht="28.5" customHeight="1">
      <c r="A2" s="979" t="s">
        <v>714</v>
      </c>
      <c r="B2" s="394" t="str">
        <f>head27</f>
        <v>Ref</v>
      </c>
      <c r="C2" s="2818" t="str">
        <f>Head1</f>
        <v>2009/10</v>
      </c>
      <c r="D2" s="2819"/>
      <c r="E2" s="2820"/>
      <c r="F2" s="2772" t="str">
        <f>Head2</f>
        <v>Current Year 2010/11</v>
      </c>
      <c r="G2" s="2773"/>
      <c r="H2" s="2773"/>
      <c r="I2" s="2769" t="str">
        <f>Head9</f>
        <v>Budget Year 2011/12</v>
      </c>
      <c r="J2" s="2770"/>
      <c r="K2" s="2771"/>
      <c r="L2" s="345"/>
    </row>
    <row r="3" spans="1:12" ht="25.5">
      <c r="A3" s="169" t="s">
        <v>1800</v>
      </c>
      <c r="B3" s="980" t="s">
        <v>2075</v>
      </c>
      <c r="C3" s="365" t="s">
        <v>465</v>
      </c>
      <c r="D3" s="993" t="s">
        <v>1011</v>
      </c>
      <c r="E3" s="366" t="s">
        <v>466</v>
      </c>
      <c r="F3" s="365" t="s">
        <v>465</v>
      </c>
      <c r="G3" s="993" t="s">
        <v>1011</v>
      </c>
      <c r="H3" s="366" t="s">
        <v>466</v>
      </c>
      <c r="I3" s="365" t="s">
        <v>465</v>
      </c>
      <c r="J3" s="993" t="s">
        <v>1011</v>
      </c>
      <c r="K3" s="366" t="s">
        <v>466</v>
      </c>
      <c r="L3" s="345"/>
    </row>
    <row r="4" spans="1:12">
      <c r="A4" s="634" t="s">
        <v>467</v>
      </c>
      <c r="B4" s="171"/>
      <c r="C4" s="822"/>
      <c r="D4" s="822"/>
      <c r="E4" s="839"/>
      <c r="F4" s="840"/>
      <c r="G4" s="822"/>
      <c r="H4" s="841"/>
      <c r="I4" s="833"/>
      <c r="J4" s="822"/>
      <c r="K4" s="839"/>
      <c r="L4" s="345"/>
    </row>
    <row r="5" spans="1:12" ht="11.25" customHeight="1">
      <c r="A5" s="236" t="s">
        <v>973</v>
      </c>
      <c r="B5" s="171"/>
      <c r="C5" s="1850">
        <v>0</v>
      </c>
      <c r="D5" s="1850">
        <v>8</v>
      </c>
      <c r="E5" s="1851">
        <v>0</v>
      </c>
      <c r="F5" s="1850">
        <v>0</v>
      </c>
      <c r="G5" s="1850">
        <v>8</v>
      </c>
      <c r="H5" s="1851">
        <v>0</v>
      </c>
      <c r="I5" s="1850">
        <v>0</v>
      </c>
      <c r="J5" s="1850">
        <v>8</v>
      </c>
      <c r="K5" s="1851">
        <v>0</v>
      </c>
      <c r="L5" s="345"/>
    </row>
    <row r="6" spans="1:12" ht="11.25" customHeight="1">
      <c r="A6" s="240" t="s">
        <v>1509</v>
      </c>
      <c r="B6" s="171">
        <v>4</v>
      </c>
      <c r="C6" s="1850">
        <v>0</v>
      </c>
      <c r="D6" s="1850">
        <v>0</v>
      </c>
      <c r="E6" s="1851">
        <v>0</v>
      </c>
      <c r="F6" s="1847">
        <v>0</v>
      </c>
      <c r="G6" s="1850">
        <v>0</v>
      </c>
      <c r="H6" s="2119">
        <v>0</v>
      </c>
      <c r="I6" s="1852">
        <v>0</v>
      </c>
      <c r="J6" s="1850">
        <v>0</v>
      </c>
      <c r="K6" s="1851">
        <v>0</v>
      </c>
      <c r="L6" s="345"/>
    </row>
    <row r="7" spans="1:12" ht="11.25" customHeight="1">
      <c r="A7" s="634" t="s">
        <v>1510</v>
      </c>
      <c r="B7" s="171">
        <v>5</v>
      </c>
      <c r="C7" s="1850">
        <v>0</v>
      </c>
      <c r="D7" s="1850">
        <v>0</v>
      </c>
      <c r="E7" s="1851">
        <v>0</v>
      </c>
      <c r="F7" s="1847">
        <v>0</v>
      </c>
      <c r="G7" s="1850">
        <v>0</v>
      </c>
      <c r="H7" s="2119">
        <v>0</v>
      </c>
      <c r="I7" s="1852">
        <v>0</v>
      </c>
      <c r="J7" s="1850">
        <v>0</v>
      </c>
      <c r="K7" s="1851">
        <v>0</v>
      </c>
      <c r="L7" s="345"/>
    </row>
    <row r="8" spans="1:12" ht="11.25" customHeight="1">
      <c r="A8" s="240" t="s">
        <v>1511</v>
      </c>
      <c r="B8" s="171">
        <v>3</v>
      </c>
      <c r="C8" s="1850">
        <v>0</v>
      </c>
      <c r="D8" s="1850">
        <v>2</v>
      </c>
      <c r="E8" s="1851">
        <v>2</v>
      </c>
      <c r="F8" s="1850">
        <v>0</v>
      </c>
      <c r="G8" s="1850">
        <v>2</v>
      </c>
      <c r="H8" s="1851">
        <v>2</v>
      </c>
      <c r="I8" s="1850">
        <v>0</v>
      </c>
      <c r="J8" s="1850">
        <v>0</v>
      </c>
      <c r="K8" s="1851">
        <v>4</v>
      </c>
      <c r="L8" s="345"/>
    </row>
    <row r="9" spans="1:12" ht="11.25" customHeight="1">
      <c r="A9" s="240" t="s">
        <v>587</v>
      </c>
      <c r="B9" s="171">
        <v>7</v>
      </c>
      <c r="C9" s="1850">
        <v>0</v>
      </c>
      <c r="D9" s="1850">
        <v>0</v>
      </c>
      <c r="E9" s="1851">
        <v>0</v>
      </c>
      <c r="F9" s="1847">
        <v>0</v>
      </c>
      <c r="G9" s="1850">
        <v>0</v>
      </c>
      <c r="H9" s="2119">
        <v>0</v>
      </c>
      <c r="I9" s="1852">
        <v>0</v>
      </c>
      <c r="J9" s="1850">
        <v>0</v>
      </c>
      <c r="K9" s="1851">
        <v>0</v>
      </c>
      <c r="L9" s="345"/>
    </row>
    <row r="10" spans="1:12" ht="11.25" customHeight="1">
      <c r="A10" s="240" t="s">
        <v>1512</v>
      </c>
      <c r="B10" s="171"/>
      <c r="C10" s="1178">
        <f>SUM(C11:C19)</f>
        <v>0</v>
      </c>
      <c r="D10" s="1178">
        <f t="shared" ref="D10:K10" si="0">SUM(D11:D19)</f>
        <v>4</v>
      </c>
      <c r="E10" s="1179">
        <f t="shared" si="0"/>
        <v>4</v>
      </c>
      <c r="F10" s="1180">
        <f t="shared" si="0"/>
        <v>0</v>
      </c>
      <c r="G10" s="1178">
        <f t="shared" si="0"/>
        <v>0</v>
      </c>
      <c r="H10" s="1181">
        <f t="shared" si="0"/>
        <v>0</v>
      </c>
      <c r="I10" s="1182">
        <f t="shared" si="0"/>
        <v>0</v>
      </c>
      <c r="J10" s="1178">
        <f t="shared" si="0"/>
        <v>0</v>
      </c>
      <c r="K10" s="1179">
        <f t="shared" si="0"/>
        <v>0</v>
      </c>
      <c r="L10" s="345"/>
    </row>
    <row r="11" spans="1:12" ht="11.25" customHeight="1">
      <c r="A11" s="1439" t="s">
        <v>1945</v>
      </c>
      <c r="B11" s="171"/>
      <c r="C11" s="2169">
        <v>0</v>
      </c>
      <c r="D11" s="2170">
        <v>0</v>
      </c>
      <c r="E11" s="2171">
        <v>0</v>
      </c>
      <c r="F11" s="1847">
        <v>0</v>
      </c>
      <c r="G11" s="1850">
        <v>0</v>
      </c>
      <c r="H11" s="2119">
        <v>0</v>
      </c>
      <c r="I11" s="1852">
        <v>0</v>
      </c>
      <c r="J11" s="1850">
        <v>0</v>
      </c>
      <c r="K11" s="1851">
        <v>0</v>
      </c>
      <c r="L11" s="345"/>
    </row>
    <row r="12" spans="1:12" ht="11.25" customHeight="1">
      <c r="A12" s="1439" t="s">
        <v>1513</v>
      </c>
      <c r="B12" s="171"/>
      <c r="C12" s="2169">
        <v>0</v>
      </c>
      <c r="D12" s="2170">
        <v>0</v>
      </c>
      <c r="E12" s="2171">
        <v>0</v>
      </c>
      <c r="F12" s="1847">
        <v>0</v>
      </c>
      <c r="G12" s="1850">
        <v>0</v>
      </c>
      <c r="H12" s="2119">
        <v>0</v>
      </c>
      <c r="I12" s="1847">
        <v>0</v>
      </c>
      <c r="J12" s="1850">
        <v>0</v>
      </c>
      <c r="K12" s="2119">
        <v>0</v>
      </c>
      <c r="L12" s="345"/>
    </row>
    <row r="13" spans="1:12" ht="11.25" customHeight="1">
      <c r="A13" s="1439" t="s">
        <v>345</v>
      </c>
      <c r="B13" s="171"/>
      <c r="C13" s="2169">
        <v>0</v>
      </c>
      <c r="D13" s="2170">
        <v>0</v>
      </c>
      <c r="E13" s="2171">
        <v>0</v>
      </c>
      <c r="F13" s="1847">
        <v>0</v>
      </c>
      <c r="G13" s="1850">
        <v>0</v>
      </c>
      <c r="H13" s="2119">
        <v>0</v>
      </c>
      <c r="I13" s="1852">
        <v>0</v>
      </c>
      <c r="J13" s="1850">
        <v>0</v>
      </c>
      <c r="K13" s="1851">
        <v>0</v>
      </c>
      <c r="L13" s="345"/>
    </row>
    <row r="14" spans="1:12" ht="11.25" customHeight="1">
      <c r="A14" s="1439" t="s">
        <v>771</v>
      </c>
      <c r="B14" s="171"/>
      <c r="C14" s="2169">
        <v>0</v>
      </c>
      <c r="D14" s="2170">
        <v>0</v>
      </c>
      <c r="E14" s="2171">
        <v>0</v>
      </c>
      <c r="F14" s="1847">
        <v>0</v>
      </c>
      <c r="G14" s="1850">
        <v>0</v>
      </c>
      <c r="H14" s="2119">
        <v>0</v>
      </c>
      <c r="I14" s="1852">
        <v>0</v>
      </c>
      <c r="J14" s="1850">
        <v>0</v>
      </c>
      <c r="K14" s="1851">
        <v>0</v>
      </c>
      <c r="L14" s="345"/>
    </row>
    <row r="15" spans="1:12" ht="11.25" customHeight="1">
      <c r="A15" s="1439" t="s">
        <v>684</v>
      </c>
      <c r="B15" s="171"/>
      <c r="C15" s="2169">
        <v>0</v>
      </c>
      <c r="D15" s="2170">
        <v>0</v>
      </c>
      <c r="E15" s="2171">
        <v>0</v>
      </c>
      <c r="F15" s="2169">
        <v>0</v>
      </c>
      <c r="G15" s="2170">
        <v>0</v>
      </c>
      <c r="H15" s="2171">
        <v>0</v>
      </c>
      <c r="I15" s="2169">
        <v>0</v>
      </c>
      <c r="J15" s="2170">
        <v>0</v>
      </c>
      <c r="K15" s="2171">
        <v>0</v>
      </c>
      <c r="L15" s="345"/>
    </row>
    <row r="16" spans="1:12" ht="11.25" customHeight="1">
      <c r="A16" s="1439" t="s">
        <v>1018</v>
      </c>
      <c r="B16" s="171"/>
      <c r="C16" s="2169">
        <v>0</v>
      </c>
      <c r="D16" s="2170">
        <v>0</v>
      </c>
      <c r="E16" s="2171">
        <v>0</v>
      </c>
      <c r="F16" s="1847">
        <v>0</v>
      </c>
      <c r="G16" s="1850">
        <v>0</v>
      </c>
      <c r="H16" s="2119">
        <v>0</v>
      </c>
      <c r="I16" s="1852">
        <v>0</v>
      </c>
      <c r="J16" s="1850">
        <v>0</v>
      </c>
      <c r="K16" s="1851">
        <v>0</v>
      </c>
      <c r="L16" s="345"/>
    </row>
    <row r="17" spans="1:12" ht="11.25" customHeight="1">
      <c r="A17" s="1439" t="s">
        <v>1019</v>
      </c>
      <c r="B17" s="171"/>
      <c r="C17" s="2169">
        <v>0</v>
      </c>
      <c r="D17" s="2170">
        <v>2</v>
      </c>
      <c r="E17" s="2171">
        <v>0</v>
      </c>
      <c r="F17" s="1847">
        <v>0</v>
      </c>
      <c r="G17" s="1850">
        <v>0</v>
      </c>
      <c r="H17" s="2119">
        <v>0</v>
      </c>
      <c r="I17" s="1852">
        <v>0</v>
      </c>
      <c r="J17" s="1850">
        <v>0</v>
      </c>
      <c r="K17" s="1851">
        <v>0</v>
      </c>
      <c r="L17" s="345"/>
    </row>
    <row r="18" spans="1:12" ht="11.25" customHeight="1">
      <c r="A18" s="1439" t="s">
        <v>1386</v>
      </c>
      <c r="B18" s="171"/>
      <c r="C18" s="2169">
        <v>0</v>
      </c>
      <c r="D18" s="2170">
        <v>0</v>
      </c>
      <c r="E18" s="2171">
        <v>0</v>
      </c>
      <c r="F18" s="1847">
        <v>0</v>
      </c>
      <c r="G18" s="1850">
        <v>0</v>
      </c>
      <c r="H18" s="2119">
        <v>0</v>
      </c>
      <c r="I18" s="1852">
        <v>0</v>
      </c>
      <c r="J18" s="1850">
        <v>0</v>
      </c>
      <c r="K18" s="1851">
        <v>0</v>
      </c>
      <c r="L18" s="345"/>
    </row>
    <row r="19" spans="1:12" ht="11.25" customHeight="1">
      <c r="A19" s="1439" t="s">
        <v>297</v>
      </c>
      <c r="B19" s="171"/>
      <c r="C19" s="2169">
        <v>0</v>
      </c>
      <c r="D19" s="2170">
        <v>2</v>
      </c>
      <c r="E19" s="2171">
        <v>4</v>
      </c>
      <c r="F19" s="2169">
        <v>0</v>
      </c>
      <c r="G19" s="2170">
        <v>0</v>
      </c>
      <c r="H19" s="2171">
        <v>0</v>
      </c>
      <c r="I19" s="2169">
        <v>0</v>
      </c>
      <c r="J19" s="2170">
        <v>0</v>
      </c>
      <c r="K19" s="2171">
        <v>0</v>
      </c>
      <c r="L19" s="345"/>
    </row>
    <row r="20" spans="1:12" ht="11.25" customHeight="1">
      <c r="A20" s="240" t="s">
        <v>1514</v>
      </c>
      <c r="B20" s="171"/>
      <c r="C20" s="1178">
        <f>SUM(C21:C29)</f>
        <v>0</v>
      </c>
      <c r="D20" s="1178">
        <f t="shared" ref="D20:K20" si="1">SUM(D21:D29)</f>
        <v>8</v>
      </c>
      <c r="E20" s="1179">
        <f t="shared" si="1"/>
        <v>1</v>
      </c>
      <c r="F20" s="1180">
        <f t="shared" si="1"/>
        <v>0</v>
      </c>
      <c r="G20" s="1178">
        <f t="shared" si="1"/>
        <v>0</v>
      </c>
      <c r="H20" s="1181">
        <f t="shared" si="1"/>
        <v>0</v>
      </c>
      <c r="I20" s="1182">
        <f t="shared" si="1"/>
        <v>0</v>
      </c>
      <c r="J20" s="1178">
        <f t="shared" si="1"/>
        <v>0</v>
      </c>
      <c r="K20" s="1179">
        <f t="shared" si="1"/>
        <v>0</v>
      </c>
      <c r="L20" s="345"/>
    </row>
    <row r="21" spans="1:12" ht="11.25" customHeight="1">
      <c r="A21" s="1439" t="s">
        <v>1945</v>
      </c>
      <c r="B21" s="171"/>
      <c r="C21" s="2169">
        <v>0</v>
      </c>
      <c r="D21" s="2170">
        <v>4</v>
      </c>
      <c r="E21" s="2171">
        <v>1</v>
      </c>
      <c r="F21" s="2169">
        <v>0</v>
      </c>
      <c r="G21" s="2170">
        <v>0</v>
      </c>
      <c r="H21" s="2171">
        <v>0</v>
      </c>
      <c r="I21" s="2169">
        <v>0</v>
      </c>
      <c r="J21" s="2170">
        <v>0</v>
      </c>
      <c r="K21" s="2171">
        <v>0</v>
      </c>
      <c r="L21" s="345"/>
    </row>
    <row r="22" spans="1:12" ht="11.25" customHeight="1">
      <c r="A22" s="1439" t="s">
        <v>1513</v>
      </c>
      <c r="B22" s="171"/>
      <c r="C22" s="2169">
        <v>0</v>
      </c>
      <c r="D22" s="2170">
        <v>0</v>
      </c>
      <c r="E22" s="2171">
        <v>0</v>
      </c>
      <c r="F22" s="1847">
        <v>0</v>
      </c>
      <c r="G22" s="1850">
        <v>0</v>
      </c>
      <c r="H22" s="2119">
        <v>0</v>
      </c>
      <c r="I22" s="1852">
        <v>0</v>
      </c>
      <c r="J22" s="1850">
        <v>0</v>
      </c>
      <c r="K22" s="1851">
        <v>0</v>
      </c>
      <c r="L22" s="345"/>
    </row>
    <row r="23" spans="1:12" ht="11.25" customHeight="1">
      <c r="A23" s="1439" t="s">
        <v>345</v>
      </c>
      <c r="B23" s="171"/>
      <c r="C23" s="2169">
        <v>0</v>
      </c>
      <c r="D23" s="2170">
        <v>0</v>
      </c>
      <c r="E23" s="2171">
        <v>0</v>
      </c>
      <c r="F23" s="1847">
        <v>0</v>
      </c>
      <c r="G23" s="1850">
        <v>0</v>
      </c>
      <c r="H23" s="2119">
        <v>0</v>
      </c>
      <c r="I23" s="1852">
        <v>0</v>
      </c>
      <c r="J23" s="1850">
        <v>0</v>
      </c>
      <c r="K23" s="1851">
        <v>0</v>
      </c>
      <c r="L23" s="345"/>
    </row>
    <row r="24" spans="1:12" ht="11.25" customHeight="1">
      <c r="A24" s="1439" t="s">
        <v>771</v>
      </c>
      <c r="B24" s="171"/>
      <c r="C24" s="2169">
        <v>0</v>
      </c>
      <c r="D24" s="2170">
        <v>0</v>
      </c>
      <c r="E24" s="2171">
        <v>0</v>
      </c>
      <c r="F24" s="1847">
        <v>0</v>
      </c>
      <c r="G24" s="1850">
        <v>0</v>
      </c>
      <c r="H24" s="2119">
        <v>0</v>
      </c>
      <c r="I24" s="1852">
        <v>0</v>
      </c>
      <c r="J24" s="1850">
        <v>0</v>
      </c>
      <c r="K24" s="1851">
        <v>0</v>
      </c>
      <c r="L24" s="345"/>
    </row>
    <row r="25" spans="1:12" ht="11.25" customHeight="1">
      <c r="A25" s="1439" t="s">
        <v>684</v>
      </c>
      <c r="B25" s="171"/>
      <c r="C25" s="2169">
        <v>0</v>
      </c>
      <c r="D25" s="2170">
        <v>2</v>
      </c>
      <c r="E25" s="2171">
        <v>0</v>
      </c>
      <c r="F25" s="2169">
        <v>0</v>
      </c>
      <c r="G25" s="2170">
        <v>0</v>
      </c>
      <c r="H25" s="2171">
        <v>0</v>
      </c>
      <c r="I25" s="2169">
        <v>0</v>
      </c>
      <c r="J25" s="2170">
        <v>0</v>
      </c>
      <c r="K25" s="2171">
        <v>0</v>
      </c>
      <c r="L25" s="345"/>
    </row>
    <row r="26" spans="1:12" ht="11.25" customHeight="1">
      <c r="A26" s="1439" t="s">
        <v>1018</v>
      </c>
      <c r="B26" s="171"/>
      <c r="C26" s="2169">
        <v>0</v>
      </c>
      <c r="D26" s="2170">
        <v>0</v>
      </c>
      <c r="E26" s="2171">
        <v>0</v>
      </c>
      <c r="F26" s="1847">
        <v>0</v>
      </c>
      <c r="G26" s="1850">
        <v>0</v>
      </c>
      <c r="H26" s="2119">
        <v>0</v>
      </c>
      <c r="I26" s="1852">
        <v>0</v>
      </c>
      <c r="J26" s="1850">
        <v>0</v>
      </c>
      <c r="K26" s="1851">
        <v>0</v>
      </c>
      <c r="L26" s="345"/>
    </row>
    <row r="27" spans="1:12" ht="11.25" customHeight="1">
      <c r="A27" s="1439" t="s">
        <v>1019</v>
      </c>
      <c r="B27" s="171"/>
      <c r="C27" s="2169">
        <v>0</v>
      </c>
      <c r="D27" s="2170">
        <v>0</v>
      </c>
      <c r="E27" s="2171">
        <v>0</v>
      </c>
      <c r="F27" s="1847">
        <v>0</v>
      </c>
      <c r="G27" s="1850">
        <v>0</v>
      </c>
      <c r="H27" s="2119">
        <v>0</v>
      </c>
      <c r="I27" s="1852">
        <v>0</v>
      </c>
      <c r="J27" s="1850">
        <v>0</v>
      </c>
      <c r="K27" s="1851">
        <v>0</v>
      </c>
      <c r="L27" s="345"/>
    </row>
    <row r="28" spans="1:12" ht="11.25" customHeight="1">
      <c r="A28" s="1439" t="s">
        <v>1386</v>
      </c>
      <c r="B28" s="171"/>
      <c r="C28" s="2169">
        <v>0</v>
      </c>
      <c r="D28" s="2170">
        <v>0</v>
      </c>
      <c r="E28" s="2171">
        <v>0</v>
      </c>
      <c r="F28" s="1847">
        <v>0</v>
      </c>
      <c r="G28" s="1850">
        <v>0</v>
      </c>
      <c r="H28" s="2119">
        <v>0</v>
      </c>
      <c r="I28" s="1852">
        <v>0</v>
      </c>
      <c r="J28" s="1850">
        <v>0</v>
      </c>
      <c r="K28" s="1851">
        <v>0</v>
      </c>
      <c r="L28" s="345"/>
    </row>
    <row r="29" spans="1:12" ht="11.25" customHeight="1">
      <c r="A29" s="1439" t="s">
        <v>297</v>
      </c>
      <c r="B29" s="171"/>
      <c r="C29" s="2169">
        <v>0</v>
      </c>
      <c r="D29" s="2170">
        <v>2</v>
      </c>
      <c r="E29" s="2171">
        <v>0</v>
      </c>
      <c r="F29" s="2169">
        <v>0</v>
      </c>
      <c r="G29" s="2170">
        <v>0</v>
      </c>
      <c r="H29" s="2171">
        <v>0</v>
      </c>
      <c r="I29" s="2169">
        <v>0</v>
      </c>
      <c r="J29" s="2170">
        <v>0</v>
      </c>
      <c r="K29" s="2171">
        <v>0</v>
      </c>
      <c r="L29" s="345"/>
    </row>
    <row r="30" spans="1:12" ht="11.25" customHeight="1">
      <c r="A30" s="240" t="s">
        <v>1515</v>
      </c>
      <c r="B30" s="171"/>
      <c r="C30" s="2169">
        <v>0</v>
      </c>
      <c r="D30" s="2170">
        <v>3</v>
      </c>
      <c r="E30" s="2171">
        <v>0</v>
      </c>
      <c r="F30" s="2169">
        <v>0</v>
      </c>
      <c r="G30" s="2170">
        <v>0</v>
      </c>
      <c r="H30" s="2171">
        <v>0</v>
      </c>
      <c r="I30" s="2169">
        <v>0</v>
      </c>
      <c r="J30" s="2170">
        <v>0</v>
      </c>
      <c r="K30" s="2171">
        <v>0</v>
      </c>
      <c r="L30" s="345"/>
    </row>
    <row r="31" spans="1:12" ht="11.25" customHeight="1">
      <c r="A31" s="240" t="s">
        <v>1516</v>
      </c>
      <c r="B31" s="171"/>
      <c r="C31" s="2169">
        <v>0</v>
      </c>
      <c r="D31" s="2170">
        <v>0</v>
      </c>
      <c r="E31" s="2171">
        <v>0</v>
      </c>
      <c r="F31" s="2169">
        <v>0</v>
      </c>
      <c r="G31" s="2170">
        <v>0</v>
      </c>
      <c r="H31" s="2171">
        <v>0</v>
      </c>
      <c r="I31" s="2169">
        <v>0</v>
      </c>
      <c r="J31" s="2170">
        <v>0</v>
      </c>
      <c r="K31" s="2171">
        <v>0</v>
      </c>
      <c r="L31" s="345"/>
    </row>
    <row r="32" spans="1:12" ht="11.25" customHeight="1">
      <c r="A32" s="240" t="s">
        <v>864</v>
      </c>
      <c r="B32" s="171"/>
      <c r="C32" s="2169">
        <v>0</v>
      </c>
      <c r="D32" s="2170">
        <v>0</v>
      </c>
      <c r="E32" s="2171">
        <v>0</v>
      </c>
      <c r="F32" s="1847">
        <v>0</v>
      </c>
      <c r="G32" s="1850">
        <v>0</v>
      </c>
      <c r="H32" s="2119">
        <v>0</v>
      </c>
      <c r="I32" s="1852">
        <v>0</v>
      </c>
      <c r="J32" s="1850">
        <v>0</v>
      </c>
      <c r="K32" s="1851">
        <v>0</v>
      </c>
      <c r="L32" s="345"/>
    </row>
    <row r="33" spans="1:15" ht="11.25" customHeight="1">
      <c r="A33" s="240" t="s">
        <v>1517</v>
      </c>
      <c r="B33" s="171"/>
      <c r="C33" s="2169">
        <v>0</v>
      </c>
      <c r="D33" s="2170">
        <v>0</v>
      </c>
      <c r="E33" s="2171">
        <v>0</v>
      </c>
      <c r="F33" s="2169">
        <v>0</v>
      </c>
      <c r="G33" s="2170">
        <v>0</v>
      </c>
      <c r="H33" s="2171">
        <v>0</v>
      </c>
      <c r="I33" s="2169">
        <v>0</v>
      </c>
      <c r="J33" s="2170">
        <v>0</v>
      </c>
      <c r="K33" s="2171">
        <v>0</v>
      </c>
      <c r="L33" s="345"/>
    </row>
    <row r="34" spans="1:15" ht="11.25" customHeight="1">
      <c r="A34" s="240" t="s">
        <v>1518</v>
      </c>
      <c r="B34" s="171"/>
      <c r="C34" s="2169">
        <v>0</v>
      </c>
      <c r="D34" s="2170">
        <v>22</v>
      </c>
      <c r="E34" s="2171">
        <v>0</v>
      </c>
      <c r="F34" s="2169">
        <v>0</v>
      </c>
      <c r="G34" s="2170">
        <v>0</v>
      </c>
      <c r="H34" s="2171">
        <v>0</v>
      </c>
      <c r="I34" s="2169">
        <v>0</v>
      </c>
      <c r="J34" s="2170">
        <v>0</v>
      </c>
      <c r="K34" s="2171">
        <v>0</v>
      </c>
      <c r="L34" s="345"/>
    </row>
    <row r="35" spans="1:15" ht="11.25" customHeight="1">
      <c r="A35" s="240" t="s">
        <v>1519</v>
      </c>
      <c r="B35" s="171"/>
      <c r="C35" s="2169">
        <v>0</v>
      </c>
      <c r="D35" s="2170">
        <v>47</v>
      </c>
      <c r="E35" s="2171">
        <v>3</v>
      </c>
      <c r="F35" s="2169">
        <v>0</v>
      </c>
      <c r="G35" s="2170">
        <v>0</v>
      </c>
      <c r="H35" s="2171">
        <v>0</v>
      </c>
      <c r="I35" s="2169">
        <v>0</v>
      </c>
      <c r="J35" s="2170">
        <v>0</v>
      </c>
      <c r="K35" s="2171">
        <v>0</v>
      </c>
      <c r="L35" s="345"/>
    </row>
    <row r="36" spans="1:15" ht="11.25" customHeight="1">
      <c r="A36" s="803" t="s">
        <v>712</v>
      </c>
      <c r="B36" s="171"/>
      <c r="C36" s="844">
        <f>SUM(C5:C9)+SUM(C11:C19)+SUM(C21:C35)</f>
        <v>0</v>
      </c>
      <c r="D36" s="844">
        <f t="shared" ref="D36:K36" si="2">SUM(D5:D9)+SUM(D11:D19)+SUM(D21:D35)</f>
        <v>94</v>
      </c>
      <c r="E36" s="1274">
        <f t="shared" si="2"/>
        <v>10</v>
      </c>
      <c r="F36" s="1275">
        <f t="shared" si="2"/>
        <v>0</v>
      </c>
      <c r="G36" s="844">
        <f t="shared" si="2"/>
        <v>10</v>
      </c>
      <c r="H36" s="845">
        <f>SUM(H5:H9)+SUM(H11:H19)+SUM(H21:H35)</f>
        <v>2</v>
      </c>
      <c r="I36" s="1276">
        <f t="shared" si="2"/>
        <v>0</v>
      </c>
      <c r="J36" s="844">
        <f t="shared" si="2"/>
        <v>8</v>
      </c>
      <c r="K36" s="844">
        <f t="shared" si="2"/>
        <v>4</v>
      </c>
      <c r="L36" s="345"/>
    </row>
    <row r="37" spans="1:15" ht="11.25" customHeight="1">
      <c r="A37" s="968" t="s">
        <v>989</v>
      </c>
      <c r="B37" s="171"/>
      <c r="C37" s="842"/>
      <c r="D37" s="1277"/>
      <c r="E37" s="1278"/>
      <c r="F37" s="1279">
        <f t="shared" ref="F37:K37" si="3">IF(ISERROR((F36/C36)-1),0,((F36/C36)-1))</f>
        <v>0</v>
      </c>
      <c r="G37" s="1280">
        <f t="shared" si="3"/>
        <v>-0.8936170212765957</v>
      </c>
      <c r="H37" s="1281">
        <f t="shared" si="3"/>
        <v>-0.8</v>
      </c>
      <c r="I37" s="1282">
        <f t="shared" si="3"/>
        <v>0</v>
      </c>
      <c r="J37" s="1280">
        <f t="shared" si="3"/>
        <v>-0.19999999999999996</v>
      </c>
      <c r="K37" s="1283">
        <f t="shared" si="3"/>
        <v>1</v>
      </c>
      <c r="L37" s="345"/>
      <c r="O37" s="345"/>
    </row>
    <row r="38" spans="1:15" ht="3.75" customHeight="1">
      <c r="A38" s="968"/>
      <c r="B38" s="171"/>
      <c r="C38" s="842"/>
      <c r="D38" s="1280"/>
      <c r="E38" s="1283"/>
      <c r="F38" s="1279"/>
      <c r="G38" s="1280"/>
      <c r="H38" s="1281"/>
      <c r="I38" s="1282"/>
      <c r="J38" s="1280"/>
      <c r="K38" s="1283"/>
      <c r="L38" s="345"/>
    </row>
    <row r="39" spans="1:15" ht="11.25" customHeight="1">
      <c r="A39" s="634" t="s">
        <v>1520</v>
      </c>
      <c r="B39" s="171">
        <v>6</v>
      </c>
      <c r="C39" s="2172">
        <v>0</v>
      </c>
      <c r="D39" s="2173">
        <v>0</v>
      </c>
      <c r="E39" s="2174">
        <v>0</v>
      </c>
      <c r="F39" s="2172">
        <v>0</v>
      </c>
      <c r="G39" s="2173">
        <v>0</v>
      </c>
      <c r="H39" s="2174">
        <v>0</v>
      </c>
      <c r="I39" s="2172">
        <v>0</v>
      </c>
      <c r="J39" s="2173">
        <v>0</v>
      </c>
      <c r="K39" s="2174">
        <v>0</v>
      </c>
      <c r="L39" s="345"/>
    </row>
    <row r="40" spans="1:15" ht="11.25" customHeight="1">
      <c r="A40" s="236" t="s">
        <v>1521</v>
      </c>
      <c r="B40" s="171">
        <v>8</v>
      </c>
      <c r="C40" s="2175">
        <v>0</v>
      </c>
      <c r="D40" s="2176">
        <v>0</v>
      </c>
      <c r="E40" s="2177">
        <v>0</v>
      </c>
      <c r="F40" s="2175">
        <v>0</v>
      </c>
      <c r="G40" s="2176">
        <v>0</v>
      </c>
      <c r="H40" s="2177">
        <v>0</v>
      </c>
      <c r="I40" s="2175">
        <v>0</v>
      </c>
      <c r="J40" s="2176">
        <v>0</v>
      </c>
      <c r="K40" s="2177">
        <v>0</v>
      </c>
      <c r="L40" s="345"/>
    </row>
    <row r="41" spans="1:15" ht="11.25" customHeight="1">
      <c r="A41" s="1284" t="s">
        <v>1522</v>
      </c>
      <c r="B41" s="357">
        <v>8</v>
      </c>
      <c r="C41" s="2178">
        <v>0</v>
      </c>
      <c r="D41" s="2179">
        <v>0</v>
      </c>
      <c r="E41" s="2180">
        <v>0</v>
      </c>
      <c r="F41" s="2178">
        <v>0</v>
      </c>
      <c r="G41" s="2179">
        <v>0</v>
      </c>
      <c r="H41" s="2180">
        <v>0</v>
      </c>
      <c r="I41" s="2178">
        <v>0</v>
      </c>
      <c r="J41" s="2179">
        <v>0</v>
      </c>
      <c r="K41" s="2180">
        <v>0</v>
      </c>
      <c r="L41" s="345"/>
    </row>
    <row r="42" spans="1:15" ht="11.25" customHeight="1">
      <c r="A42" s="637"/>
      <c r="B42" s="222"/>
      <c r="C42" s="290"/>
      <c r="D42" s="290"/>
      <c r="E42" s="290"/>
      <c r="F42" s="290"/>
      <c r="G42" s="290"/>
      <c r="H42" s="290"/>
      <c r="I42" s="290"/>
      <c r="J42" s="290"/>
      <c r="K42" s="290"/>
      <c r="L42" s="345"/>
    </row>
    <row r="43" spans="1:15" ht="11.25" hidden="1" customHeight="1">
      <c r="A43" s="1234" t="str">
        <f>head27a</f>
        <v>References</v>
      </c>
      <c r="B43" s="1033"/>
      <c r="C43" s="1070"/>
      <c r="D43" s="1070"/>
      <c r="E43" s="1070"/>
      <c r="F43" s="1070"/>
      <c r="G43" s="1070"/>
      <c r="H43" s="1070"/>
      <c r="I43" s="1070"/>
      <c r="J43" s="1070"/>
      <c r="K43" s="1070"/>
      <c r="L43" s="345"/>
    </row>
    <row r="44" spans="1:15" ht="11.25" hidden="1" customHeight="1">
      <c r="A44" s="1689" t="s">
        <v>2076</v>
      </c>
      <c r="B44" s="1033"/>
      <c r="C44" s="1070"/>
      <c r="D44" s="1070"/>
      <c r="E44" s="1070"/>
      <c r="F44" s="1070"/>
      <c r="G44" s="1070"/>
      <c r="H44" s="1070"/>
      <c r="I44" s="1070"/>
      <c r="J44" s="1070"/>
      <c r="K44" s="1070"/>
      <c r="L44" s="345"/>
    </row>
    <row r="45" spans="1:15" ht="11.25" hidden="1" customHeight="1">
      <c r="A45" s="1346" t="s">
        <v>2077</v>
      </c>
      <c r="B45" s="1043"/>
      <c r="C45" s="693"/>
      <c r="D45" s="693"/>
      <c r="E45" s="693"/>
      <c r="F45" s="693"/>
      <c r="G45" s="693"/>
      <c r="H45" s="693"/>
      <c r="I45" s="693"/>
      <c r="J45" s="693"/>
      <c r="K45" s="693"/>
    </row>
    <row r="46" spans="1:15" ht="11.25" hidden="1" customHeight="1">
      <c r="A46" s="1346" t="s">
        <v>2078</v>
      </c>
      <c r="B46" s="1043"/>
      <c r="C46" s="693"/>
      <c r="D46" s="693"/>
      <c r="E46" s="693"/>
      <c r="F46" s="693"/>
      <c r="G46" s="693"/>
      <c r="H46" s="693"/>
      <c r="I46" s="693"/>
      <c r="J46" s="693"/>
      <c r="K46" s="693"/>
    </row>
    <row r="47" spans="1:15" ht="11.25" hidden="1" customHeight="1">
      <c r="A47" s="1346" t="s">
        <v>2079</v>
      </c>
      <c r="B47" s="1043"/>
      <c r="C47" s="693"/>
      <c r="D47" s="693"/>
      <c r="E47" s="693"/>
      <c r="F47" s="693"/>
      <c r="G47" s="693"/>
      <c r="H47" s="693"/>
      <c r="I47" s="693"/>
      <c r="J47" s="693"/>
      <c r="K47" s="693"/>
    </row>
    <row r="48" spans="1:15" ht="11.25" hidden="1" customHeight="1">
      <c r="A48" s="1346" t="s">
        <v>2080</v>
      </c>
      <c r="B48" s="1043"/>
      <c r="C48" s="693"/>
      <c r="D48" s="693"/>
      <c r="E48" s="693"/>
      <c r="F48" s="693"/>
      <c r="G48" s="693"/>
      <c r="H48" s="693"/>
      <c r="I48" s="693"/>
      <c r="J48" s="693"/>
      <c r="K48" s="693"/>
    </row>
    <row r="49" spans="1:11" ht="11.25" hidden="1" customHeight="1">
      <c r="A49" s="1346" t="s">
        <v>2081</v>
      </c>
      <c r="B49" s="1043"/>
      <c r="C49" s="693"/>
      <c r="D49" s="693"/>
      <c r="E49" s="693"/>
      <c r="F49" s="693"/>
      <c r="G49" s="693"/>
      <c r="H49" s="693"/>
      <c r="I49" s="693"/>
      <c r="J49" s="693"/>
      <c r="K49" s="693"/>
    </row>
    <row r="50" spans="1:11" ht="11.25" hidden="1" customHeight="1">
      <c r="A50" s="1346" t="s">
        <v>2082</v>
      </c>
      <c r="B50" s="1043"/>
      <c r="C50" s="693"/>
      <c r="D50" s="693"/>
      <c r="E50" s="693"/>
      <c r="F50" s="693"/>
      <c r="G50" s="693"/>
      <c r="H50" s="693"/>
      <c r="I50" s="693"/>
      <c r="J50" s="693"/>
      <c r="K50" s="693"/>
    </row>
    <row r="51" spans="1:11" ht="11.25" hidden="1" customHeight="1">
      <c r="A51" s="1346" t="s">
        <v>2083</v>
      </c>
      <c r="B51" s="1043"/>
      <c r="C51" s="693"/>
      <c r="D51" s="693"/>
      <c r="E51" s="693"/>
      <c r="F51" s="693"/>
      <c r="G51" s="693"/>
      <c r="H51" s="693"/>
      <c r="I51" s="693"/>
      <c r="J51" s="693"/>
      <c r="K51" s="693"/>
    </row>
    <row r="52" spans="1:11" hidden="1"/>
    <row r="53" spans="1:11" hidden="1"/>
    <row r="54" spans="1:11" hidden="1"/>
    <row r="55" spans="1:11" hidden="1"/>
    <row r="56" spans="1:11" hidden="1"/>
    <row r="57" spans="1:11" hidden="1"/>
    <row r="58" spans="1:11" hidden="1"/>
    <row r="59" spans="1:11" hidden="1"/>
    <row r="60" spans="1:11" hidden="1"/>
    <row r="61" spans="1:11" hidden="1"/>
    <row r="62" spans="1:11" hidden="1"/>
    <row r="63" spans="1:11" hidden="1"/>
  </sheetData>
  <sheetProtection password="A35B" sheet="1" objects="1" scenarios="1"/>
  <mergeCells count="3">
    <mergeCell ref="F2:H2"/>
    <mergeCell ref="I2:K2"/>
    <mergeCell ref="C2:E2"/>
  </mergeCells>
  <phoneticPr fontId="3" type="noConversion"/>
  <dataValidations count="1">
    <dataValidation type="decimal" allowBlank="1" showInputMessage="1" showErrorMessage="1" sqref="C5:K9 C11:K19 C21:K35 C39:K41">
      <formula1>-99999999999999900000</formula1>
      <formula2>9999999999999990000</formula2>
    </dataValidation>
  </dataValidations>
  <printOptions horizontalCentered="1"/>
  <pageMargins left="0.36" right="0.14000000000000001" top="0.78740157480314965" bottom="0.59055118110236227" header="0.51181102362204722" footer="0.39"/>
  <pageSetup paperSize="9" scale="86"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enableFormatConditionsCalculation="0">
    <tabColor indexed="42"/>
    <pageSetUpPr fitToPage="1"/>
  </sheetPr>
  <dimension ref="A1:Q67"/>
  <sheetViews>
    <sheetView showGridLines="0" workbookViewId="0">
      <pane xSplit="2" ySplit="3" topLeftCell="C7" activePane="bottomRight" state="frozen"/>
      <selection activeCell="L22" sqref="L22:L24"/>
      <selection pane="topRight" activeCell="L22" sqref="L22:L24"/>
      <selection pane="bottomLeft" activeCell="L22" sqref="L22:L24"/>
      <selection pane="bottomRight" activeCell="D3" sqref="D3:D13"/>
    </sheetView>
  </sheetViews>
  <sheetFormatPr defaultRowHeight="12.75"/>
  <cols>
    <col min="1" max="1" width="30.7109375" style="150" customWidth="1"/>
    <col min="2" max="2" width="3" style="150" hidden="1" customWidth="1"/>
    <col min="3" max="14" width="8.28515625" style="150" customWidth="1"/>
    <col min="15" max="17" width="9.28515625" style="150" customWidth="1"/>
    <col min="18" max="16384" width="9.140625" style="150"/>
  </cols>
  <sheetData>
    <row r="1" spans="1:17" ht="13.5" customHeight="1">
      <c r="A1" s="148" t="str">
        <f>muni&amp;" - "&amp; TableA25</f>
        <v>NC071 Ubuntu - Supporting Table SA25 Budgeted monthly revenue and expenditure</v>
      </c>
      <c r="B1" s="148"/>
      <c r="C1" s="148"/>
      <c r="D1" s="148"/>
      <c r="E1" s="148"/>
      <c r="F1" s="148"/>
      <c r="G1" s="148"/>
      <c r="H1" s="148"/>
      <c r="I1" s="148"/>
      <c r="J1" s="148"/>
      <c r="K1" s="148"/>
      <c r="L1" s="148"/>
      <c r="M1" s="148"/>
      <c r="N1" s="148"/>
      <c r="O1" s="148"/>
      <c r="P1" s="148"/>
      <c r="Q1" s="148"/>
    </row>
    <row r="2" spans="1:17" ht="28.5" customHeight="1">
      <c r="A2" s="979" t="str">
        <f>desc</f>
        <v>Description</v>
      </c>
      <c r="B2" s="991" t="str">
        <f>head27</f>
        <v>Ref</v>
      </c>
      <c r="C2" s="2772" t="str">
        <f>Head9</f>
        <v>Budget Year 2011/12</v>
      </c>
      <c r="D2" s="2773"/>
      <c r="E2" s="2773"/>
      <c r="F2" s="2773"/>
      <c r="G2" s="2773"/>
      <c r="H2" s="2773"/>
      <c r="I2" s="2773"/>
      <c r="J2" s="2773"/>
      <c r="K2" s="2773"/>
      <c r="L2" s="2773"/>
      <c r="M2" s="2773"/>
      <c r="N2" s="2773"/>
      <c r="O2" s="2769" t="s">
        <v>1916</v>
      </c>
      <c r="P2" s="2770"/>
      <c r="Q2" s="2771"/>
    </row>
    <row r="3" spans="1:17" ht="25.5">
      <c r="A3" s="986" t="s">
        <v>697</v>
      </c>
      <c r="B3" s="992"/>
      <c r="C3" s="283" t="s">
        <v>758</v>
      </c>
      <c r="D3" s="913" t="s">
        <v>1506</v>
      </c>
      <c r="E3" s="913" t="s">
        <v>1507</v>
      </c>
      <c r="F3" s="913" t="s">
        <v>1508</v>
      </c>
      <c r="G3" s="913" t="s">
        <v>738</v>
      </c>
      <c r="H3" s="913" t="s">
        <v>739</v>
      </c>
      <c r="I3" s="913" t="s">
        <v>740</v>
      </c>
      <c r="J3" s="2735" t="s">
        <v>741</v>
      </c>
      <c r="K3" s="913" t="s">
        <v>742</v>
      </c>
      <c r="L3" s="913" t="s">
        <v>743</v>
      </c>
      <c r="M3" s="913" t="s">
        <v>744</v>
      </c>
      <c r="N3" s="366" t="s">
        <v>745</v>
      </c>
      <c r="O3" s="283" t="str">
        <f>Head9</f>
        <v>Budget Year 2011/12</v>
      </c>
      <c r="P3" s="365" t="str">
        <f>Head10</f>
        <v>Budget Year +1 2012/13</v>
      </c>
      <c r="Q3" s="366" t="str">
        <f>Head11</f>
        <v>Budget Year +2 2013/14</v>
      </c>
    </row>
    <row r="4" spans="1:17">
      <c r="A4" s="846" t="str">
        <f>'A4-FinPerf RE'!A4</f>
        <v>Revenue By Source</v>
      </c>
      <c r="B4" s="847"/>
      <c r="C4" s="294"/>
      <c r="D4" s="292"/>
      <c r="E4" s="2732"/>
      <c r="F4" s="2732"/>
      <c r="G4" s="292"/>
      <c r="H4" s="292"/>
      <c r="I4" s="292"/>
      <c r="J4" s="2732"/>
      <c r="K4" s="2732"/>
      <c r="L4" s="292"/>
      <c r="M4" s="292"/>
      <c r="N4" s="848"/>
      <c r="O4" s="294"/>
      <c r="P4" s="292"/>
      <c r="Q4" s="295"/>
    </row>
    <row r="5" spans="1:17" ht="11.25" customHeight="1">
      <c r="A5" s="236" t="str">
        <f>'A4-FinPerf RE'!A5</f>
        <v>Property rates</v>
      </c>
      <c r="B5" s="849"/>
      <c r="C5" s="1821"/>
      <c r="D5" s="1807"/>
      <c r="E5" s="1809"/>
      <c r="F5" s="1822"/>
      <c r="G5" s="1821"/>
      <c r="H5" s="1821"/>
      <c r="I5" s="1807"/>
      <c r="J5" s="1809"/>
      <c r="K5" s="1822"/>
      <c r="L5" s="1821"/>
      <c r="M5" s="1821"/>
      <c r="N5" s="792">
        <f t="shared" ref="N5:N21" si="0">O5-SUM(C5:M5)</f>
        <v>3880165.05</v>
      </c>
      <c r="O5" s="191">
        <f>'A4-FinPerf RE'!J5</f>
        <v>3880165.05</v>
      </c>
      <c r="P5" s="189">
        <f>'A4-FinPerf RE'!K5</f>
        <v>4112974.9530000007</v>
      </c>
      <c r="Q5" s="190">
        <f>'A4-FinPerf RE'!L5</f>
        <v>4359753.4501800006</v>
      </c>
    </row>
    <row r="6" spans="1:17" ht="11.25" customHeight="1">
      <c r="A6" s="236" t="str">
        <f>'A4-FinPerf RE'!A6</f>
        <v>Property rates - penalties &amp; collection charges</v>
      </c>
      <c r="B6" s="849"/>
      <c r="C6" s="1821"/>
      <c r="D6" s="1807"/>
      <c r="E6" s="1809"/>
      <c r="F6" s="1822"/>
      <c r="G6" s="1821"/>
      <c r="H6" s="1821"/>
      <c r="I6" s="1807"/>
      <c r="J6" s="1809"/>
      <c r="K6" s="1822"/>
      <c r="L6" s="1821"/>
      <c r="M6" s="1821">
        <f t="shared" ref="M6" si="1">Y7/12</f>
        <v>0</v>
      </c>
      <c r="N6" s="792">
        <f t="shared" si="0"/>
        <v>0</v>
      </c>
      <c r="O6" s="191">
        <f>'A4-FinPerf RE'!J6</f>
        <v>0</v>
      </c>
      <c r="P6" s="193">
        <f>'A4-FinPerf RE'!K6</f>
        <v>0</v>
      </c>
      <c r="Q6" s="250">
        <f>'A4-FinPerf RE'!L6</f>
        <v>0</v>
      </c>
    </row>
    <row r="7" spans="1:17" ht="11.25" customHeight="1">
      <c r="A7" s="236" t="str">
        <f>'A4-FinPerf RE'!A7</f>
        <v>Service charges - electricity revenue</v>
      </c>
      <c r="B7" s="849"/>
      <c r="C7" s="1821">
        <f>5290000/12</f>
        <v>440833.33333333331</v>
      </c>
      <c r="D7" s="1807">
        <f t="shared" ref="D7:M7" si="2">5290000/12</f>
        <v>440833.33333333331</v>
      </c>
      <c r="E7" s="1809">
        <f t="shared" si="2"/>
        <v>440833.33333333331</v>
      </c>
      <c r="F7" s="1822">
        <f t="shared" si="2"/>
        <v>440833.33333333331</v>
      </c>
      <c r="G7" s="1821">
        <f t="shared" si="2"/>
        <v>440833.33333333331</v>
      </c>
      <c r="H7" s="1821">
        <f t="shared" si="2"/>
        <v>440833.33333333331</v>
      </c>
      <c r="I7" s="1807">
        <f t="shared" si="2"/>
        <v>440833.33333333331</v>
      </c>
      <c r="J7" s="1809">
        <f t="shared" si="2"/>
        <v>440833.33333333331</v>
      </c>
      <c r="K7" s="1822">
        <f t="shared" si="2"/>
        <v>440833.33333333331</v>
      </c>
      <c r="L7" s="1821">
        <f t="shared" si="2"/>
        <v>440833.33333333331</v>
      </c>
      <c r="M7" s="1821">
        <f t="shared" si="2"/>
        <v>440833.33333333331</v>
      </c>
      <c r="N7" s="792">
        <f t="shared" si="0"/>
        <v>440696.1819333341</v>
      </c>
      <c r="O7" s="191">
        <f>'A4-FinPerf RE'!J7</f>
        <v>5289862.8486000011</v>
      </c>
      <c r="P7" s="193">
        <f>'A4-FinPerf RE'!K7</f>
        <v>8241039.267376001</v>
      </c>
      <c r="Q7" s="250">
        <f>'A4-FinPerf RE'!L7</f>
        <v>9018515</v>
      </c>
    </row>
    <row r="8" spans="1:17" ht="11.25" customHeight="1">
      <c r="A8" s="236" t="str">
        <f>'A4-FinPerf RE'!A8</f>
        <v>Service charges - water revenue</v>
      </c>
      <c r="B8" s="849"/>
      <c r="C8" s="1821">
        <f>2109000/12</f>
        <v>175750</v>
      </c>
      <c r="D8" s="1807">
        <f t="shared" ref="D8:M8" si="3">2109000/12</f>
        <v>175750</v>
      </c>
      <c r="E8" s="1809">
        <f t="shared" si="3"/>
        <v>175750</v>
      </c>
      <c r="F8" s="1822">
        <f t="shared" si="3"/>
        <v>175750</v>
      </c>
      <c r="G8" s="1821">
        <f t="shared" si="3"/>
        <v>175750</v>
      </c>
      <c r="H8" s="1821">
        <f t="shared" si="3"/>
        <v>175750</v>
      </c>
      <c r="I8" s="1807">
        <f t="shared" si="3"/>
        <v>175750</v>
      </c>
      <c r="J8" s="1809">
        <f t="shared" si="3"/>
        <v>175750</v>
      </c>
      <c r="K8" s="1822">
        <f t="shared" si="3"/>
        <v>175750</v>
      </c>
      <c r="L8" s="1821">
        <f t="shared" si="3"/>
        <v>175750</v>
      </c>
      <c r="M8" s="1821">
        <f t="shared" si="3"/>
        <v>175750</v>
      </c>
      <c r="N8" s="792">
        <f t="shared" si="0"/>
        <v>175770.77000000002</v>
      </c>
      <c r="O8" s="191">
        <f>'A4-FinPerf RE'!J8</f>
        <v>2109020.77</v>
      </c>
      <c r="P8" s="193">
        <f>'A4-FinPerf RE'!K8</f>
        <v>2328907.8470000001</v>
      </c>
      <c r="Q8" s="250">
        <f>'A4-FinPerf RE'!L8</f>
        <v>2606233.5886400002</v>
      </c>
    </row>
    <row r="9" spans="1:17" ht="11.25" customHeight="1">
      <c r="A9" s="236" t="str">
        <f>'A4-FinPerf RE'!A9</f>
        <v>Service charges - sanitation revenue</v>
      </c>
      <c r="B9" s="849"/>
      <c r="C9" s="1821">
        <f>1603000/12</f>
        <v>133583.33333333334</v>
      </c>
      <c r="D9" s="1807">
        <f t="shared" ref="D9:M9" si="4">1603000/12</f>
        <v>133583.33333333334</v>
      </c>
      <c r="E9" s="1809">
        <f t="shared" si="4"/>
        <v>133583.33333333334</v>
      </c>
      <c r="F9" s="1822">
        <f t="shared" si="4"/>
        <v>133583.33333333334</v>
      </c>
      <c r="G9" s="1821">
        <f t="shared" si="4"/>
        <v>133583.33333333334</v>
      </c>
      <c r="H9" s="1821">
        <f t="shared" si="4"/>
        <v>133583.33333333334</v>
      </c>
      <c r="I9" s="1807">
        <f t="shared" si="4"/>
        <v>133583.33333333334</v>
      </c>
      <c r="J9" s="1809">
        <f t="shared" si="4"/>
        <v>133583.33333333334</v>
      </c>
      <c r="K9" s="1822">
        <f t="shared" si="4"/>
        <v>133583.33333333334</v>
      </c>
      <c r="L9" s="1821">
        <f t="shared" si="4"/>
        <v>133583.33333333334</v>
      </c>
      <c r="M9" s="1821">
        <f t="shared" si="4"/>
        <v>133583.33333333334</v>
      </c>
      <c r="N9" s="792">
        <f t="shared" si="0"/>
        <v>133585.52833333332</v>
      </c>
      <c r="O9" s="191">
        <f>'A4-FinPerf RE'!J9</f>
        <v>1603002.1949999998</v>
      </c>
      <c r="P9" s="193">
        <f>'A4-FinPerf RE'!K9</f>
        <v>2555100</v>
      </c>
      <c r="Q9" s="250">
        <f>'A4-FinPerf RE'!L9</f>
        <v>2708410</v>
      </c>
    </row>
    <row r="10" spans="1:17" ht="11.25" customHeight="1">
      <c r="A10" s="236" t="str">
        <f>'A4-FinPerf RE'!A10</f>
        <v>Service charges - refuse revenue</v>
      </c>
      <c r="B10" s="849"/>
      <c r="C10" s="1821">
        <f>2593000/12</f>
        <v>216083.33333333334</v>
      </c>
      <c r="D10" s="1807">
        <f t="shared" ref="D10:M10" si="5">2593000/12</f>
        <v>216083.33333333334</v>
      </c>
      <c r="E10" s="1809">
        <f t="shared" si="5"/>
        <v>216083.33333333334</v>
      </c>
      <c r="F10" s="1822">
        <f t="shared" si="5"/>
        <v>216083.33333333334</v>
      </c>
      <c r="G10" s="1821">
        <f t="shared" si="5"/>
        <v>216083.33333333334</v>
      </c>
      <c r="H10" s="1821">
        <f t="shared" si="5"/>
        <v>216083.33333333334</v>
      </c>
      <c r="I10" s="1807">
        <f t="shared" si="5"/>
        <v>216083.33333333334</v>
      </c>
      <c r="J10" s="1809">
        <f t="shared" si="5"/>
        <v>216083.33333333334</v>
      </c>
      <c r="K10" s="1822">
        <f t="shared" si="5"/>
        <v>216083.33333333334</v>
      </c>
      <c r="L10" s="1821">
        <f t="shared" si="5"/>
        <v>216083.33333333334</v>
      </c>
      <c r="M10" s="1821">
        <f t="shared" si="5"/>
        <v>216083.33333333334</v>
      </c>
      <c r="N10" s="792">
        <f t="shared" si="0"/>
        <v>215948.35333333351</v>
      </c>
      <c r="O10" s="191">
        <f>'A4-FinPerf RE'!J10</f>
        <v>2592865.02</v>
      </c>
      <c r="P10" s="193">
        <f>'A4-FinPerf RE'!K10</f>
        <v>2722448.2710000002</v>
      </c>
      <c r="Q10" s="250">
        <f>'A4-FinPerf RE'!L10</f>
        <v>2858610.6845500004</v>
      </c>
    </row>
    <row r="11" spans="1:17" ht="11.25" customHeight="1">
      <c r="A11" s="236" t="str">
        <f>'A4-FinPerf RE'!A11</f>
        <v>Service charges - other</v>
      </c>
      <c r="B11" s="849"/>
      <c r="C11" s="1821">
        <f>-SUMIF(TB!$K:$K,'SA25'!$A11,TB!Z:Z)</f>
        <v>0</v>
      </c>
      <c r="D11" s="1805">
        <f>-SUMIF(TB!$K:$K,'SA25'!$A11,TB!AA:AA)</f>
        <v>0</v>
      </c>
      <c r="E11" s="1809">
        <f>-SUMIF(TB!$K:$K,'SA25'!$A11,TB!AB:AB)</f>
        <v>0</v>
      </c>
      <c r="F11" s="1809">
        <f>-SUMIF(TB!$K:$K,'SA25'!$A11,TB!AC:AC)</f>
        <v>0</v>
      </c>
      <c r="G11" s="1805">
        <f>-SUMIF(TB!$K:$K,'SA25'!$A11,TB!AD:AD)</f>
        <v>0</v>
      </c>
      <c r="H11" s="1805">
        <f>-SUMIF(TB!$K:$K,'SA25'!$A11,TB!AE:AE)</f>
        <v>0</v>
      </c>
      <c r="I11" s="1805">
        <f>-SUMIF(TB!$K:$K,'SA25'!$A11,TB!AF:AF)</f>
        <v>0</v>
      </c>
      <c r="J11" s="1809">
        <f>-SUMIF(TB!$K:$K,'SA25'!$A11,TB!AG:AG)</f>
        <v>0</v>
      </c>
      <c r="K11" s="1809">
        <f>-SUMIF(TB!$K:$K,'SA25'!$A11,TB!AH:AH)</f>
        <v>0</v>
      </c>
      <c r="L11" s="1805">
        <f>-SUMIF(TB!$K:$K,'SA25'!$A11,TB!AI:AI)</f>
        <v>0</v>
      </c>
      <c r="M11" s="1805">
        <f>-SUMIF(TB!$K:$K,'SA25'!$A11,TB!AJ:AJ)</f>
        <v>0</v>
      </c>
      <c r="N11" s="792">
        <f t="shared" si="0"/>
        <v>0</v>
      </c>
      <c r="O11" s="191">
        <f>'A4-FinPerf RE'!J11</f>
        <v>0</v>
      </c>
      <c r="P11" s="189">
        <f>'A4-FinPerf RE'!K11</f>
        <v>0</v>
      </c>
      <c r="Q11" s="190">
        <f>'A4-FinPerf RE'!L11</f>
        <v>0</v>
      </c>
    </row>
    <row r="12" spans="1:17" ht="11.25" customHeight="1">
      <c r="A12" s="236" t="str">
        <f>'A4-FinPerf RE'!A12</f>
        <v>Rental of facilities and equipment</v>
      </c>
      <c r="B12" s="849"/>
      <c r="C12" s="1821">
        <f>499000/12</f>
        <v>41583.333333333336</v>
      </c>
      <c r="D12" s="1807">
        <f t="shared" ref="D12:M12" si="6">499000/12</f>
        <v>41583.333333333336</v>
      </c>
      <c r="E12" s="1809">
        <f t="shared" si="6"/>
        <v>41583.333333333336</v>
      </c>
      <c r="F12" s="1822">
        <f t="shared" si="6"/>
        <v>41583.333333333336</v>
      </c>
      <c r="G12" s="1821">
        <f t="shared" si="6"/>
        <v>41583.333333333336</v>
      </c>
      <c r="H12" s="1821">
        <f t="shared" si="6"/>
        <v>41583.333333333336</v>
      </c>
      <c r="I12" s="1807">
        <f t="shared" si="6"/>
        <v>41583.333333333336</v>
      </c>
      <c r="J12" s="1809">
        <f t="shared" si="6"/>
        <v>41583.333333333336</v>
      </c>
      <c r="K12" s="1822">
        <f t="shared" si="6"/>
        <v>41583.333333333336</v>
      </c>
      <c r="L12" s="1821">
        <f t="shared" si="6"/>
        <v>41583.333333333336</v>
      </c>
      <c r="M12" s="1821">
        <f t="shared" si="6"/>
        <v>41583.333333333336</v>
      </c>
      <c r="N12" s="792">
        <f t="shared" si="0"/>
        <v>41493.333333333372</v>
      </c>
      <c r="O12" s="191">
        <f>'A4-FinPerf RE'!J12</f>
        <v>498910</v>
      </c>
      <c r="P12" s="189">
        <f>'A4-FinPerf RE'!K12</f>
        <v>690200.4</v>
      </c>
      <c r="Q12" s="190">
        <f>'A4-FinPerf RE'!L12</f>
        <v>714554.83200000005</v>
      </c>
    </row>
    <row r="13" spans="1:17" ht="11.25" customHeight="1">
      <c r="A13" s="236" t="str">
        <f>'A4-FinPerf RE'!A13</f>
        <v>Interest earned - external investments</v>
      </c>
      <c r="B13" s="849"/>
      <c r="C13" s="1821">
        <f>250000/12</f>
        <v>20833.333333333332</v>
      </c>
      <c r="D13" s="1807">
        <f t="shared" ref="D13:M13" si="7">250000/12</f>
        <v>20833.333333333332</v>
      </c>
      <c r="E13" s="1809">
        <f t="shared" si="7"/>
        <v>20833.333333333332</v>
      </c>
      <c r="F13" s="1822">
        <f t="shared" si="7"/>
        <v>20833.333333333332</v>
      </c>
      <c r="G13" s="1821">
        <f t="shared" si="7"/>
        <v>20833.333333333332</v>
      </c>
      <c r="H13" s="1821">
        <f t="shared" si="7"/>
        <v>20833.333333333332</v>
      </c>
      <c r="I13" s="1807">
        <f t="shared" si="7"/>
        <v>20833.333333333332</v>
      </c>
      <c r="J13" s="1809">
        <f t="shared" si="7"/>
        <v>20833.333333333332</v>
      </c>
      <c r="K13" s="1822">
        <f t="shared" si="7"/>
        <v>20833.333333333332</v>
      </c>
      <c r="L13" s="1821">
        <f t="shared" si="7"/>
        <v>20833.333333333332</v>
      </c>
      <c r="M13" s="1821">
        <f t="shared" si="7"/>
        <v>20833.333333333332</v>
      </c>
      <c r="N13" s="792">
        <f t="shared" si="0"/>
        <v>20833.333333333314</v>
      </c>
      <c r="O13" s="191">
        <f>'A4-FinPerf RE'!J13</f>
        <v>250000</v>
      </c>
      <c r="P13" s="189">
        <f>'A4-FinPerf RE'!K13</f>
        <v>270000</v>
      </c>
      <c r="Q13" s="190">
        <f>'A4-FinPerf RE'!L13</f>
        <v>280000</v>
      </c>
    </row>
    <row r="14" spans="1:17" ht="11.25" customHeight="1">
      <c r="A14" s="236" t="str">
        <f>'A4-FinPerf RE'!A14</f>
        <v>Interest earned - outstanding debtors</v>
      </c>
      <c r="B14" s="849"/>
      <c r="C14" s="1821">
        <f>1800000/12</f>
        <v>150000</v>
      </c>
      <c r="D14" s="1807">
        <f t="shared" ref="D14:M14" si="8">1800000/12</f>
        <v>150000</v>
      </c>
      <c r="E14" s="1809">
        <f t="shared" si="8"/>
        <v>150000</v>
      </c>
      <c r="F14" s="1822">
        <f t="shared" si="8"/>
        <v>150000</v>
      </c>
      <c r="G14" s="1821">
        <f t="shared" si="8"/>
        <v>150000</v>
      </c>
      <c r="H14" s="1821">
        <f t="shared" si="8"/>
        <v>150000</v>
      </c>
      <c r="I14" s="1807">
        <f t="shared" si="8"/>
        <v>150000</v>
      </c>
      <c r="J14" s="1809">
        <f t="shared" si="8"/>
        <v>150000</v>
      </c>
      <c r="K14" s="1822">
        <f t="shared" si="8"/>
        <v>150000</v>
      </c>
      <c r="L14" s="1821">
        <f t="shared" si="8"/>
        <v>150000</v>
      </c>
      <c r="M14" s="1821">
        <f t="shared" si="8"/>
        <v>150000</v>
      </c>
      <c r="N14" s="792">
        <f t="shared" si="0"/>
        <v>150000</v>
      </c>
      <c r="O14" s="191">
        <f>'A4-FinPerf RE'!J14</f>
        <v>1800000</v>
      </c>
      <c r="P14" s="189">
        <f>'A4-FinPerf RE'!K14</f>
        <v>1800000</v>
      </c>
      <c r="Q14" s="190">
        <f>'A4-FinPerf RE'!L14</f>
        <v>1800000</v>
      </c>
    </row>
    <row r="15" spans="1:17" ht="11.25" customHeight="1">
      <c r="A15" s="236" t="str">
        <f>'A4-FinPerf RE'!A15</f>
        <v>Dividends received</v>
      </c>
      <c r="B15" s="849"/>
      <c r="C15" s="1821">
        <f>-SUMIF(TB!$K:$K,'SA25'!$A15,TB!Z:Z)</f>
        <v>0</v>
      </c>
      <c r="D15" s="1805">
        <f>-SUMIF(TB!$K:$K,'SA25'!$A15,TB!AA:AA)</f>
        <v>0</v>
      </c>
      <c r="E15" s="1809">
        <f>-SUMIF(TB!$K:$K,'SA25'!$A15,TB!AB:AB)</f>
        <v>0</v>
      </c>
      <c r="F15" s="1809">
        <f>-SUMIF(TB!$K:$K,'SA25'!$A15,TB!AC:AC)</f>
        <v>0</v>
      </c>
      <c r="G15" s="1805">
        <f>-SUMIF(TB!$K:$K,'SA25'!$A15,TB!AD:AD)</f>
        <v>0</v>
      </c>
      <c r="H15" s="1805">
        <f>-SUMIF(TB!$K:$K,'SA25'!$A15,TB!AE:AE)</f>
        <v>0</v>
      </c>
      <c r="I15" s="1805">
        <f>-SUMIF(TB!$K:$K,'SA25'!$A15,TB!AF:AF)</f>
        <v>0</v>
      </c>
      <c r="J15" s="1809">
        <f>-SUMIF(TB!$K:$K,'SA25'!$A15,TB!AG:AG)</f>
        <v>0</v>
      </c>
      <c r="K15" s="1809">
        <f>-SUMIF(TB!$K:$K,'SA25'!$A15,TB!AH:AH)</f>
        <v>0</v>
      </c>
      <c r="L15" s="1805">
        <f>-SUMIF(TB!$K:$K,'SA25'!$A15,TB!AI:AI)</f>
        <v>0</v>
      </c>
      <c r="M15" s="1805">
        <f>-SUMIF(TB!$K:$K,'SA25'!$A15,TB!AJ:AJ)</f>
        <v>0</v>
      </c>
      <c r="N15" s="792">
        <f t="shared" si="0"/>
        <v>0</v>
      </c>
      <c r="O15" s="191">
        <f>'A4-FinPerf RE'!J15</f>
        <v>0</v>
      </c>
      <c r="P15" s="189">
        <f>'A4-FinPerf RE'!K15</f>
        <v>0</v>
      </c>
      <c r="Q15" s="190">
        <f>'A4-FinPerf RE'!L15</f>
        <v>0</v>
      </c>
    </row>
    <row r="16" spans="1:17" ht="11.25" customHeight="1">
      <c r="A16" s="236" t="str">
        <f>'A4-FinPerf RE'!A16</f>
        <v>Fines</v>
      </c>
      <c r="B16" s="849"/>
      <c r="C16" s="1821">
        <f>16108000/12</f>
        <v>1342333.3333333333</v>
      </c>
      <c r="D16" s="1807">
        <f t="shared" ref="D16:M16" si="9">16108000/12</f>
        <v>1342333.3333333333</v>
      </c>
      <c r="E16" s="1809">
        <f t="shared" si="9"/>
        <v>1342333.3333333333</v>
      </c>
      <c r="F16" s="1822">
        <f t="shared" si="9"/>
        <v>1342333.3333333333</v>
      </c>
      <c r="G16" s="1821">
        <f t="shared" si="9"/>
        <v>1342333.3333333333</v>
      </c>
      <c r="H16" s="1821">
        <f t="shared" si="9"/>
        <v>1342333.3333333333</v>
      </c>
      <c r="I16" s="1807">
        <f t="shared" si="9"/>
        <v>1342333.3333333333</v>
      </c>
      <c r="J16" s="1809">
        <f t="shared" si="9"/>
        <v>1342333.3333333333</v>
      </c>
      <c r="K16" s="1822">
        <f t="shared" si="9"/>
        <v>1342333.3333333333</v>
      </c>
      <c r="L16" s="1821">
        <f t="shared" si="9"/>
        <v>1342333.3333333333</v>
      </c>
      <c r="M16" s="1821">
        <f t="shared" si="9"/>
        <v>1342333.3333333333</v>
      </c>
      <c r="N16" s="792">
        <f t="shared" si="0"/>
        <v>1342333.3333333321</v>
      </c>
      <c r="O16" s="191">
        <f>'A4-FinPerf RE'!J16</f>
        <v>16108000</v>
      </c>
      <c r="P16" s="189">
        <f>'A4-FinPerf RE'!K16</f>
        <v>16889500</v>
      </c>
      <c r="Q16" s="190">
        <f>'A4-FinPerf RE'!L16</f>
        <v>17390000</v>
      </c>
    </row>
    <row r="17" spans="1:17" ht="11.25" customHeight="1">
      <c r="A17" s="236" t="str">
        <f>'A4-FinPerf RE'!A17</f>
        <v>Licences and permits</v>
      </c>
      <c r="B17" s="849"/>
      <c r="C17" s="1821">
        <f>420000/12</f>
        <v>35000</v>
      </c>
      <c r="D17" s="1807">
        <f t="shared" ref="D17:M17" si="10">420000/12</f>
        <v>35000</v>
      </c>
      <c r="E17" s="1809">
        <f t="shared" si="10"/>
        <v>35000</v>
      </c>
      <c r="F17" s="1822">
        <f t="shared" si="10"/>
        <v>35000</v>
      </c>
      <c r="G17" s="1821">
        <f t="shared" si="10"/>
        <v>35000</v>
      </c>
      <c r="H17" s="1821">
        <f t="shared" si="10"/>
        <v>35000</v>
      </c>
      <c r="I17" s="1807">
        <f t="shared" si="10"/>
        <v>35000</v>
      </c>
      <c r="J17" s="1809">
        <f t="shared" si="10"/>
        <v>35000</v>
      </c>
      <c r="K17" s="1822">
        <f t="shared" si="10"/>
        <v>35000</v>
      </c>
      <c r="L17" s="1821">
        <f t="shared" si="10"/>
        <v>35000</v>
      </c>
      <c r="M17" s="1821">
        <f t="shared" si="10"/>
        <v>35000</v>
      </c>
      <c r="N17" s="792">
        <f t="shared" si="0"/>
        <v>34800</v>
      </c>
      <c r="O17" s="191">
        <f>'A4-FinPerf RE'!J17</f>
        <v>419800</v>
      </c>
      <c r="P17" s="189">
        <f>'A4-FinPerf RE'!K17</f>
        <v>479300</v>
      </c>
      <c r="Q17" s="190">
        <f>'A4-FinPerf RE'!L17</f>
        <v>489600</v>
      </c>
    </row>
    <row r="18" spans="1:17" ht="11.25" customHeight="1">
      <c r="A18" s="236" t="str">
        <f>'A4-FinPerf RE'!A18</f>
        <v>Agency services</v>
      </c>
      <c r="B18" s="849"/>
      <c r="C18" s="1821">
        <f>20000/12</f>
        <v>1666.6666666666667</v>
      </c>
      <c r="D18" s="1807">
        <f t="shared" ref="D18:M18" si="11">20000/12</f>
        <v>1666.6666666666667</v>
      </c>
      <c r="E18" s="1822">
        <f t="shared" si="11"/>
        <v>1666.6666666666667</v>
      </c>
      <c r="F18" s="1821">
        <f t="shared" si="11"/>
        <v>1666.6666666666667</v>
      </c>
      <c r="G18" s="1821">
        <f t="shared" si="11"/>
        <v>1666.6666666666667</v>
      </c>
      <c r="H18" s="1821">
        <f t="shared" si="11"/>
        <v>1666.6666666666667</v>
      </c>
      <c r="I18" s="1807">
        <f t="shared" si="11"/>
        <v>1666.6666666666667</v>
      </c>
      <c r="J18" s="1809">
        <f t="shared" si="11"/>
        <v>1666.6666666666667</v>
      </c>
      <c r="K18" s="1822">
        <f t="shared" si="11"/>
        <v>1666.6666666666667</v>
      </c>
      <c r="L18" s="1821">
        <f t="shared" si="11"/>
        <v>1666.6666666666667</v>
      </c>
      <c r="M18" s="1821">
        <f t="shared" si="11"/>
        <v>1666.6666666666667</v>
      </c>
      <c r="N18" s="792">
        <f t="shared" si="0"/>
        <v>1666.6666666666679</v>
      </c>
      <c r="O18" s="191">
        <f>'A4-FinPerf RE'!J18</f>
        <v>20000</v>
      </c>
      <c r="P18" s="189">
        <f>'A4-FinPerf RE'!K18</f>
        <v>20000</v>
      </c>
      <c r="Q18" s="190">
        <f>'A4-FinPerf RE'!L18</f>
        <v>20000</v>
      </c>
    </row>
    <row r="19" spans="1:17" ht="11.25" customHeight="1">
      <c r="A19" s="236" t="str">
        <f>'A4-FinPerf RE'!A19</f>
        <v>Transfers recognised - operational</v>
      </c>
      <c r="B19" s="849"/>
      <c r="C19" s="1821">
        <f>18061000/12</f>
        <v>1505083.3333333333</v>
      </c>
      <c r="D19" s="1821">
        <f t="shared" ref="D19:M19" si="12">18061000/12</f>
        <v>1505083.3333333333</v>
      </c>
      <c r="E19" s="1821">
        <f t="shared" si="12"/>
        <v>1505083.3333333333</v>
      </c>
      <c r="F19" s="1821">
        <f t="shared" si="12"/>
        <v>1505083.3333333333</v>
      </c>
      <c r="G19" s="1821">
        <f t="shared" si="12"/>
        <v>1505083.3333333333</v>
      </c>
      <c r="H19" s="1821">
        <f t="shared" si="12"/>
        <v>1505083.3333333333</v>
      </c>
      <c r="I19" s="1807">
        <f t="shared" si="12"/>
        <v>1505083.3333333333</v>
      </c>
      <c r="J19" s="1809">
        <f t="shared" si="12"/>
        <v>1505083.3333333333</v>
      </c>
      <c r="K19" s="1822">
        <f t="shared" si="12"/>
        <v>1505083.3333333333</v>
      </c>
      <c r="L19" s="1821">
        <f t="shared" si="12"/>
        <v>1505083.3333333333</v>
      </c>
      <c r="M19" s="1821">
        <f t="shared" si="12"/>
        <v>1505083.3333333333</v>
      </c>
      <c r="N19" s="792">
        <f t="shared" si="0"/>
        <v>1505083.3333333302</v>
      </c>
      <c r="O19" s="191">
        <f>'A4-FinPerf RE'!J19</f>
        <v>18061000</v>
      </c>
      <c r="P19" s="189">
        <f>'A4-FinPerf RE'!K19</f>
        <v>19804000</v>
      </c>
      <c r="Q19" s="190">
        <f>'A4-FinPerf RE'!L19</f>
        <v>21904000</v>
      </c>
    </row>
    <row r="20" spans="1:17" ht="11.25" customHeight="1">
      <c r="A20" s="236" t="str">
        <f>'A4-FinPerf RE'!A20</f>
        <v>Other revenue</v>
      </c>
      <c r="B20" s="849"/>
      <c r="C20" s="1821">
        <f>516000/12</f>
        <v>43000</v>
      </c>
      <c r="D20" s="1821">
        <f t="shared" ref="D20:M20" si="13">516000/12</f>
        <v>43000</v>
      </c>
      <c r="E20" s="1821">
        <f t="shared" si="13"/>
        <v>43000</v>
      </c>
      <c r="F20" s="1821">
        <f t="shared" si="13"/>
        <v>43000</v>
      </c>
      <c r="G20" s="1821">
        <f t="shared" si="13"/>
        <v>43000</v>
      </c>
      <c r="H20" s="1821">
        <f t="shared" si="13"/>
        <v>43000</v>
      </c>
      <c r="I20" s="1821">
        <f t="shared" si="13"/>
        <v>43000</v>
      </c>
      <c r="J20" s="1807">
        <f t="shared" si="13"/>
        <v>43000</v>
      </c>
      <c r="K20" s="1822">
        <f t="shared" si="13"/>
        <v>43000</v>
      </c>
      <c r="L20" s="1821">
        <f t="shared" si="13"/>
        <v>43000</v>
      </c>
      <c r="M20" s="1821">
        <f t="shared" si="13"/>
        <v>43000</v>
      </c>
      <c r="N20" s="792">
        <f t="shared" si="0"/>
        <v>43250</v>
      </c>
      <c r="O20" s="191">
        <f>'A4-FinPerf RE'!J20</f>
        <v>516250</v>
      </c>
      <c r="P20" s="189">
        <f>'A4-FinPerf RE'!K20</f>
        <v>316830</v>
      </c>
      <c r="Q20" s="190">
        <f>'A4-FinPerf RE'!L20</f>
        <v>322335</v>
      </c>
    </row>
    <row r="21" spans="1:17" ht="11.25" customHeight="1">
      <c r="A21" s="236" t="str">
        <f>'A4-FinPerf RE'!A21</f>
        <v>Gains on disposal of PPE</v>
      </c>
      <c r="B21" s="849"/>
      <c r="C21" s="1821">
        <f>56000/12</f>
        <v>4666.666666666667</v>
      </c>
      <c r="D21" s="1821">
        <f t="shared" ref="D21:M21" si="14">56000/12</f>
        <v>4666.666666666667</v>
      </c>
      <c r="E21" s="1821">
        <f t="shared" si="14"/>
        <v>4666.666666666667</v>
      </c>
      <c r="F21" s="1821">
        <f t="shared" si="14"/>
        <v>4666.666666666667</v>
      </c>
      <c r="G21" s="1821">
        <f t="shared" si="14"/>
        <v>4666.666666666667</v>
      </c>
      <c r="H21" s="1821">
        <f t="shared" si="14"/>
        <v>4666.666666666667</v>
      </c>
      <c r="I21" s="1821">
        <f t="shared" si="14"/>
        <v>4666.666666666667</v>
      </c>
      <c r="J21" s="1807">
        <f t="shared" si="14"/>
        <v>4666.666666666667</v>
      </c>
      <c r="K21" s="1822">
        <f t="shared" si="14"/>
        <v>4666.666666666667</v>
      </c>
      <c r="L21" s="1821">
        <f t="shared" si="14"/>
        <v>4666.666666666667</v>
      </c>
      <c r="M21" s="1821">
        <f t="shared" si="14"/>
        <v>4666.666666666667</v>
      </c>
      <c r="N21" s="792">
        <f t="shared" si="0"/>
        <v>4766.6666666666715</v>
      </c>
      <c r="O21" s="191">
        <f>'A4-FinPerf RE'!J21</f>
        <v>56100</v>
      </c>
      <c r="P21" s="189">
        <f>'A4-FinPerf RE'!K21</f>
        <v>56200</v>
      </c>
      <c r="Q21" s="190">
        <f>'A4-FinPerf RE'!L21</f>
        <v>56300</v>
      </c>
    </row>
    <row r="22" spans="1:17">
      <c r="A22" s="251" t="str">
        <f>'A4-FinPerf RE'!A22</f>
        <v>Total Revenue (excluding capital transfers and contributions)</v>
      </c>
      <c r="B22" s="850"/>
      <c r="C22" s="201">
        <f t="shared" ref="C22:Q22" si="15">SUM(C5:C21)</f>
        <v>4110416.6666666665</v>
      </c>
      <c r="D22" s="199">
        <f t="shared" si="15"/>
        <v>4110416.6666666665</v>
      </c>
      <c r="E22" s="199">
        <f t="shared" si="15"/>
        <v>4110416.6666666665</v>
      </c>
      <c r="F22" s="199">
        <f t="shared" si="15"/>
        <v>4110416.6666666665</v>
      </c>
      <c r="G22" s="199">
        <f t="shared" si="15"/>
        <v>4110416.6666666665</v>
      </c>
      <c r="H22" s="199">
        <f t="shared" si="15"/>
        <v>4110416.6666666665</v>
      </c>
      <c r="I22" s="199">
        <f t="shared" si="15"/>
        <v>4110416.6666666665</v>
      </c>
      <c r="J22" s="199">
        <f t="shared" si="15"/>
        <v>4110416.6666666665</v>
      </c>
      <c r="K22" s="2733">
        <f t="shared" si="15"/>
        <v>4110416.6666666665</v>
      </c>
      <c r="L22" s="199">
        <f t="shared" si="15"/>
        <v>4110416.6666666665</v>
      </c>
      <c r="M22" s="199">
        <f t="shared" si="15"/>
        <v>4110416.6666666665</v>
      </c>
      <c r="N22" s="851">
        <f t="shared" si="15"/>
        <v>7990392.5502666635</v>
      </c>
      <c r="O22" s="201">
        <f t="shared" si="15"/>
        <v>53204975.883599997</v>
      </c>
      <c r="P22" s="199">
        <f t="shared" si="15"/>
        <v>60286500.738376006</v>
      </c>
      <c r="Q22" s="200">
        <f t="shared" si="15"/>
        <v>64528312.555370003</v>
      </c>
    </row>
    <row r="23" spans="1:17" ht="5.0999999999999996" customHeight="1">
      <c r="A23" s="259"/>
      <c r="B23" s="849"/>
      <c r="C23" s="191"/>
      <c r="D23" s="189"/>
      <c r="E23" s="189"/>
      <c r="F23" s="189"/>
      <c r="G23" s="189"/>
      <c r="H23" s="189"/>
      <c r="I23" s="189"/>
      <c r="J23" s="189"/>
      <c r="K23" s="2734"/>
      <c r="L23" s="189"/>
      <c r="M23" s="189"/>
      <c r="N23" s="792"/>
      <c r="O23" s="191"/>
      <c r="P23" s="189"/>
      <c r="Q23" s="190"/>
    </row>
    <row r="24" spans="1:17">
      <c r="A24" s="235" t="str">
        <f>'A4-FinPerf RE'!A24</f>
        <v>Expenditure By Type</v>
      </c>
      <c r="B24" s="852"/>
      <c r="C24" s="191"/>
      <c r="D24" s="189"/>
      <c r="E24" s="189"/>
      <c r="F24" s="189"/>
      <c r="G24" s="189"/>
      <c r="H24" s="189"/>
      <c r="I24" s="189"/>
      <c r="J24" s="189"/>
      <c r="K24" s="2734"/>
      <c r="L24" s="189"/>
      <c r="M24" s="189"/>
      <c r="N24" s="792"/>
      <c r="O24" s="191"/>
      <c r="P24" s="189"/>
      <c r="Q24" s="190"/>
    </row>
    <row r="25" spans="1:17" ht="11.25" customHeight="1">
      <c r="A25" s="236" t="str">
        <f>'A4-FinPerf RE'!A25</f>
        <v>Employee related costs</v>
      </c>
      <c r="B25" s="849"/>
      <c r="C25" s="1821">
        <f>23279000/12</f>
        <v>1939916.6666666667</v>
      </c>
      <c r="D25" s="1821">
        <f t="shared" ref="D25:M25" si="16">23279000/12</f>
        <v>1939916.6666666667</v>
      </c>
      <c r="E25" s="1821">
        <f t="shared" si="16"/>
        <v>1939916.6666666667</v>
      </c>
      <c r="F25" s="1821">
        <f t="shared" si="16"/>
        <v>1939916.6666666667</v>
      </c>
      <c r="G25" s="1821">
        <f t="shared" si="16"/>
        <v>1939916.6666666667</v>
      </c>
      <c r="H25" s="1821">
        <f t="shared" si="16"/>
        <v>1939916.6666666667</v>
      </c>
      <c r="I25" s="1821">
        <f t="shared" si="16"/>
        <v>1939916.6666666667</v>
      </c>
      <c r="J25" s="1807">
        <f t="shared" si="16"/>
        <v>1939916.6666666667</v>
      </c>
      <c r="K25" s="1822">
        <f t="shared" si="16"/>
        <v>1939916.6666666667</v>
      </c>
      <c r="L25" s="1821">
        <f t="shared" si="16"/>
        <v>1939916.6666666667</v>
      </c>
      <c r="M25" s="1821">
        <f t="shared" si="16"/>
        <v>1939916.6666666667</v>
      </c>
      <c r="N25" s="792">
        <f t="shared" ref="N25:N35" si="17">O25-SUM(C25:M25)</f>
        <v>1939762.2034896724</v>
      </c>
      <c r="O25" s="191">
        <f>'A4-FinPerf RE'!J25</f>
        <v>23278845.536823008</v>
      </c>
      <c r="P25" s="189">
        <f>'A4-FinPerf RE'!K25</f>
        <v>24705577.725229669</v>
      </c>
      <c r="Q25" s="190">
        <f>'A4-FinPerf RE'!L25</f>
        <v>26406330.990956668</v>
      </c>
    </row>
    <row r="26" spans="1:17" ht="11.25" customHeight="1">
      <c r="A26" s="236" t="str">
        <f>'A4-FinPerf RE'!A26</f>
        <v>Remuneration of councillors</v>
      </c>
      <c r="B26" s="849"/>
      <c r="C26" s="1821">
        <f>1850000/12</f>
        <v>154166.66666666666</v>
      </c>
      <c r="D26" s="1821">
        <f t="shared" ref="D26:M26" si="18">1850000/12</f>
        <v>154166.66666666666</v>
      </c>
      <c r="E26" s="1821">
        <f t="shared" si="18"/>
        <v>154166.66666666666</v>
      </c>
      <c r="F26" s="1821">
        <f t="shared" si="18"/>
        <v>154166.66666666666</v>
      </c>
      <c r="G26" s="1821">
        <f t="shared" si="18"/>
        <v>154166.66666666666</v>
      </c>
      <c r="H26" s="1821">
        <f t="shared" si="18"/>
        <v>154166.66666666666</v>
      </c>
      <c r="I26" s="1821">
        <f t="shared" si="18"/>
        <v>154166.66666666666</v>
      </c>
      <c r="J26" s="1807">
        <f t="shared" si="18"/>
        <v>154166.66666666666</v>
      </c>
      <c r="K26" s="1822">
        <f t="shared" si="18"/>
        <v>154166.66666666666</v>
      </c>
      <c r="L26" s="1821">
        <f t="shared" si="18"/>
        <v>154166.66666666666</v>
      </c>
      <c r="M26" s="1821">
        <f t="shared" si="18"/>
        <v>154166.66666666666</v>
      </c>
      <c r="N26" s="792">
        <f t="shared" si="17"/>
        <v>154166.66666666651</v>
      </c>
      <c r="O26" s="191">
        <f>'A4-FinPerf RE'!J26</f>
        <v>1850000</v>
      </c>
      <c r="P26" s="189">
        <f>'A4-FinPerf RE'!K26</f>
        <v>1916000</v>
      </c>
      <c r="Q26" s="190">
        <f>'A4-FinPerf RE'!L26</f>
        <v>2033280</v>
      </c>
    </row>
    <row r="27" spans="1:17" ht="11.25" customHeight="1">
      <c r="A27" s="236" t="str">
        <f>'A4-FinPerf RE'!A27</f>
        <v>Debt impairment</v>
      </c>
      <c r="B27" s="849"/>
      <c r="C27" s="1821">
        <f>8899000/12</f>
        <v>741583.33333333337</v>
      </c>
      <c r="D27" s="1821">
        <f t="shared" ref="D27:M27" si="19">8899000/12</f>
        <v>741583.33333333337</v>
      </c>
      <c r="E27" s="1821">
        <f t="shared" si="19"/>
        <v>741583.33333333337</v>
      </c>
      <c r="F27" s="1821">
        <f t="shared" si="19"/>
        <v>741583.33333333337</v>
      </c>
      <c r="G27" s="1821">
        <f t="shared" si="19"/>
        <v>741583.33333333337</v>
      </c>
      <c r="H27" s="1821">
        <f t="shared" si="19"/>
        <v>741583.33333333337</v>
      </c>
      <c r="I27" s="1821">
        <f t="shared" si="19"/>
        <v>741583.33333333337</v>
      </c>
      <c r="J27" s="1807">
        <f t="shared" si="19"/>
        <v>741583.33333333337</v>
      </c>
      <c r="K27" s="1822">
        <f t="shared" si="19"/>
        <v>741583.33333333337</v>
      </c>
      <c r="L27" s="1821">
        <f t="shared" si="19"/>
        <v>741583.33333333337</v>
      </c>
      <c r="M27" s="1821">
        <f t="shared" si="19"/>
        <v>741583.33333333337</v>
      </c>
      <c r="N27" s="792">
        <f t="shared" si="17"/>
        <v>741749.79333337862</v>
      </c>
      <c r="O27" s="191">
        <f>'A4-FinPerf RE'!J27</f>
        <v>8899166.4600000437</v>
      </c>
      <c r="P27" s="189">
        <f>'A4-FinPerf RE'!K27</f>
        <v>560000</v>
      </c>
      <c r="Q27" s="190">
        <f>'A4-FinPerf RE'!L27</f>
        <v>560000</v>
      </c>
    </row>
    <row r="28" spans="1:17" ht="11.25" customHeight="1">
      <c r="A28" s="236" t="str">
        <f>'A4-FinPerf RE'!A28</f>
        <v>Depreciation &amp; asset impairment</v>
      </c>
      <c r="B28" s="849"/>
      <c r="C28" s="1821">
        <f>5358000/12</f>
        <v>446500</v>
      </c>
      <c r="D28" s="1821">
        <f t="shared" ref="D28:M28" si="20">5358000/12</f>
        <v>446500</v>
      </c>
      <c r="E28" s="1821">
        <f t="shared" si="20"/>
        <v>446500</v>
      </c>
      <c r="F28" s="1821">
        <f t="shared" si="20"/>
        <v>446500</v>
      </c>
      <c r="G28" s="1821">
        <f t="shared" si="20"/>
        <v>446500</v>
      </c>
      <c r="H28" s="1821">
        <f t="shared" si="20"/>
        <v>446500</v>
      </c>
      <c r="I28" s="1821">
        <f t="shared" si="20"/>
        <v>446500</v>
      </c>
      <c r="J28" s="1807">
        <f t="shared" si="20"/>
        <v>446500</v>
      </c>
      <c r="K28" s="1822">
        <f t="shared" si="20"/>
        <v>446500</v>
      </c>
      <c r="L28" s="1821">
        <f t="shared" si="20"/>
        <v>446500</v>
      </c>
      <c r="M28" s="1821">
        <f t="shared" si="20"/>
        <v>446500</v>
      </c>
      <c r="N28" s="792">
        <f t="shared" si="17"/>
        <v>446033.06491442584</v>
      </c>
      <c r="O28" s="191">
        <f>'A4-FinPerf RE'!J28</f>
        <v>5357533.0649144258</v>
      </c>
      <c r="P28" s="189">
        <f>'A4-FinPerf RE'!K28</f>
        <v>5802697.0488092918</v>
      </c>
      <c r="Q28" s="190">
        <f>'A4-FinPerf RE'!L28</f>
        <v>6140314.8717378499</v>
      </c>
    </row>
    <row r="29" spans="1:17" ht="11.25" customHeight="1">
      <c r="A29" s="236" t="str">
        <f>'A4-FinPerf RE'!A29</f>
        <v>Finance charges</v>
      </c>
      <c r="B29" s="849"/>
      <c r="C29" s="1821">
        <f>453000/12</f>
        <v>37750</v>
      </c>
      <c r="D29" s="1821">
        <f t="shared" ref="D29:M29" si="21">453000/12</f>
        <v>37750</v>
      </c>
      <c r="E29" s="1821">
        <f t="shared" si="21"/>
        <v>37750</v>
      </c>
      <c r="F29" s="1821">
        <f t="shared" si="21"/>
        <v>37750</v>
      </c>
      <c r="G29" s="1821">
        <f t="shared" si="21"/>
        <v>37750</v>
      </c>
      <c r="H29" s="1821">
        <f t="shared" si="21"/>
        <v>37750</v>
      </c>
      <c r="I29" s="1821">
        <f t="shared" si="21"/>
        <v>37750</v>
      </c>
      <c r="J29" s="1807">
        <f t="shared" si="21"/>
        <v>37750</v>
      </c>
      <c r="K29" s="1822">
        <f t="shared" si="21"/>
        <v>37750</v>
      </c>
      <c r="L29" s="1821">
        <f t="shared" si="21"/>
        <v>37750</v>
      </c>
      <c r="M29" s="1821">
        <f t="shared" si="21"/>
        <v>37750</v>
      </c>
      <c r="N29" s="792">
        <f t="shared" si="17"/>
        <v>37750</v>
      </c>
      <c r="O29" s="191">
        <f>'A4-FinPerf RE'!J29</f>
        <v>453000</v>
      </c>
      <c r="P29" s="189">
        <f>'A4-FinPerf RE'!K29</f>
        <v>610000</v>
      </c>
      <c r="Q29" s="190">
        <f>'A4-FinPerf RE'!L29</f>
        <v>620000</v>
      </c>
    </row>
    <row r="30" spans="1:17" ht="11.25" customHeight="1">
      <c r="A30" s="236" t="str">
        <f>'A4-FinPerf RE'!A30</f>
        <v>Bulk purchases</v>
      </c>
      <c r="B30" s="849"/>
      <c r="C30" s="1821">
        <f>845000/12</f>
        <v>70416.666666666672</v>
      </c>
      <c r="D30" s="1821">
        <f t="shared" ref="D30:M30" si="22">845000/12</f>
        <v>70416.666666666672</v>
      </c>
      <c r="E30" s="1821">
        <f t="shared" si="22"/>
        <v>70416.666666666672</v>
      </c>
      <c r="F30" s="1821">
        <f t="shared" si="22"/>
        <v>70416.666666666672</v>
      </c>
      <c r="G30" s="1821">
        <f t="shared" si="22"/>
        <v>70416.666666666672</v>
      </c>
      <c r="H30" s="1821">
        <f t="shared" si="22"/>
        <v>70416.666666666672</v>
      </c>
      <c r="I30" s="1821">
        <f t="shared" si="22"/>
        <v>70416.666666666672</v>
      </c>
      <c r="J30" s="1807">
        <f t="shared" si="22"/>
        <v>70416.666666666672</v>
      </c>
      <c r="K30" s="1822">
        <f t="shared" si="22"/>
        <v>70416.666666666672</v>
      </c>
      <c r="L30" s="1821">
        <f t="shared" si="22"/>
        <v>70416.666666666672</v>
      </c>
      <c r="M30" s="1821">
        <f t="shared" si="22"/>
        <v>70416.666666666672</v>
      </c>
      <c r="N30" s="792">
        <f t="shared" si="17"/>
        <v>7675416.666666667</v>
      </c>
      <c r="O30" s="191">
        <f>'A4-FinPerf RE'!J30</f>
        <v>8450000</v>
      </c>
      <c r="P30" s="189">
        <f>'A4-FinPerf RE'!K30</f>
        <v>9317470</v>
      </c>
      <c r="Q30" s="190">
        <f>'A4-FinPerf RE'!L30</f>
        <v>11479760</v>
      </c>
    </row>
    <row r="31" spans="1:17" ht="11.25" customHeight="1">
      <c r="A31" s="236" t="str">
        <f>'A4-FinPerf RE'!A31</f>
        <v>Other materials</v>
      </c>
      <c r="B31" s="849"/>
      <c r="C31" s="1821">
        <f>SUMIF(TB!$K:$K,'SA25'!$A31,TB!Z:Z)</f>
        <v>0</v>
      </c>
      <c r="D31" s="1821">
        <f>SUMIF(TB!$K:$K,'SA25'!$A31,TB!AA:AA)</f>
        <v>0</v>
      </c>
      <c r="E31" s="1821">
        <f>SUMIF(TB!$K:$K,'SA25'!$A31,TB!AB:AB)</f>
        <v>0</v>
      </c>
      <c r="F31" s="1821">
        <f>SUMIF(TB!$K:$K,'SA25'!$A31,TB!AC:AC)</f>
        <v>0</v>
      </c>
      <c r="G31" s="1821">
        <f>SUMIF(TB!$K:$K,'SA25'!$A31,TB!AD:AD)</f>
        <v>0</v>
      </c>
      <c r="H31" s="1821">
        <f>SUMIF(TB!$K:$K,'SA25'!$A31,TB!AE:AE)</f>
        <v>0</v>
      </c>
      <c r="I31" s="1821">
        <f>SUMIF(TB!$K:$K,'SA25'!$A31,TB!AF:AF)</f>
        <v>0</v>
      </c>
      <c r="J31" s="1807">
        <f>SUMIF(TB!$K:$K,'SA25'!$A31,TB!AG:AG)</f>
        <v>0</v>
      </c>
      <c r="K31" s="1822">
        <f>SUMIF(TB!$K:$K,'SA25'!$A31,TB!AH:AH)</f>
        <v>0</v>
      </c>
      <c r="L31" s="1821">
        <f>SUMIF(TB!$K:$K,'SA25'!$A31,TB!AI:AI)</f>
        <v>0</v>
      </c>
      <c r="M31" s="1821">
        <f>SUMIF(TB!$K:$K,'SA25'!$A31,TB!AJ:AJ)</f>
        <v>0</v>
      </c>
      <c r="N31" s="792">
        <f t="shared" si="17"/>
        <v>0</v>
      </c>
      <c r="O31" s="191">
        <f>'A4-FinPerf RE'!J31</f>
        <v>0</v>
      </c>
      <c r="P31" s="189">
        <f>'A4-FinPerf RE'!K31</f>
        <v>0</v>
      </c>
      <c r="Q31" s="190">
        <f>'A4-FinPerf RE'!L31</f>
        <v>0</v>
      </c>
    </row>
    <row r="32" spans="1:17" ht="11.25" customHeight="1">
      <c r="A32" s="236" t="str">
        <f>'A4-FinPerf RE'!A32</f>
        <v>Contracted services</v>
      </c>
      <c r="B32" s="849"/>
      <c r="C32" s="1821">
        <f>SUMIF(TB!$K:$K,'SA25'!$A32,TB!Z:Z)</f>
        <v>0</v>
      </c>
      <c r="D32" s="1821">
        <f>SUMIF(TB!$K:$K,'SA25'!$A32,TB!AA:AA)</f>
        <v>0</v>
      </c>
      <c r="E32" s="1821">
        <f>SUMIF(TB!$K:$K,'SA25'!$A32,TB!AB:AB)</f>
        <v>0</v>
      </c>
      <c r="F32" s="1821">
        <f>SUMIF(TB!$K:$K,'SA25'!$A32,TB!AC:AC)</f>
        <v>0</v>
      </c>
      <c r="G32" s="1821">
        <f>SUMIF(TB!$K:$K,'SA25'!$A32,TB!AD:AD)</f>
        <v>0</v>
      </c>
      <c r="H32" s="1821">
        <f>SUMIF(TB!$K:$K,'SA25'!$A32,TB!AE:AE)</f>
        <v>0</v>
      </c>
      <c r="I32" s="1821">
        <f>SUMIF(TB!$K:$K,'SA25'!$A32,TB!AF:AF)</f>
        <v>0</v>
      </c>
      <c r="J32" s="1807">
        <f>SUMIF(TB!$K:$K,'SA25'!$A32,TB!AG:AG)</f>
        <v>0</v>
      </c>
      <c r="K32" s="1822">
        <f>SUMIF(TB!$K:$K,'SA25'!$A32,TB!AH:AH)</f>
        <v>0</v>
      </c>
      <c r="L32" s="1821">
        <f>SUMIF(TB!$K:$K,'SA25'!$A32,TB!AI:AI)</f>
        <v>0</v>
      </c>
      <c r="M32" s="1821">
        <f>SUMIF(TB!$K:$K,'SA25'!$A32,TB!AJ:AJ)</f>
        <v>0</v>
      </c>
      <c r="N32" s="792">
        <f t="shared" si="17"/>
        <v>0</v>
      </c>
      <c r="O32" s="191">
        <f>'A4-FinPerf RE'!J32</f>
        <v>0</v>
      </c>
      <c r="P32" s="189">
        <f>'A4-FinPerf RE'!K32</f>
        <v>0</v>
      </c>
      <c r="Q32" s="190">
        <f>'A4-FinPerf RE'!L32</f>
        <v>0</v>
      </c>
    </row>
    <row r="33" spans="1:17" ht="11.25" customHeight="1">
      <c r="A33" s="236" t="str">
        <f>'A4-FinPerf RE'!A33</f>
        <v>Transfers and grants</v>
      </c>
      <c r="B33" s="849"/>
      <c r="C33" s="1821">
        <f>3483000/12</f>
        <v>290250</v>
      </c>
      <c r="D33" s="1821">
        <f t="shared" ref="D33:M33" si="23">3483000/12</f>
        <v>290250</v>
      </c>
      <c r="E33" s="1821">
        <f t="shared" si="23"/>
        <v>290250</v>
      </c>
      <c r="F33" s="1821">
        <f t="shared" si="23"/>
        <v>290250</v>
      </c>
      <c r="G33" s="1821">
        <f t="shared" si="23"/>
        <v>290250</v>
      </c>
      <c r="H33" s="1821">
        <f t="shared" si="23"/>
        <v>290250</v>
      </c>
      <c r="I33" s="1821">
        <f t="shared" si="23"/>
        <v>290250</v>
      </c>
      <c r="J33" s="1807">
        <f t="shared" si="23"/>
        <v>290250</v>
      </c>
      <c r="K33" s="1822">
        <f t="shared" si="23"/>
        <v>290250</v>
      </c>
      <c r="L33" s="1821">
        <f t="shared" si="23"/>
        <v>290250</v>
      </c>
      <c r="M33" s="1821">
        <f t="shared" si="23"/>
        <v>290250</v>
      </c>
      <c r="N33" s="792">
        <f t="shared" si="17"/>
        <v>290328.62999999989</v>
      </c>
      <c r="O33" s="191">
        <f>'A4-FinPerf RE'!J33</f>
        <v>3483078.63</v>
      </c>
      <c r="P33" s="189">
        <f>'A4-FinPerf RE'!K33</f>
        <v>3695670.26248</v>
      </c>
      <c r="Q33" s="190">
        <f>'A4-FinPerf RE'!L33</f>
        <v>3908692.1782288002</v>
      </c>
    </row>
    <row r="34" spans="1:17" ht="11.25" customHeight="1">
      <c r="A34" s="236" t="s">
        <v>2114</v>
      </c>
      <c r="B34" s="849"/>
      <c r="C34" s="1821">
        <f>18098000/12</f>
        <v>1508166.6666666667</v>
      </c>
      <c r="D34" s="1821">
        <f t="shared" ref="D34:M34" si="24">18098000/12</f>
        <v>1508166.6666666667</v>
      </c>
      <c r="E34" s="1821">
        <f t="shared" si="24"/>
        <v>1508166.6666666667</v>
      </c>
      <c r="F34" s="1821">
        <f t="shared" si="24"/>
        <v>1508166.6666666667</v>
      </c>
      <c r="G34" s="1821">
        <f t="shared" si="24"/>
        <v>1508166.6666666667</v>
      </c>
      <c r="H34" s="1821">
        <f t="shared" si="24"/>
        <v>1508166.6666666667</v>
      </c>
      <c r="I34" s="1821">
        <f t="shared" si="24"/>
        <v>1508166.6666666667</v>
      </c>
      <c r="J34" s="1807">
        <f t="shared" si="24"/>
        <v>1508166.6666666667</v>
      </c>
      <c r="K34" s="1822">
        <f t="shared" si="24"/>
        <v>1508166.6666666667</v>
      </c>
      <c r="L34" s="1821">
        <f t="shared" si="24"/>
        <v>1508166.6666666667</v>
      </c>
      <c r="M34" s="1821">
        <f t="shared" si="24"/>
        <v>1508166.6666666667</v>
      </c>
      <c r="N34" s="792">
        <f t="shared" si="17"/>
        <v>1508150.2160546687</v>
      </c>
      <c r="O34" s="191">
        <f>'A4-FinPerf RE'!J34</f>
        <v>18097983.549387999</v>
      </c>
      <c r="P34" s="189">
        <f>'A4-FinPerf RE'!K34</f>
        <v>19318626.933339041</v>
      </c>
      <c r="Q34" s="190">
        <f>'A4-FinPerf RE'!L34</f>
        <v>19608991.708866164</v>
      </c>
    </row>
    <row r="35" spans="1:17" ht="11.25" customHeight="1">
      <c r="A35" s="236" t="str">
        <f>'A4-FinPerf RE'!A35</f>
        <v>Loss on disposal of PPE</v>
      </c>
      <c r="B35" s="849"/>
      <c r="C35" s="1821">
        <f>3000/12</f>
        <v>250</v>
      </c>
      <c r="D35" s="1821">
        <f t="shared" ref="D35:M35" si="25">3000/12</f>
        <v>250</v>
      </c>
      <c r="E35" s="1821">
        <f t="shared" si="25"/>
        <v>250</v>
      </c>
      <c r="F35" s="1821">
        <f t="shared" si="25"/>
        <v>250</v>
      </c>
      <c r="G35" s="1821">
        <f t="shared" si="25"/>
        <v>250</v>
      </c>
      <c r="H35" s="1821">
        <f t="shared" si="25"/>
        <v>250</v>
      </c>
      <c r="I35" s="1821">
        <f t="shared" si="25"/>
        <v>250</v>
      </c>
      <c r="J35" s="1843">
        <f t="shared" si="25"/>
        <v>250</v>
      </c>
      <c r="K35" s="1822">
        <f t="shared" si="25"/>
        <v>250</v>
      </c>
      <c r="L35" s="1821">
        <f t="shared" si="25"/>
        <v>250</v>
      </c>
      <c r="M35" s="1821">
        <f t="shared" si="25"/>
        <v>250</v>
      </c>
      <c r="N35" s="792">
        <f t="shared" si="17"/>
        <v>250</v>
      </c>
      <c r="O35" s="191">
        <f>'A4-FinPerf RE'!J35</f>
        <v>3000</v>
      </c>
      <c r="P35" s="189">
        <f>'A4-FinPerf RE'!K35</f>
        <v>10000</v>
      </c>
      <c r="Q35" s="190">
        <f>'A4-FinPerf RE'!L35</f>
        <v>10000</v>
      </c>
    </row>
    <row r="36" spans="1:17">
      <c r="A36" s="251" t="str">
        <f>'A4-FinPerf RE'!A36</f>
        <v>Total Expenditure</v>
      </c>
      <c r="B36" s="850"/>
      <c r="C36" s="201">
        <f>SUM(C25:C35)</f>
        <v>5189000</v>
      </c>
      <c r="D36" s="199">
        <f t="shared" ref="D36:Q36" si="26">SUM(D25:D35)</f>
        <v>5189000</v>
      </c>
      <c r="E36" s="199">
        <f t="shared" si="26"/>
        <v>5189000</v>
      </c>
      <c r="F36" s="199">
        <f t="shared" si="26"/>
        <v>5189000</v>
      </c>
      <c r="G36" s="199">
        <f t="shared" si="26"/>
        <v>5189000</v>
      </c>
      <c r="H36" s="199">
        <f t="shared" si="26"/>
        <v>5189000</v>
      </c>
      <c r="I36" s="199">
        <f t="shared" si="26"/>
        <v>5189000</v>
      </c>
      <c r="J36" s="199">
        <f t="shared" si="26"/>
        <v>5189000</v>
      </c>
      <c r="K36" s="199">
        <f t="shared" si="26"/>
        <v>5189000</v>
      </c>
      <c r="L36" s="199">
        <f t="shared" si="26"/>
        <v>5189000</v>
      </c>
      <c r="M36" s="199">
        <f t="shared" si="26"/>
        <v>5189000</v>
      </c>
      <c r="N36" s="851">
        <f t="shared" si="26"/>
        <v>12793607.241125477</v>
      </c>
      <c r="O36" s="201">
        <f t="shared" si="26"/>
        <v>69872607.241125479</v>
      </c>
      <c r="P36" s="199">
        <f t="shared" si="26"/>
        <v>65936041.969858006</v>
      </c>
      <c r="Q36" s="200">
        <f t="shared" si="26"/>
        <v>70767369.749789476</v>
      </c>
    </row>
    <row r="37" spans="1:17" ht="5.0999999999999996" customHeight="1">
      <c r="A37" s="259"/>
      <c r="B37" s="849"/>
      <c r="C37" s="191"/>
      <c r="D37" s="189"/>
      <c r="E37" s="189"/>
      <c r="F37" s="189"/>
      <c r="G37" s="189"/>
      <c r="H37" s="189"/>
      <c r="I37" s="189"/>
      <c r="J37" s="189"/>
      <c r="K37" s="189"/>
      <c r="L37" s="189"/>
      <c r="M37" s="189"/>
      <c r="N37" s="792"/>
      <c r="O37" s="191"/>
      <c r="P37" s="189"/>
      <c r="Q37" s="190"/>
    </row>
    <row r="38" spans="1:17">
      <c r="A38" s="853" t="str">
        <f>'A4-FinPerf RE'!A38</f>
        <v>Surplus/(Deficit)</v>
      </c>
      <c r="B38" s="854"/>
      <c r="C38" s="201">
        <f t="shared" ref="C38:Q38" si="27">C22-C36</f>
        <v>-1078583.3333333335</v>
      </c>
      <c r="D38" s="199">
        <f t="shared" si="27"/>
        <v>-1078583.3333333335</v>
      </c>
      <c r="E38" s="199">
        <f t="shared" si="27"/>
        <v>-1078583.3333333335</v>
      </c>
      <c r="F38" s="199">
        <f t="shared" si="27"/>
        <v>-1078583.3333333335</v>
      </c>
      <c r="G38" s="199">
        <f t="shared" si="27"/>
        <v>-1078583.3333333335</v>
      </c>
      <c r="H38" s="199">
        <f t="shared" si="27"/>
        <v>-1078583.3333333335</v>
      </c>
      <c r="I38" s="199">
        <f t="shared" si="27"/>
        <v>-1078583.3333333335</v>
      </c>
      <c r="J38" s="199">
        <f t="shared" si="27"/>
        <v>-1078583.3333333335</v>
      </c>
      <c r="K38" s="199">
        <f t="shared" si="27"/>
        <v>-1078583.3333333335</v>
      </c>
      <c r="L38" s="199">
        <f t="shared" si="27"/>
        <v>-1078583.3333333335</v>
      </c>
      <c r="M38" s="199">
        <f t="shared" si="27"/>
        <v>-1078583.3333333335</v>
      </c>
      <c r="N38" s="851">
        <f t="shared" si="27"/>
        <v>-4803214.6908588139</v>
      </c>
      <c r="O38" s="201">
        <f t="shared" si="27"/>
        <v>-16667631.357525483</v>
      </c>
      <c r="P38" s="199">
        <f t="shared" si="27"/>
        <v>-5649541.2314819992</v>
      </c>
      <c r="Q38" s="200">
        <f t="shared" si="27"/>
        <v>-6239057.1944194734</v>
      </c>
    </row>
    <row r="39" spans="1:17" ht="11.25" customHeight="1">
      <c r="A39" s="236" t="str">
        <f>'A4-FinPerf RE'!A39</f>
        <v>Transfers recognised - capital</v>
      </c>
      <c r="B39" s="849"/>
      <c r="C39" s="1821">
        <f>9488000/12</f>
        <v>790666.66666666663</v>
      </c>
      <c r="D39" s="1821">
        <f t="shared" ref="D39:M39" si="28">9488000/12</f>
        <v>790666.66666666663</v>
      </c>
      <c r="E39" s="1821">
        <f t="shared" si="28"/>
        <v>790666.66666666663</v>
      </c>
      <c r="F39" s="1821">
        <f t="shared" si="28"/>
        <v>790666.66666666663</v>
      </c>
      <c r="G39" s="1821">
        <f t="shared" si="28"/>
        <v>790666.66666666663</v>
      </c>
      <c r="H39" s="1821">
        <f t="shared" si="28"/>
        <v>790666.66666666663</v>
      </c>
      <c r="I39" s="1821">
        <f t="shared" si="28"/>
        <v>790666.66666666663</v>
      </c>
      <c r="J39" s="1821">
        <f t="shared" si="28"/>
        <v>790666.66666666663</v>
      </c>
      <c r="K39" s="1821">
        <f t="shared" si="28"/>
        <v>790666.66666666663</v>
      </c>
      <c r="L39" s="1821">
        <f t="shared" si="28"/>
        <v>790666.66666666663</v>
      </c>
      <c r="M39" s="1821">
        <f t="shared" si="28"/>
        <v>790666.66666666663</v>
      </c>
      <c r="N39" s="792">
        <f>O39-SUM(C39:M39)</f>
        <v>790666.66666666605</v>
      </c>
      <c r="O39" s="191">
        <f>'A4-FinPerf RE'!J39</f>
        <v>9488000</v>
      </c>
      <c r="P39" s="189">
        <f>'A4-FinPerf RE'!K39</f>
        <v>11537000</v>
      </c>
      <c r="Q39" s="190">
        <f>'A4-FinPerf RE'!L39</f>
        <v>12171000</v>
      </c>
    </row>
    <row r="40" spans="1:17" ht="11.25" customHeight="1">
      <c r="A40" s="236" t="str">
        <f>'A4-FinPerf RE'!A40</f>
        <v>Contributions recognised - capital</v>
      </c>
      <c r="B40" s="849"/>
      <c r="C40" s="1821">
        <f>-SUMIF(TB!$K:$K,'SA25'!$A40,TB!Z:Z)</f>
        <v>0</v>
      </c>
      <c r="D40" s="1805">
        <f>-SUMIF(TB!$K:$K,'SA25'!$A40,TB!AA:AA)</f>
        <v>0</v>
      </c>
      <c r="E40" s="1805">
        <f>-SUMIF(TB!$K:$K,'SA25'!$A40,TB!AB:AB)</f>
        <v>0</v>
      </c>
      <c r="F40" s="1805">
        <f>-SUMIF(TB!$K:$K,'SA25'!$A40,TB!AC:AC)</f>
        <v>0</v>
      </c>
      <c r="G40" s="1805">
        <f>-SUMIF(TB!$K:$K,'SA25'!$A40,TB!AD:AD)</f>
        <v>0</v>
      </c>
      <c r="H40" s="1805">
        <f>-SUMIF(TB!$K:$K,'SA25'!$A40,TB!AE:AE)</f>
        <v>0</v>
      </c>
      <c r="I40" s="1805">
        <f>-SUMIF(TB!$K:$K,'SA25'!$A40,TB!AF:AF)</f>
        <v>0</v>
      </c>
      <c r="J40" s="1805">
        <f>-SUMIF(TB!$K:$K,'SA25'!$A40,TB!AG:AG)</f>
        <v>0</v>
      </c>
      <c r="K40" s="1805">
        <f>-SUMIF(TB!$K:$K,'SA25'!$A40,TB!AH:AH)</f>
        <v>0</v>
      </c>
      <c r="L40" s="1805">
        <f>-SUMIF(TB!$K:$K,'SA25'!$A40,TB!AI:AI)</f>
        <v>0</v>
      </c>
      <c r="M40" s="1805">
        <f>-SUMIF(TB!$K:$K,'SA25'!$A40,TB!AJ:AJ)</f>
        <v>0</v>
      </c>
      <c r="N40" s="792">
        <f>O40-SUM(C40:M40)</f>
        <v>0</v>
      </c>
      <c r="O40" s="191">
        <f>'A4-FinPerf RE'!J40</f>
        <v>0</v>
      </c>
      <c r="P40" s="189">
        <f>'A4-FinPerf RE'!K40</f>
        <v>0</v>
      </c>
      <c r="Q40" s="190">
        <f>'A4-FinPerf RE'!L40</f>
        <v>0</v>
      </c>
    </row>
    <row r="41" spans="1:17" ht="11.25" customHeight="1">
      <c r="A41" s="236" t="str">
        <f>'A4-FinPerf RE'!A41</f>
        <v>Contributed assets</v>
      </c>
      <c r="B41" s="849"/>
      <c r="C41" s="1821">
        <f>-SUMIF(TB!$K:$K,'SA25'!$A41,TB!Z:Z)</f>
        <v>0</v>
      </c>
      <c r="D41" s="1805">
        <f>-SUMIF(TB!$K:$K,'SA25'!$A41,TB!AA:AA)</f>
        <v>0</v>
      </c>
      <c r="E41" s="1805">
        <f>-SUMIF(TB!$K:$K,'SA25'!$A41,TB!AB:AB)</f>
        <v>0</v>
      </c>
      <c r="F41" s="1805">
        <f>-SUMIF(TB!$K:$K,'SA25'!$A41,TB!AC:AC)</f>
        <v>0</v>
      </c>
      <c r="G41" s="1805">
        <f>-SUMIF(TB!$K:$K,'SA25'!$A41,TB!AD:AD)</f>
        <v>0</v>
      </c>
      <c r="H41" s="1805">
        <f>-SUMIF(TB!$K:$K,'SA25'!$A41,TB!AE:AE)</f>
        <v>0</v>
      </c>
      <c r="I41" s="1805">
        <f>-SUMIF(TB!$K:$K,'SA25'!$A41,TB!AF:AF)</f>
        <v>0</v>
      </c>
      <c r="J41" s="1805">
        <f>-SUMIF(TB!$K:$K,'SA25'!$A41,TB!AG:AG)</f>
        <v>0</v>
      </c>
      <c r="K41" s="1805">
        <f>-SUMIF(TB!$K:$K,'SA25'!$A41,TB!AH:AH)</f>
        <v>0</v>
      </c>
      <c r="L41" s="1805">
        <f>-SUMIF(TB!$K:$K,'SA25'!$A41,TB!AI:AI)</f>
        <v>0</v>
      </c>
      <c r="M41" s="1805">
        <f>-SUMIF(TB!$K:$K,'SA25'!$A41,TB!AJ:AJ)</f>
        <v>0</v>
      </c>
      <c r="N41" s="792">
        <f>O41-SUM(C41:M41)</f>
        <v>0</v>
      </c>
      <c r="O41" s="191">
        <f>'A4-FinPerf RE'!J41</f>
        <v>0</v>
      </c>
      <c r="P41" s="189">
        <f>'A4-FinPerf RE'!K41</f>
        <v>0</v>
      </c>
      <c r="Q41" s="190">
        <f>'A4-FinPerf RE'!L41</f>
        <v>0</v>
      </c>
    </row>
    <row r="42" spans="1:17" s="753" customFormat="1" ht="22.5" customHeight="1">
      <c r="A42" s="855" t="str">
        <f>'A4-FinPerf RE'!A42</f>
        <v>Surplus/(Deficit) after capital transfers &amp; contributions</v>
      </c>
      <c r="B42" s="856"/>
      <c r="C42" s="857">
        <f t="shared" ref="C42:N42" si="29">C38+SUM(C39:C41)</f>
        <v>-287916.66666666686</v>
      </c>
      <c r="D42" s="858">
        <f t="shared" si="29"/>
        <v>-287916.66666666686</v>
      </c>
      <c r="E42" s="858">
        <f t="shared" si="29"/>
        <v>-287916.66666666686</v>
      </c>
      <c r="F42" s="858">
        <f t="shared" si="29"/>
        <v>-287916.66666666686</v>
      </c>
      <c r="G42" s="858">
        <f t="shared" si="29"/>
        <v>-287916.66666666686</v>
      </c>
      <c r="H42" s="858">
        <f t="shared" si="29"/>
        <v>-287916.66666666686</v>
      </c>
      <c r="I42" s="858">
        <f t="shared" si="29"/>
        <v>-287916.66666666686</v>
      </c>
      <c r="J42" s="858">
        <f t="shared" si="29"/>
        <v>-287916.66666666686</v>
      </c>
      <c r="K42" s="858">
        <f t="shared" si="29"/>
        <v>-287916.66666666686</v>
      </c>
      <c r="L42" s="858">
        <f t="shared" si="29"/>
        <v>-287916.66666666686</v>
      </c>
      <c r="M42" s="858">
        <f t="shared" si="29"/>
        <v>-287916.66666666686</v>
      </c>
      <c r="N42" s="859">
        <f t="shared" si="29"/>
        <v>-4012548.0241921479</v>
      </c>
      <c r="O42" s="857">
        <f>O38+SUM(O39:O41)</f>
        <v>-7179631.3575254828</v>
      </c>
      <c r="P42" s="858">
        <f>P38+SUM(P39:P41)</f>
        <v>5887458.7685180008</v>
      </c>
      <c r="Q42" s="860">
        <f>Q38+SUM(Q39:Q41)</f>
        <v>5931942.8055805266</v>
      </c>
    </row>
    <row r="43" spans="1:17" ht="11.25" customHeight="1">
      <c r="A43" s="236" t="str">
        <f>'A4-FinPerf RE'!A43</f>
        <v>Taxation</v>
      </c>
      <c r="B43" s="849"/>
      <c r="C43" s="1821">
        <f>-SUMIF(TB!$K:$K,'SA25'!$A43,TB!Z:Z)</f>
        <v>0</v>
      </c>
      <c r="D43" s="1805">
        <f>-SUMIF(TB!$K:$K,'SA25'!$A43,TB!AA:AA)</f>
        <v>0</v>
      </c>
      <c r="E43" s="1805">
        <f>-SUMIF(TB!$K:$K,'SA25'!$A43,TB!AB:AB)</f>
        <v>0</v>
      </c>
      <c r="F43" s="1805">
        <f>-SUMIF(TB!$K:$K,'SA25'!$A43,TB!AC:AC)</f>
        <v>0</v>
      </c>
      <c r="G43" s="1805">
        <f>-SUMIF(TB!$K:$K,'SA25'!$A43,TB!AD:AD)</f>
        <v>0</v>
      </c>
      <c r="H43" s="1805">
        <f>-SUMIF(TB!$K:$K,'SA25'!$A43,TB!AE:AE)</f>
        <v>0</v>
      </c>
      <c r="I43" s="1805">
        <f>-SUMIF(TB!$K:$K,'SA25'!$A43,TB!AF:AF)</f>
        <v>0</v>
      </c>
      <c r="J43" s="1805">
        <f>-SUMIF(TB!$K:$K,'SA25'!$A43,TB!AG:AG)</f>
        <v>0</v>
      </c>
      <c r="K43" s="1805">
        <f>-SUMIF(TB!$K:$K,'SA25'!$A43,TB!AH:AH)</f>
        <v>0</v>
      </c>
      <c r="L43" s="1805">
        <f>-SUMIF(TB!$K:$K,'SA25'!$A43,TB!AI:AI)</f>
        <v>0</v>
      </c>
      <c r="M43" s="1805">
        <f>-SUMIF(TB!$K:$K,'SA25'!$A43,TB!AJ:AJ)</f>
        <v>0</v>
      </c>
      <c r="N43" s="792">
        <f>O43-SUM(C43:M43)</f>
        <v>0</v>
      </c>
      <c r="O43" s="191">
        <f>'A4-FinPerf RE'!J43</f>
        <v>0</v>
      </c>
      <c r="P43" s="189">
        <f>'A4-FinPerf RE'!K43</f>
        <v>0</v>
      </c>
      <c r="Q43" s="190">
        <f>'A4-FinPerf RE'!L43</f>
        <v>0</v>
      </c>
    </row>
    <row r="44" spans="1:17" ht="11.25" customHeight="1">
      <c r="A44" s="236" t="str">
        <f>'A4-FinPerf RE'!A45</f>
        <v>Attributable to minorities</v>
      </c>
      <c r="B44" s="849"/>
      <c r="C44" s="1821">
        <f>-SUMIF(TB!$K:$K,'SA25'!$A44,TB!Z:Z)</f>
        <v>0</v>
      </c>
      <c r="D44" s="1805">
        <f>-SUMIF(TB!$K:$K,'SA25'!$A44,TB!AA:AA)</f>
        <v>0</v>
      </c>
      <c r="E44" s="1805">
        <f>-SUMIF(TB!$K:$K,'SA25'!$A44,TB!AB:AB)</f>
        <v>0</v>
      </c>
      <c r="F44" s="1805">
        <f>-SUMIF(TB!$K:$K,'SA25'!$A44,TB!AC:AC)</f>
        <v>0</v>
      </c>
      <c r="G44" s="1805">
        <f>-SUMIF(TB!$K:$K,'SA25'!$A44,TB!AD:AD)</f>
        <v>0</v>
      </c>
      <c r="H44" s="1805">
        <f>-SUMIF(TB!$K:$K,'SA25'!$A44,TB!AE:AE)</f>
        <v>0</v>
      </c>
      <c r="I44" s="1805">
        <f>-SUMIF(TB!$K:$K,'SA25'!$A44,TB!AF:AF)</f>
        <v>0</v>
      </c>
      <c r="J44" s="1805">
        <f>-SUMIF(TB!$K:$K,'SA25'!$A44,TB!AG:AG)</f>
        <v>0</v>
      </c>
      <c r="K44" s="1805">
        <f>-SUMIF(TB!$K:$K,'SA25'!$A44,TB!AH:AH)</f>
        <v>0</v>
      </c>
      <c r="L44" s="1805">
        <f>-SUMIF(TB!$K:$K,'SA25'!$A44,TB!AI:AI)</f>
        <v>0</v>
      </c>
      <c r="M44" s="1805">
        <f>-SUMIF(TB!$K:$K,'SA25'!$A44,TB!AJ:AJ)</f>
        <v>0</v>
      </c>
      <c r="N44" s="792">
        <f>O44-SUM(C44:M44)</f>
        <v>0</v>
      </c>
      <c r="O44" s="191">
        <f>'A4-FinPerf RE'!J45</f>
        <v>0</v>
      </c>
      <c r="P44" s="189">
        <f>'A4-FinPerf RE'!K45</f>
        <v>0</v>
      </c>
      <c r="Q44" s="190">
        <f>'A4-FinPerf RE'!L45</f>
        <v>0</v>
      </c>
    </row>
    <row r="45" spans="1:17">
      <c r="A45" s="507" t="str">
        <f>'A4-FinPerf RE'!A47</f>
        <v>Share of surplus/ (deficit) of associate</v>
      </c>
      <c r="B45" s="861"/>
      <c r="C45" s="1821">
        <f>-SUMIF(TB!$K:$K,'SA25'!$A45,TB!Z:Z)</f>
        <v>0</v>
      </c>
      <c r="D45" s="1805">
        <f>-SUMIF(TB!$K:$K,'SA25'!$A45,TB!AA:AA)</f>
        <v>0</v>
      </c>
      <c r="E45" s="1805">
        <f>-SUMIF(TB!$K:$K,'SA25'!$A45,TB!AB:AB)</f>
        <v>0</v>
      </c>
      <c r="F45" s="1805">
        <f>-SUMIF(TB!$K:$K,'SA25'!$A45,TB!AC:AC)</f>
        <v>0</v>
      </c>
      <c r="G45" s="1805">
        <f>-SUMIF(TB!$K:$K,'SA25'!$A45,TB!AD:AD)</f>
        <v>0</v>
      </c>
      <c r="H45" s="1805">
        <f>-SUMIF(TB!$K:$K,'SA25'!$A45,TB!AE:AE)</f>
        <v>0</v>
      </c>
      <c r="I45" s="1805">
        <f>-SUMIF(TB!$K:$K,'SA25'!$A45,TB!AF:AF)</f>
        <v>0</v>
      </c>
      <c r="J45" s="1805">
        <f>-SUMIF(TB!$K:$K,'SA25'!$A45,TB!AG:AG)</f>
        <v>0</v>
      </c>
      <c r="K45" s="1805">
        <f>-SUMIF(TB!$K:$K,'SA25'!$A45,TB!AH:AH)</f>
        <v>0</v>
      </c>
      <c r="L45" s="1805">
        <f>-SUMIF(TB!$K:$K,'SA25'!$A45,TB!AI:AI)</f>
        <v>0</v>
      </c>
      <c r="M45" s="1805">
        <f>-SUMIF(TB!$K:$K,'SA25'!$A45,TB!AJ:AJ)</f>
        <v>0</v>
      </c>
      <c r="N45" s="792">
        <f>O45-SUM(C45:M45)</f>
        <v>0</v>
      </c>
      <c r="O45" s="191">
        <f>'A4-FinPerf RE'!J47</f>
        <v>0</v>
      </c>
      <c r="P45" s="189">
        <f>'A4-FinPerf RE'!K47</f>
        <v>0</v>
      </c>
      <c r="Q45" s="190">
        <f>'A4-FinPerf RE'!L47</f>
        <v>0</v>
      </c>
    </row>
    <row r="46" spans="1:17">
      <c r="A46" s="834" t="str">
        <f>'A4-FinPerf RE'!A38</f>
        <v>Surplus/(Deficit)</v>
      </c>
      <c r="B46" s="862">
        <v>1</v>
      </c>
      <c r="C46" s="327">
        <f t="shared" ref="C46:N46" si="30">C42+SUM(C43:C45)</f>
        <v>-287916.66666666686</v>
      </c>
      <c r="D46" s="213">
        <f t="shared" si="30"/>
        <v>-287916.66666666686</v>
      </c>
      <c r="E46" s="213">
        <f t="shared" si="30"/>
        <v>-287916.66666666686</v>
      </c>
      <c r="F46" s="213">
        <f t="shared" si="30"/>
        <v>-287916.66666666686</v>
      </c>
      <c r="G46" s="213">
        <f t="shared" si="30"/>
        <v>-287916.66666666686</v>
      </c>
      <c r="H46" s="213">
        <f t="shared" si="30"/>
        <v>-287916.66666666686</v>
      </c>
      <c r="I46" s="213">
        <f t="shared" si="30"/>
        <v>-287916.66666666686</v>
      </c>
      <c r="J46" s="213">
        <f t="shared" si="30"/>
        <v>-287916.66666666686</v>
      </c>
      <c r="K46" s="213">
        <f t="shared" si="30"/>
        <v>-287916.66666666686</v>
      </c>
      <c r="L46" s="213">
        <f t="shared" si="30"/>
        <v>-287916.66666666686</v>
      </c>
      <c r="M46" s="213">
        <f t="shared" si="30"/>
        <v>-287916.66666666686</v>
      </c>
      <c r="N46" s="804">
        <f t="shared" si="30"/>
        <v>-4012548.0241921479</v>
      </c>
      <c r="O46" s="327">
        <f>O42+SUM(O43:O45)</f>
        <v>-7179631.3575254828</v>
      </c>
      <c r="P46" s="213">
        <f>P42+SUM(P43:P45)</f>
        <v>5887458.7685180008</v>
      </c>
      <c r="Q46" s="326">
        <f>Q42+SUM(Q43:Q45)</f>
        <v>5931942.8055805266</v>
      </c>
    </row>
    <row r="47" spans="1:17" s="693" customFormat="1" hidden="1">
      <c r="A47" s="1348" t="str">
        <f>head27a</f>
        <v>References</v>
      </c>
      <c r="B47" s="1075"/>
      <c r="C47" s="1035"/>
      <c r="D47" s="1035"/>
      <c r="E47" s="1035"/>
      <c r="F47" s="1035"/>
      <c r="G47" s="1035"/>
      <c r="H47" s="1035"/>
      <c r="I47" s="1035"/>
      <c r="J47" s="1035"/>
      <c r="K47" s="1035"/>
      <c r="L47" s="1035"/>
      <c r="M47" s="1035"/>
      <c r="N47" s="1035"/>
      <c r="O47" s="1035"/>
      <c r="P47" s="1035"/>
      <c r="Q47" s="1035"/>
    </row>
    <row r="48" spans="1:17" s="693" customFormat="1" hidden="1">
      <c r="A48" s="1346" t="s">
        <v>1717</v>
      </c>
    </row>
    <row r="49" spans="1:17" hidden="1">
      <c r="A49" s="411" t="s">
        <v>1624</v>
      </c>
      <c r="B49" s="411"/>
      <c r="C49" s="336">
        <f>C46-'SA26'!C45</f>
        <v>1063916.666666666</v>
      </c>
      <c r="D49" s="336">
        <f>D46-'SA26'!D45</f>
        <v>1063916.666666666</v>
      </c>
      <c r="E49" s="336">
        <f>E46-'SA26'!E45</f>
        <v>1063916.666666666</v>
      </c>
      <c r="F49" s="336">
        <f>F46-'SA26'!F45</f>
        <v>1063916.666666666</v>
      </c>
      <c r="G49" s="336">
        <f>G46-'SA26'!G45</f>
        <v>1063916.666666666</v>
      </c>
      <c r="H49" s="336">
        <f>H46-'SA26'!H45</f>
        <v>1063916.666666666</v>
      </c>
      <c r="I49" s="336">
        <f>I46-'SA26'!I45</f>
        <v>1063916.666666666</v>
      </c>
      <c r="J49" s="336">
        <f>J46-'SA26'!J45</f>
        <v>1063916.666666666</v>
      </c>
      <c r="K49" s="336">
        <f>K46-'SA26'!K45</f>
        <v>1063916.666666666</v>
      </c>
      <c r="L49" s="336">
        <f>L46-'SA26'!L45</f>
        <v>1063916.666666666</v>
      </c>
      <c r="M49" s="336">
        <f>M46-'SA26'!M45</f>
        <v>1063916.666666666</v>
      </c>
      <c r="N49" s="336">
        <f>N46-'SA26'!N45</f>
        <v>-2210083.3333333358</v>
      </c>
      <c r="O49" s="864">
        <f>O46-'A4-FinPerf RE'!J48</f>
        <v>0</v>
      </c>
      <c r="P49" s="864">
        <f>P46-'A4-FinPerf RE'!K48</f>
        <v>0</v>
      </c>
      <c r="Q49" s="864">
        <f>Q46-'A4-FinPerf RE'!L48</f>
        <v>0</v>
      </c>
    </row>
    <row r="50" spans="1:17" hidden="1"/>
    <row r="51" spans="1:17" hidden="1"/>
    <row r="52" spans="1:17" hidden="1"/>
    <row r="53" spans="1:17" hidden="1"/>
    <row r="54" spans="1:17" hidden="1"/>
    <row r="55" spans="1:17" hidden="1"/>
    <row r="56" spans="1:17" hidden="1"/>
    <row r="57" spans="1:17" hidden="1"/>
    <row r="58" spans="1:17" hidden="1"/>
    <row r="59" spans="1:17" hidden="1"/>
    <row r="60" spans="1:17" hidden="1"/>
    <row r="61" spans="1:17" hidden="1"/>
    <row r="62" spans="1:17" hidden="1"/>
    <row r="63" spans="1:17" hidden="1"/>
    <row r="64" spans="1:17" hidden="1"/>
    <row r="65" hidden="1"/>
    <row r="66" hidden="1"/>
    <row r="67" hidden="1"/>
  </sheetData>
  <mergeCells count="2">
    <mergeCell ref="C2:N2"/>
    <mergeCell ref="O2:Q2"/>
  </mergeCells>
  <phoneticPr fontId="3" type="noConversion"/>
  <printOptions horizontalCentered="1"/>
  <pageMargins left="0.36" right="0" top="0.78740157480314965" bottom="0.59055118110236227" header="0.51181102362204722" footer="0.39370078740157483"/>
  <pageSetup paperSize="9" scale="9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enableFormatConditionsCalculation="0">
    <tabColor indexed="42"/>
    <pageSetUpPr fitToPage="1"/>
  </sheetPr>
  <dimension ref="A1:R66"/>
  <sheetViews>
    <sheetView showGridLines="0" workbookViewId="0">
      <pane xSplit="2" ySplit="3" topLeftCell="C25" activePane="bottomRight" state="frozen"/>
      <selection activeCell="L22" sqref="L22:L24"/>
      <selection pane="topRight" activeCell="L22" sqref="L22:L24"/>
      <selection pane="bottomLeft" activeCell="L22" sqref="L22:L24"/>
      <selection pane="bottomRight" activeCell="J35" sqref="J35"/>
    </sheetView>
  </sheetViews>
  <sheetFormatPr defaultRowHeight="12.75"/>
  <cols>
    <col min="1" max="1" width="30.7109375" style="150" customWidth="1"/>
    <col min="2" max="2" width="3" style="150" hidden="1" customWidth="1"/>
    <col min="3" max="14" width="8.28515625" style="150" customWidth="1"/>
    <col min="15" max="17" width="9.28515625" style="150" customWidth="1"/>
    <col min="18" max="16384" width="9.140625" style="150"/>
  </cols>
  <sheetData>
    <row r="1" spans="1:18" ht="13.5" customHeight="1">
      <c r="A1" s="148" t="str">
        <f>muni&amp;" - "&amp;TableA26</f>
        <v>NC071 Ubuntu - Supporting Table SA26 Budgeted monthly revenue and expenditure (municipal vote)</v>
      </c>
      <c r="B1" s="148"/>
      <c r="C1" s="148"/>
      <c r="D1" s="148"/>
      <c r="E1" s="148"/>
      <c r="F1" s="148"/>
      <c r="G1" s="148"/>
      <c r="H1" s="148"/>
      <c r="I1" s="148"/>
      <c r="J1" s="148"/>
      <c r="K1" s="148"/>
      <c r="L1" s="148"/>
      <c r="M1" s="148"/>
      <c r="N1" s="148"/>
      <c r="O1" s="148"/>
      <c r="P1" s="148"/>
      <c r="Q1" s="148"/>
    </row>
    <row r="2" spans="1:18" ht="28.5" customHeight="1">
      <c r="A2" s="979" t="str">
        <f>desc</f>
        <v>Description</v>
      </c>
      <c r="B2" s="991" t="str">
        <f>head27</f>
        <v>Ref</v>
      </c>
      <c r="C2" s="2772" t="str">
        <f>Head9</f>
        <v>Budget Year 2011/12</v>
      </c>
      <c r="D2" s="2773"/>
      <c r="E2" s="2773"/>
      <c r="F2" s="2773"/>
      <c r="G2" s="2773"/>
      <c r="H2" s="2773"/>
      <c r="I2" s="2773"/>
      <c r="J2" s="2773"/>
      <c r="K2" s="2773"/>
      <c r="L2" s="2773"/>
      <c r="M2" s="2773"/>
      <c r="N2" s="2773"/>
      <c r="O2" s="2769" t="s">
        <v>1916</v>
      </c>
      <c r="P2" s="2770"/>
      <c r="Q2" s="2771"/>
    </row>
    <row r="3" spans="1:18" ht="25.5">
      <c r="A3" s="986" t="s">
        <v>697</v>
      </c>
      <c r="B3" s="992"/>
      <c r="C3" s="283" t="s">
        <v>758</v>
      </c>
      <c r="D3" s="913" t="s">
        <v>1506</v>
      </c>
      <c r="E3" s="913" t="s">
        <v>1507</v>
      </c>
      <c r="F3" s="913" t="s">
        <v>1508</v>
      </c>
      <c r="G3" s="913" t="s">
        <v>738</v>
      </c>
      <c r="H3" s="913" t="s">
        <v>739</v>
      </c>
      <c r="I3" s="913" t="s">
        <v>740</v>
      </c>
      <c r="J3" s="913" t="s">
        <v>741</v>
      </c>
      <c r="K3" s="913" t="s">
        <v>742</v>
      </c>
      <c r="L3" s="913" t="s">
        <v>743</v>
      </c>
      <c r="M3" s="913" t="s">
        <v>744</v>
      </c>
      <c r="N3" s="366" t="s">
        <v>745</v>
      </c>
      <c r="O3" s="283" t="str">
        <f>Head9</f>
        <v>Budget Year 2011/12</v>
      </c>
      <c r="P3" s="365" t="str">
        <f>Head10</f>
        <v>Budget Year +1 2012/13</v>
      </c>
      <c r="Q3" s="366" t="str">
        <f>Head11</f>
        <v>Budget Year +2 2013/14</v>
      </c>
    </row>
    <row r="4" spans="1:18">
      <c r="A4" s="235" t="str">
        <f>'A3-FinPerf V'!A4</f>
        <v>Revenue by Vote</v>
      </c>
      <c r="B4" s="852"/>
      <c r="C4" s="298"/>
      <c r="D4" s="296"/>
      <c r="E4" s="296"/>
      <c r="F4" s="296"/>
      <c r="G4" s="296"/>
      <c r="H4" s="296"/>
      <c r="I4" s="296"/>
      <c r="J4" s="296"/>
      <c r="K4" s="296"/>
      <c r="L4" s="296"/>
      <c r="M4" s="296"/>
      <c r="N4" s="987"/>
      <c r="O4" s="381"/>
      <c r="P4" s="296"/>
      <c r="Q4" s="299"/>
    </row>
    <row r="5" spans="1:18" ht="11.25" customHeight="1">
      <c r="A5" s="1177" t="str">
        <f>'A3-FinPerf V'!A5</f>
        <v>Vote1 - Health</v>
      </c>
      <c r="B5" s="849"/>
      <c r="C5" s="1821">
        <f>150000/12</f>
        <v>12500</v>
      </c>
      <c r="D5" s="1821">
        <f t="shared" ref="D5:M5" si="0">150000/12</f>
        <v>12500</v>
      </c>
      <c r="E5" s="1821">
        <f t="shared" si="0"/>
        <v>12500</v>
      </c>
      <c r="F5" s="1821">
        <f t="shared" si="0"/>
        <v>12500</v>
      </c>
      <c r="G5" s="1821">
        <f t="shared" si="0"/>
        <v>12500</v>
      </c>
      <c r="H5" s="1821">
        <f t="shared" si="0"/>
        <v>12500</v>
      </c>
      <c r="I5" s="1821">
        <f t="shared" si="0"/>
        <v>12500</v>
      </c>
      <c r="J5" s="1821">
        <f t="shared" si="0"/>
        <v>12500</v>
      </c>
      <c r="K5" s="1821">
        <f t="shared" si="0"/>
        <v>12500</v>
      </c>
      <c r="L5" s="1821">
        <f t="shared" si="0"/>
        <v>12500</v>
      </c>
      <c r="M5" s="1821">
        <f t="shared" si="0"/>
        <v>12500</v>
      </c>
      <c r="N5" s="792">
        <f t="shared" ref="N5:N10" si="1">O5-SUM(C5:M5)</f>
        <v>12100</v>
      </c>
      <c r="O5" s="192">
        <f>'A3-FinPerf V'!I5</f>
        <v>149600</v>
      </c>
      <c r="P5" s="189">
        <f>'A3-FinPerf V'!J5</f>
        <v>174600</v>
      </c>
      <c r="Q5" s="190">
        <f>'A3-FinPerf V'!K5</f>
        <v>189600</v>
      </c>
    </row>
    <row r="6" spans="1:18" ht="11.25" customHeight="1">
      <c r="A6" s="1177" t="str">
        <f>'A3-FinPerf V'!A6</f>
        <v>Vote2 - Planning &amp; Development</v>
      </c>
      <c r="B6" s="849"/>
      <c r="C6" s="1821">
        <f>95000/12</f>
        <v>7916.666666666667</v>
      </c>
      <c r="D6" s="1821">
        <f t="shared" ref="D6:M6" si="2">95000/12</f>
        <v>7916.666666666667</v>
      </c>
      <c r="E6" s="1821">
        <f t="shared" si="2"/>
        <v>7916.666666666667</v>
      </c>
      <c r="F6" s="1821">
        <f t="shared" si="2"/>
        <v>7916.666666666667</v>
      </c>
      <c r="G6" s="1821">
        <f t="shared" si="2"/>
        <v>7916.666666666667</v>
      </c>
      <c r="H6" s="1821">
        <f t="shared" si="2"/>
        <v>7916.666666666667</v>
      </c>
      <c r="I6" s="1821">
        <f t="shared" si="2"/>
        <v>7916.666666666667</v>
      </c>
      <c r="J6" s="1821">
        <f t="shared" si="2"/>
        <v>7916.666666666667</v>
      </c>
      <c r="K6" s="1821">
        <f t="shared" si="2"/>
        <v>7916.666666666667</v>
      </c>
      <c r="L6" s="1821">
        <f t="shared" si="2"/>
        <v>7916.666666666667</v>
      </c>
      <c r="M6" s="1821">
        <f t="shared" si="2"/>
        <v>7916.666666666667</v>
      </c>
      <c r="N6" s="792">
        <f t="shared" si="1"/>
        <v>8316.666666666657</v>
      </c>
      <c r="O6" s="192">
        <f>'A3-FinPerf V'!I6</f>
        <v>95400</v>
      </c>
      <c r="P6" s="193">
        <f>'A3-FinPerf V'!J6</f>
        <v>95110</v>
      </c>
      <c r="Q6" s="250">
        <f>'A3-FinPerf V'!K6</f>
        <v>95340</v>
      </c>
    </row>
    <row r="7" spans="1:18" ht="11.25" customHeight="1">
      <c r="A7" s="1177" t="str">
        <f>'A3-FinPerf V'!A7</f>
        <v>Vote3 - Budget &amp; Treasury</v>
      </c>
      <c r="B7" s="849"/>
      <c r="C7" s="1821">
        <f>40926000/12</f>
        <v>3410500</v>
      </c>
      <c r="D7" s="1821">
        <f t="shared" ref="D7:M7" si="3">40926000/12</f>
        <v>3410500</v>
      </c>
      <c r="E7" s="1821">
        <f t="shared" si="3"/>
        <v>3410500</v>
      </c>
      <c r="F7" s="1821">
        <f t="shared" si="3"/>
        <v>3410500</v>
      </c>
      <c r="G7" s="1821">
        <f t="shared" si="3"/>
        <v>3410500</v>
      </c>
      <c r="H7" s="1821">
        <f t="shared" si="3"/>
        <v>3410500</v>
      </c>
      <c r="I7" s="1821">
        <f t="shared" si="3"/>
        <v>3410500</v>
      </c>
      <c r="J7" s="1821">
        <f t="shared" si="3"/>
        <v>3410500</v>
      </c>
      <c r="K7" s="1821">
        <f t="shared" si="3"/>
        <v>3410500</v>
      </c>
      <c r="L7" s="1821">
        <f t="shared" si="3"/>
        <v>3410500</v>
      </c>
      <c r="M7" s="1821">
        <f t="shared" si="3"/>
        <v>3410500</v>
      </c>
      <c r="N7" s="792">
        <f t="shared" si="1"/>
        <v>3410398.8299999982</v>
      </c>
      <c r="O7" s="192">
        <f>'A3-FinPerf V'!I7</f>
        <v>40925898.829999998</v>
      </c>
      <c r="P7" s="193">
        <f>'A3-FinPerf V'!J7</f>
        <v>43927441.559799999</v>
      </c>
      <c r="Q7" s="250">
        <f>'A3-FinPerf V'!K7</f>
        <v>46834745.461387999</v>
      </c>
    </row>
    <row r="8" spans="1:18" ht="11.25" customHeight="1">
      <c r="A8" s="1177" t="str">
        <f>'A3-FinPerf V'!A8</f>
        <v>Vote4 - Community &amp; Social Services</v>
      </c>
      <c r="B8" s="849"/>
      <c r="C8" s="1821">
        <f>715000/12</f>
        <v>59583.333333333336</v>
      </c>
      <c r="D8" s="1821">
        <f t="shared" ref="D8:M8" si="4">715000/12</f>
        <v>59583.333333333336</v>
      </c>
      <c r="E8" s="1821">
        <f t="shared" si="4"/>
        <v>59583.333333333336</v>
      </c>
      <c r="F8" s="1821">
        <f t="shared" si="4"/>
        <v>59583.333333333336</v>
      </c>
      <c r="G8" s="1821">
        <f t="shared" si="4"/>
        <v>59583.333333333336</v>
      </c>
      <c r="H8" s="1821">
        <f t="shared" si="4"/>
        <v>59583.333333333336</v>
      </c>
      <c r="I8" s="1821">
        <f t="shared" si="4"/>
        <v>59583.333333333336</v>
      </c>
      <c r="J8" s="1821">
        <f t="shared" si="4"/>
        <v>59583.333333333336</v>
      </c>
      <c r="K8" s="1821">
        <f t="shared" si="4"/>
        <v>59583.333333333336</v>
      </c>
      <c r="L8" s="1821">
        <f t="shared" si="4"/>
        <v>59583.333333333336</v>
      </c>
      <c r="M8" s="1821">
        <f t="shared" si="4"/>
        <v>59583.333333333336</v>
      </c>
      <c r="N8" s="792">
        <f t="shared" si="1"/>
        <v>59583.333333333256</v>
      </c>
      <c r="O8" s="192">
        <f>'A3-FinPerf V'!I8</f>
        <v>715000</v>
      </c>
      <c r="P8" s="193">
        <f>'A3-FinPerf V'!J8</f>
        <v>760580</v>
      </c>
      <c r="Q8" s="250">
        <f>'A3-FinPerf V'!K8</f>
        <v>777584.8</v>
      </c>
    </row>
    <row r="9" spans="1:18" ht="11.25" customHeight="1">
      <c r="A9" s="1177" t="str">
        <f>'A3-FinPerf V'!A9</f>
        <v>Vote5 - Executive &amp; Council</v>
      </c>
      <c r="B9" s="849"/>
      <c r="C9" s="1821">
        <f>873000/12</f>
        <v>72750</v>
      </c>
      <c r="D9" s="1821">
        <f t="shared" ref="D9:M9" si="5">873000/12</f>
        <v>72750</v>
      </c>
      <c r="E9" s="1821">
        <f t="shared" si="5"/>
        <v>72750</v>
      </c>
      <c r="F9" s="1821">
        <f t="shared" si="5"/>
        <v>72750</v>
      </c>
      <c r="G9" s="1821">
        <f t="shared" si="5"/>
        <v>72750</v>
      </c>
      <c r="H9" s="1821">
        <f t="shared" si="5"/>
        <v>72750</v>
      </c>
      <c r="I9" s="1821">
        <f t="shared" si="5"/>
        <v>72750</v>
      </c>
      <c r="J9" s="1821">
        <f t="shared" si="5"/>
        <v>72750</v>
      </c>
      <c r="K9" s="1821">
        <f t="shared" si="5"/>
        <v>72750</v>
      </c>
      <c r="L9" s="1821">
        <f t="shared" si="5"/>
        <v>72750</v>
      </c>
      <c r="M9" s="1821">
        <f t="shared" si="5"/>
        <v>72750</v>
      </c>
      <c r="N9" s="792">
        <f t="shared" si="1"/>
        <v>72750</v>
      </c>
      <c r="O9" s="192">
        <f>'A3-FinPerf V'!I9</f>
        <v>873000</v>
      </c>
      <c r="P9" s="193">
        <f>'A3-FinPerf V'!J9</f>
        <v>595000</v>
      </c>
      <c r="Q9" s="250">
        <f>'A3-FinPerf V'!K9</f>
        <v>629000</v>
      </c>
    </row>
    <row r="10" spans="1:18" ht="11.25" customHeight="1">
      <c r="A10" s="1177" t="str">
        <f>'A3-FinPerf V'!A10</f>
        <v>Vote6 - Public Safety</v>
      </c>
      <c r="B10" s="849"/>
      <c r="C10" s="1821">
        <f>2000/12</f>
        <v>166.66666666666666</v>
      </c>
      <c r="D10" s="1821">
        <f t="shared" ref="D10:M10" si="6">2000/12</f>
        <v>166.66666666666666</v>
      </c>
      <c r="E10" s="1821">
        <f t="shared" si="6"/>
        <v>166.66666666666666</v>
      </c>
      <c r="F10" s="1821">
        <f t="shared" si="6"/>
        <v>166.66666666666666</v>
      </c>
      <c r="G10" s="1821">
        <f t="shared" si="6"/>
        <v>166.66666666666666</v>
      </c>
      <c r="H10" s="1821">
        <f t="shared" si="6"/>
        <v>166.66666666666666</v>
      </c>
      <c r="I10" s="1821">
        <f t="shared" si="6"/>
        <v>166.66666666666666</v>
      </c>
      <c r="J10" s="1821">
        <f t="shared" si="6"/>
        <v>166.66666666666666</v>
      </c>
      <c r="K10" s="1821">
        <f t="shared" si="6"/>
        <v>166.66666666666666</v>
      </c>
      <c r="L10" s="1821">
        <f t="shared" si="6"/>
        <v>166.66666666666666</v>
      </c>
      <c r="M10" s="1821">
        <f t="shared" si="6"/>
        <v>166.66666666666666</v>
      </c>
      <c r="N10" s="792">
        <f t="shared" si="1"/>
        <v>166.66666666666652</v>
      </c>
      <c r="O10" s="192">
        <f>'A3-FinPerf V'!I10</f>
        <v>2000</v>
      </c>
      <c r="P10" s="193">
        <f>'A3-FinPerf V'!J10</f>
        <v>5000</v>
      </c>
      <c r="Q10" s="250">
        <f>'A3-FinPerf V'!K10</f>
        <v>5000</v>
      </c>
    </row>
    <row r="11" spans="1:18" ht="11.25" customHeight="1">
      <c r="A11" s="1177" t="str">
        <f>'A3-FinPerf V'!A11</f>
        <v>Vote7 - Sport &amp; Recreation</v>
      </c>
      <c r="B11" s="849"/>
      <c r="C11" s="1821">
        <f>12000/12</f>
        <v>1000</v>
      </c>
      <c r="D11" s="1821">
        <f t="shared" ref="D11:M11" si="7">12000/12</f>
        <v>1000</v>
      </c>
      <c r="E11" s="1821">
        <f t="shared" si="7"/>
        <v>1000</v>
      </c>
      <c r="F11" s="1821">
        <f t="shared" si="7"/>
        <v>1000</v>
      </c>
      <c r="G11" s="1821">
        <f t="shared" si="7"/>
        <v>1000</v>
      </c>
      <c r="H11" s="1821">
        <f t="shared" si="7"/>
        <v>1000</v>
      </c>
      <c r="I11" s="1821">
        <f t="shared" si="7"/>
        <v>1000</v>
      </c>
      <c r="J11" s="1821">
        <f t="shared" si="7"/>
        <v>1000</v>
      </c>
      <c r="K11" s="1821">
        <f t="shared" si="7"/>
        <v>1000</v>
      </c>
      <c r="L11" s="1821">
        <f t="shared" si="7"/>
        <v>1000</v>
      </c>
      <c r="M11" s="1821">
        <f t="shared" si="7"/>
        <v>1000</v>
      </c>
      <c r="N11" s="792">
        <f>O11-SUM(C11:M11)</f>
        <v>1000</v>
      </c>
      <c r="O11" s="192">
        <f>'A3-FinPerf V'!I11</f>
        <v>12000</v>
      </c>
      <c r="P11" s="193">
        <f>'A3-FinPerf V'!J11</f>
        <v>14000</v>
      </c>
      <c r="Q11" s="250">
        <f>'A3-FinPerf V'!K11</f>
        <v>14000</v>
      </c>
    </row>
    <row r="12" spans="1:18" ht="11.25" customHeight="1">
      <c r="A12" s="1177" t="str">
        <f>'A3-FinPerf V'!A12</f>
        <v>Vote8 - Waste Management</v>
      </c>
      <c r="B12" s="849"/>
      <c r="C12" s="1821">
        <f>4196000/12</f>
        <v>349666.66666666669</v>
      </c>
      <c r="D12" s="1821">
        <f t="shared" ref="D12:M12" si="8">4196000/12</f>
        <v>349666.66666666669</v>
      </c>
      <c r="E12" s="1821">
        <f t="shared" si="8"/>
        <v>349666.66666666669</v>
      </c>
      <c r="F12" s="1821">
        <f t="shared" si="8"/>
        <v>349666.66666666669</v>
      </c>
      <c r="G12" s="1821">
        <f t="shared" si="8"/>
        <v>349666.66666666669</v>
      </c>
      <c r="H12" s="1821">
        <f t="shared" si="8"/>
        <v>349666.66666666669</v>
      </c>
      <c r="I12" s="1821">
        <f t="shared" si="8"/>
        <v>349666.66666666669</v>
      </c>
      <c r="J12" s="1821">
        <f t="shared" si="8"/>
        <v>349666.66666666669</v>
      </c>
      <c r="K12" s="1821">
        <f t="shared" si="8"/>
        <v>349666.66666666669</v>
      </c>
      <c r="L12" s="1821">
        <f t="shared" si="8"/>
        <v>349666.66666666669</v>
      </c>
      <c r="M12" s="1821">
        <f t="shared" si="8"/>
        <v>349666.66666666669</v>
      </c>
      <c r="N12" s="792">
        <f>O12-SUM(C12:M12)</f>
        <v>349533.88166666729</v>
      </c>
      <c r="O12" s="192">
        <f>'A3-FinPerf V'!I12</f>
        <v>4195867.2149999999</v>
      </c>
      <c r="P12" s="193">
        <f>'A3-FinPerf V'!J12</f>
        <v>5277548.2709999997</v>
      </c>
      <c r="Q12" s="250">
        <f>'A3-FinPerf V'!K12</f>
        <v>5567020.6845500004</v>
      </c>
    </row>
    <row r="13" spans="1:18" ht="11.25" customHeight="1">
      <c r="A13" s="1177" t="str">
        <f>'A3-FinPerf V'!A13</f>
        <v>Vote9 - Electricity</v>
      </c>
      <c r="B13" s="849"/>
      <c r="C13" s="1821">
        <f>5315000/12</f>
        <v>442916.66666666669</v>
      </c>
      <c r="D13" s="1821">
        <f t="shared" ref="D13:M13" si="9">5315000/12</f>
        <v>442916.66666666669</v>
      </c>
      <c r="E13" s="1821">
        <f t="shared" si="9"/>
        <v>442916.66666666669</v>
      </c>
      <c r="F13" s="1821">
        <f t="shared" si="9"/>
        <v>442916.66666666669</v>
      </c>
      <c r="G13" s="1821">
        <f t="shared" si="9"/>
        <v>442916.66666666669</v>
      </c>
      <c r="H13" s="1821">
        <f t="shared" si="9"/>
        <v>442916.66666666669</v>
      </c>
      <c r="I13" s="1821">
        <f t="shared" si="9"/>
        <v>442916.66666666669</v>
      </c>
      <c r="J13" s="1821">
        <f t="shared" si="9"/>
        <v>442916.66666666669</v>
      </c>
      <c r="K13" s="1821">
        <f t="shared" si="9"/>
        <v>442916.66666666669</v>
      </c>
      <c r="L13" s="1821">
        <f t="shared" si="9"/>
        <v>442916.66666666669</v>
      </c>
      <c r="M13" s="1821">
        <f t="shared" si="9"/>
        <v>442916.66666666669</v>
      </c>
      <c r="N13" s="792">
        <f>O13-SUM(C13:M13)</f>
        <v>442979.51526666805</v>
      </c>
      <c r="O13" s="192">
        <f>'A3-FinPerf V'!I13</f>
        <v>5315062.8486000011</v>
      </c>
      <c r="P13" s="193">
        <f>'A3-FinPerf V'!J13</f>
        <v>8361129.267376001</v>
      </c>
      <c r="Q13" s="250">
        <f>'A3-FinPerf V'!K13</f>
        <v>9138620</v>
      </c>
      <c r="R13" s="345"/>
    </row>
    <row r="14" spans="1:18" ht="11.25" customHeight="1">
      <c r="A14" s="1177" t="str">
        <f>'A3-FinPerf V'!A14</f>
        <v>Vote10 - Water</v>
      </c>
      <c r="B14" s="849"/>
      <c r="C14" s="1821">
        <f>2117000/12</f>
        <v>176416.66666666666</v>
      </c>
      <c r="D14" s="1821">
        <f t="shared" ref="D14:M14" si="10">2117000/12</f>
        <v>176416.66666666666</v>
      </c>
      <c r="E14" s="1821">
        <f t="shared" si="10"/>
        <v>176416.66666666666</v>
      </c>
      <c r="F14" s="1821">
        <f t="shared" si="10"/>
        <v>176416.66666666666</v>
      </c>
      <c r="G14" s="1821">
        <f t="shared" si="10"/>
        <v>176416.66666666666</v>
      </c>
      <c r="H14" s="1821">
        <f t="shared" si="10"/>
        <v>176416.66666666666</v>
      </c>
      <c r="I14" s="1821">
        <f t="shared" si="10"/>
        <v>176416.66666666666</v>
      </c>
      <c r="J14" s="1821">
        <f t="shared" si="10"/>
        <v>176416.66666666666</v>
      </c>
      <c r="K14" s="1821">
        <f t="shared" si="10"/>
        <v>176416.66666666666</v>
      </c>
      <c r="L14" s="1821">
        <f t="shared" si="10"/>
        <v>176416.66666666666</v>
      </c>
      <c r="M14" s="1821">
        <f t="shared" si="10"/>
        <v>176416.66666666666</v>
      </c>
      <c r="N14" s="792">
        <f t="shared" ref="N14:N19" si="11">O14-SUM(C14:M14)</f>
        <v>175937.4366666663</v>
      </c>
      <c r="O14" s="192">
        <f>'A3-FinPerf V'!I14</f>
        <v>2116520.77</v>
      </c>
      <c r="P14" s="193">
        <f>'A3-FinPerf V'!J14</f>
        <v>2343187.8470000001</v>
      </c>
      <c r="Q14" s="250">
        <f>'A3-FinPerf V'!K14</f>
        <v>2620523.5886400002</v>
      </c>
      <c r="R14" s="345"/>
    </row>
    <row r="15" spans="1:18" ht="11.25" customHeight="1">
      <c r="A15" s="1177" t="str">
        <f>'A3-FinPerf V'!A15</f>
        <v>Vote11 - Subvote example 10</v>
      </c>
      <c r="B15" s="849"/>
      <c r="C15" s="1821">
        <f>-SUMIFS(TB!Z:Z,TB!$Y:$Y,'SA26'!$A15,TB!$H:$H,"I")</f>
        <v>0</v>
      </c>
      <c r="D15" s="1805">
        <f>-SUMIFS(TB!AA:AA,TB!$Y:$Y,'SA26'!$A15,TB!$H:$H,"I")</f>
        <v>0</v>
      </c>
      <c r="E15" s="1805">
        <f>-SUMIFS(TB!AB:AB,TB!$Y:$Y,'SA26'!$A15,TB!$H:$H,"I")</f>
        <v>0</v>
      </c>
      <c r="F15" s="1805">
        <f>-SUMIFS(TB!AC:AC,TB!$Y:$Y,'SA26'!$A15,TB!$H:$H,"I")</f>
        <v>0</v>
      </c>
      <c r="G15" s="1805">
        <f>-SUMIFS(TB!AD:AD,TB!$Y:$Y,'SA26'!$A15,TB!$H:$H,"I")</f>
        <v>0</v>
      </c>
      <c r="H15" s="1805">
        <f>-SUMIFS(TB!AE:AE,TB!$Y:$Y,'SA26'!$A15,TB!$H:$H,"I")</f>
        <v>0</v>
      </c>
      <c r="I15" s="1805">
        <f>-SUMIFS(TB!AF:AF,TB!$Y:$Y,'SA26'!$A15,TB!$H:$H,"I")</f>
        <v>0</v>
      </c>
      <c r="J15" s="1805">
        <f>-SUMIFS(TB!AG:AG,TB!$Y:$Y,'SA26'!$A15,TB!$H:$H,"I")</f>
        <v>0</v>
      </c>
      <c r="K15" s="1805">
        <f>-SUMIFS(TB!AH:AH,TB!$Y:$Y,'SA26'!$A15,TB!$H:$H,"I")</f>
        <v>0</v>
      </c>
      <c r="L15" s="1805">
        <f>-SUMIFS(TB!AI:AI,TB!$Y:$Y,'SA26'!$A15,TB!$H:$H,"I")</f>
        <v>0</v>
      </c>
      <c r="M15" s="1805">
        <f>-SUMIFS(TB!AJ:AJ,TB!$Y:$Y,'SA26'!$A15,TB!$H:$H,"I")</f>
        <v>0</v>
      </c>
      <c r="N15" s="792">
        <f t="shared" si="11"/>
        <v>0</v>
      </c>
      <c r="O15" s="192">
        <f>'A3-FinPerf V'!I15</f>
        <v>0</v>
      </c>
      <c r="P15" s="193">
        <f>'A3-FinPerf V'!J15</f>
        <v>0</v>
      </c>
      <c r="Q15" s="250">
        <f>'A3-FinPerf V'!K15</f>
        <v>0</v>
      </c>
      <c r="R15" s="345"/>
    </row>
    <row r="16" spans="1:18" ht="11.25" customHeight="1">
      <c r="A16" s="1177" t="str">
        <f>'A3-FinPerf V'!A16</f>
        <v>Vote12 - Subvote example 10</v>
      </c>
      <c r="B16" s="849"/>
      <c r="C16" s="1821">
        <f>-SUMIFS(TB!Z:Z,TB!$Y:$Y,'SA26'!$A16,TB!$H:$H,"I")</f>
        <v>0</v>
      </c>
      <c r="D16" s="1805">
        <f>-SUMIFS(TB!AA:AA,TB!$Y:$Y,'SA26'!$A16,TB!$H:$H,"I")</f>
        <v>0</v>
      </c>
      <c r="E16" s="1805">
        <f>-SUMIFS(TB!AB:AB,TB!$Y:$Y,'SA26'!$A16,TB!$H:$H,"I")</f>
        <v>0</v>
      </c>
      <c r="F16" s="1805">
        <f>-SUMIFS(TB!AC:AC,TB!$Y:$Y,'SA26'!$A16,TB!$H:$H,"I")</f>
        <v>0</v>
      </c>
      <c r="G16" s="1805">
        <f>-SUMIFS(TB!AD:AD,TB!$Y:$Y,'SA26'!$A16,TB!$H:$H,"I")</f>
        <v>0</v>
      </c>
      <c r="H16" s="1805">
        <f>-SUMIFS(TB!AE:AE,TB!$Y:$Y,'SA26'!$A16,TB!$H:$H,"I")</f>
        <v>0</v>
      </c>
      <c r="I16" s="1805">
        <f>-SUMIFS(TB!AF:AF,TB!$Y:$Y,'SA26'!$A16,TB!$H:$H,"I")</f>
        <v>0</v>
      </c>
      <c r="J16" s="1805">
        <f>-SUMIFS(TB!AG:AG,TB!$Y:$Y,'SA26'!$A16,TB!$H:$H,"I")</f>
        <v>0</v>
      </c>
      <c r="K16" s="1805">
        <f>-SUMIFS(TB!AH:AH,TB!$Y:$Y,'SA26'!$A16,TB!$H:$H,"I")</f>
        <v>0</v>
      </c>
      <c r="L16" s="1805">
        <f>-SUMIFS(TB!AI:AI,TB!$Y:$Y,'SA26'!$A16,TB!$H:$H,"I")</f>
        <v>0</v>
      </c>
      <c r="M16" s="1805">
        <f>-SUMIFS(TB!AJ:AJ,TB!$Y:$Y,'SA26'!$A16,TB!$H:$H,"I")</f>
        <v>0</v>
      </c>
      <c r="N16" s="792">
        <f t="shared" si="11"/>
        <v>0</v>
      </c>
      <c r="O16" s="192">
        <f>'A3-FinPerf V'!I16</f>
        <v>0</v>
      </c>
      <c r="P16" s="193">
        <f>'A3-FinPerf V'!J16</f>
        <v>0</v>
      </c>
      <c r="Q16" s="250">
        <f>'A3-FinPerf V'!K16</f>
        <v>0</v>
      </c>
      <c r="R16" s="345"/>
    </row>
    <row r="17" spans="1:18" ht="11.25" customHeight="1">
      <c r="A17" s="1177" t="str">
        <f>'A3-FinPerf V'!A17</f>
        <v>Vote13 - Subvote example 10</v>
      </c>
      <c r="B17" s="849"/>
      <c r="C17" s="1821">
        <f>-SUMIFS(TB!Z:Z,TB!$Y:$Y,'SA26'!$A17,TB!$H:$H,"I")</f>
        <v>0</v>
      </c>
      <c r="D17" s="1805">
        <f>-SUMIFS(TB!AA:AA,TB!$Y:$Y,'SA26'!$A17,TB!$H:$H,"I")</f>
        <v>0</v>
      </c>
      <c r="E17" s="1805">
        <f>-SUMIFS(TB!AB:AB,TB!$Y:$Y,'SA26'!$A17,TB!$H:$H,"I")</f>
        <v>0</v>
      </c>
      <c r="F17" s="1805">
        <f>-SUMIFS(TB!AC:AC,TB!$Y:$Y,'SA26'!$A17,TB!$H:$H,"I")</f>
        <v>0</v>
      </c>
      <c r="G17" s="1805">
        <f>-SUMIFS(TB!AD:AD,TB!$Y:$Y,'SA26'!$A17,TB!$H:$H,"I")</f>
        <v>0</v>
      </c>
      <c r="H17" s="1805">
        <f>-SUMIFS(TB!AE:AE,TB!$Y:$Y,'SA26'!$A17,TB!$H:$H,"I")</f>
        <v>0</v>
      </c>
      <c r="I17" s="1805">
        <f>-SUMIFS(TB!AF:AF,TB!$Y:$Y,'SA26'!$A17,TB!$H:$H,"I")</f>
        <v>0</v>
      </c>
      <c r="J17" s="1805">
        <f>-SUMIFS(TB!AG:AG,TB!$Y:$Y,'SA26'!$A17,TB!$H:$H,"I")</f>
        <v>0</v>
      </c>
      <c r="K17" s="1805">
        <f>-SUMIFS(TB!AH:AH,TB!$Y:$Y,'SA26'!$A17,TB!$H:$H,"I")</f>
        <v>0</v>
      </c>
      <c r="L17" s="1805">
        <f>-SUMIFS(TB!AI:AI,TB!$Y:$Y,'SA26'!$A17,TB!$H:$H,"I")</f>
        <v>0</v>
      </c>
      <c r="M17" s="1805">
        <f>-SUMIFS(TB!AJ:AJ,TB!$Y:$Y,'SA26'!$A17,TB!$H:$H,"I")</f>
        <v>0</v>
      </c>
      <c r="N17" s="792">
        <f t="shared" si="11"/>
        <v>0</v>
      </c>
      <c r="O17" s="192">
        <f>'A3-FinPerf V'!I17</f>
        <v>0</v>
      </c>
      <c r="P17" s="193">
        <f>'A3-FinPerf V'!J17</f>
        <v>0</v>
      </c>
      <c r="Q17" s="250">
        <f>'A3-FinPerf V'!K17</f>
        <v>0</v>
      </c>
      <c r="R17" s="345"/>
    </row>
    <row r="18" spans="1:18" ht="11.25" customHeight="1">
      <c r="A18" s="1177" t="str">
        <f>'A3-FinPerf V'!A18</f>
        <v>Vote14 - Example 14</v>
      </c>
      <c r="B18" s="849"/>
      <c r="C18" s="1821">
        <f>-SUMIFS(TB!Z:Z,TB!$Y:$Y,'SA26'!$A18,TB!$H:$H,"I")</f>
        <v>0</v>
      </c>
      <c r="D18" s="1805">
        <f>-SUMIFS(TB!AA:AA,TB!$Y:$Y,'SA26'!$A18,TB!$H:$H,"I")</f>
        <v>0</v>
      </c>
      <c r="E18" s="1805">
        <f>-SUMIFS(TB!AB:AB,TB!$Y:$Y,'SA26'!$A18,TB!$H:$H,"I")</f>
        <v>0</v>
      </c>
      <c r="F18" s="1805">
        <f>-SUMIFS(TB!AC:AC,TB!$Y:$Y,'SA26'!$A18,TB!$H:$H,"I")</f>
        <v>0</v>
      </c>
      <c r="G18" s="1805">
        <f>-SUMIFS(TB!AD:AD,TB!$Y:$Y,'SA26'!$A18,TB!$H:$H,"I")</f>
        <v>0</v>
      </c>
      <c r="H18" s="1805">
        <f>-SUMIFS(TB!AE:AE,TB!$Y:$Y,'SA26'!$A18,TB!$H:$H,"I")</f>
        <v>0</v>
      </c>
      <c r="I18" s="1805">
        <f>-SUMIFS(TB!AF:AF,TB!$Y:$Y,'SA26'!$A18,TB!$H:$H,"I")</f>
        <v>0</v>
      </c>
      <c r="J18" s="1805">
        <f>-SUMIFS(TB!AG:AG,TB!$Y:$Y,'SA26'!$A18,TB!$H:$H,"I")</f>
        <v>0</v>
      </c>
      <c r="K18" s="1805">
        <f>-SUMIFS(TB!AH:AH,TB!$Y:$Y,'SA26'!$A18,TB!$H:$H,"I")</f>
        <v>0</v>
      </c>
      <c r="L18" s="1805">
        <f>-SUMIFS(TB!AI:AI,TB!$Y:$Y,'SA26'!$A18,TB!$H:$H,"I")</f>
        <v>0</v>
      </c>
      <c r="M18" s="1805">
        <f>-SUMIFS(TB!AJ:AJ,TB!$Y:$Y,'SA26'!$A18,TB!$H:$H,"I")</f>
        <v>0</v>
      </c>
      <c r="N18" s="792">
        <f t="shared" si="11"/>
        <v>0</v>
      </c>
      <c r="O18" s="192">
        <f>'A3-FinPerf V'!I18</f>
        <v>0</v>
      </c>
      <c r="P18" s="193">
        <f>'A3-FinPerf V'!J18</f>
        <v>0</v>
      </c>
      <c r="Q18" s="250">
        <f>'A3-FinPerf V'!K18</f>
        <v>0</v>
      </c>
      <c r="R18" s="345"/>
    </row>
    <row r="19" spans="1:18" ht="11.25" customHeight="1">
      <c r="A19" s="1177" t="str">
        <f>'A3-FinPerf V'!A19</f>
        <v>Vote15 - Example 15</v>
      </c>
      <c r="B19" s="849"/>
      <c r="C19" s="1821">
        <f>-SUMIFS(TB!Z:Z,TB!$Y:$Y,'SA26'!$A19,TB!$H:$H,"I")</f>
        <v>0</v>
      </c>
      <c r="D19" s="1805">
        <f>-SUMIFS(TB!AA:AA,TB!$Y:$Y,'SA26'!$A19,TB!$H:$H,"I")</f>
        <v>0</v>
      </c>
      <c r="E19" s="1805">
        <f>-SUMIFS(TB!AB:AB,TB!$Y:$Y,'SA26'!$A19,TB!$H:$H,"I")</f>
        <v>0</v>
      </c>
      <c r="F19" s="1805">
        <f>-SUMIFS(TB!AC:AC,TB!$Y:$Y,'SA26'!$A19,TB!$H:$H,"I")</f>
        <v>0</v>
      </c>
      <c r="G19" s="1805">
        <f>-SUMIFS(TB!AD:AD,TB!$Y:$Y,'SA26'!$A19,TB!$H:$H,"I")</f>
        <v>0</v>
      </c>
      <c r="H19" s="1805">
        <f>-SUMIFS(TB!AE:AE,TB!$Y:$Y,'SA26'!$A19,TB!$H:$H,"I")</f>
        <v>0</v>
      </c>
      <c r="I19" s="1805">
        <f>-SUMIFS(TB!AF:AF,TB!$Y:$Y,'SA26'!$A19,TB!$H:$H,"I")</f>
        <v>0</v>
      </c>
      <c r="J19" s="1805">
        <f>-SUMIFS(TB!AG:AG,TB!$Y:$Y,'SA26'!$A19,TB!$H:$H,"I")</f>
        <v>0</v>
      </c>
      <c r="K19" s="1805">
        <f>-SUMIFS(TB!AH:AH,TB!$Y:$Y,'SA26'!$A19,TB!$H:$H,"I")</f>
        <v>0</v>
      </c>
      <c r="L19" s="1805">
        <f>-SUMIFS(TB!AI:AI,TB!$Y:$Y,'SA26'!$A19,TB!$H:$H,"I")</f>
        <v>0</v>
      </c>
      <c r="M19" s="1805">
        <f>-SUMIFS(TB!AJ:AJ,TB!$Y:$Y,'SA26'!$A19,TB!$H:$H,"I")</f>
        <v>0</v>
      </c>
      <c r="N19" s="792">
        <f t="shared" si="11"/>
        <v>0</v>
      </c>
      <c r="O19" s="192">
        <f>'A3-FinPerf V'!I19</f>
        <v>0</v>
      </c>
      <c r="P19" s="193">
        <f>'A3-FinPerf V'!J19</f>
        <v>0</v>
      </c>
      <c r="Q19" s="250">
        <f>'A3-FinPerf V'!K19</f>
        <v>0</v>
      </c>
      <c r="R19" s="345"/>
    </row>
    <row r="20" spans="1:18">
      <c r="A20" s="251" t="str">
        <f>'A3-FinPerf V'!A20</f>
        <v>Total Revenue by Vote</v>
      </c>
      <c r="B20" s="850"/>
      <c r="C20" s="201">
        <f t="shared" ref="C20:Q20" si="12">SUM(C5:C19)</f>
        <v>4533416.666666667</v>
      </c>
      <c r="D20" s="199">
        <f t="shared" si="12"/>
        <v>4533416.666666667</v>
      </c>
      <c r="E20" s="199">
        <f t="shared" si="12"/>
        <v>4533416.666666667</v>
      </c>
      <c r="F20" s="199">
        <f>SUM(F5:F19)</f>
        <v>4533416.666666667</v>
      </c>
      <c r="G20" s="199">
        <f t="shared" si="12"/>
        <v>4533416.666666667</v>
      </c>
      <c r="H20" s="199">
        <f t="shared" si="12"/>
        <v>4533416.666666667</v>
      </c>
      <c r="I20" s="199">
        <f t="shared" si="12"/>
        <v>4533416.666666667</v>
      </c>
      <c r="J20" s="199">
        <f t="shared" si="12"/>
        <v>4533416.666666667</v>
      </c>
      <c r="K20" s="199">
        <f t="shared" si="12"/>
        <v>4533416.666666667</v>
      </c>
      <c r="L20" s="199">
        <f t="shared" si="12"/>
        <v>4533416.666666667</v>
      </c>
      <c r="M20" s="199">
        <f t="shared" si="12"/>
        <v>4533416.666666667</v>
      </c>
      <c r="N20" s="851">
        <f t="shared" si="12"/>
        <v>4532766.3302666666</v>
      </c>
      <c r="O20" s="202">
        <f t="shared" si="12"/>
        <v>54400349.663600005</v>
      </c>
      <c r="P20" s="199">
        <f t="shared" si="12"/>
        <v>61553596.945175998</v>
      </c>
      <c r="Q20" s="200">
        <f t="shared" si="12"/>
        <v>65871434.534577996</v>
      </c>
      <c r="R20" s="345"/>
    </row>
    <row r="21" spans="1:18" ht="5.0999999999999996" customHeight="1">
      <c r="A21" s="259"/>
      <c r="B21" s="849"/>
      <c r="C21" s="191"/>
      <c r="D21" s="189"/>
      <c r="E21" s="189"/>
      <c r="F21" s="189"/>
      <c r="G21" s="189"/>
      <c r="H21" s="189"/>
      <c r="I21" s="189"/>
      <c r="J21" s="189"/>
      <c r="K21" s="189"/>
      <c r="L21" s="189"/>
      <c r="M21" s="189"/>
      <c r="N21" s="792"/>
      <c r="O21" s="192"/>
      <c r="P21" s="189"/>
      <c r="Q21" s="190"/>
      <c r="R21" s="345"/>
    </row>
    <row r="22" spans="1:18">
      <c r="A22" s="235" t="str">
        <f>'A3-FinPerf V'!A22</f>
        <v>Expenditure by Vote to be appropriated</v>
      </c>
      <c r="B22" s="852"/>
      <c r="C22" s="191"/>
      <c r="D22" s="189"/>
      <c r="E22" s="189"/>
      <c r="F22" s="189"/>
      <c r="G22" s="189"/>
      <c r="H22" s="189"/>
      <c r="I22" s="189"/>
      <c r="J22" s="189"/>
      <c r="K22" s="189"/>
      <c r="L22" s="189"/>
      <c r="M22" s="189"/>
      <c r="N22" s="792"/>
      <c r="O22" s="192"/>
      <c r="P22" s="189"/>
      <c r="Q22" s="190"/>
      <c r="R22" s="345"/>
    </row>
    <row r="23" spans="1:18" ht="11.25" customHeight="1">
      <c r="A23" s="236" t="str">
        <f t="shared" ref="A23:A31" si="13">A5</f>
        <v>Vote1 - Health</v>
      </c>
      <c r="B23" s="849"/>
      <c r="C23" s="1821">
        <f>323000/12</f>
        <v>26916.666666666668</v>
      </c>
      <c r="D23" s="1821">
        <f t="shared" ref="D23:M23" si="14">323000/12</f>
        <v>26916.666666666668</v>
      </c>
      <c r="E23" s="1821">
        <f t="shared" si="14"/>
        <v>26916.666666666668</v>
      </c>
      <c r="F23" s="1821">
        <f t="shared" si="14"/>
        <v>26916.666666666668</v>
      </c>
      <c r="G23" s="1821">
        <f t="shared" si="14"/>
        <v>26916.666666666668</v>
      </c>
      <c r="H23" s="1821">
        <f t="shared" si="14"/>
        <v>26916.666666666668</v>
      </c>
      <c r="I23" s="1821">
        <f t="shared" si="14"/>
        <v>26916.666666666668</v>
      </c>
      <c r="J23" s="1821">
        <f t="shared" si="14"/>
        <v>26916.666666666668</v>
      </c>
      <c r="K23" s="1821">
        <f t="shared" si="14"/>
        <v>26916.666666666668</v>
      </c>
      <c r="L23" s="1821">
        <f t="shared" si="14"/>
        <v>26916.666666666668</v>
      </c>
      <c r="M23" s="1821">
        <f t="shared" si="14"/>
        <v>26916.666666666668</v>
      </c>
      <c r="N23" s="792">
        <f t="shared" ref="N23:N29" si="15">O23-SUM(C23:M23)</f>
        <v>26831.727552970697</v>
      </c>
      <c r="O23" s="192">
        <f>'A3-FinPerf V'!I23</f>
        <v>322915.06088630401</v>
      </c>
      <c r="P23" s="189">
        <f>'A3-FinPerf V'!J23</f>
        <v>331779.73100799997</v>
      </c>
      <c r="Q23" s="190">
        <f>'A3-FinPerf V'!K23</f>
        <v>338395</v>
      </c>
      <c r="R23" s="345"/>
    </row>
    <row r="24" spans="1:18" ht="11.25" customHeight="1">
      <c r="A24" s="236" t="str">
        <f t="shared" si="13"/>
        <v>Vote2 - Planning &amp; Development</v>
      </c>
      <c r="B24" s="849"/>
      <c r="C24" s="1821">
        <f>7059000/12</f>
        <v>588250</v>
      </c>
      <c r="D24" s="1821">
        <f t="shared" ref="D24:M24" si="16">7059000/12</f>
        <v>588250</v>
      </c>
      <c r="E24" s="1821">
        <f t="shared" si="16"/>
        <v>588250</v>
      </c>
      <c r="F24" s="1821">
        <f t="shared" si="16"/>
        <v>588250</v>
      </c>
      <c r="G24" s="1821">
        <f t="shared" si="16"/>
        <v>588250</v>
      </c>
      <c r="H24" s="1821">
        <f t="shared" si="16"/>
        <v>588250</v>
      </c>
      <c r="I24" s="1821">
        <f t="shared" si="16"/>
        <v>588250</v>
      </c>
      <c r="J24" s="1821">
        <f t="shared" si="16"/>
        <v>588250</v>
      </c>
      <c r="K24" s="1821">
        <f t="shared" si="16"/>
        <v>588250</v>
      </c>
      <c r="L24" s="1821">
        <f t="shared" si="16"/>
        <v>588250</v>
      </c>
      <c r="M24" s="1821">
        <f t="shared" si="16"/>
        <v>588250</v>
      </c>
      <c r="N24" s="792">
        <f t="shared" si="15"/>
        <v>588411.27283215988</v>
      </c>
      <c r="O24" s="192">
        <f>'A3-FinPerf V'!I24</f>
        <v>7059161.2728321599</v>
      </c>
      <c r="P24" s="189">
        <f>'A3-FinPerf V'!J24</f>
        <v>9220418.2443865594</v>
      </c>
      <c r="Q24" s="190">
        <f>'A3-FinPerf V'!K24</f>
        <v>9181406.9039374851</v>
      </c>
      <c r="R24" s="345"/>
    </row>
    <row r="25" spans="1:18" ht="11.25" customHeight="1">
      <c r="A25" s="236" t="str">
        <f t="shared" si="13"/>
        <v>Vote3 - Budget &amp; Treasury</v>
      </c>
      <c r="B25" s="849"/>
      <c r="C25" s="1821">
        <f>33690000/12</f>
        <v>2807500</v>
      </c>
      <c r="D25" s="1821">
        <f t="shared" ref="D25:M25" si="17">33690000/12</f>
        <v>2807500</v>
      </c>
      <c r="E25" s="1821">
        <f t="shared" si="17"/>
        <v>2807500</v>
      </c>
      <c r="F25" s="1821">
        <f t="shared" si="17"/>
        <v>2807500</v>
      </c>
      <c r="G25" s="1821">
        <f t="shared" si="17"/>
        <v>2807500</v>
      </c>
      <c r="H25" s="1821">
        <f t="shared" si="17"/>
        <v>2807500</v>
      </c>
      <c r="I25" s="1821">
        <f t="shared" si="17"/>
        <v>2807500</v>
      </c>
      <c r="J25" s="1821">
        <f t="shared" si="17"/>
        <v>2807500</v>
      </c>
      <c r="K25" s="1821">
        <f t="shared" si="17"/>
        <v>2807500</v>
      </c>
      <c r="L25" s="1821">
        <f t="shared" si="17"/>
        <v>2807500</v>
      </c>
      <c r="M25" s="1821">
        <f t="shared" si="17"/>
        <v>2807500</v>
      </c>
      <c r="N25" s="792">
        <f t="shared" si="15"/>
        <v>2807713.6330081671</v>
      </c>
      <c r="O25" s="192">
        <f>'A3-FinPerf V'!I25</f>
        <v>33690213.633008167</v>
      </c>
      <c r="P25" s="189">
        <f>'A3-FinPerf V'!J25</f>
        <v>26827069.431651283</v>
      </c>
      <c r="Q25" s="190">
        <f>'A3-FinPerf V'!K25</f>
        <v>28715800.04152846</v>
      </c>
      <c r="R25" s="345"/>
    </row>
    <row r="26" spans="1:18" ht="11.25" customHeight="1">
      <c r="A26" s="236" t="str">
        <f t="shared" si="13"/>
        <v>Vote4 - Community &amp; Social Services</v>
      </c>
      <c r="B26" s="849"/>
      <c r="C26" s="1821">
        <f>1695000/12</f>
        <v>141250</v>
      </c>
      <c r="D26" s="1821">
        <f t="shared" ref="D26:M26" si="18">1695000/12</f>
        <v>141250</v>
      </c>
      <c r="E26" s="1821">
        <f t="shared" si="18"/>
        <v>141250</v>
      </c>
      <c r="F26" s="1821">
        <f t="shared" si="18"/>
        <v>141250</v>
      </c>
      <c r="G26" s="1821">
        <f t="shared" si="18"/>
        <v>141250</v>
      </c>
      <c r="H26" s="1821">
        <f t="shared" si="18"/>
        <v>141250</v>
      </c>
      <c r="I26" s="1821">
        <f t="shared" si="18"/>
        <v>141250</v>
      </c>
      <c r="J26" s="1821">
        <f t="shared" si="18"/>
        <v>141250</v>
      </c>
      <c r="K26" s="1821">
        <f t="shared" si="18"/>
        <v>141250</v>
      </c>
      <c r="L26" s="1821">
        <f t="shared" si="18"/>
        <v>141250</v>
      </c>
      <c r="M26" s="1821">
        <f t="shared" si="18"/>
        <v>141250</v>
      </c>
      <c r="N26" s="792">
        <f t="shared" si="15"/>
        <v>141172.84209475201</v>
      </c>
      <c r="O26" s="192">
        <f>'A3-FinPerf V'!I26</f>
        <v>1694922.842094752</v>
      </c>
      <c r="P26" s="189">
        <f>'A3-FinPerf V'!J26</f>
        <v>1844179.5734116803</v>
      </c>
      <c r="Q26" s="190">
        <f>'A3-FinPerf V'!K26</f>
        <v>1932502.1392846145</v>
      </c>
      <c r="R26" s="345"/>
    </row>
    <row r="27" spans="1:18" ht="11.25" customHeight="1">
      <c r="A27" s="236" t="str">
        <f t="shared" si="13"/>
        <v>Vote5 - Executive &amp; Council</v>
      </c>
      <c r="B27" s="849"/>
      <c r="C27" s="1821">
        <f>4278000/12</f>
        <v>356500</v>
      </c>
      <c r="D27" s="1821">
        <f t="shared" ref="D27:M27" si="19">4278000/12</f>
        <v>356500</v>
      </c>
      <c r="E27" s="1821">
        <f t="shared" si="19"/>
        <v>356500</v>
      </c>
      <c r="F27" s="1821">
        <f t="shared" si="19"/>
        <v>356500</v>
      </c>
      <c r="G27" s="1821">
        <f t="shared" si="19"/>
        <v>356500</v>
      </c>
      <c r="H27" s="1821">
        <f t="shared" si="19"/>
        <v>356500</v>
      </c>
      <c r="I27" s="1821">
        <f t="shared" si="19"/>
        <v>356500</v>
      </c>
      <c r="J27" s="1821">
        <f t="shared" si="19"/>
        <v>356500</v>
      </c>
      <c r="K27" s="1821">
        <f t="shared" si="19"/>
        <v>356500</v>
      </c>
      <c r="L27" s="1821">
        <f t="shared" si="19"/>
        <v>356500</v>
      </c>
      <c r="M27" s="1821">
        <f t="shared" si="19"/>
        <v>356500</v>
      </c>
      <c r="N27" s="792">
        <f t="shared" si="15"/>
        <v>356383.54938799981</v>
      </c>
      <c r="O27" s="192">
        <f>'A3-FinPerf V'!I27</f>
        <v>4277883.5493879998</v>
      </c>
      <c r="P27" s="189">
        <f>'A3-FinPerf V'!J27</f>
        <v>4007049.2333390401</v>
      </c>
      <c r="Q27" s="190">
        <f>'A3-FinPerf V'!K27</f>
        <v>4228593.5720061632</v>
      </c>
      <c r="R27" s="345"/>
    </row>
    <row r="28" spans="1:18" ht="11.25" customHeight="1">
      <c r="A28" s="236" t="str">
        <f t="shared" si="13"/>
        <v>Vote6 - Public Safety</v>
      </c>
      <c r="B28" s="849"/>
      <c r="C28" s="1821">
        <f>182000/12</f>
        <v>15166.666666666666</v>
      </c>
      <c r="D28" s="1821">
        <f t="shared" ref="D28:M28" si="20">182000/12</f>
        <v>15166.666666666666</v>
      </c>
      <c r="E28" s="1821">
        <f t="shared" si="20"/>
        <v>15166.666666666666</v>
      </c>
      <c r="F28" s="1821">
        <f t="shared" si="20"/>
        <v>15166.666666666666</v>
      </c>
      <c r="G28" s="1821">
        <f t="shared" si="20"/>
        <v>15166.666666666666</v>
      </c>
      <c r="H28" s="1821">
        <f t="shared" si="20"/>
        <v>15166.666666666666</v>
      </c>
      <c r="I28" s="1821">
        <f t="shared" si="20"/>
        <v>15166.666666666666</v>
      </c>
      <c r="J28" s="1821">
        <f t="shared" si="20"/>
        <v>15166.666666666666</v>
      </c>
      <c r="K28" s="1821">
        <f t="shared" si="20"/>
        <v>15166.666666666666</v>
      </c>
      <c r="L28" s="1821">
        <f t="shared" si="20"/>
        <v>15166.666666666666</v>
      </c>
      <c r="M28" s="1821">
        <f t="shared" si="20"/>
        <v>15166.666666666666</v>
      </c>
      <c r="N28" s="792">
        <f t="shared" si="15"/>
        <v>14666.666666666686</v>
      </c>
      <c r="O28" s="192">
        <f>'A3-FinPerf V'!I28</f>
        <v>181500</v>
      </c>
      <c r="P28" s="189">
        <f>'A3-FinPerf V'!J28</f>
        <v>230485</v>
      </c>
      <c r="Q28" s="190">
        <f>'A3-FinPerf V'!K28</f>
        <v>232995</v>
      </c>
      <c r="R28" s="345"/>
    </row>
    <row r="29" spans="1:18" ht="11.25" customHeight="1">
      <c r="A29" s="236" t="str">
        <f t="shared" si="13"/>
        <v>Vote7 - Sport &amp; Recreation</v>
      </c>
      <c r="B29" s="849"/>
      <c r="C29" s="1821">
        <f>169000/12</f>
        <v>14083.333333333334</v>
      </c>
      <c r="D29" s="1821">
        <f t="shared" ref="D29:M29" si="21">169000/12</f>
        <v>14083.333333333334</v>
      </c>
      <c r="E29" s="1821">
        <f t="shared" si="21"/>
        <v>14083.333333333334</v>
      </c>
      <c r="F29" s="1821">
        <f t="shared" si="21"/>
        <v>14083.333333333334</v>
      </c>
      <c r="G29" s="1821">
        <f t="shared" si="21"/>
        <v>14083.333333333334</v>
      </c>
      <c r="H29" s="1821">
        <f t="shared" si="21"/>
        <v>14083.333333333334</v>
      </c>
      <c r="I29" s="1821">
        <f t="shared" si="21"/>
        <v>14083.333333333334</v>
      </c>
      <c r="J29" s="1821">
        <f t="shared" si="21"/>
        <v>14083.333333333334</v>
      </c>
      <c r="K29" s="1821">
        <f t="shared" si="21"/>
        <v>14083.333333333334</v>
      </c>
      <c r="L29" s="1821">
        <f t="shared" si="21"/>
        <v>14083.333333333334</v>
      </c>
      <c r="M29" s="1821">
        <f t="shared" si="21"/>
        <v>14083.333333333334</v>
      </c>
      <c r="N29" s="792">
        <f t="shared" si="15"/>
        <v>14083.333333333343</v>
      </c>
      <c r="O29" s="192">
        <f>'A3-FinPerf V'!I29</f>
        <v>169000</v>
      </c>
      <c r="P29" s="189">
        <f>'A3-FinPerf V'!J29</f>
        <v>209762</v>
      </c>
      <c r="Q29" s="190">
        <f>'A3-FinPerf V'!K29</f>
        <v>224435.37760000001</v>
      </c>
      <c r="R29" s="345"/>
    </row>
    <row r="30" spans="1:18" ht="11.25" customHeight="1">
      <c r="A30" s="236" t="str">
        <f t="shared" si="13"/>
        <v>Vote8 - Waste Management</v>
      </c>
      <c r="B30" s="849"/>
      <c r="C30" s="1821">
        <f>7645000/12</f>
        <v>637083.33333333337</v>
      </c>
      <c r="D30" s="1821">
        <f t="shared" ref="D30:M30" si="22">7645000/12</f>
        <v>637083.33333333337</v>
      </c>
      <c r="E30" s="1821">
        <f t="shared" si="22"/>
        <v>637083.33333333337</v>
      </c>
      <c r="F30" s="1821">
        <f t="shared" si="22"/>
        <v>637083.33333333337</v>
      </c>
      <c r="G30" s="1821">
        <f t="shared" si="22"/>
        <v>637083.33333333337</v>
      </c>
      <c r="H30" s="1821">
        <f t="shared" si="22"/>
        <v>637083.33333333337</v>
      </c>
      <c r="I30" s="1821">
        <f t="shared" si="22"/>
        <v>637083.33333333337</v>
      </c>
      <c r="J30" s="1821">
        <f t="shared" si="22"/>
        <v>637083.33333333337</v>
      </c>
      <c r="K30" s="1821">
        <f t="shared" si="22"/>
        <v>637083.33333333337</v>
      </c>
      <c r="L30" s="1821">
        <f t="shared" si="22"/>
        <v>637083.33333333337</v>
      </c>
      <c r="M30" s="1821">
        <f t="shared" si="22"/>
        <v>637083.33333333337</v>
      </c>
      <c r="N30" s="792">
        <f>O30-SUM(C30:M30)</f>
        <v>637555.7528662933</v>
      </c>
      <c r="O30" s="192">
        <f>'A3-FinPerf V'!I30</f>
        <v>7645472.4195329593</v>
      </c>
      <c r="P30" s="189">
        <f>'A3-FinPerf V'!J30</f>
        <v>8113576.7565943999</v>
      </c>
      <c r="Q30" s="190">
        <f>'A3-FinPerf V'!K30</f>
        <v>8460327.7146067508</v>
      </c>
      <c r="R30" s="345"/>
    </row>
    <row r="31" spans="1:18" ht="11.25" customHeight="1">
      <c r="A31" s="236" t="str">
        <f t="shared" si="13"/>
        <v>Vote9 - Electricity</v>
      </c>
      <c r="B31" s="849"/>
      <c r="C31" s="1821">
        <f>12312000/12</f>
        <v>1026000</v>
      </c>
      <c r="D31" s="1821">
        <f t="shared" ref="D31:M31" si="23">12312000/12</f>
        <v>1026000</v>
      </c>
      <c r="E31" s="1821">
        <f t="shared" si="23"/>
        <v>1026000</v>
      </c>
      <c r="F31" s="1821">
        <f t="shared" si="23"/>
        <v>1026000</v>
      </c>
      <c r="G31" s="1821">
        <f t="shared" si="23"/>
        <v>1026000</v>
      </c>
      <c r="H31" s="1821">
        <f t="shared" si="23"/>
        <v>1026000</v>
      </c>
      <c r="I31" s="1821">
        <f t="shared" si="23"/>
        <v>1026000</v>
      </c>
      <c r="J31" s="1821">
        <f t="shared" si="23"/>
        <v>1026000</v>
      </c>
      <c r="K31" s="1821">
        <f t="shared" si="23"/>
        <v>1026000</v>
      </c>
      <c r="L31" s="1821">
        <f t="shared" si="23"/>
        <v>1026000</v>
      </c>
      <c r="M31" s="1821">
        <f t="shared" si="23"/>
        <v>1026000</v>
      </c>
      <c r="N31" s="792">
        <f>O31-SUM(C31:M31)</f>
        <v>1026051.9941751361</v>
      </c>
      <c r="O31" s="192">
        <f>'A3-FinPerf V'!I31</f>
        <v>12312051.994175136</v>
      </c>
      <c r="P31" s="189">
        <f>'A3-FinPerf V'!J31</f>
        <v>13126941.65229008</v>
      </c>
      <c r="Q31" s="190">
        <f>'A3-FinPerf V'!K31</f>
        <v>15451828.395809285</v>
      </c>
      <c r="R31" s="345"/>
    </row>
    <row r="32" spans="1:18" ht="11.25" customHeight="1">
      <c r="A32" s="236" t="str">
        <f t="shared" ref="A32:A37" si="24">A14</f>
        <v>Vote10 - Water</v>
      </c>
      <c r="B32" s="849"/>
      <c r="C32" s="1821">
        <f>3270000/12</f>
        <v>272500</v>
      </c>
      <c r="D32" s="1821">
        <f t="shared" ref="D32:M32" si="25">3270000/12</f>
        <v>272500</v>
      </c>
      <c r="E32" s="1821">
        <f t="shared" si="25"/>
        <v>272500</v>
      </c>
      <c r="F32" s="1821">
        <f t="shared" si="25"/>
        <v>272500</v>
      </c>
      <c r="G32" s="1821">
        <f t="shared" si="25"/>
        <v>272500</v>
      </c>
      <c r="H32" s="1821">
        <f t="shared" si="25"/>
        <v>272500</v>
      </c>
      <c r="I32" s="1821">
        <f t="shared" si="25"/>
        <v>272500</v>
      </c>
      <c r="J32" s="1821">
        <f t="shared" si="25"/>
        <v>272500</v>
      </c>
      <c r="K32" s="1821">
        <f t="shared" si="25"/>
        <v>272500</v>
      </c>
      <c r="L32" s="1821">
        <f t="shared" si="25"/>
        <v>272500</v>
      </c>
      <c r="M32" s="1821">
        <f t="shared" si="25"/>
        <v>272500</v>
      </c>
      <c r="N32" s="792">
        <f t="shared" ref="N32:N37" si="26">O32-SUM(C32:M32)</f>
        <v>722360.24920799956</v>
      </c>
      <c r="O32" s="192">
        <f>'A3-FinPerf V'!I32</f>
        <v>3719860.2492079996</v>
      </c>
      <c r="P32" s="189">
        <f>'A3-FinPerf V'!J32</f>
        <v>3296876.55397696</v>
      </c>
      <c r="Q32" s="190">
        <f>'A3-FinPerf V'!K32</f>
        <v>3349207.5842247172</v>
      </c>
      <c r="R32" s="345"/>
    </row>
    <row r="33" spans="1:18" ht="11.25" customHeight="1">
      <c r="A33" s="236" t="str">
        <f t="shared" si="24"/>
        <v>Vote11 - Subvote example 10</v>
      </c>
      <c r="B33" s="849"/>
      <c r="C33" s="1821">
        <f>SUMIFS(TB!Z:Z,TB!$Y:$Y,'SA26'!$A33,TB!$H:$H,"E")</f>
        <v>0</v>
      </c>
      <c r="D33" s="1805">
        <f>SUMIFS(TB!AA:AA,TB!$Y:$Y,'SA26'!$A33,TB!$H:$H,"E")</f>
        <v>0</v>
      </c>
      <c r="E33" s="1805">
        <f>SUMIFS(TB!AB:AB,TB!$Y:$Y,'SA26'!$A33,TB!$H:$H,"E")</f>
        <v>0</v>
      </c>
      <c r="F33" s="1805">
        <f>SUMIFS(TB!AC:AC,TB!$Y:$Y,'SA26'!$A33,TB!$H:$H,"E")</f>
        <v>0</v>
      </c>
      <c r="G33" s="1805">
        <f>SUMIFS(TB!AD:AD,TB!$Y:$Y,'SA26'!$A33,TB!$H:$H,"E")</f>
        <v>0</v>
      </c>
      <c r="H33" s="1805">
        <f>SUMIFS(TB!AE:AE,TB!$Y:$Y,'SA26'!$A33,TB!$H:$H,"E")</f>
        <v>0</v>
      </c>
      <c r="I33" s="1805">
        <f>SUMIFS(TB!AF:AF,TB!$Y:$Y,'SA26'!$A33,TB!$H:$H,"E")</f>
        <v>0</v>
      </c>
      <c r="J33" s="1805">
        <f>SUMIFS(TB!AG:AG,TB!$Y:$Y,'SA26'!$A33,TB!$H:$H,"E")</f>
        <v>0</v>
      </c>
      <c r="K33" s="1805">
        <f>SUMIFS(TB!AH:AH,TB!$Y:$Y,'SA26'!$A33,TB!$H:$H,"E")</f>
        <v>0</v>
      </c>
      <c r="L33" s="1805">
        <f>SUMIFS(TB!AI:AI,TB!$Y:$Y,'SA26'!$A33,TB!$H:$H,"E")</f>
        <v>0</v>
      </c>
      <c r="M33" s="1805">
        <f>SUMIFS(TB!AJ:AJ,TB!$Y:$Y,'SA26'!$A33,TB!$H:$H,"E")</f>
        <v>0</v>
      </c>
      <c r="N33" s="792">
        <f t="shared" si="26"/>
        <v>0</v>
      </c>
      <c r="O33" s="192">
        <f>'A3-FinPerf V'!I33</f>
        <v>0</v>
      </c>
      <c r="P33" s="189">
        <f>'A3-FinPerf V'!J33</f>
        <v>0</v>
      </c>
      <c r="Q33" s="190">
        <f>'A3-FinPerf V'!K33</f>
        <v>0</v>
      </c>
      <c r="R33" s="345"/>
    </row>
    <row r="34" spans="1:18" ht="11.25" customHeight="1">
      <c r="A34" s="236" t="str">
        <f t="shared" si="24"/>
        <v>Vote12 - Subvote example 10</v>
      </c>
      <c r="B34" s="849"/>
      <c r="C34" s="1821">
        <f>SUMIFS(TB!Z:Z,TB!$Y:$Y,'SA26'!$A34,TB!$H:$H,"E")</f>
        <v>0</v>
      </c>
      <c r="D34" s="1805">
        <f>SUMIFS(TB!AA:AA,TB!$Y:$Y,'SA26'!$A34,TB!$H:$H,"E")</f>
        <v>0</v>
      </c>
      <c r="E34" s="1805">
        <f>SUMIFS(TB!AB:AB,TB!$Y:$Y,'SA26'!$A34,TB!$H:$H,"E")</f>
        <v>0</v>
      </c>
      <c r="F34" s="1805">
        <f>SUMIFS(TB!AC:AC,TB!$Y:$Y,'SA26'!$A34,TB!$H:$H,"E")</f>
        <v>0</v>
      </c>
      <c r="G34" s="1805">
        <f>SUMIFS(TB!AD:AD,TB!$Y:$Y,'SA26'!$A34,TB!$H:$H,"E")</f>
        <v>0</v>
      </c>
      <c r="H34" s="1805">
        <f>SUMIFS(TB!AE:AE,TB!$Y:$Y,'SA26'!$A34,TB!$H:$H,"E")</f>
        <v>0</v>
      </c>
      <c r="I34" s="1805">
        <f>SUMIFS(TB!AF:AF,TB!$Y:$Y,'SA26'!$A34,TB!$H:$H,"E")</f>
        <v>0</v>
      </c>
      <c r="J34" s="1805">
        <f>SUMIFS(TB!AG:AG,TB!$Y:$Y,'SA26'!$A34,TB!$H:$H,"E")</f>
        <v>0</v>
      </c>
      <c r="K34" s="1805">
        <f>SUMIFS(TB!AH:AH,TB!$Y:$Y,'SA26'!$A34,TB!$H:$H,"E")</f>
        <v>0</v>
      </c>
      <c r="L34" s="1805">
        <f>SUMIFS(TB!AI:AI,TB!$Y:$Y,'SA26'!$A34,TB!$H:$H,"E")</f>
        <v>0</v>
      </c>
      <c r="M34" s="1805">
        <f>SUMIFS(TB!AJ:AJ,TB!$Y:$Y,'SA26'!$A34,TB!$H:$H,"E")</f>
        <v>0</v>
      </c>
      <c r="N34" s="792">
        <f t="shared" si="26"/>
        <v>0</v>
      </c>
      <c r="O34" s="192">
        <f>'A3-FinPerf V'!I34</f>
        <v>0</v>
      </c>
      <c r="P34" s="189">
        <f>'A3-FinPerf V'!J34</f>
        <v>0</v>
      </c>
      <c r="Q34" s="190">
        <f>'A3-FinPerf V'!K34</f>
        <v>0</v>
      </c>
      <c r="R34" s="345"/>
    </row>
    <row r="35" spans="1:18" ht="11.25" customHeight="1">
      <c r="A35" s="236" t="str">
        <f t="shared" si="24"/>
        <v>Vote13 - Subvote example 10</v>
      </c>
      <c r="B35" s="849"/>
      <c r="C35" s="1821">
        <f>SUMIFS(TB!Z:Z,TB!$Y:$Y,'SA26'!$A35,TB!$H:$H,"E")</f>
        <v>0</v>
      </c>
      <c r="D35" s="1805">
        <f>SUMIFS(TB!AA:AA,TB!$Y:$Y,'SA26'!$A35,TB!$H:$H,"E")</f>
        <v>0</v>
      </c>
      <c r="E35" s="1805">
        <f>SUMIFS(TB!AB:AB,TB!$Y:$Y,'SA26'!$A35,TB!$H:$H,"E")</f>
        <v>0</v>
      </c>
      <c r="F35" s="1805">
        <f>SUMIFS(TB!AC:AC,TB!$Y:$Y,'SA26'!$A35,TB!$H:$H,"E")</f>
        <v>0</v>
      </c>
      <c r="G35" s="1805">
        <f>SUMIFS(TB!AD:AD,TB!$Y:$Y,'SA26'!$A35,TB!$H:$H,"E")</f>
        <v>0</v>
      </c>
      <c r="H35" s="1805">
        <f>SUMIFS(TB!AE:AE,TB!$Y:$Y,'SA26'!$A35,TB!$H:$H,"E")</f>
        <v>0</v>
      </c>
      <c r="I35" s="1805">
        <f>SUMIFS(TB!AF:AF,TB!$Y:$Y,'SA26'!$A35,TB!$H:$H,"E")</f>
        <v>0</v>
      </c>
      <c r="J35" s="1805"/>
      <c r="K35" s="1805">
        <f>SUMIFS(TB!AH:AH,TB!$Y:$Y,'SA26'!$A35,TB!$H:$H,"E")</f>
        <v>0</v>
      </c>
      <c r="L35" s="1805">
        <f>SUMIFS(TB!AI:AI,TB!$Y:$Y,'SA26'!$A35,TB!$H:$H,"E")</f>
        <v>0</v>
      </c>
      <c r="M35" s="1805">
        <f>SUMIFS(TB!AJ:AJ,TB!$Y:$Y,'SA26'!$A35,TB!$H:$H,"E")</f>
        <v>0</v>
      </c>
      <c r="N35" s="792">
        <f t="shared" si="26"/>
        <v>0</v>
      </c>
      <c r="O35" s="192">
        <f>'A3-FinPerf V'!I35</f>
        <v>0</v>
      </c>
      <c r="P35" s="189">
        <f>'A3-FinPerf V'!J35</f>
        <v>0</v>
      </c>
      <c r="Q35" s="190">
        <f>'A3-FinPerf V'!K35</f>
        <v>0</v>
      </c>
      <c r="R35" s="345"/>
    </row>
    <row r="36" spans="1:18" ht="11.25" customHeight="1">
      <c r="A36" s="236" t="str">
        <f t="shared" si="24"/>
        <v>Vote14 - Example 14</v>
      </c>
      <c r="B36" s="849"/>
      <c r="C36" s="1821">
        <f>SUMIFS(TB!Z:Z,TB!$Y:$Y,'SA26'!$A36,TB!$H:$H,"E")</f>
        <v>0</v>
      </c>
      <c r="D36" s="1805">
        <f>SUMIFS(TB!AA:AA,TB!$Y:$Y,'SA26'!$A36,TB!$H:$H,"E")</f>
        <v>0</v>
      </c>
      <c r="E36" s="1805">
        <f>SUMIFS(TB!AB:AB,TB!$Y:$Y,'SA26'!$A36,TB!$H:$H,"E")</f>
        <v>0</v>
      </c>
      <c r="F36" s="1805">
        <f>SUMIFS(TB!AC:AC,TB!$Y:$Y,'SA26'!$A36,TB!$H:$H,"E")</f>
        <v>0</v>
      </c>
      <c r="G36" s="1805">
        <f>SUMIFS(TB!AD:AD,TB!$Y:$Y,'SA26'!$A36,TB!$H:$H,"E")</f>
        <v>0</v>
      </c>
      <c r="H36" s="1805">
        <f>SUMIFS(TB!AE:AE,TB!$Y:$Y,'SA26'!$A36,TB!$H:$H,"E")</f>
        <v>0</v>
      </c>
      <c r="I36" s="1805">
        <f>SUMIFS(TB!AF:AF,TB!$Y:$Y,'SA26'!$A36,TB!$H:$H,"E")</f>
        <v>0</v>
      </c>
      <c r="J36" s="1805">
        <f>SUMIFS(TB!AG:AG,TB!$Y:$Y,'SA26'!$A36,TB!$H:$H,"E")</f>
        <v>0</v>
      </c>
      <c r="K36" s="1805">
        <f>SUMIFS(TB!AH:AH,TB!$Y:$Y,'SA26'!$A36,TB!$H:$H,"E")</f>
        <v>0</v>
      </c>
      <c r="L36" s="1805">
        <f>SUMIFS(TB!AI:AI,TB!$Y:$Y,'SA26'!$A36,TB!$H:$H,"E")</f>
        <v>0</v>
      </c>
      <c r="M36" s="1805">
        <f>SUMIFS(TB!AJ:AJ,TB!$Y:$Y,'SA26'!$A36,TB!$H:$H,"E")</f>
        <v>0</v>
      </c>
      <c r="N36" s="792">
        <f t="shared" si="26"/>
        <v>0</v>
      </c>
      <c r="O36" s="192">
        <f>'A3-FinPerf V'!I36</f>
        <v>0</v>
      </c>
      <c r="P36" s="189">
        <f>'A3-FinPerf V'!J36</f>
        <v>0</v>
      </c>
      <c r="Q36" s="190">
        <f>'A3-FinPerf V'!K36</f>
        <v>0</v>
      </c>
      <c r="R36" s="345"/>
    </row>
    <row r="37" spans="1:18" ht="11.25" customHeight="1">
      <c r="A37" s="236" t="str">
        <f t="shared" si="24"/>
        <v>Vote15 - Example 15</v>
      </c>
      <c r="B37" s="849"/>
      <c r="C37" s="1821">
        <f>SUMIFS(TB!Z:Z,TB!$Y:$Y,'SA26'!$A37,TB!$H:$H,"E")</f>
        <v>0</v>
      </c>
      <c r="D37" s="1805">
        <f>SUMIFS(TB!AA:AA,TB!$Y:$Y,'SA26'!$A37,TB!$H:$H,"E")</f>
        <v>0</v>
      </c>
      <c r="E37" s="1805">
        <f>SUMIFS(TB!AB:AB,TB!$Y:$Y,'SA26'!$A37,TB!$H:$H,"E")</f>
        <v>0</v>
      </c>
      <c r="F37" s="1805">
        <f>SUMIFS(TB!AC:AC,TB!$Y:$Y,'SA26'!$A37,TB!$H:$H,"E")</f>
        <v>0</v>
      </c>
      <c r="G37" s="1805">
        <f>SUMIFS(TB!AD:AD,TB!$Y:$Y,'SA26'!$A37,TB!$H:$H,"E")</f>
        <v>0</v>
      </c>
      <c r="H37" s="1805">
        <f>SUMIFS(TB!AE:AE,TB!$Y:$Y,'SA26'!$A37,TB!$H:$H,"E")</f>
        <v>0</v>
      </c>
      <c r="I37" s="1805">
        <f>SUMIFS(TB!AF:AF,TB!$Y:$Y,'SA26'!$A37,TB!$H:$H,"E")</f>
        <v>0</v>
      </c>
      <c r="J37" s="1805">
        <f>SUMIFS(TB!AG:AG,TB!$Y:$Y,'SA26'!$A37,TB!$H:$H,"E")</f>
        <v>0</v>
      </c>
      <c r="K37" s="1805">
        <f>SUMIFS(TB!AH:AH,TB!$Y:$Y,'SA26'!$A37,TB!$H:$H,"E")</f>
        <v>0</v>
      </c>
      <c r="L37" s="1805">
        <f>SUMIFS(TB!AI:AI,TB!$Y:$Y,'SA26'!$A37,TB!$H:$H,"E")</f>
        <v>0</v>
      </c>
      <c r="M37" s="1805">
        <f>SUMIFS(TB!AJ:AJ,TB!$Y:$Y,'SA26'!$A37,TB!$H:$H,"E")</f>
        <v>0</v>
      </c>
      <c r="N37" s="792">
        <f t="shared" si="26"/>
        <v>0</v>
      </c>
      <c r="O37" s="192">
        <f>'A3-FinPerf V'!I37</f>
        <v>0</v>
      </c>
      <c r="P37" s="189">
        <f>'A3-FinPerf V'!J37</f>
        <v>0</v>
      </c>
      <c r="Q37" s="190">
        <f>'A3-FinPerf V'!K37</f>
        <v>0</v>
      </c>
      <c r="R37" s="345"/>
    </row>
    <row r="38" spans="1:18">
      <c r="A38" s="251" t="str">
        <f>'A3-FinPerf V'!A38</f>
        <v>Total Expenditure by Vote</v>
      </c>
      <c r="B38" s="850"/>
      <c r="C38" s="201">
        <f>SUM(C23:C37)</f>
        <v>5885250</v>
      </c>
      <c r="D38" s="199">
        <f t="shared" ref="D38:N38" si="27">SUM(D23:D37)</f>
        <v>5885250</v>
      </c>
      <c r="E38" s="199">
        <f t="shared" si="27"/>
        <v>5885250</v>
      </c>
      <c r="F38" s="199">
        <f t="shared" si="27"/>
        <v>5885250</v>
      </c>
      <c r="G38" s="199">
        <f t="shared" si="27"/>
        <v>5885250</v>
      </c>
      <c r="H38" s="199">
        <f t="shared" si="27"/>
        <v>5885250</v>
      </c>
      <c r="I38" s="199">
        <f t="shared" si="27"/>
        <v>5885250</v>
      </c>
      <c r="J38" s="199">
        <f t="shared" si="27"/>
        <v>5885250</v>
      </c>
      <c r="K38" s="199">
        <f t="shared" si="27"/>
        <v>5885250</v>
      </c>
      <c r="L38" s="199">
        <f t="shared" si="27"/>
        <v>5885250</v>
      </c>
      <c r="M38" s="199">
        <f t="shared" si="27"/>
        <v>5885250</v>
      </c>
      <c r="N38" s="851">
        <f t="shared" si="27"/>
        <v>6335231.0211254787</v>
      </c>
      <c r="O38" s="202">
        <f>SUM(O23:O37)</f>
        <v>71072981.021125481</v>
      </c>
      <c r="P38" s="199">
        <f>SUM(P23:P37)</f>
        <v>67208138.17665799</v>
      </c>
      <c r="Q38" s="200">
        <f>SUM(Q23:Q37)</f>
        <v>72115491.728997484</v>
      </c>
      <c r="R38" s="345"/>
    </row>
    <row r="39" spans="1:18" ht="5.0999999999999996" customHeight="1">
      <c r="A39" s="259"/>
      <c r="B39" s="849"/>
      <c r="C39" s="191"/>
      <c r="D39" s="189"/>
      <c r="E39" s="189"/>
      <c r="F39" s="189"/>
      <c r="G39" s="189"/>
      <c r="H39" s="189"/>
      <c r="I39" s="189"/>
      <c r="J39" s="189"/>
      <c r="K39" s="189"/>
      <c r="L39" s="189"/>
      <c r="M39" s="189"/>
      <c r="N39" s="792"/>
      <c r="O39" s="192"/>
      <c r="P39" s="189"/>
      <c r="Q39" s="190"/>
      <c r="R39" s="345"/>
    </row>
    <row r="40" spans="1:18">
      <c r="A40" s="853" t="str">
        <f>'A4-FinPerf RE'!A38&amp;" before assoc."</f>
        <v>Surplus/(Deficit) before assoc.</v>
      </c>
      <c r="B40" s="854"/>
      <c r="C40" s="201">
        <f t="shared" ref="C40:Q40" si="28">C20-C38</f>
        <v>-1351833.333333333</v>
      </c>
      <c r="D40" s="199">
        <f t="shared" si="28"/>
        <v>-1351833.333333333</v>
      </c>
      <c r="E40" s="199">
        <f t="shared" si="28"/>
        <v>-1351833.333333333</v>
      </c>
      <c r="F40" s="199">
        <f t="shared" si="28"/>
        <v>-1351833.333333333</v>
      </c>
      <c r="G40" s="199">
        <f t="shared" si="28"/>
        <v>-1351833.333333333</v>
      </c>
      <c r="H40" s="199">
        <f t="shared" si="28"/>
        <v>-1351833.333333333</v>
      </c>
      <c r="I40" s="199">
        <f t="shared" si="28"/>
        <v>-1351833.333333333</v>
      </c>
      <c r="J40" s="199">
        <f t="shared" si="28"/>
        <v>-1351833.333333333</v>
      </c>
      <c r="K40" s="199">
        <f t="shared" si="28"/>
        <v>-1351833.333333333</v>
      </c>
      <c r="L40" s="199">
        <f t="shared" si="28"/>
        <v>-1351833.333333333</v>
      </c>
      <c r="M40" s="199">
        <f t="shared" si="28"/>
        <v>-1351833.333333333</v>
      </c>
      <c r="N40" s="851">
        <f t="shared" si="28"/>
        <v>-1802464.6908588121</v>
      </c>
      <c r="O40" s="202">
        <f t="shared" si="28"/>
        <v>-16672631.357525475</v>
      </c>
      <c r="P40" s="199">
        <f t="shared" si="28"/>
        <v>-5654541.2314819917</v>
      </c>
      <c r="Q40" s="200">
        <f t="shared" si="28"/>
        <v>-6244057.1944194883</v>
      </c>
    </row>
    <row r="41" spans="1:18" ht="5.0999999999999996" customHeight="1">
      <c r="A41" s="259"/>
      <c r="B41" s="849"/>
      <c r="C41" s="191"/>
      <c r="D41" s="189"/>
      <c r="E41" s="189"/>
      <c r="F41" s="189"/>
      <c r="G41" s="189"/>
      <c r="H41" s="189"/>
      <c r="I41" s="189"/>
      <c r="J41" s="189"/>
      <c r="K41" s="189"/>
      <c r="L41" s="189"/>
      <c r="M41" s="189"/>
      <c r="N41" s="792"/>
      <c r="O41" s="192"/>
      <c r="P41" s="189"/>
      <c r="Q41" s="190"/>
    </row>
    <row r="42" spans="1:18" ht="11.25" customHeight="1">
      <c r="A42" s="236" t="str">
        <f>'SA25'!A43</f>
        <v>Taxation</v>
      </c>
      <c r="B42" s="849"/>
      <c r="C42" s="1821">
        <f>SUMIFS(TB!Z:Z,TB!$Y:$Y,'SA26'!$A42,TB!$H:$H,"E")</f>
        <v>0</v>
      </c>
      <c r="D42" s="1805">
        <f>SUMIFS(TB!AA:AA,TB!$Y:$Y,'SA26'!$A42,TB!$H:$H,"E")</f>
        <v>0</v>
      </c>
      <c r="E42" s="1805">
        <f>SUMIFS(TB!AB:AB,TB!$Y:$Y,'SA26'!$A42,TB!$H:$H,"E")</f>
        <v>0</v>
      </c>
      <c r="F42" s="1805">
        <f>SUMIFS(TB!AC:AC,TB!$Y:$Y,'SA26'!$A42,TB!$H:$H,"E")</f>
        <v>0</v>
      </c>
      <c r="G42" s="1805">
        <f>SUMIFS(TB!AD:AD,TB!$Y:$Y,'SA26'!$A42,TB!$H:$H,"E")</f>
        <v>0</v>
      </c>
      <c r="H42" s="1805">
        <f>SUMIFS(TB!AE:AE,TB!$Y:$Y,'SA26'!$A42,TB!$H:$H,"E")</f>
        <v>0</v>
      </c>
      <c r="I42" s="1805">
        <f>SUMIFS(TB!AF:AF,TB!$Y:$Y,'SA26'!$A42,TB!$H:$H,"E")</f>
        <v>0</v>
      </c>
      <c r="J42" s="1805">
        <f>SUMIFS(TB!AG:AG,TB!$Y:$Y,'SA26'!$A42,TB!$H:$H,"E")</f>
        <v>0</v>
      </c>
      <c r="K42" s="1805">
        <f>SUMIFS(TB!AH:AH,TB!$Y:$Y,'SA26'!$A42,TB!$H:$H,"E")</f>
        <v>0</v>
      </c>
      <c r="L42" s="1805">
        <f>SUMIFS(TB!AI:AI,TB!$Y:$Y,'SA26'!$A42,TB!$H:$H,"E")</f>
        <v>0</v>
      </c>
      <c r="M42" s="1805">
        <f>SUMIFS(TB!AJ:AJ,TB!$Y:$Y,'SA26'!$A42,TB!$H:$H,"E")</f>
        <v>0</v>
      </c>
      <c r="N42" s="792">
        <f>O42-SUM(C42:M42)</f>
        <v>0</v>
      </c>
      <c r="O42" s="192">
        <f>'SA25'!O43</f>
        <v>0</v>
      </c>
      <c r="P42" s="189">
        <f>'SA25'!P43</f>
        <v>0</v>
      </c>
      <c r="Q42" s="190">
        <f>'SA25'!Q43</f>
        <v>0</v>
      </c>
    </row>
    <row r="43" spans="1:18" ht="11.25" customHeight="1">
      <c r="A43" s="236" t="str">
        <f>'SA25'!A44</f>
        <v>Attributable to minorities</v>
      </c>
      <c r="B43" s="849"/>
      <c r="C43" s="1821">
        <f>SUMIFS(TB!Z:Z,TB!$Y:$Y,'SA26'!$A43,TB!$H:$H,"E")</f>
        <v>0</v>
      </c>
      <c r="D43" s="1805">
        <f>SUMIFS(TB!AA:AA,TB!$Y:$Y,'SA26'!$A43,TB!$H:$H,"E")</f>
        <v>0</v>
      </c>
      <c r="E43" s="1805">
        <f>SUMIFS(TB!AB:AB,TB!$Y:$Y,'SA26'!$A43,TB!$H:$H,"E")</f>
        <v>0</v>
      </c>
      <c r="F43" s="1805">
        <f>SUMIFS(TB!AC:AC,TB!$Y:$Y,'SA26'!$A43,TB!$H:$H,"E")</f>
        <v>0</v>
      </c>
      <c r="G43" s="1805">
        <f>SUMIFS(TB!AD:AD,TB!$Y:$Y,'SA26'!$A43,TB!$H:$H,"E")</f>
        <v>0</v>
      </c>
      <c r="H43" s="1805">
        <f>SUMIFS(TB!AE:AE,TB!$Y:$Y,'SA26'!$A43,TB!$H:$H,"E")</f>
        <v>0</v>
      </c>
      <c r="I43" s="1805">
        <f>SUMIFS(TB!AF:AF,TB!$Y:$Y,'SA26'!$A43,TB!$H:$H,"E")</f>
        <v>0</v>
      </c>
      <c r="J43" s="1805">
        <f>SUMIFS(TB!AG:AG,TB!$Y:$Y,'SA26'!$A43,TB!$H:$H,"E")</f>
        <v>0</v>
      </c>
      <c r="K43" s="1805">
        <f>SUMIFS(TB!AH:AH,TB!$Y:$Y,'SA26'!$A43,TB!$H:$H,"E")</f>
        <v>0</v>
      </c>
      <c r="L43" s="1805">
        <f>SUMIFS(TB!AI:AI,TB!$Y:$Y,'SA26'!$A43,TB!$H:$H,"E")</f>
        <v>0</v>
      </c>
      <c r="M43" s="1805">
        <f>SUMIFS(TB!AJ:AJ,TB!$Y:$Y,'SA26'!$A43,TB!$H:$H,"E")</f>
        <v>0</v>
      </c>
      <c r="N43" s="792">
        <f>O43-SUM(C43:M43)</f>
        <v>0</v>
      </c>
      <c r="O43" s="192">
        <f>'SA25'!O44</f>
        <v>0</v>
      </c>
      <c r="P43" s="189">
        <f>'SA25'!P44</f>
        <v>0</v>
      </c>
      <c r="Q43" s="190">
        <f>'SA25'!Q44</f>
        <v>0</v>
      </c>
    </row>
    <row r="44" spans="1:18">
      <c r="A44" s="507" t="str">
        <f>'A4-FinPerf RE'!A47</f>
        <v>Share of surplus/ (deficit) of associate</v>
      </c>
      <c r="B44" s="861"/>
      <c r="C44" s="1821">
        <f>SUMIFS(TB!Z:Z,TB!$Y:$Y,'SA26'!$A44,TB!$H:$H,"E")</f>
        <v>0</v>
      </c>
      <c r="D44" s="1805">
        <f>SUMIFS(TB!AA:AA,TB!$Y:$Y,'SA26'!$A44,TB!$H:$H,"E")</f>
        <v>0</v>
      </c>
      <c r="E44" s="1805">
        <f>SUMIFS(TB!AB:AB,TB!$Y:$Y,'SA26'!$A44,TB!$H:$H,"E")</f>
        <v>0</v>
      </c>
      <c r="F44" s="1805">
        <f>SUMIFS(TB!AC:AC,TB!$Y:$Y,'SA26'!$A44,TB!$H:$H,"E")</f>
        <v>0</v>
      </c>
      <c r="G44" s="1805">
        <f>SUMIFS(TB!AD:AD,TB!$Y:$Y,'SA26'!$A44,TB!$H:$H,"E")</f>
        <v>0</v>
      </c>
      <c r="H44" s="1805">
        <f>SUMIFS(TB!AE:AE,TB!$Y:$Y,'SA26'!$A44,TB!$H:$H,"E")</f>
        <v>0</v>
      </c>
      <c r="I44" s="1805">
        <f>SUMIFS(TB!AF:AF,TB!$Y:$Y,'SA26'!$A44,TB!$H:$H,"E")</f>
        <v>0</v>
      </c>
      <c r="J44" s="1805">
        <f>SUMIFS(TB!AG:AG,TB!$Y:$Y,'SA26'!$A44,TB!$H:$H,"E")</f>
        <v>0</v>
      </c>
      <c r="K44" s="1805">
        <f>SUMIFS(TB!AH:AH,TB!$Y:$Y,'SA26'!$A44,TB!$H:$H,"E")</f>
        <v>0</v>
      </c>
      <c r="L44" s="1805">
        <f>SUMIFS(TB!AI:AI,TB!$Y:$Y,'SA26'!$A44,TB!$H:$H,"E")</f>
        <v>0</v>
      </c>
      <c r="M44" s="1805">
        <f>SUMIFS(TB!AJ:AJ,TB!$Y:$Y,'SA26'!$A44,TB!$H:$H,"E")</f>
        <v>0</v>
      </c>
      <c r="N44" s="792">
        <f>O44-SUM(C44:M44)</f>
        <v>0</v>
      </c>
      <c r="O44" s="192">
        <f>'A4-FinPerf RE'!J47</f>
        <v>0</v>
      </c>
      <c r="P44" s="189">
        <f>'A4-FinPerf RE'!K47</f>
        <v>0</v>
      </c>
      <c r="Q44" s="190">
        <f>'A4-FinPerf RE'!L47</f>
        <v>0</v>
      </c>
    </row>
    <row r="45" spans="1:18">
      <c r="A45" s="834" t="str">
        <f>'A4-FinPerf RE'!A38</f>
        <v>Surplus/(Deficit)</v>
      </c>
      <c r="B45" s="862">
        <v>1</v>
      </c>
      <c r="C45" s="327">
        <f>C40+C44</f>
        <v>-1351833.333333333</v>
      </c>
      <c r="D45" s="213">
        <f t="shared" ref="D45:Q45" si="29">D40+D44</f>
        <v>-1351833.333333333</v>
      </c>
      <c r="E45" s="213">
        <f t="shared" si="29"/>
        <v>-1351833.333333333</v>
      </c>
      <c r="F45" s="213">
        <f t="shared" si="29"/>
        <v>-1351833.333333333</v>
      </c>
      <c r="G45" s="213">
        <f t="shared" si="29"/>
        <v>-1351833.333333333</v>
      </c>
      <c r="H45" s="213">
        <f t="shared" si="29"/>
        <v>-1351833.333333333</v>
      </c>
      <c r="I45" s="213">
        <f t="shared" si="29"/>
        <v>-1351833.333333333</v>
      </c>
      <c r="J45" s="213">
        <f t="shared" si="29"/>
        <v>-1351833.333333333</v>
      </c>
      <c r="K45" s="213">
        <f t="shared" si="29"/>
        <v>-1351833.333333333</v>
      </c>
      <c r="L45" s="213">
        <f t="shared" si="29"/>
        <v>-1351833.333333333</v>
      </c>
      <c r="M45" s="213">
        <f t="shared" si="29"/>
        <v>-1351833.333333333</v>
      </c>
      <c r="N45" s="804">
        <f t="shared" si="29"/>
        <v>-1802464.6908588121</v>
      </c>
      <c r="O45" s="328">
        <f t="shared" si="29"/>
        <v>-16672631.357525475</v>
      </c>
      <c r="P45" s="213">
        <f t="shared" si="29"/>
        <v>-5654541.2314819917</v>
      </c>
      <c r="Q45" s="326">
        <f t="shared" si="29"/>
        <v>-6244057.1944194883</v>
      </c>
    </row>
    <row r="46" spans="1:18" s="693" customFormat="1" hidden="1">
      <c r="A46" s="1348" t="str">
        <f>head27a</f>
        <v>References</v>
      </c>
      <c r="B46" s="1075"/>
      <c r="C46" s="1035"/>
      <c r="D46" s="1035"/>
      <c r="E46" s="1035"/>
      <c r="F46" s="1035"/>
      <c r="G46" s="1035"/>
      <c r="H46" s="1035"/>
      <c r="I46" s="1035"/>
      <c r="J46" s="1035"/>
      <c r="K46" s="1035"/>
      <c r="L46" s="1035"/>
      <c r="M46" s="1035"/>
      <c r="N46" s="1035"/>
      <c r="O46" s="1035"/>
      <c r="P46" s="1035"/>
      <c r="Q46" s="1035"/>
    </row>
    <row r="47" spans="1:18" s="693" customFormat="1" hidden="1">
      <c r="A47" s="1346" t="s">
        <v>1717</v>
      </c>
    </row>
    <row r="48" spans="1:18" hidden="1">
      <c r="A48" s="411" t="s">
        <v>1624</v>
      </c>
      <c r="B48" s="411"/>
      <c r="C48" s="336">
        <f>C45-'SA25'!C46</f>
        <v>-1063916.666666666</v>
      </c>
      <c r="D48" s="336">
        <f>D45-'SA25'!D46</f>
        <v>-1063916.666666666</v>
      </c>
      <c r="E48" s="336">
        <f>E45-'SA25'!E46</f>
        <v>-1063916.666666666</v>
      </c>
      <c r="F48" s="336">
        <f>F45-'SA25'!F46</f>
        <v>-1063916.666666666</v>
      </c>
      <c r="G48" s="336">
        <f>G45-'SA25'!G46</f>
        <v>-1063916.666666666</v>
      </c>
      <c r="H48" s="336">
        <f>H45-'SA25'!H46</f>
        <v>-1063916.666666666</v>
      </c>
      <c r="I48" s="336">
        <f>I45-'SA25'!I46</f>
        <v>-1063916.666666666</v>
      </c>
      <c r="J48" s="336">
        <f>J45-'SA25'!J46</f>
        <v>-1063916.666666666</v>
      </c>
      <c r="K48" s="336">
        <f>K45-'SA25'!K46</f>
        <v>-1063916.666666666</v>
      </c>
      <c r="L48" s="336">
        <f>L45-'SA25'!L46</f>
        <v>-1063916.666666666</v>
      </c>
      <c r="M48" s="336">
        <f>M45-'SA25'!M46</f>
        <v>-1063916.666666666</v>
      </c>
      <c r="N48" s="336">
        <f>N45-'SA25'!N46</f>
        <v>2210083.3333333358</v>
      </c>
      <c r="O48" s="864">
        <f>O45-'A4-FinPerf RE'!J48</f>
        <v>-9492999.9999999925</v>
      </c>
      <c r="P48" s="864">
        <f>P45-'A4-FinPerf RE'!K48</f>
        <v>-11541999.999999993</v>
      </c>
      <c r="Q48" s="864">
        <f>Q45-'A4-FinPerf RE'!L48</f>
        <v>-12176000.000000015</v>
      </c>
    </row>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sheetData>
  <sheetProtection sheet="1" objects="1" scenarios="1"/>
  <mergeCells count="2">
    <mergeCell ref="C2:N2"/>
    <mergeCell ref="O2:Q2"/>
  </mergeCells>
  <phoneticPr fontId="3" type="noConversion"/>
  <printOptions horizontalCentered="1"/>
  <pageMargins left="0" right="0" top="0.78740157480314965" bottom="0.59055118110236227" header="0.51181102362204722" footer="0.39370078740157483"/>
  <pageSetup paperSize="9" scale="93"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enableFormatConditionsCalculation="0">
    <tabColor indexed="42"/>
    <pageSetUpPr fitToPage="1"/>
  </sheetPr>
  <dimension ref="A1:R74"/>
  <sheetViews>
    <sheetView showGridLines="0" workbookViewId="0">
      <pane xSplit="2" ySplit="3" topLeftCell="C41" activePane="bottomRight" state="frozen"/>
      <selection activeCell="L22" sqref="L22:L24"/>
      <selection pane="topRight" activeCell="L22" sqref="L22:L24"/>
      <selection pane="bottomLeft" activeCell="L22" sqref="L22:L24"/>
      <selection pane="bottomRight" activeCell="J82" sqref="J82"/>
    </sheetView>
  </sheetViews>
  <sheetFormatPr defaultRowHeight="12.75"/>
  <cols>
    <col min="1" max="1" width="30.7109375" style="150" customWidth="1"/>
    <col min="2" max="2" width="3" style="233" hidden="1" customWidth="1"/>
    <col min="3" max="14" width="8.28515625" style="150" customWidth="1"/>
    <col min="15" max="17" width="9.28515625" style="150" customWidth="1"/>
    <col min="18" max="16384" width="9.140625" style="150"/>
  </cols>
  <sheetData>
    <row r="1" spans="1:18" ht="13.5" customHeight="1">
      <c r="A1" s="148" t="str">
        <f>muni&amp;" - "&amp;TableA27</f>
        <v>NC071 Ubuntu - Supporting Table SA27 Budgeted monthly revenue and expenditure (standard classification)</v>
      </c>
      <c r="B1" s="148"/>
      <c r="C1" s="148"/>
      <c r="D1" s="148"/>
      <c r="E1" s="148"/>
      <c r="F1" s="148"/>
      <c r="G1" s="148"/>
      <c r="H1" s="148"/>
      <c r="I1" s="148"/>
      <c r="J1" s="148"/>
      <c r="K1" s="148"/>
      <c r="L1" s="148"/>
      <c r="M1" s="148"/>
      <c r="N1" s="148"/>
      <c r="O1" s="148"/>
      <c r="P1" s="148"/>
      <c r="Q1" s="148"/>
    </row>
    <row r="2" spans="1:18" ht="28.5" customHeight="1">
      <c r="A2" s="979" t="str">
        <f>desc</f>
        <v>Description</v>
      </c>
      <c r="B2" s="991" t="str">
        <f>head27</f>
        <v>Ref</v>
      </c>
      <c r="C2" s="2772" t="str">
        <f>Head9</f>
        <v>Budget Year 2011/12</v>
      </c>
      <c r="D2" s="2773"/>
      <c r="E2" s="2773"/>
      <c r="F2" s="2773"/>
      <c r="G2" s="2773"/>
      <c r="H2" s="2773"/>
      <c r="I2" s="2773"/>
      <c r="J2" s="2773"/>
      <c r="K2" s="2773"/>
      <c r="L2" s="2773"/>
      <c r="M2" s="2773"/>
      <c r="N2" s="2773"/>
      <c r="O2" s="2769" t="s">
        <v>1916</v>
      </c>
      <c r="P2" s="2770"/>
      <c r="Q2" s="2771"/>
    </row>
    <row r="3" spans="1:18" ht="25.5">
      <c r="A3" s="986" t="s">
        <v>697</v>
      </c>
      <c r="B3" s="992"/>
      <c r="C3" s="283" t="s">
        <v>758</v>
      </c>
      <c r="D3" s="913" t="s">
        <v>1506</v>
      </c>
      <c r="E3" s="913" t="s">
        <v>1507</v>
      </c>
      <c r="F3" s="913" t="s">
        <v>1508</v>
      </c>
      <c r="G3" s="913" t="s">
        <v>738</v>
      </c>
      <c r="H3" s="913" t="s">
        <v>739</v>
      </c>
      <c r="I3" s="913" t="s">
        <v>740</v>
      </c>
      <c r="J3" s="913" t="s">
        <v>741</v>
      </c>
      <c r="K3" s="913" t="s">
        <v>742</v>
      </c>
      <c r="L3" s="913" t="s">
        <v>743</v>
      </c>
      <c r="M3" s="913" t="s">
        <v>744</v>
      </c>
      <c r="N3" s="366" t="s">
        <v>745</v>
      </c>
      <c r="O3" s="283" t="str">
        <f>Head9</f>
        <v>Budget Year 2011/12</v>
      </c>
      <c r="P3" s="365" t="str">
        <f>Head10</f>
        <v>Budget Year +1 2012/13</v>
      </c>
      <c r="Q3" s="366" t="str">
        <f>Head11</f>
        <v>Budget Year +2 2013/14</v>
      </c>
    </row>
    <row r="4" spans="1:18">
      <c r="A4" s="235" t="str">
        <f>'A2-FinPerf SC'!A4</f>
        <v>Revenue - Standard</v>
      </c>
      <c r="B4" s="852"/>
      <c r="C4" s="298"/>
      <c r="D4" s="296"/>
      <c r="E4" s="296"/>
      <c r="F4" s="296"/>
      <c r="G4" s="296"/>
      <c r="H4" s="296"/>
      <c r="I4" s="296"/>
      <c r="J4" s="296"/>
      <c r="K4" s="296"/>
      <c r="L4" s="296"/>
      <c r="M4" s="296"/>
      <c r="N4" s="299"/>
      <c r="O4" s="298"/>
      <c r="P4" s="296"/>
      <c r="Q4" s="299"/>
      <c r="R4" s="345"/>
    </row>
    <row r="5" spans="1:18" ht="11.25" customHeight="1">
      <c r="A5" s="1243" t="str">
        <f>'A2-FinPerf SC'!A5</f>
        <v>Governance and administration</v>
      </c>
      <c r="B5" s="849"/>
      <c r="C5" s="1133">
        <f>SUM(C6:C8)</f>
        <v>2106166.666666667</v>
      </c>
      <c r="D5" s="1131">
        <f>SUM(D6:D8)</f>
        <v>2106166.666666667</v>
      </c>
      <c r="E5" s="1131">
        <f t="shared" ref="E5:M5" si="0">SUM(E6:E8)</f>
        <v>2106166.666666667</v>
      </c>
      <c r="F5" s="1131">
        <f t="shared" si="0"/>
        <v>2106166.666666667</v>
      </c>
      <c r="G5" s="1131">
        <f t="shared" si="0"/>
        <v>2106166.666666667</v>
      </c>
      <c r="H5" s="1131">
        <f t="shared" si="0"/>
        <v>2106166.666666667</v>
      </c>
      <c r="I5" s="1131">
        <f t="shared" si="0"/>
        <v>2106166.666666667</v>
      </c>
      <c r="J5" s="1131">
        <f t="shared" si="0"/>
        <v>2106166.666666667</v>
      </c>
      <c r="K5" s="1131">
        <f t="shared" si="0"/>
        <v>2106166.666666667</v>
      </c>
      <c r="L5" s="1131">
        <f t="shared" si="0"/>
        <v>2106166.666666667</v>
      </c>
      <c r="M5" s="1131">
        <f t="shared" si="0"/>
        <v>2106166.666666667</v>
      </c>
      <c r="N5" s="205">
        <f t="shared" ref="N5:N24" si="1">O5-SUM(C5:M5)</f>
        <v>2106265.4966666549</v>
      </c>
      <c r="O5" s="206">
        <f>'A2-FinPerf SC'!I5</f>
        <v>25274098.829999998</v>
      </c>
      <c r="P5" s="204">
        <f>'A2-FinPerf SC'!J5</f>
        <v>27152141.559799999</v>
      </c>
      <c r="Q5" s="205">
        <f>'A2-FinPerf SC'!K5</f>
        <v>29583145.461388003</v>
      </c>
      <c r="R5" s="345"/>
    </row>
    <row r="6" spans="1:18" ht="11.25" customHeight="1">
      <c r="A6" s="1244" t="str">
        <f>'A2-FinPerf SC'!A6</f>
        <v>Executive and council</v>
      </c>
      <c r="B6" s="849"/>
      <c r="C6" s="1821">
        <f>873000/12</f>
        <v>72750</v>
      </c>
      <c r="D6" s="1821">
        <f t="shared" ref="D6:M6" si="2">873000/12</f>
        <v>72750</v>
      </c>
      <c r="E6" s="1821">
        <f t="shared" si="2"/>
        <v>72750</v>
      </c>
      <c r="F6" s="1821">
        <f t="shared" si="2"/>
        <v>72750</v>
      </c>
      <c r="G6" s="1821">
        <f t="shared" si="2"/>
        <v>72750</v>
      </c>
      <c r="H6" s="1821">
        <f t="shared" si="2"/>
        <v>72750</v>
      </c>
      <c r="I6" s="1821">
        <f t="shared" si="2"/>
        <v>72750</v>
      </c>
      <c r="J6" s="1821">
        <f t="shared" si="2"/>
        <v>72750</v>
      </c>
      <c r="K6" s="1821">
        <f t="shared" si="2"/>
        <v>72750</v>
      </c>
      <c r="L6" s="1821">
        <f t="shared" si="2"/>
        <v>72750</v>
      </c>
      <c r="M6" s="1821">
        <f t="shared" si="2"/>
        <v>72750</v>
      </c>
      <c r="N6" s="190">
        <f t="shared" si="1"/>
        <v>72750</v>
      </c>
      <c r="O6" s="191">
        <f>'A2-FinPerf SC'!I6</f>
        <v>873000</v>
      </c>
      <c r="P6" s="193">
        <f>'A2-FinPerf SC'!J6</f>
        <v>595000</v>
      </c>
      <c r="Q6" s="250">
        <f>'A2-FinPerf SC'!K6</f>
        <v>629000</v>
      </c>
      <c r="R6" s="345"/>
    </row>
    <row r="7" spans="1:18" ht="11.25" customHeight="1">
      <c r="A7" s="1244" t="str">
        <f>'A2-FinPerf SC'!A7</f>
        <v>Budget and treasury office</v>
      </c>
      <c r="B7" s="849"/>
      <c r="C7" s="1825">
        <f>24098000/12</f>
        <v>2008166.6666666667</v>
      </c>
      <c r="D7" s="1825">
        <f t="shared" ref="D7:M7" si="3">24098000/12</f>
        <v>2008166.6666666667</v>
      </c>
      <c r="E7" s="1825">
        <f t="shared" si="3"/>
        <v>2008166.6666666667</v>
      </c>
      <c r="F7" s="1825">
        <f t="shared" si="3"/>
        <v>2008166.6666666667</v>
      </c>
      <c r="G7" s="1825">
        <f t="shared" si="3"/>
        <v>2008166.6666666667</v>
      </c>
      <c r="H7" s="1825">
        <f t="shared" si="3"/>
        <v>2008166.6666666667</v>
      </c>
      <c r="I7" s="1825">
        <f t="shared" si="3"/>
        <v>2008166.6666666667</v>
      </c>
      <c r="J7" s="1825">
        <f t="shared" si="3"/>
        <v>2008166.6666666667</v>
      </c>
      <c r="K7" s="1825">
        <f t="shared" si="3"/>
        <v>2008166.6666666667</v>
      </c>
      <c r="L7" s="1825">
        <f t="shared" si="3"/>
        <v>2008166.6666666667</v>
      </c>
      <c r="M7" s="1825">
        <f t="shared" si="3"/>
        <v>2008166.6666666667</v>
      </c>
      <c r="N7" s="190">
        <f t="shared" si="1"/>
        <v>2008135.4966666624</v>
      </c>
      <c r="O7" s="191">
        <f>'A2-FinPerf SC'!I7</f>
        <v>24097968.829999998</v>
      </c>
      <c r="P7" s="193">
        <f>'A2-FinPerf SC'!J7</f>
        <v>26129121.1598</v>
      </c>
      <c r="Q7" s="250">
        <f>'A2-FinPerf SC'!K7</f>
        <v>28509275.429388002</v>
      </c>
      <c r="R7" s="345"/>
    </row>
    <row r="8" spans="1:18" ht="11.25" customHeight="1">
      <c r="A8" s="1244" t="str">
        <f>'A2-FinPerf SC'!A8</f>
        <v>Corporate services</v>
      </c>
      <c r="B8" s="849"/>
      <c r="C8" s="1821">
        <f>303000/12</f>
        <v>25250</v>
      </c>
      <c r="D8" s="1821">
        <f t="shared" ref="D8:M8" si="4">303000/12</f>
        <v>25250</v>
      </c>
      <c r="E8" s="1821">
        <f t="shared" si="4"/>
        <v>25250</v>
      </c>
      <c r="F8" s="1821">
        <f t="shared" si="4"/>
        <v>25250</v>
      </c>
      <c r="G8" s="1821">
        <f t="shared" si="4"/>
        <v>25250</v>
      </c>
      <c r="H8" s="1821">
        <f t="shared" si="4"/>
        <v>25250</v>
      </c>
      <c r="I8" s="1821">
        <f t="shared" si="4"/>
        <v>25250</v>
      </c>
      <c r="J8" s="1821">
        <f t="shared" si="4"/>
        <v>25250</v>
      </c>
      <c r="K8" s="1821">
        <f t="shared" si="4"/>
        <v>25250</v>
      </c>
      <c r="L8" s="1821">
        <f t="shared" si="4"/>
        <v>25250</v>
      </c>
      <c r="M8" s="1821">
        <f t="shared" si="4"/>
        <v>25250</v>
      </c>
      <c r="N8" s="190">
        <f t="shared" si="1"/>
        <v>25380</v>
      </c>
      <c r="O8" s="191">
        <f>'A2-FinPerf SC'!I8</f>
        <v>303130</v>
      </c>
      <c r="P8" s="193">
        <f>'A2-FinPerf SC'!J8</f>
        <v>428020.4</v>
      </c>
      <c r="Q8" s="250">
        <f>'A2-FinPerf SC'!K8</f>
        <v>444870.03200000001</v>
      </c>
      <c r="R8" s="345"/>
    </row>
    <row r="9" spans="1:18" ht="11.25" customHeight="1">
      <c r="A9" s="1243" t="str">
        <f>'A2-FinPerf SC'!A9</f>
        <v>Community and public safety</v>
      </c>
      <c r="B9" s="849"/>
      <c r="C9" s="1133">
        <f>SUM(C10:C14)</f>
        <v>60599.593495934962</v>
      </c>
      <c r="D9" s="1131">
        <f t="shared" ref="D9:M9" si="5">SUM(D10:D14)</f>
        <v>60599.593495934962</v>
      </c>
      <c r="E9" s="1131">
        <f t="shared" si="5"/>
        <v>60599.593495934962</v>
      </c>
      <c r="F9" s="1131">
        <f t="shared" si="5"/>
        <v>60599.593495934962</v>
      </c>
      <c r="G9" s="1131">
        <f t="shared" si="5"/>
        <v>60599.593495934962</v>
      </c>
      <c r="H9" s="1131">
        <f t="shared" si="5"/>
        <v>60599.593495934962</v>
      </c>
      <c r="I9" s="1131">
        <f t="shared" si="5"/>
        <v>60599.593495934962</v>
      </c>
      <c r="J9" s="1131">
        <f t="shared" si="5"/>
        <v>60599.593495934962</v>
      </c>
      <c r="K9" s="1131">
        <f t="shared" si="5"/>
        <v>60599.593495934962</v>
      </c>
      <c r="L9" s="1131">
        <f t="shared" si="5"/>
        <v>60599.593495934962</v>
      </c>
      <c r="M9" s="1131">
        <f t="shared" si="5"/>
        <v>60599.593495934962</v>
      </c>
      <c r="N9" s="205">
        <f t="shared" si="1"/>
        <v>62404.471544715459</v>
      </c>
      <c r="O9" s="206">
        <f>'A2-FinPerf SC'!I9</f>
        <v>729000</v>
      </c>
      <c r="P9" s="369">
        <f>'A2-FinPerf SC'!J9</f>
        <v>779580</v>
      </c>
      <c r="Q9" s="319">
        <f>'A2-FinPerf SC'!K9</f>
        <v>796584.8</v>
      </c>
      <c r="R9" s="345"/>
    </row>
    <row r="10" spans="1:18" ht="11.25" customHeight="1">
      <c r="A10" s="1244" t="str">
        <f>'A2-FinPerf SC'!A10</f>
        <v>Community and social services</v>
      </c>
      <c r="B10" s="849"/>
      <c r="C10" s="1821">
        <f>715000/12</f>
        <v>59583.333333333336</v>
      </c>
      <c r="D10" s="1821">
        <f t="shared" ref="D10:M10" si="6">715000/12</f>
        <v>59583.333333333336</v>
      </c>
      <c r="E10" s="1821">
        <f t="shared" si="6"/>
        <v>59583.333333333336</v>
      </c>
      <c r="F10" s="1821">
        <f t="shared" si="6"/>
        <v>59583.333333333336</v>
      </c>
      <c r="G10" s="1821">
        <f t="shared" si="6"/>
        <v>59583.333333333336</v>
      </c>
      <c r="H10" s="1821">
        <f t="shared" si="6"/>
        <v>59583.333333333336</v>
      </c>
      <c r="I10" s="1821">
        <f t="shared" si="6"/>
        <v>59583.333333333336</v>
      </c>
      <c r="J10" s="1821">
        <f t="shared" si="6"/>
        <v>59583.333333333336</v>
      </c>
      <c r="K10" s="1821">
        <f t="shared" si="6"/>
        <v>59583.333333333336</v>
      </c>
      <c r="L10" s="1821">
        <f t="shared" si="6"/>
        <v>59583.333333333336</v>
      </c>
      <c r="M10" s="1821">
        <f t="shared" si="6"/>
        <v>59583.333333333336</v>
      </c>
      <c r="N10" s="190">
        <f t="shared" si="1"/>
        <v>59583.333333333256</v>
      </c>
      <c r="O10" s="191">
        <f>'A2-FinPerf SC'!I10</f>
        <v>715000</v>
      </c>
      <c r="P10" s="193">
        <f>'A2-FinPerf SC'!J10</f>
        <v>760580</v>
      </c>
      <c r="Q10" s="250">
        <f>'A2-FinPerf SC'!K10</f>
        <v>777584.8</v>
      </c>
      <c r="R10" s="345"/>
    </row>
    <row r="11" spans="1:18" ht="11.25" customHeight="1">
      <c r="A11" s="1244" t="str">
        <f>'A2-FinPerf SC'!A11</f>
        <v>Sport and recreation</v>
      </c>
      <c r="B11" s="849"/>
      <c r="C11" s="1821">
        <f>12000/12</f>
        <v>1000</v>
      </c>
      <c r="D11" s="1821">
        <f t="shared" ref="D11:M11" si="7">12000/12</f>
        <v>1000</v>
      </c>
      <c r="E11" s="1821">
        <f t="shared" si="7"/>
        <v>1000</v>
      </c>
      <c r="F11" s="1821">
        <f t="shared" si="7"/>
        <v>1000</v>
      </c>
      <c r="G11" s="1821">
        <f t="shared" si="7"/>
        <v>1000</v>
      </c>
      <c r="H11" s="1821">
        <f t="shared" si="7"/>
        <v>1000</v>
      </c>
      <c r="I11" s="1821">
        <f t="shared" si="7"/>
        <v>1000</v>
      </c>
      <c r="J11" s="1821">
        <f t="shared" si="7"/>
        <v>1000</v>
      </c>
      <c r="K11" s="1821">
        <f t="shared" si="7"/>
        <v>1000</v>
      </c>
      <c r="L11" s="1821">
        <f t="shared" si="7"/>
        <v>1000</v>
      </c>
      <c r="M11" s="1821">
        <f t="shared" si="7"/>
        <v>1000</v>
      </c>
      <c r="N11" s="190">
        <f t="shared" si="1"/>
        <v>1000</v>
      </c>
      <c r="O11" s="191">
        <f>'A2-FinPerf SC'!I11</f>
        <v>12000</v>
      </c>
      <c r="P11" s="193">
        <f>'A2-FinPerf SC'!J11</f>
        <v>14000</v>
      </c>
      <c r="Q11" s="250">
        <f>'A2-FinPerf SC'!K11</f>
        <v>14000</v>
      </c>
      <c r="R11" s="345"/>
    </row>
    <row r="12" spans="1:18" ht="11.25" customHeight="1">
      <c r="A12" s="1244" t="str">
        <f>'A2-FinPerf SC'!A12</f>
        <v>Public safety</v>
      </c>
      <c r="B12" s="849"/>
      <c r="C12" s="1821">
        <f>2000/123</f>
        <v>16.260162601626018</v>
      </c>
      <c r="D12" s="1821">
        <f t="shared" ref="D12:M12" si="8">2000/123</f>
        <v>16.260162601626018</v>
      </c>
      <c r="E12" s="1821">
        <f t="shared" si="8"/>
        <v>16.260162601626018</v>
      </c>
      <c r="F12" s="1821">
        <f t="shared" si="8"/>
        <v>16.260162601626018</v>
      </c>
      <c r="G12" s="1821">
        <f t="shared" si="8"/>
        <v>16.260162601626018</v>
      </c>
      <c r="H12" s="1821">
        <f t="shared" si="8"/>
        <v>16.260162601626018</v>
      </c>
      <c r="I12" s="1821">
        <f t="shared" si="8"/>
        <v>16.260162601626018</v>
      </c>
      <c r="J12" s="1821">
        <f t="shared" si="8"/>
        <v>16.260162601626018</v>
      </c>
      <c r="K12" s="1821">
        <f t="shared" si="8"/>
        <v>16.260162601626018</v>
      </c>
      <c r="L12" s="1821">
        <f t="shared" si="8"/>
        <v>16.260162601626018</v>
      </c>
      <c r="M12" s="1821">
        <f t="shared" si="8"/>
        <v>16.260162601626018</v>
      </c>
      <c r="N12" s="190">
        <f t="shared" si="1"/>
        <v>1821.1382113821139</v>
      </c>
      <c r="O12" s="191">
        <f>'A2-FinPerf SC'!I12</f>
        <v>2000</v>
      </c>
      <c r="P12" s="193">
        <f>'A2-FinPerf SC'!J12</f>
        <v>5000</v>
      </c>
      <c r="Q12" s="250">
        <f>'A2-FinPerf SC'!K12</f>
        <v>5000</v>
      </c>
      <c r="R12" s="345"/>
    </row>
    <row r="13" spans="1:18" ht="11.25" customHeight="1">
      <c r="A13" s="1244" t="str">
        <f>'A2-FinPerf SC'!A13</f>
        <v>Housing</v>
      </c>
      <c r="B13" s="849"/>
      <c r="C13" s="1821">
        <f>-SUMIFS(TB!Z:Z,TB!$H:$H,"I",TB!$G:$G,'SA27'!$A13)</f>
        <v>0</v>
      </c>
      <c r="D13" s="1805">
        <f>-SUMIFS(TB!AA:AA,TB!$H:$H,"I",TB!$G:$G,'SA27'!$A13)</f>
        <v>0</v>
      </c>
      <c r="E13" s="1805">
        <f>-SUMIFS(TB!AB:AB,TB!$H:$H,"I",TB!$G:$G,'SA27'!$A13)</f>
        <v>0</v>
      </c>
      <c r="F13" s="1805">
        <f>-SUMIFS(TB!AC:AC,TB!$H:$H,"I",TB!$G:$G,'SA27'!$A13)</f>
        <v>0</v>
      </c>
      <c r="G13" s="1805">
        <f>-SUMIFS(TB!AD:AD,TB!$H:$H,"I",TB!$G:$G,'SA27'!$A13)</f>
        <v>0</v>
      </c>
      <c r="H13" s="1805">
        <f>-SUMIFS(TB!AE:AE,TB!$H:$H,"I",TB!$G:$G,'SA27'!$A13)</f>
        <v>0</v>
      </c>
      <c r="I13" s="1805">
        <f>-SUMIFS(TB!AF:AF,TB!$H:$H,"I",TB!$G:$G,'SA27'!$A13)</f>
        <v>0</v>
      </c>
      <c r="J13" s="1805">
        <f>-SUMIFS(TB!AG:AG,TB!$H:$H,"I",TB!$G:$G,'SA27'!$A13)</f>
        <v>0</v>
      </c>
      <c r="K13" s="1805">
        <f>-SUMIFS(TB!AH:AH,TB!$H:$H,"I",TB!$G:$G,'SA27'!$A13)</f>
        <v>0</v>
      </c>
      <c r="L13" s="1805">
        <f>-SUMIFS(TB!AI:AI,TB!$H:$H,"I",TB!$G:$G,'SA27'!$A13)</f>
        <v>0</v>
      </c>
      <c r="M13" s="1805">
        <f>-SUMIFS(TB!AJ:AJ,TB!$H:$H,"I",TB!$G:$G,'SA27'!$A13)</f>
        <v>0</v>
      </c>
      <c r="N13" s="190">
        <f t="shared" si="1"/>
        <v>0</v>
      </c>
      <c r="O13" s="191">
        <f>'A2-FinPerf SC'!I13</f>
        <v>0</v>
      </c>
      <c r="P13" s="193">
        <f>'A2-FinPerf SC'!J13</f>
        <v>0</v>
      </c>
      <c r="Q13" s="250">
        <f>'A2-FinPerf SC'!K13</f>
        <v>0</v>
      </c>
      <c r="R13" s="345"/>
    </row>
    <row r="14" spans="1:18" ht="11.25" customHeight="1">
      <c r="A14" s="1244" t="str">
        <f>'A2-FinPerf SC'!A14</f>
        <v>Health</v>
      </c>
      <c r="B14" s="849"/>
      <c r="C14" s="1821">
        <f>-SUMIFS(TB!Z:Z,TB!$H:$H,"I",TB!$G:$G,'SA27'!$A14)</f>
        <v>0</v>
      </c>
      <c r="D14" s="1805">
        <f>-SUMIFS(TB!AA:AA,TB!$H:$H,"I",TB!$G:$G,'SA27'!$A14)</f>
        <v>0</v>
      </c>
      <c r="E14" s="1805">
        <f>-SUMIFS(TB!AB:AB,TB!$H:$H,"I",TB!$G:$G,'SA27'!$A14)</f>
        <v>0</v>
      </c>
      <c r="F14" s="1805">
        <f>-SUMIFS(TB!AC:AC,TB!$H:$H,"I",TB!$G:$G,'SA27'!$A14)</f>
        <v>0</v>
      </c>
      <c r="G14" s="1805">
        <f>-SUMIFS(TB!AD:AD,TB!$H:$H,"I",TB!$G:$G,'SA27'!$A14)</f>
        <v>0</v>
      </c>
      <c r="H14" s="1805">
        <f>-SUMIFS(TB!AE:AE,TB!$H:$H,"I",TB!$G:$G,'SA27'!$A14)</f>
        <v>0</v>
      </c>
      <c r="I14" s="1805">
        <f>-SUMIFS(TB!AF:AF,TB!$H:$H,"I",TB!$G:$G,'SA27'!$A14)</f>
        <v>0</v>
      </c>
      <c r="J14" s="1805">
        <f>-SUMIFS(TB!AG:AG,TB!$H:$H,"I",TB!$G:$G,'SA27'!$A14)</f>
        <v>0</v>
      </c>
      <c r="K14" s="1805">
        <f>-SUMIFS(TB!AH:AH,TB!$H:$H,"I",TB!$G:$G,'SA27'!$A14)</f>
        <v>0</v>
      </c>
      <c r="L14" s="1805">
        <f>-SUMIFS(TB!AI:AI,TB!$H:$H,"I",TB!$G:$G,'SA27'!$A14)</f>
        <v>0</v>
      </c>
      <c r="M14" s="1805">
        <f>-SUMIFS(TB!AJ:AJ,TB!$H:$H,"I",TB!$G:$G,'SA27'!$A14)</f>
        <v>0</v>
      </c>
      <c r="N14" s="190">
        <f t="shared" si="1"/>
        <v>0</v>
      </c>
      <c r="O14" s="191">
        <f>'A2-FinPerf SC'!I14</f>
        <v>0</v>
      </c>
      <c r="P14" s="193">
        <f>'A2-FinPerf SC'!J14</f>
        <v>0</v>
      </c>
      <c r="Q14" s="250">
        <f>'A2-FinPerf SC'!K14</f>
        <v>0</v>
      </c>
      <c r="R14" s="345"/>
    </row>
    <row r="15" spans="1:18" ht="11.25" customHeight="1">
      <c r="A15" s="1243" t="str">
        <f>'A2-FinPerf SC'!A15</f>
        <v>Economic and environmental services</v>
      </c>
      <c r="B15" s="849"/>
      <c r="C15" s="1133">
        <f>SUM(C16:C18)</f>
        <v>1377083.3333333333</v>
      </c>
      <c r="D15" s="1131">
        <f t="shared" ref="D15:M15" si="9">SUM(D16:D18)</f>
        <v>1377083.3333333333</v>
      </c>
      <c r="E15" s="1131">
        <f t="shared" si="9"/>
        <v>1377083.3333333333</v>
      </c>
      <c r="F15" s="1131">
        <f t="shared" si="9"/>
        <v>1377083.3333333333</v>
      </c>
      <c r="G15" s="1131">
        <f t="shared" si="9"/>
        <v>1377083.3333333333</v>
      </c>
      <c r="H15" s="1131">
        <f t="shared" si="9"/>
        <v>1377083.3333333333</v>
      </c>
      <c r="I15" s="1131">
        <f t="shared" si="9"/>
        <v>1377083.3333333333</v>
      </c>
      <c r="J15" s="1131">
        <f t="shared" si="9"/>
        <v>1377083.3333333333</v>
      </c>
      <c r="K15" s="1131">
        <f t="shared" si="9"/>
        <v>1377083.3333333333</v>
      </c>
      <c r="L15" s="1131">
        <f t="shared" si="9"/>
        <v>1377083.3333333333</v>
      </c>
      <c r="M15" s="1131">
        <f t="shared" si="9"/>
        <v>1377083.3333333333</v>
      </c>
      <c r="N15" s="205">
        <f t="shared" si="1"/>
        <v>1376883.3333333321</v>
      </c>
      <c r="O15" s="206">
        <f>'A2-FinPerf SC'!I15</f>
        <v>16524800</v>
      </c>
      <c r="P15" s="369">
        <f>'A2-FinPerf SC'!J15</f>
        <v>17370300</v>
      </c>
      <c r="Q15" s="319">
        <f>'A2-FinPerf SC'!K15</f>
        <v>17880600</v>
      </c>
      <c r="R15" s="345"/>
    </row>
    <row r="16" spans="1:18" ht="11.25" customHeight="1">
      <c r="A16" s="1244" t="str">
        <f>'A2-FinPerf SC'!A16</f>
        <v>Planning and development</v>
      </c>
      <c r="B16" s="849"/>
      <c r="C16" s="1821">
        <f>-SUMIFS(TB!Z:Z,TB!$H:$H,"I",TB!$G:$G,'SA27'!$A16)</f>
        <v>0</v>
      </c>
      <c r="D16" s="1805">
        <f>-SUMIFS(TB!AA:AA,TB!$H:$H,"I",TB!$G:$G,'SA27'!$A16)</f>
        <v>0</v>
      </c>
      <c r="E16" s="1805">
        <f>-SUMIFS(TB!AB:AB,TB!$H:$H,"I",TB!$G:$G,'SA27'!$A16)</f>
        <v>0</v>
      </c>
      <c r="F16" s="1805">
        <f>-SUMIFS(TB!AC:AC,TB!$H:$H,"I",TB!$G:$G,'SA27'!$A16)</f>
        <v>0</v>
      </c>
      <c r="G16" s="1805">
        <f>-SUMIFS(TB!AD:AD,TB!$H:$H,"I",TB!$G:$G,'SA27'!$A16)</f>
        <v>0</v>
      </c>
      <c r="H16" s="1805">
        <f>-SUMIFS(TB!AE:AE,TB!$H:$H,"I",TB!$G:$G,'SA27'!$A16)</f>
        <v>0</v>
      </c>
      <c r="I16" s="1805">
        <f>-SUMIFS(TB!AF:AF,TB!$H:$H,"I",TB!$G:$G,'SA27'!$A16)</f>
        <v>0</v>
      </c>
      <c r="J16" s="1805">
        <f>-SUMIFS(TB!AG:AG,TB!$H:$H,"I",TB!$G:$G,'SA27'!$A16)</f>
        <v>0</v>
      </c>
      <c r="K16" s="1805">
        <f>-SUMIFS(TB!AH:AH,TB!$H:$H,"I",TB!$G:$G,'SA27'!$A16)</f>
        <v>0</v>
      </c>
      <c r="L16" s="1805">
        <f>-SUMIFS(TB!AI:AI,TB!$H:$H,"I",TB!$G:$G,'SA27'!$A16)</f>
        <v>0</v>
      </c>
      <c r="M16" s="1805">
        <f>-SUMIFS(TB!AJ:AJ,TB!$H:$H,"I",TB!$G:$G,'SA27'!$A16)</f>
        <v>0</v>
      </c>
      <c r="N16" s="190">
        <f t="shared" si="1"/>
        <v>0</v>
      </c>
      <c r="O16" s="191">
        <f>'A2-FinPerf SC'!I16</f>
        <v>0</v>
      </c>
      <c r="P16" s="193">
        <f>'A2-FinPerf SC'!J16</f>
        <v>0</v>
      </c>
      <c r="Q16" s="250">
        <f>'A2-FinPerf SC'!K16</f>
        <v>0</v>
      </c>
      <c r="R16" s="345"/>
    </row>
    <row r="17" spans="1:18" ht="11.25" customHeight="1">
      <c r="A17" s="1244" t="str">
        <f>'A2-FinPerf SC'!A17</f>
        <v>Road transport</v>
      </c>
      <c r="B17" s="849"/>
      <c r="C17" s="1821">
        <f>16525000/12</f>
        <v>1377083.3333333333</v>
      </c>
      <c r="D17" s="1821">
        <f t="shared" ref="D17:M17" si="10">16525000/12</f>
        <v>1377083.3333333333</v>
      </c>
      <c r="E17" s="1821">
        <f t="shared" si="10"/>
        <v>1377083.3333333333</v>
      </c>
      <c r="F17" s="1821">
        <f t="shared" si="10"/>
        <v>1377083.3333333333</v>
      </c>
      <c r="G17" s="1821">
        <f t="shared" si="10"/>
        <v>1377083.3333333333</v>
      </c>
      <c r="H17" s="1821">
        <f t="shared" si="10"/>
        <v>1377083.3333333333</v>
      </c>
      <c r="I17" s="1821">
        <f t="shared" si="10"/>
        <v>1377083.3333333333</v>
      </c>
      <c r="J17" s="1821">
        <f t="shared" si="10"/>
        <v>1377083.3333333333</v>
      </c>
      <c r="K17" s="1821">
        <f t="shared" si="10"/>
        <v>1377083.3333333333</v>
      </c>
      <c r="L17" s="1821">
        <f t="shared" si="10"/>
        <v>1377083.3333333333</v>
      </c>
      <c r="M17" s="1821">
        <f t="shared" si="10"/>
        <v>1377083.3333333333</v>
      </c>
      <c r="N17" s="190">
        <f t="shared" si="1"/>
        <v>1376883.3333333321</v>
      </c>
      <c r="O17" s="191">
        <f>'A2-FinPerf SC'!I17</f>
        <v>16524800</v>
      </c>
      <c r="P17" s="193">
        <f>'A2-FinPerf SC'!J17</f>
        <v>17370300</v>
      </c>
      <c r="Q17" s="250">
        <f>'A2-FinPerf SC'!K17</f>
        <v>17880600</v>
      </c>
      <c r="R17" s="345"/>
    </row>
    <row r="18" spans="1:18" ht="11.25" customHeight="1">
      <c r="A18" s="1244" t="str">
        <f>'A2-FinPerf SC'!A18</f>
        <v>Environmental protection</v>
      </c>
      <c r="B18" s="849"/>
      <c r="C18" s="1821">
        <f>-SUMIFS(TB!Z:Z,TB!$H:$H,"I",TB!$G:$G,'SA27'!$A18)</f>
        <v>0</v>
      </c>
      <c r="D18" s="1805">
        <f>-SUMIFS(TB!AA:AA,TB!$H:$H,"I",TB!$G:$G,'SA27'!$A18)</f>
        <v>0</v>
      </c>
      <c r="E18" s="1805">
        <f>-SUMIFS(TB!AB:AB,TB!$H:$H,"I",TB!$G:$G,'SA27'!$A18)</f>
        <v>0</v>
      </c>
      <c r="F18" s="1805">
        <f>-SUMIFS(TB!AC:AC,TB!$H:$H,"I",TB!$G:$G,'SA27'!$A18)</f>
        <v>0</v>
      </c>
      <c r="G18" s="1805">
        <f>-SUMIFS(TB!AD:AD,TB!$H:$H,"I",TB!$G:$G,'SA27'!$A18)</f>
        <v>0</v>
      </c>
      <c r="H18" s="1805">
        <f>-SUMIFS(TB!AE:AE,TB!$H:$H,"I",TB!$G:$G,'SA27'!$A18)</f>
        <v>0</v>
      </c>
      <c r="I18" s="1805">
        <f>-SUMIFS(TB!AF:AF,TB!$H:$H,"I",TB!$G:$G,'SA27'!$A18)</f>
        <v>0</v>
      </c>
      <c r="J18" s="1805">
        <f>-SUMIFS(TB!AG:AG,TB!$H:$H,"I",TB!$G:$G,'SA27'!$A18)</f>
        <v>0</v>
      </c>
      <c r="K18" s="1805">
        <f>-SUMIFS(TB!AH:AH,TB!$H:$H,"I",TB!$G:$G,'SA27'!$A18)</f>
        <v>0</v>
      </c>
      <c r="L18" s="1805">
        <f>-SUMIFS(TB!AI:AI,TB!$H:$H,"I",TB!$G:$G,'SA27'!$A18)</f>
        <v>0</v>
      </c>
      <c r="M18" s="1805">
        <f>-SUMIFS(TB!AJ:AJ,TB!$H:$H,"I",TB!$G:$G,'SA27'!$A18)</f>
        <v>0</v>
      </c>
      <c r="N18" s="190">
        <f t="shared" si="1"/>
        <v>0</v>
      </c>
      <c r="O18" s="191">
        <f>'A2-FinPerf SC'!I18</f>
        <v>0</v>
      </c>
      <c r="P18" s="193">
        <f>'A2-FinPerf SC'!J18</f>
        <v>0</v>
      </c>
      <c r="Q18" s="250">
        <f>'A2-FinPerf SC'!K18</f>
        <v>0</v>
      </c>
      <c r="R18" s="345"/>
    </row>
    <row r="19" spans="1:18" ht="11.25" customHeight="1">
      <c r="A19" s="1243" t="str">
        <f>'A2-FinPerf SC'!A19</f>
        <v>Trading services</v>
      </c>
      <c r="B19" s="849"/>
      <c r="C19" s="1133">
        <f>SUM(C20:C23)</f>
        <v>969000.00000000012</v>
      </c>
      <c r="D19" s="1131">
        <f t="shared" ref="D19:M19" si="11">SUM(D20:D23)</f>
        <v>969000.00000000012</v>
      </c>
      <c r="E19" s="1131">
        <f t="shared" si="11"/>
        <v>969000.00000000012</v>
      </c>
      <c r="F19" s="1131">
        <f t="shared" si="11"/>
        <v>969000.00000000012</v>
      </c>
      <c r="G19" s="1131">
        <f t="shared" si="11"/>
        <v>969000.00000000012</v>
      </c>
      <c r="H19" s="1131">
        <f t="shared" si="11"/>
        <v>969000.00000000012</v>
      </c>
      <c r="I19" s="1131">
        <f t="shared" si="11"/>
        <v>969000.00000000012</v>
      </c>
      <c r="J19" s="1131">
        <f t="shared" si="11"/>
        <v>969000.00000000012</v>
      </c>
      <c r="K19" s="1131">
        <f t="shared" si="11"/>
        <v>969000.00000000012</v>
      </c>
      <c r="L19" s="1131">
        <f t="shared" si="11"/>
        <v>969000.00000000012</v>
      </c>
      <c r="M19" s="1131">
        <f t="shared" si="11"/>
        <v>969000.00000000012</v>
      </c>
      <c r="N19" s="205">
        <f>O19-SUM(C19:M19)</f>
        <v>968450.83359999955</v>
      </c>
      <c r="O19" s="206">
        <f>'A2-FinPerf SC'!I19</f>
        <v>11627450.833600001</v>
      </c>
      <c r="P19" s="369">
        <f>'A2-FinPerf SC'!J19</f>
        <v>15981865.385376001</v>
      </c>
      <c r="Q19" s="319">
        <f>'A2-FinPerf SC'!K19</f>
        <v>17326164.273189999</v>
      </c>
      <c r="R19" s="345"/>
    </row>
    <row r="20" spans="1:18" ht="11.25" customHeight="1">
      <c r="A20" s="1244" t="str">
        <f>'A2-FinPerf SC'!A20</f>
        <v>Electricity</v>
      </c>
      <c r="B20" s="849"/>
      <c r="C20" s="1821">
        <f>5315000/12</f>
        <v>442916.66666666669</v>
      </c>
      <c r="D20" s="1821">
        <f t="shared" ref="D20:M20" si="12">5315000/12</f>
        <v>442916.66666666669</v>
      </c>
      <c r="E20" s="1821">
        <f t="shared" si="12"/>
        <v>442916.66666666669</v>
      </c>
      <c r="F20" s="1821">
        <f t="shared" si="12"/>
        <v>442916.66666666669</v>
      </c>
      <c r="G20" s="1821">
        <f t="shared" si="12"/>
        <v>442916.66666666669</v>
      </c>
      <c r="H20" s="1821">
        <f t="shared" si="12"/>
        <v>442916.66666666669</v>
      </c>
      <c r="I20" s="1821">
        <f t="shared" si="12"/>
        <v>442916.66666666669</v>
      </c>
      <c r="J20" s="1821">
        <f t="shared" si="12"/>
        <v>442916.66666666669</v>
      </c>
      <c r="K20" s="1821">
        <f t="shared" si="12"/>
        <v>442916.66666666669</v>
      </c>
      <c r="L20" s="1821">
        <f t="shared" si="12"/>
        <v>442916.66666666669</v>
      </c>
      <c r="M20" s="1821">
        <f t="shared" si="12"/>
        <v>442916.66666666669</v>
      </c>
      <c r="N20" s="190">
        <f t="shared" si="1"/>
        <v>442979.51526666805</v>
      </c>
      <c r="O20" s="191">
        <f>'A2-FinPerf SC'!I20</f>
        <v>5315062.8486000011</v>
      </c>
      <c r="P20" s="193">
        <f>'A2-FinPerf SC'!J20</f>
        <v>8361129.267376001</v>
      </c>
      <c r="Q20" s="250">
        <f>'A2-FinPerf SC'!K20</f>
        <v>9138620</v>
      </c>
      <c r="R20" s="345"/>
    </row>
    <row r="21" spans="1:18" ht="11.25" customHeight="1">
      <c r="A21" s="1244" t="str">
        <f>'A2-FinPerf SC'!A21</f>
        <v>Water</v>
      </c>
      <c r="B21" s="849"/>
      <c r="C21" s="1821">
        <f>2117000/12</f>
        <v>176416.66666666666</v>
      </c>
      <c r="D21" s="1821">
        <f t="shared" ref="D21:M21" si="13">2117000/12</f>
        <v>176416.66666666666</v>
      </c>
      <c r="E21" s="1821">
        <f t="shared" si="13"/>
        <v>176416.66666666666</v>
      </c>
      <c r="F21" s="1821">
        <f t="shared" si="13"/>
        <v>176416.66666666666</v>
      </c>
      <c r="G21" s="1821">
        <f t="shared" si="13"/>
        <v>176416.66666666666</v>
      </c>
      <c r="H21" s="1821">
        <f t="shared" si="13"/>
        <v>176416.66666666666</v>
      </c>
      <c r="I21" s="1821">
        <f t="shared" si="13"/>
        <v>176416.66666666666</v>
      </c>
      <c r="J21" s="1821">
        <f t="shared" si="13"/>
        <v>176416.66666666666</v>
      </c>
      <c r="K21" s="1821">
        <f t="shared" si="13"/>
        <v>176416.66666666666</v>
      </c>
      <c r="L21" s="1821">
        <f t="shared" si="13"/>
        <v>176416.66666666666</v>
      </c>
      <c r="M21" s="1821">
        <f t="shared" si="13"/>
        <v>176416.66666666666</v>
      </c>
      <c r="N21" s="190">
        <f t="shared" si="1"/>
        <v>175937.4366666663</v>
      </c>
      <c r="O21" s="191">
        <f>'A2-FinPerf SC'!I21</f>
        <v>2116520.77</v>
      </c>
      <c r="P21" s="193">
        <f>'A2-FinPerf SC'!J21</f>
        <v>2343187.8470000001</v>
      </c>
      <c r="Q21" s="250">
        <f>'A2-FinPerf SC'!K21</f>
        <v>2620523.5886400002</v>
      </c>
      <c r="R21" s="345"/>
    </row>
    <row r="22" spans="1:18" ht="11.25" customHeight="1">
      <c r="A22" s="1244" t="str">
        <f>'A2-FinPerf SC'!A22</f>
        <v>Waste water management</v>
      </c>
      <c r="B22" s="849"/>
      <c r="C22" s="1821">
        <f>1603000/12</f>
        <v>133583.33333333334</v>
      </c>
      <c r="D22" s="1821">
        <f t="shared" ref="D22:M22" si="14">1603000/12</f>
        <v>133583.33333333334</v>
      </c>
      <c r="E22" s="1821">
        <f t="shared" si="14"/>
        <v>133583.33333333334</v>
      </c>
      <c r="F22" s="1821">
        <f t="shared" si="14"/>
        <v>133583.33333333334</v>
      </c>
      <c r="G22" s="1821">
        <f t="shared" si="14"/>
        <v>133583.33333333334</v>
      </c>
      <c r="H22" s="1821">
        <f t="shared" si="14"/>
        <v>133583.33333333334</v>
      </c>
      <c r="I22" s="1821">
        <f t="shared" si="14"/>
        <v>133583.33333333334</v>
      </c>
      <c r="J22" s="1821">
        <f t="shared" si="14"/>
        <v>133583.33333333334</v>
      </c>
      <c r="K22" s="1821">
        <f t="shared" si="14"/>
        <v>133583.33333333334</v>
      </c>
      <c r="L22" s="1821">
        <f t="shared" si="14"/>
        <v>133583.33333333334</v>
      </c>
      <c r="M22" s="1821">
        <f t="shared" si="14"/>
        <v>133583.33333333334</v>
      </c>
      <c r="N22" s="190">
        <f t="shared" si="1"/>
        <v>133585.52833333332</v>
      </c>
      <c r="O22" s="191">
        <f>'A2-FinPerf SC'!I22</f>
        <v>1603002.1949999998</v>
      </c>
      <c r="P22" s="193">
        <f>'A2-FinPerf SC'!J22</f>
        <v>2555100</v>
      </c>
      <c r="Q22" s="250">
        <f>'A2-FinPerf SC'!K22</f>
        <v>2708410</v>
      </c>
      <c r="R22" s="345"/>
    </row>
    <row r="23" spans="1:18" ht="11.25" customHeight="1">
      <c r="A23" s="1244" t="str">
        <f>'A2-FinPerf SC'!A23</f>
        <v>Waste management</v>
      </c>
      <c r="B23" s="849"/>
      <c r="C23" s="1821">
        <f>2593000/12</f>
        <v>216083.33333333334</v>
      </c>
      <c r="D23" s="1821">
        <f t="shared" ref="D23:M23" si="15">2593000/12</f>
        <v>216083.33333333334</v>
      </c>
      <c r="E23" s="1821">
        <f t="shared" si="15"/>
        <v>216083.33333333334</v>
      </c>
      <c r="F23" s="1821">
        <f t="shared" si="15"/>
        <v>216083.33333333334</v>
      </c>
      <c r="G23" s="1821">
        <f t="shared" si="15"/>
        <v>216083.33333333334</v>
      </c>
      <c r="H23" s="1821">
        <f t="shared" si="15"/>
        <v>216083.33333333334</v>
      </c>
      <c r="I23" s="1821">
        <f t="shared" si="15"/>
        <v>216083.33333333334</v>
      </c>
      <c r="J23" s="1821">
        <f t="shared" si="15"/>
        <v>216083.33333333334</v>
      </c>
      <c r="K23" s="1821">
        <f t="shared" si="15"/>
        <v>216083.33333333334</v>
      </c>
      <c r="L23" s="1821">
        <f t="shared" si="15"/>
        <v>216083.33333333334</v>
      </c>
      <c r="M23" s="1821">
        <f t="shared" si="15"/>
        <v>216083.33333333334</v>
      </c>
      <c r="N23" s="190">
        <f t="shared" si="1"/>
        <v>215948.35333333351</v>
      </c>
      <c r="O23" s="191">
        <f>'A2-FinPerf SC'!I23</f>
        <v>2592865.02</v>
      </c>
      <c r="P23" s="193">
        <f>'A2-FinPerf SC'!J23</f>
        <v>2722448.2710000002</v>
      </c>
      <c r="Q23" s="250">
        <f>'A2-FinPerf SC'!K23</f>
        <v>2858610.6845500004</v>
      </c>
      <c r="R23" s="345"/>
    </row>
    <row r="24" spans="1:18" ht="11.25" customHeight="1">
      <c r="A24" s="1243" t="str">
        <f>'A2-FinPerf SC'!A24</f>
        <v>Other</v>
      </c>
      <c r="B24" s="849"/>
      <c r="C24" s="1831">
        <f>-SUMIFS(TB!Z:Z,TB!$H:$H,"I",TB!$G:$G,'SA27'!$A24)</f>
        <v>0</v>
      </c>
      <c r="D24" s="1829">
        <f>-SUMIFS(TB!AA:AA,TB!$H:$H,"I",TB!$G:$G,'SA27'!$A24)</f>
        <v>0</v>
      </c>
      <c r="E24" s="1829">
        <f>-SUMIFS(TB!AB:AB,TB!$H:$H,"I",TB!$G:$G,'SA27'!$A24)</f>
        <v>0</v>
      </c>
      <c r="F24" s="1829">
        <f>-SUMIFS(TB!AC:AC,TB!$H:$H,"I",TB!$G:$G,'SA27'!$A24)</f>
        <v>0</v>
      </c>
      <c r="G24" s="1829">
        <f>-SUMIFS(TB!AD:AD,TB!$H:$H,"I",TB!$G:$G,'SA27'!$A24)</f>
        <v>0</v>
      </c>
      <c r="H24" s="1829">
        <f>-SUMIFS(TB!AE:AE,TB!$H:$H,"I",TB!$G:$G,'SA27'!$A24)</f>
        <v>0</v>
      </c>
      <c r="I24" s="1829">
        <f>-SUMIFS(TB!AF:AF,TB!$H:$H,"I",TB!$G:$G,'SA27'!$A24)</f>
        <v>0</v>
      </c>
      <c r="J24" s="1829">
        <f>-SUMIFS(TB!AG:AG,TB!$H:$H,"I",TB!$G:$G,'SA27'!$A24)</f>
        <v>0</v>
      </c>
      <c r="K24" s="1829">
        <f>-SUMIFS(TB!AH:AH,TB!$H:$H,"I",TB!$G:$G,'SA27'!$A24)</f>
        <v>0</v>
      </c>
      <c r="L24" s="1829">
        <f>-SUMIFS(TB!AI:AI,TB!$H:$H,"I",TB!$G:$G,'SA27'!$A24)</f>
        <v>0</v>
      </c>
      <c r="M24" s="1829">
        <f>-SUMIFS(TB!AJ:AJ,TB!$H:$H,"I",TB!$G:$G,'SA27'!$A24)</f>
        <v>0</v>
      </c>
      <c r="N24" s="205">
        <f t="shared" si="1"/>
        <v>0</v>
      </c>
      <c r="O24" s="206">
        <f>'A2-FinPerf SC'!I24</f>
        <v>0</v>
      </c>
      <c r="P24" s="369">
        <f>'A2-FinPerf SC'!J24</f>
        <v>0</v>
      </c>
      <c r="Q24" s="319">
        <f>'A2-FinPerf SC'!K24</f>
        <v>0</v>
      </c>
      <c r="R24" s="345"/>
    </row>
    <row r="25" spans="1:18">
      <c r="A25" s="251" t="str">
        <f>'A2-FinPerf SC'!A25</f>
        <v>Total Revenue - Standard</v>
      </c>
      <c r="B25" s="850"/>
      <c r="C25" s="255">
        <f t="shared" ref="C25:Q25" si="16">C5+C9+C15+C19+C24</f>
        <v>4512849.5934959352</v>
      </c>
      <c r="D25" s="253">
        <f t="shared" si="16"/>
        <v>4512849.5934959352</v>
      </c>
      <c r="E25" s="253">
        <f t="shared" si="16"/>
        <v>4512849.5934959352</v>
      </c>
      <c r="F25" s="253">
        <f t="shared" si="16"/>
        <v>4512849.5934959352</v>
      </c>
      <c r="G25" s="253">
        <f t="shared" si="16"/>
        <v>4512849.5934959352</v>
      </c>
      <c r="H25" s="253">
        <f t="shared" si="16"/>
        <v>4512849.5934959352</v>
      </c>
      <c r="I25" s="253">
        <f t="shared" si="16"/>
        <v>4512849.5934959352</v>
      </c>
      <c r="J25" s="253">
        <f t="shared" si="16"/>
        <v>4512849.5934959352</v>
      </c>
      <c r="K25" s="253">
        <f t="shared" si="16"/>
        <v>4512849.5934959352</v>
      </c>
      <c r="L25" s="253">
        <f t="shared" si="16"/>
        <v>4512849.5934959352</v>
      </c>
      <c r="M25" s="253">
        <f t="shared" si="16"/>
        <v>4512849.5934959352</v>
      </c>
      <c r="N25" s="253">
        <f t="shared" si="16"/>
        <v>4514004.1351447022</v>
      </c>
      <c r="O25" s="201">
        <f t="shared" si="16"/>
        <v>54155349.663599998</v>
      </c>
      <c r="P25" s="199">
        <f t="shared" si="16"/>
        <v>61283886.945175998</v>
      </c>
      <c r="Q25" s="200">
        <f t="shared" si="16"/>
        <v>65586494.534578003</v>
      </c>
      <c r="R25" s="345"/>
    </row>
    <row r="26" spans="1:18" ht="5.0999999999999996" customHeight="1">
      <c r="A26" s="259"/>
      <c r="B26" s="849"/>
      <c r="C26" s="191"/>
      <c r="D26" s="189">
        <f t="shared" ref="D26:L26" si="17">D6+D10+D16+D20+D25</f>
        <v>5088099.5934959352</v>
      </c>
      <c r="E26" s="189">
        <f t="shared" si="17"/>
        <v>5088099.5934959352</v>
      </c>
      <c r="F26" s="189">
        <f t="shared" si="17"/>
        <v>5088099.5934959352</v>
      </c>
      <c r="G26" s="189">
        <f t="shared" si="17"/>
        <v>5088099.5934959352</v>
      </c>
      <c r="H26" s="189">
        <f t="shared" si="17"/>
        <v>5088099.5934959352</v>
      </c>
      <c r="I26" s="189">
        <f t="shared" si="17"/>
        <v>5088099.5934959352</v>
      </c>
      <c r="J26" s="189">
        <f t="shared" si="17"/>
        <v>5088099.5934959352</v>
      </c>
      <c r="K26" s="189">
        <f t="shared" si="17"/>
        <v>5088099.5934959352</v>
      </c>
      <c r="L26" s="189">
        <f t="shared" si="17"/>
        <v>5088099.5934959352</v>
      </c>
      <c r="M26" s="189">
        <f>M6+M10+M16+M20+M25</f>
        <v>5088099.5934959352</v>
      </c>
      <c r="N26" s="190"/>
      <c r="O26" s="191"/>
      <c r="P26" s="189"/>
      <c r="Q26" s="190"/>
      <c r="R26" s="345"/>
    </row>
    <row r="27" spans="1:18">
      <c r="A27" s="235" t="str">
        <f>'A2-FinPerf SC'!A27</f>
        <v>Expenditure - Standard</v>
      </c>
      <c r="B27" s="852"/>
      <c r="C27" s="191"/>
      <c r="D27" s="189"/>
      <c r="E27" s="189"/>
      <c r="F27" s="189"/>
      <c r="G27" s="189"/>
      <c r="H27" s="189"/>
      <c r="I27" s="189"/>
      <c r="J27" s="189"/>
      <c r="K27" s="189"/>
      <c r="L27" s="189"/>
      <c r="M27" s="189"/>
      <c r="N27" s="190"/>
      <c r="O27" s="191"/>
      <c r="P27" s="189"/>
      <c r="Q27" s="190"/>
      <c r="R27" s="345"/>
    </row>
    <row r="28" spans="1:18" ht="11.25" customHeight="1">
      <c r="A28" s="1243" t="str">
        <f>'A2-FinPerf SC'!A28</f>
        <v>Governance and administration</v>
      </c>
      <c r="B28" s="849"/>
      <c r="C28" s="1133">
        <f>SUM(C29:C31)</f>
        <v>2521333.333333333</v>
      </c>
      <c r="D28" s="1131">
        <f>SUM(D29:D31)</f>
        <v>2521000</v>
      </c>
      <c r="E28" s="1131">
        <f t="shared" ref="E28:M28" si="18">SUM(E29:E31)</f>
        <v>2521333.333333333</v>
      </c>
      <c r="F28" s="1131">
        <f t="shared" si="18"/>
        <v>2521000</v>
      </c>
      <c r="G28" s="1131">
        <f t="shared" si="18"/>
        <v>2521333.333333333</v>
      </c>
      <c r="H28" s="1131">
        <f t="shared" si="18"/>
        <v>2521000</v>
      </c>
      <c r="I28" s="1131">
        <f t="shared" si="18"/>
        <v>2521333.333333333</v>
      </c>
      <c r="J28" s="1131">
        <f t="shared" si="18"/>
        <v>2521000</v>
      </c>
      <c r="K28" s="1131">
        <f t="shared" si="18"/>
        <v>2521333.333333333</v>
      </c>
      <c r="L28" s="1131">
        <f t="shared" si="18"/>
        <v>2521000</v>
      </c>
      <c r="M28" s="1131">
        <f t="shared" si="18"/>
        <v>2521000</v>
      </c>
      <c r="N28" s="205">
        <f t="shared" ref="N28:N37" si="19">O28-SUM(C28:M28)</f>
        <v>2522809.9615157731</v>
      </c>
      <c r="O28" s="206">
        <f>'A2-FinPerf SC'!I28</f>
        <v>30255476.628182437</v>
      </c>
      <c r="P28" s="204">
        <f>'A2-FinPerf SC'!J28</f>
        <v>23120404.945912141</v>
      </c>
      <c r="Q28" s="205">
        <f>'A2-FinPerf SC'!K28</f>
        <v>24814749.070932921</v>
      </c>
      <c r="R28" s="345"/>
    </row>
    <row r="29" spans="1:18" ht="11.25" customHeight="1">
      <c r="A29" s="1244" t="str">
        <f>'A2-FinPerf SC'!A29</f>
        <v>Executive and council</v>
      </c>
      <c r="B29" s="849"/>
      <c r="C29" s="1821">
        <f>SUMIFS(TB!Z:Z,TB!$H:$H,"E",TB!$G:$G,'SA27'!$A29)</f>
        <v>0</v>
      </c>
      <c r="D29" s="1805">
        <f>SUMIFS(TB!AA:AA,TB!$H:$H,"E",TB!$G:$G,'SA27'!$A29)</f>
        <v>0</v>
      </c>
      <c r="E29" s="1805">
        <f>SUMIFS(TB!AB:AB,TB!$H:$H,"E",TB!$G:$G,'SA27'!$A29)</f>
        <v>0</v>
      </c>
      <c r="F29" s="1805">
        <f>SUMIFS(TB!AC:AC,TB!$H:$H,"E",TB!$G:$G,'SA27'!$A29)</f>
        <v>0</v>
      </c>
      <c r="G29" s="1805">
        <f>SUMIFS(TB!AD:AD,TB!$H:$H,"E",TB!$G:$G,'SA27'!$A29)</f>
        <v>0</v>
      </c>
      <c r="H29" s="1805">
        <f>SUMIFS(TB!AE:AE,TB!$H:$H,"E",TB!$G:$G,'SA27'!$A29)</f>
        <v>0</v>
      </c>
      <c r="I29" s="1805">
        <f>SUMIFS(TB!AF:AF,TB!$H:$H,"E",TB!$G:$G,'SA27'!$A29)</f>
        <v>0</v>
      </c>
      <c r="J29" s="1805">
        <f>SUMIFS(TB!AG:AG,TB!$H:$H,"E",TB!$G:$G,'SA27'!$A29)</f>
        <v>0</v>
      </c>
      <c r="K29" s="1805">
        <f>SUMIFS(TB!AH:AH,TB!$H:$H,"E",TB!$G:$G,'SA27'!$A29)</f>
        <v>0</v>
      </c>
      <c r="L29" s="1805">
        <f>SUMIFS(TB!AI:AI,TB!$H:$H,"E",TB!$G:$G,'SA27'!$A29)</f>
        <v>0</v>
      </c>
      <c r="M29" s="1805">
        <f>SUMIFS(TB!AJ:AJ,TB!$H:$H,"E",TB!$G:$G,'SA27'!$A29)</f>
        <v>0</v>
      </c>
      <c r="N29" s="190">
        <f t="shared" si="19"/>
        <v>0</v>
      </c>
      <c r="O29" s="191">
        <f>'A2-FinPerf SC'!I29</f>
        <v>0</v>
      </c>
      <c r="P29" s="189">
        <f>'A2-FinPerf SC'!J29</f>
        <v>0</v>
      </c>
      <c r="Q29" s="190">
        <f>'A2-FinPerf SC'!K29</f>
        <v>0</v>
      </c>
      <c r="R29" s="345"/>
    </row>
    <row r="30" spans="1:18" ht="11.25" customHeight="1">
      <c r="A30" s="1244" t="str">
        <f>'A2-FinPerf SC'!A30</f>
        <v>Budget and treasury office</v>
      </c>
      <c r="B30" s="849"/>
      <c r="C30" s="1825">
        <f>29267000/12</f>
        <v>2438916.6666666665</v>
      </c>
      <c r="D30" s="1823">
        <v>2439000</v>
      </c>
      <c r="E30" s="1825">
        <f>29267000/12</f>
        <v>2438916.6666666665</v>
      </c>
      <c r="F30" s="1823">
        <v>2439000</v>
      </c>
      <c r="G30" s="1825">
        <f>29267000/12</f>
        <v>2438916.6666666665</v>
      </c>
      <c r="H30" s="1823">
        <v>2439000</v>
      </c>
      <c r="I30" s="1825">
        <f>29267000/12</f>
        <v>2438916.6666666665</v>
      </c>
      <c r="J30" s="1823">
        <v>2439000</v>
      </c>
      <c r="K30" s="1825">
        <f>29267000/12</f>
        <v>2438916.6666666665</v>
      </c>
      <c r="L30" s="1823">
        <v>2439000</v>
      </c>
      <c r="M30" s="1823">
        <v>2439000</v>
      </c>
      <c r="N30" s="190">
        <f t="shared" si="19"/>
        <v>2438351.8322157599</v>
      </c>
      <c r="O30" s="191">
        <f>'A2-FinPerf SC'!I30</f>
        <v>29266935.165549092</v>
      </c>
      <c r="P30" s="189">
        <f>'A2-FinPerf SC'!J30</f>
        <v>22001676.77771502</v>
      </c>
      <c r="Q30" s="190">
        <f>'A2-FinPerf SC'!K30</f>
        <v>23638532.249280032</v>
      </c>
      <c r="R30" s="345"/>
    </row>
    <row r="31" spans="1:18" ht="11.25" customHeight="1">
      <c r="A31" s="1244" t="str">
        <f>'A2-FinPerf SC'!A31</f>
        <v>Corporate services</v>
      </c>
      <c r="B31" s="849"/>
      <c r="C31" s="1821">
        <f>989000/12</f>
        <v>82416.666666666672</v>
      </c>
      <c r="D31" s="1805">
        <v>82000</v>
      </c>
      <c r="E31" s="1821">
        <f>989000/12</f>
        <v>82416.666666666672</v>
      </c>
      <c r="F31" s="1805">
        <v>82000</v>
      </c>
      <c r="G31" s="1821">
        <f>989000/12</f>
        <v>82416.666666666672</v>
      </c>
      <c r="H31" s="1805">
        <v>82000</v>
      </c>
      <c r="I31" s="1821">
        <f>989000/12</f>
        <v>82416.666666666672</v>
      </c>
      <c r="J31" s="1805">
        <v>82000</v>
      </c>
      <c r="K31" s="1821">
        <f>989000/12</f>
        <v>82416.666666666672</v>
      </c>
      <c r="L31" s="1805">
        <v>82000</v>
      </c>
      <c r="M31" s="1805">
        <v>82000</v>
      </c>
      <c r="N31" s="190">
        <f t="shared" si="19"/>
        <v>84458.129300010623</v>
      </c>
      <c r="O31" s="191">
        <f>'A2-FinPerf SC'!I31</f>
        <v>988541.462633344</v>
      </c>
      <c r="P31" s="189">
        <f>'A2-FinPerf SC'!J31</f>
        <v>1118728.1681971201</v>
      </c>
      <c r="Q31" s="190">
        <f>'A2-FinPerf SC'!K31</f>
        <v>1176216.8216528897</v>
      </c>
      <c r="R31" s="345"/>
    </row>
    <row r="32" spans="1:18" ht="11.25" customHeight="1">
      <c r="A32" s="1243" t="str">
        <f>'A2-FinPerf SC'!A32</f>
        <v>Community and public safety</v>
      </c>
      <c r="B32" s="849"/>
      <c r="C32" s="1133">
        <f>SUM(C33:C37)</f>
        <v>141250</v>
      </c>
      <c r="D32" s="1131">
        <f t="shared" ref="D32:M32" si="20">SUM(D33:D37)</f>
        <v>141250</v>
      </c>
      <c r="E32" s="1131">
        <f t="shared" si="20"/>
        <v>141250</v>
      </c>
      <c r="F32" s="1131">
        <f t="shared" si="20"/>
        <v>141250</v>
      </c>
      <c r="G32" s="1131">
        <f t="shared" si="20"/>
        <v>141250</v>
      </c>
      <c r="H32" s="1131">
        <f t="shared" si="20"/>
        <v>141250</v>
      </c>
      <c r="I32" s="1131">
        <f t="shared" si="20"/>
        <v>141250</v>
      </c>
      <c r="J32" s="1131">
        <f t="shared" si="20"/>
        <v>141250</v>
      </c>
      <c r="K32" s="1131">
        <f t="shared" si="20"/>
        <v>141250</v>
      </c>
      <c r="L32" s="1131">
        <f t="shared" si="20"/>
        <v>141250</v>
      </c>
      <c r="M32" s="1131">
        <f t="shared" si="20"/>
        <v>141250</v>
      </c>
      <c r="N32" s="205">
        <f t="shared" si="19"/>
        <v>141172.84209475201</v>
      </c>
      <c r="O32" s="206">
        <f>'A2-FinPerf SC'!I32</f>
        <v>1694922.842094752</v>
      </c>
      <c r="P32" s="204">
        <f>'A2-FinPerf SC'!J32</f>
        <v>1844179.5734116803</v>
      </c>
      <c r="Q32" s="205">
        <f>'A2-FinPerf SC'!K32</f>
        <v>1932502.1392846145</v>
      </c>
      <c r="R32" s="345"/>
    </row>
    <row r="33" spans="1:18" ht="11.25" customHeight="1">
      <c r="A33" s="1244" t="str">
        <f>'A2-FinPerf SC'!A33</f>
        <v>Community and social services</v>
      </c>
      <c r="B33" s="849"/>
      <c r="C33" s="1821">
        <f>1695000/12</f>
        <v>141250</v>
      </c>
      <c r="D33" s="1821">
        <f t="shared" ref="D33:M33" si="21">1695000/12</f>
        <v>141250</v>
      </c>
      <c r="E33" s="1821">
        <f t="shared" si="21"/>
        <v>141250</v>
      </c>
      <c r="F33" s="1821">
        <f t="shared" si="21"/>
        <v>141250</v>
      </c>
      <c r="G33" s="1821">
        <f t="shared" si="21"/>
        <v>141250</v>
      </c>
      <c r="H33" s="1821">
        <f t="shared" si="21"/>
        <v>141250</v>
      </c>
      <c r="I33" s="1821">
        <f t="shared" si="21"/>
        <v>141250</v>
      </c>
      <c r="J33" s="1821">
        <f t="shared" si="21"/>
        <v>141250</v>
      </c>
      <c r="K33" s="1821">
        <f t="shared" si="21"/>
        <v>141250</v>
      </c>
      <c r="L33" s="1821">
        <f t="shared" si="21"/>
        <v>141250</v>
      </c>
      <c r="M33" s="1821">
        <f t="shared" si="21"/>
        <v>141250</v>
      </c>
      <c r="N33" s="190">
        <f t="shared" si="19"/>
        <v>141172.84209475201</v>
      </c>
      <c r="O33" s="191">
        <f>'A2-FinPerf SC'!I33</f>
        <v>1694922.842094752</v>
      </c>
      <c r="P33" s="189">
        <f>'A2-FinPerf SC'!J33</f>
        <v>1844179.5734116803</v>
      </c>
      <c r="Q33" s="190">
        <f>'A2-FinPerf SC'!K33</f>
        <v>1932502.1392846145</v>
      </c>
      <c r="R33" s="345"/>
    </row>
    <row r="34" spans="1:18" ht="11.25" customHeight="1">
      <c r="A34" s="1244" t="str">
        <f>'A2-FinPerf SC'!A34</f>
        <v>Sport and recreation</v>
      </c>
      <c r="B34" s="849"/>
      <c r="C34" s="1821">
        <f>SUMIFS(TB!Z:Z,TB!$H:$H,"E",TB!$G:$G,'SA27'!$A34)</f>
        <v>0</v>
      </c>
      <c r="D34" s="1805">
        <f>SUMIFS(TB!AA:AA,TB!$H:$H,"E",TB!$G:$G,'SA27'!$A34)</f>
        <v>0</v>
      </c>
      <c r="E34" s="1805">
        <f>SUMIFS(TB!AB:AB,TB!$H:$H,"E",TB!$G:$G,'SA27'!$A34)</f>
        <v>0</v>
      </c>
      <c r="F34" s="1805">
        <f>SUMIFS(TB!AC:AC,TB!$H:$H,"E",TB!$G:$G,'SA27'!$A34)</f>
        <v>0</v>
      </c>
      <c r="G34" s="1805">
        <f>SUMIFS(TB!AD:AD,TB!$H:$H,"E",TB!$G:$G,'SA27'!$A34)</f>
        <v>0</v>
      </c>
      <c r="H34" s="1805">
        <f>SUMIFS(TB!AE:AE,TB!$H:$H,"E",TB!$G:$G,'SA27'!$A34)</f>
        <v>0</v>
      </c>
      <c r="I34" s="1805">
        <f>SUMIFS(TB!AF:AF,TB!$H:$H,"E",TB!$G:$G,'SA27'!$A34)</f>
        <v>0</v>
      </c>
      <c r="J34" s="1805">
        <f>SUMIFS(TB!AG:AG,TB!$H:$H,"E",TB!$G:$G,'SA27'!$A34)</f>
        <v>0</v>
      </c>
      <c r="K34" s="1805">
        <f>SUMIFS(TB!AH:AH,TB!$H:$H,"E",TB!$G:$G,'SA27'!$A34)</f>
        <v>0</v>
      </c>
      <c r="L34" s="1805">
        <f>SUMIFS(TB!AI:AI,TB!$H:$H,"E",TB!$G:$G,'SA27'!$A34)</f>
        <v>0</v>
      </c>
      <c r="M34" s="1805">
        <f>SUMIFS(TB!AJ:AJ,TB!$H:$H,"E",TB!$G:$G,'SA27'!$A34)</f>
        <v>0</v>
      </c>
      <c r="N34" s="190">
        <f t="shared" si="19"/>
        <v>0</v>
      </c>
      <c r="O34" s="191">
        <f>'A2-FinPerf SC'!I34</f>
        <v>0</v>
      </c>
      <c r="P34" s="189">
        <f>'A2-FinPerf SC'!J34</f>
        <v>0</v>
      </c>
      <c r="Q34" s="190">
        <f>'A2-FinPerf SC'!K34</f>
        <v>0</v>
      </c>
      <c r="R34" s="345"/>
    </row>
    <row r="35" spans="1:18" ht="11.25" customHeight="1">
      <c r="A35" s="1244" t="str">
        <f>'A2-FinPerf SC'!A35</f>
        <v>Public safety</v>
      </c>
      <c r="B35" s="849"/>
      <c r="C35" s="1821">
        <f>SUMIFS(TB!Z:Z,TB!$H:$H,"E",TB!$G:$G,'SA27'!$A35)</f>
        <v>0</v>
      </c>
      <c r="D35" s="1805">
        <f>SUMIFS(TB!AA:AA,TB!$H:$H,"E",TB!$G:$G,'SA27'!$A35)</f>
        <v>0</v>
      </c>
      <c r="E35" s="1805">
        <f>SUMIFS(TB!AB:AB,TB!$H:$H,"E",TB!$G:$G,'SA27'!$A35)</f>
        <v>0</v>
      </c>
      <c r="F35" s="1805">
        <f>SUMIFS(TB!AC:AC,TB!$H:$H,"E",TB!$G:$G,'SA27'!$A35)</f>
        <v>0</v>
      </c>
      <c r="G35" s="1805">
        <f>SUMIFS(TB!AD:AD,TB!$H:$H,"E",TB!$G:$G,'SA27'!$A35)</f>
        <v>0</v>
      </c>
      <c r="H35" s="1805">
        <f>SUMIFS(TB!AE:AE,TB!$H:$H,"E",TB!$G:$G,'SA27'!$A35)</f>
        <v>0</v>
      </c>
      <c r="I35" s="1805">
        <f>SUMIFS(TB!AF:AF,TB!$H:$H,"E",TB!$G:$G,'SA27'!$A35)</f>
        <v>0</v>
      </c>
      <c r="J35" s="1805">
        <f>SUMIFS(TB!AG:AG,TB!$H:$H,"E",TB!$G:$G,'SA27'!$A35)</f>
        <v>0</v>
      </c>
      <c r="K35" s="1805">
        <f>SUMIFS(TB!AH:AH,TB!$H:$H,"E",TB!$G:$G,'SA27'!$A35)</f>
        <v>0</v>
      </c>
      <c r="L35" s="1805">
        <f>SUMIFS(TB!AI:AI,TB!$H:$H,"E",TB!$G:$G,'SA27'!$A35)</f>
        <v>0</v>
      </c>
      <c r="M35" s="1805">
        <f>SUMIFS(TB!AJ:AJ,TB!$H:$H,"E",TB!$G:$G,'SA27'!$A35)</f>
        <v>0</v>
      </c>
      <c r="N35" s="190">
        <f t="shared" si="19"/>
        <v>0</v>
      </c>
      <c r="O35" s="191">
        <f>'A2-FinPerf SC'!I35</f>
        <v>0</v>
      </c>
      <c r="P35" s="189">
        <f>'A2-FinPerf SC'!J35</f>
        <v>0</v>
      </c>
      <c r="Q35" s="190">
        <f>'A2-FinPerf SC'!K35</f>
        <v>0</v>
      </c>
      <c r="R35" s="345"/>
    </row>
    <row r="36" spans="1:18" ht="11.25" customHeight="1">
      <c r="A36" s="1244" t="str">
        <f>'A2-FinPerf SC'!A36</f>
        <v>Housing</v>
      </c>
      <c r="B36" s="849"/>
      <c r="C36" s="1821">
        <f>SUMIFS(TB!Z:Z,TB!$H:$H,"E",TB!$G:$G,'SA27'!$A36)</f>
        <v>0</v>
      </c>
      <c r="D36" s="1805">
        <f>SUMIFS(TB!AA:AA,TB!$H:$H,"E",TB!$G:$G,'SA27'!$A36)</f>
        <v>0</v>
      </c>
      <c r="E36" s="1805">
        <f>SUMIFS(TB!AB:AB,TB!$H:$H,"E",TB!$G:$G,'SA27'!$A36)</f>
        <v>0</v>
      </c>
      <c r="F36" s="1805">
        <f>SUMIFS(TB!AC:AC,TB!$H:$H,"E",TB!$G:$G,'SA27'!$A36)</f>
        <v>0</v>
      </c>
      <c r="G36" s="1805">
        <f>SUMIFS(TB!AD:AD,TB!$H:$H,"E",TB!$G:$G,'SA27'!$A36)</f>
        <v>0</v>
      </c>
      <c r="H36" s="1805">
        <f>SUMIFS(TB!AE:AE,TB!$H:$H,"E",TB!$G:$G,'SA27'!$A36)</f>
        <v>0</v>
      </c>
      <c r="I36" s="1805">
        <f>SUMIFS(TB!AF:AF,TB!$H:$H,"E",TB!$G:$G,'SA27'!$A36)</f>
        <v>0</v>
      </c>
      <c r="J36" s="1805">
        <f>SUMIFS(TB!AG:AG,TB!$H:$H,"E",TB!$G:$G,'SA27'!$A36)</f>
        <v>0</v>
      </c>
      <c r="K36" s="1805">
        <f>SUMIFS(TB!AH:AH,TB!$H:$H,"E",TB!$G:$G,'SA27'!$A36)</f>
        <v>0</v>
      </c>
      <c r="L36" s="1805">
        <f>SUMIFS(TB!AI:AI,TB!$H:$H,"E",TB!$G:$G,'SA27'!$A36)</f>
        <v>0</v>
      </c>
      <c r="M36" s="1805">
        <f>SUMIFS(TB!AJ:AJ,TB!$H:$H,"E",TB!$G:$G,'SA27'!$A36)</f>
        <v>0</v>
      </c>
      <c r="N36" s="190">
        <f t="shared" si="19"/>
        <v>0</v>
      </c>
      <c r="O36" s="191">
        <f>'A2-FinPerf SC'!I36</f>
        <v>0</v>
      </c>
      <c r="P36" s="189">
        <f>'A2-FinPerf SC'!J36</f>
        <v>0</v>
      </c>
      <c r="Q36" s="190">
        <f>'A2-FinPerf SC'!K36</f>
        <v>0</v>
      </c>
      <c r="R36" s="345"/>
    </row>
    <row r="37" spans="1:18" ht="11.25" customHeight="1">
      <c r="A37" s="1244" t="str">
        <f>'A2-FinPerf SC'!A37</f>
        <v>Health</v>
      </c>
      <c r="B37" s="849"/>
      <c r="C37" s="1821">
        <f>SUMIFS(TB!Z:Z,TB!$H:$H,"E",TB!$G:$G,'SA27'!$A37)</f>
        <v>0</v>
      </c>
      <c r="D37" s="1805">
        <f>SUMIFS(TB!AA:AA,TB!$H:$H,"E",TB!$G:$G,'SA27'!$A37)</f>
        <v>0</v>
      </c>
      <c r="E37" s="1805">
        <f>SUMIFS(TB!AB:AB,TB!$H:$H,"E",TB!$G:$G,'SA27'!$A37)</f>
        <v>0</v>
      </c>
      <c r="F37" s="1805">
        <f>SUMIFS(TB!AC:AC,TB!$H:$H,"E",TB!$G:$G,'SA27'!$A37)</f>
        <v>0</v>
      </c>
      <c r="G37" s="1805">
        <f>SUMIFS(TB!AD:AD,TB!$H:$H,"E",TB!$G:$G,'SA27'!$A37)</f>
        <v>0</v>
      </c>
      <c r="H37" s="1805">
        <f>SUMIFS(TB!AE:AE,TB!$H:$H,"E",TB!$G:$G,'SA27'!$A37)</f>
        <v>0</v>
      </c>
      <c r="I37" s="1805">
        <f>SUMIFS(TB!AF:AF,TB!$H:$H,"E",TB!$G:$G,'SA27'!$A37)</f>
        <v>0</v>
      </c>
      <c r="J37" s="1805">
        <f>SUMIFS(TB!AG:AG,TB!$H:$H,"E",TB!$G:$G,'SA27'!$A37)</f>
        <v>0</v>
      </c>
      <c r="K37" s="1805">
        <f>SUMIFS(TB!AH:AH,TB!$H:$H,"E",TB!$G:$G,'SA27'!$A37)</f>
        <v>0</v>
      </c>
      <c r="L37" s="1805">
        <f>SUMIFS(TB!AI:AI,TB!$H:$H,"E",TB!$G:$G,'SA27'!$A37)</f>
        <v>0</v>
      </c>
      <c r="M37" s="1805">
        <f>SUMIFS(TB!AJ:AJ,TB!$H:$H,"E",TB!$G:$G,'SA27'!$A37)</f>
        <v>0</v>
      </c>
      <c r="N37" s="190">
        <f t="shared" si="19"/>
        <v>0</v>
      </c>
      <c r="O37" s="191">
        <f>'A2-FinPerf SC'!I37</f>
        <v>0</v>
      </c>
      <c r="P37" s="189">
        <f>'A2-FinPerf SC'!J37</f>
        <v>0</v>
      </c>
      <c r="Q37" s="190">
        <f>'A2-FinPerf SC'!K37</f>
        <v>0</v>
      </c>
      <c r="R37" s="345"/>
    </row>
    <row r="38" spans="1:18" ht="11.25" customHeight="1">
      <c r="A38" s="1243" t="str">
        <f>'A2-FinPerf SC'!A38</f>
        <v>Economic and environmental services</v>
      </c>
      <c r="B38" s="849"/>
      <c r="C38" s="1133">
        <f>SUM(C39:C41)</f>
        <v>286250</v>
      </c>
      <c r="D38" s="1131">
        <f t="shared" ref="D38:M38" si="22">SUM(D39:D41)</f>
        <v>286250</v>
      </c>
      <c r="E38" s="1131">
        <f t="shared" si="22"/>
        <v>286250</v>
      </c>
      <c r="F38" s="1131">
        <f t="shared" si="22"/>
        <v>286250</v>
      </c>
      <c r="G38" s="1131">
        <f t="shared" si="22"/>
        <v>286250</v>
      </c>
      <c r="H38" s="1131">
        <f t="shared" si="22"/>
        <v>286250</v>
      </c>
      <c r="I38" s="1131">
        <f t="shared" si="22"/>
        <v>286250</v>
      </c>
      <c r="J38" s="1131">
        <f t="shared" si="22"/>
        <v>286250</v>
      </c>
      <c r="K38" s="1131">
        <f t="shared" si="22"/>
        <v>286250</v>
      </c>
      <c r="L38" s="1131">
        <f t="shared" si="22"/>
        <v>286250</v>
      </c>
      <c r="M38" s="1131">
        <f t="shared" si="22"/>
        <v>286250</v>
      </c>
      <c r="N38" s="205">
        <f t="shared" ref="N38:N47" si="23">O38-SUM(C38:M38)</f>
        <v>285987.00482572801</v>
      </c>
      <c r="O38" s="206">
        <f>'A2-FinPerf SC'!I38</f>
        <v>3434737.004825728</v>
      </c>
      <c r="P38" s="204">
        <f>'A2-FinPerf SC'!J38</f>
        <v>3706664.4857391464</v>
      </c>
      <c r="Q38" s="205">
        <f>'A2-FinPerf SC'!K38</f>
        <v>3901050.9705955391</v>
      </c>
      <c r="R38" s="345"/>
    </row>
    <row r="39" spans="1:18" ht="11.25" customHeight="1">
      <c r="A39" s="1244" t="str">
        <f>'A2-FinPerf SC'!A39</f>
        <v>Planning and development</v>
      </c>
      <c r="B39" s="849"/>
      <c r="C39" s="1821">
        <f>SUMIFS(TB!Z:Z,TB!$H:$H,"E",TB!$G:$G,'SA27'!$A39)</f>
        <v>0</v>
      </c>
      <c r="D39" s="1805">
        <f>SUMIFS(TB!AA:AA,TB!$H:$H,"E",TB!$G:$G,'SA27'!$A39)</f>
        <v>0</v>
      </c>
      <c r="E39" s="1805">
        <f>SUMIFS(TB!AB:AB,TB!$H:$H,"E",TB!$G:$G,'SA27'!$A39)</f>
        <v>0</v>
      </c>
      <c r="F39" s="1805">
        <f>SUMIFS(TB!AC:AC,TB!$H:$H,"E",TB!$G:$G,'SA27'!$A39)</f>
        <v>0</v>
      </c>
      <c r="G39" s="1805">
        <f>SUMIFS(TB!AD:AD,TB!$H:$H,"E",TB!$G:$G,'SA27'!$A39)</f>
        <v>0</v>
      </c>
      <c r="H39" s="1805">
        <f>SUMIFS(TB!AE:AE,TB!$H:$H,"E",TB!$G:$G,'SA27'!$A39)</f>
        <v>0</v>
      </c>
      <c r="I39" s="1805">
        <f>SUMIFS(TB!AF:AF,TB!$H:$H,"E",TB!$G:$G,'SA27'!$A39)</f>
        <v>0</v>
      </c>
      <c r="J39" s="1805">
        <f>SUMIFS(TB!AG:AG,TB!$H:$H,"E",TB!$G:$G,'SA27'!$A39)</f>
        <v>0</v>
      </c>
      <c r="K39" s="1805">
        <f>SUMIFS(TB!AH:AH,TB!$H:$H,"E",TB!$G:$G,'SA27'!$A39)</f>
        <v>0</v>
      </c>
      <c r="L39" s="1805">
        <f>SUMIFS(TB!AI:AI,TB!$H:$H,"E",TB!$G:$G,'SA27'!$A39)</f>
        <v>0</v>
      </c>
      <c r="M39" s="1805">
        <f>SUMIFS(TB!AJ:AJ,TB!$H:$H,"E",TB!$G:$G,'SA27'!$A39)</f>
        <v>0</v>
      </c>
      <c r="N39" s="190">
        <f t="shared" si="23"/>
        <v>0</v>
      </c>
      <c r="O39" s="191">
        <f>'A2-FinPerf SC'!I39</f>
        <v>0</v>
      </c>
      <c r="P39" s="189">
        <f>'A2-FinPerf SC'!J39</f>
        <v>0</v>
      </c>
      <c r="Q39" s="190">
        <f>'A2-FinPerf SC'!K39</f>
        <v>0</v>
      </c>
      <c r="R39" s="345"/>
    </row>
    <row r="40" spans="1:18" ht="11.25" customHeight="1">
      <c r="A40" s="1244" t="str">
        <f>'A2-FinPerf SC'!A40</f>
        <v>Road transport</v>
      </c>
      <c r="B40" s="849"/>
      <c r="C40" s="1821">
        <f>3435000/12</f>
        <v>286250</v>
      </c>
      <c r="D40" s="1821">
        <f t="shared" ref="D40:M40" si="24">3435000/12</f>
        <v>286250</v>
      </c>
      <c r="E40" s="1821">
        <f t="shared" si="24"/>
        <v>286250</v>
      </c>
      <c r="F40" s="1821">
        <f t="shared" si="24"/>
        <v>286250</v>
      </c>
      <c r="G40" s="1821">
        <f t="shared" si="24"/>
        <v>286250</v>
      </c>
      <c r="H40" s="1821">
        <f t="shared" si="24"/>
        <v>286250</v>
      </c>
      <c r="I40" s="1821">
        <f t="shared" si="24"/>
        <v>286250</v>
      </c>
      <c r="J40" s="1821">
        <f t="shared" si="24"/>
        <v>286250</v>
      </c>
      <c r="K40" s="1821">
        <f t="shared" si="24"/>
        <v>286250</v>
      </c>
      <c r="L40" s="1821">
        <f t="shared" si="24"/>
        <v>286250</v>
      </c>
      <c r="M40" s="1821">
        <f t="shared" si="24"/>
        <v>286250</v>
      </c>
      <c r="N40" s="190">
        <f t="shared" si="23"/>
        <v>285987.00482572801</v>
      </c>
      <c r="O40" s="191">
        <f>'A2-FinPerf SC'!I40</f>
        <v>3434737.004825728</v>
      </c>
      <c r="P40" s="189">
        <f>'A2-FinPerf SC'!J40</f>
        <v>3706664.4857391464</v>
      </c>
      <c r="Q40" s="190">
        <f>'A2-FinPerf SC'!K40</f>
        <v>3901050.9705955391</v>
      </c>
      <c r="R40" s="345"/>
    </row>
    <row r="41" spans="1:18" ht="11.25" customHeight="1">
      <c r="A41" s="1244" t="str">
        <f>'A2-FinPerf SC'!A41</f>
        <v>Environmental protection</v>
      </c>
      <c r="B41" s="849"/>
      <c r="C41" s="1821">
        <f>SUMIFS(TB!Z:Z,TB!$H:$H,"E",TB!$G:$G,'SA27'!$A41)</f>
        <v>0</v>
      </c>
      <c r="D41" s="1805">
        <f>SUMIFS(TB!AA:AA,TB!$H:$H,"E",TB!$G:$G,'SA27'!$A41)</f>
        <v>0</v>
      </c>
      <c r="E41" s="1805">
        <f>SUMIFS(TB!AB:AB,TB!$H:$H,"E",TB!$G:$G,'SA27'!$A41)</f>
        <v>0</v>
      </c>
      <c r="F41" s="1805">
        <f>SUMIFS(TB!AC:AC,TB!$H:$H,"E",TB!$G:$G,'SA27'!$A41)</f>
        <v>0</v>
      </c>
      <c r="G41" s="1805">
        <f>SUMIFS(TB!AD:AD,TB!$H:$H,"E",TB!$G:$G,'SA27'!$A41)</f>
        <v>0</v>
      </c>
      <c r="H41" s="1805">
        <f>SUMIFS(TB!AE:AE,TB!$H:$H,"E",TB!$G:$G,'SA27'!$A41)</f>
        <v>0</v>
      </c>
      <c r="I41" s="1805">
        <f>SUMIFS(TB!AF:AF,TB!$H:$H,"E",TB!$G:$G,'SA27'!$A41)</f>
        <v>0</v>
      </c>
      <c r="J41" s="1805">
        <f>SUMIFS(TB!AG:AG,TB!$H:$H,"E",TB!$G:$G,'SA27'!$A41)</f>
        <v>0</v>
      </c>
      <c r="K41" s="1805">
        <f>SUMIFS(TB!AH:AH,TB!$H:$H,"E",TB!$G:$G,'SA27'!$A41)</f>
        <v>0</v>
      </c>
      <c r="L41" s="1805">
        <f>SUMIFS(TB!AI:AI,TB!$H:$H,"E",TB!$G:$G,'SA27'!$A41)</f>
        <v>0</v>
      </c>
      <c r="M41" s="1805">
        <f>SUMIFS(TB!AJ:AJ,TB!$H:$H,"E",TB!$G:$G,'SA27'!$A41)</f>
        <v>0</v>
      </c>
      <c r="N41" s="190">
        <f t="shared" si="23"/>
        <v>0</v>
      </c>
      <c r="O41" s="191">
        <f>'A2-FinPerf SC'!I41</f>
        <v>0</v>
      </c>
      <c r="P41" s="189">
        <f>'A2-FinPerf SC'!J41</f>
        <v>0</v>
      </c>
      <c r="Q41" s="190">
        <f>'A2-FinPerf SC'!K41</f>
        <v>0</v>
      </c>
      <c r="R41" s="345"/>
    </row>
    <row r="42" spans="1:18" ht="11.25" customHeight="1">
      <c r="A42" s="1243" t="str">
        <f>'A2-FinPerf SC'!A42</f>
        <v>Trading services</v>
      </c>
      <c r="B42" s="849"/>
      <c r="C42" s="1133">
        <f>SUM(C43:C46)</f>
        <v>0</v>
      </c>
      <c r="D42" s="1131">
        <f t="shared" ref="D42:M42" si="25">SUM(D43:D46)</f>
        <v>0</v>
      </c>
      <c r="E42" s="1131">
        <f t="shared" si="25"/>
        <v>0</v>
      </c>
      <c r="F42" s="1131">
        <f t="shared" si="25"/>
        <v>0</v>
      </c>
      <c r="G42" s="1131">
        <f t="shared" si="25"/>
        <v>0</v>
      </c>
      <c r="H42" s="1131">
        <f t="shared" si="25"/>
        <v>0</v>
      </c>
      <c r="I42" s="1131">
        <f t="shared" si="25"/>
        <v>0</v>
      </c>
      <c r="J42" s="1131">
        <f t="shared" si="25"/>
        <v>0</v>
      </c>
      <c r="K42" s="1131">
        <f t="shared" si="25"/>
        <v>0</v>
      </c>
      <c r="L42" s="1131">
        <f t="shared" si="25"/>
        <v>0</v>
      </c>
      <c r="M42" s="1131">
        <f t="shared" si="25"/>
        <v>0</v>
      </c>
      <c r="N42" s="205">
        <f>O42-SUM(C42:M42)</f>
        <v>0</v>
      </c>
      <c r="O42" s="206">
        <f>'A2-FinPerf SC'!I42</f>
        <v>0</v>
      </c>
      <c r="P42" s="204">
        <f>'A2-FinPerf SC'!J42</f>
        <v>0</v>
      </c>
      <c r="Q42" s="205">
        <f>'A2-FinPerf SC'!K42</f>
        <v>0</v>
      </c>
      <c r="R42" s="345"/>
    </row>
    <row r="43" spans="1:18" ht="11.25" customHeight="1">
      <c r="A43" s="1244" t="str">
        <f>'A2-FinPerf SC'!A43</f>
        <v>Electricity</v>
      </c>
      <c r="B43" s="849"/>
      <c r="C43" s="1821">
        <f>SUMIFS(TB!Z:Z,TB!$H:$H,"E",TB!$G:$G,'SA27'!$A43)</f>
        <v>0</v>
      </c>
      <c r="D43" s="1805">
        <f>SUMIFS(TB!AA:AA,TB!$H:$H,"E",TB!$G:$G,'SA27'!$A43)</f>
        <v>0</v>
      </c>
      <c r="E43" s="1805">
        <f>SUMIFS(TB!AB:AB,TB!$H:$H,"E",TB!$G:$G,'SA27'!$A43)</f>
        <v>0</v>
      </c>
      <c r="F43" s="1805">
        <f>SUMIFS(TB!AC:AC,TB!$H:$H,"E",TB!$G:$G,'SA27'!$A43)</f>
        <v>0</v>
      </c>
      <c r="G43" s="1805">
        <f>SUMIFS(TB!AD:AD,TB!$H:$H,"E",TB!$G:$G,'SA27'!$A43)</f>
        <v>0</v>
      </c>
      <c r="H43" s="1805">
        <f>SUMIFS(TB!AE:AE,TB!$H:$H,"E",TB!$G:$G,'SA27'!$A43)</f>
        <v>0</v>
      </c>
      <c r="I43" s="1805">
        <f>SUMIFS(TB!AF:AF,TB!$H:$H,"E",TB!$G:$G,'SA27'!$A43)</f>
        <v>0</v>
      </c>
      <c r="J43" s="1805">
        <f>SUMIFS(TB!AG:AG,TB!$H:$H,"E",TB!$G:$G,'SA27'!$A43)</f>
        <v>0</v>
      </c>
      <c r="K43" s="1805">
        <f>SUMIFS(TB!AH:AH,TB!$H:$H,"E",TB!$G:$G,'SA27'!$A43)</f>
        <v>0</v>
      </c>
      <c r="L43" s="1805">
        <f>SUMIFS(TB!AI:AI,TB!$H:$H,"E",TB!$G:$G,'SA27'!$A43)</f>
        <v>0</v>
      </c>
      <c r="M43" s="1805">
        <f>SUMIFS(TB!AJ:AJ,TB!$H:$H,"E",TB!$G:$G,'SA27'!$A43)</f>
        <v>0</v>
      </c>
      <c r="N43" s="190">
        <f t="shared" si="23"/>
        <v>0</v>
      </c>
      <c r="O43" s="191">
        <f>'A2-FinPerf SC'!I43</f>
        <v>0</v>
      </c>
      <c r="P43" s="189">
        <f>'A2-FinPerf SC'!J43</f>
        <v>0</v>
      </c>
      <c r="Q43" s="190">
        <f>'A2-FinPerf SC'!K43</f>
        <v>0</v>
      </c>
      <c r="R43" s="345"/>
    </row>
    <row r="44" spans="1:18" ht="11.25" customHeight="1">
      <c r="A44" s="1244" t="str">
        <f>'A2-FinPerf SC'!A44</f>
        <v>Water</v>
      </c>
      <c r="B44" s="849"/>
      <c r="C44" s="1821">
        <f>SUMIFS(TB!Z:Z,TB!$H:$H,"E",TB!$G:$G,'SA27'!$A44)</f>
        <v>0</v>
      </c>
      <c r="D44" s="1805">
        <f>SUMIFS(TB!AA:AA,TB!$H:$H,"E",TB!$G:$G,'SA27'!$A44)</f>
        <v>0</v>
      </c>
      <c r="E44" s="1805">
        <f>SUMIFS(TB!AB:AB,TB!$H:$H,"E",TB!$G:$G,'SA27'!$A44)</f>
        <v>0</v>
      </c>
      <c r="F44" s="1805">
        <f>SUMIFS(TB!AC:AC,TB!$H:$H,"E",TB!$G:$G,'SA27'!$A44)</f>
        <v>0</v>
      </c>
      <c r="G44" s="1805">
        <f>SUMIFS(TB!AD:AD,TB!$H:$H,"E",TB!$G:$G,'SA27'!$A44)</f>
        <v>0</v>
      </c>
      <c r="H44" s="1805">
        <f>SUMIFS(TB!AE:AE,TB!$H:$H,"E",TB!$G:$G,'SA27'!$A44)</f>
        <v>0</v>
      </c>
      <c r="I44" s="1805">
        <f>SUMIFS(TB!AF:AF,TB!$H:$H,"E",TB!$G:$G,'SA27'!$A44)</f>
        <v>0</v>
      </c>
      <c r="J44" s="1805">
        <f>SUMIFS(TB!AG:AG,TB!$H:$H,"E",TB!$G:$G,'SA27'!$A44)</f>
        <v>0</v>
      </c>
      <c r="K44" s="1805">
        <f>SUMIFS(TB!AH:AH,TB!$H:$H,"E",TB!$G:$G,'SA27'!$A44)</f>
        <v>0</v>
      </c>
      <c r="L44" s="1805">
        <f>SUMIFS(TB!AI:AI,TB!$H:$H,"E",TB!$G:$G,'SA27'!$A44)</f>
        <v>0</v>
      </c>
      <c r="M44" s="1805">
        <f>SUMIFS(TB!AJ:AJ,TB!$H:$H,"E",TB!$G:$G,'SA27'!$A44)</f>
        <v>0</v>
      </c>
      <c r="N44" s="190">
        <f t="shared" si="23"/>
        <v>0</v>
      </c>
      <c r="O44" s="191">
        <f>'A2-FinPerf SC'!I44</f>
        <v>0</v>
      </c>
      <c r="P44" s="189">
        <f>'A2-FinPerf SC'!J44</f>
        <v>0</v>
      </c>
      <c r="Q44" s="190">
        <f>'A2-FinPerf SC'!K44</f>
        <v>0</v>
      </c>
      <c r="R44" s="345"/>
    </row>
    <row r="45" spans="1:18" ht="11.25" customHeight="1">
      <c r="A45" s="1244" t="str">
        <f>'A2-FinPerf SC'!A45</f>
        <v>Waste water management</v>
      </c>
      <c r="B45" s="849"/>
      <c r="C45" s="1821">
        <f>SUMIFS(TB!Z:Z,TB!$H:$H,"E",TB!$G:$G,'SA27'!$A45)</f>
        <v>0</v>
      </c>
      <c r="D45" s="1805">
        <f>SUMIFS(TB!AA:AA,TB!$H:$H,"E",TB!$G:$G,'SA27'!$A45)</f>
        <v>0</v>
      </c>
      <c r="E45" s="1805">
        <f>SUMIFS(TB!AB:AB,TB!$H:$H,"E",TB!$G:$G,'SA27'!$A45)</f>
        <v>0</v>
      </c>
      <c r="F45" s="1805">
        <f>SUMIFS(TB!AC:AC,TB!$H:$H,"E",TB!$G:$G,'SA27'!$A45)</f>
        <v>0</v>
      </c>
      <c r="G45" s="1805">
        <f>SUMIFS(TB!AD:AD,TB!$H:$H,"E",TB!$G:$G,'SA27'!$A45)</f>
        <v>0</v>
      </c>
      <c r="H45" s="1805">
        <f>SUMIFS(TB!AE:AE,TB!$H:$H,"E",TB!$G:$G,'SA27'!$A45)</f>
        <v>0</v>
      </c>
      <c r="I45" s="1805">
        <f>SUMIFS(TB!AF:AF,TB!$H:$H,"E",TB!$G:$G,'SA27'!$A45)</f>
        <v>0</v>
      </c>
      <c r="J45" s="1805">
        <f>SUMIFS(TB!AG:AG,TB!$H:$H,"E",TB!$G:$G,'SA27'!$A45)</f>
        <v>0</v>
      </c>
      <c r="K45" s="1805">
        <f>SUMIFS(TB!AH:AH,TB!$H:$H,"E",TB!$G:$G,'SA27'!$A45)</f>
        <v>0</v>
      </c>
      <c r="L45" s="1805">
        <f>SUMIFS(TB!AI:AI,TB!$H:$H,"E",TB!$G:$G,'SA27'!$A45)</f>
        <v>0</v>
      </c>
      <c r="M45" s="1805">
        <f>SUMIFS(TB!AJ:AJ,TB!$H:$H,"E",TB!$G:$G,'SA27'!$A45)</f>
        <v>0</v>
      </c>
      <c r="N45" s="190">
        <f t="shared" si="23"/>
        <v>0</v>
      </c>
      <c r="O45" s="191">
        <f>'A2-FinPerf SC'!I45</f>
        <v>0</v>
      </c>
      <c r="P45" s="189">
        <f>'A2-FinPerf SC'!J45</f>
        <v>0</v>
      </c>
      <c r="Q45" s="190">
        <f>'A2-FinPerf SC'!K45</f>
        <v>0</v>
      </c>
      <c r="R45" s="345"/>
    </row>
    <row r="46" spans="1:18" ht="11.25" customHeight="1">
      <c r="A46" s="1244" t="str">
        <f>'A2-FinPerf SC'!A46</f>
        <v>Waste management</v>
      </c>
      <c r="B46" s="849"/>
      <c r="C46" s="1821">
        <f>SUMIFS(TB!Z:Z,TB!$H:$H,"E",TB!$G:$G,'SA27'!$A46)</f>
        <v>0</v>
      </c>
      <c r="D46" s="1805">
        <f>SUMIFS(TB!AA:AA,TB!$H:$H,"E",TB!$G:$G,'SA27'!$A46)</f>
        <v>0</v>
      </c>
      <c r="E46" s="1805">
        <f>SUMIFS(TB!AB:AB,TB!$H:$H,"E",TB!$G:$G,'SA27'!$A46)</f>
        <v>0</v>
      </c>
      <c r="F46" s="1805">
        <f>SUMIFS(TB!AC:AC,TB!$H:$H,"E",TB!$G:$G,'SA27'!$A46)</f>
        <v>0</v>
      </c>
      <c r="G46" s="1805">
        <f>SUMIFS(TB!AD:AD,TB!$H:$H,"E",TB!$G:$G,'SA27'!$A46)</f>
        <v>0</v>
      </c>
      <c r="H46" s="1805">
        <f>SUMIFS(TB!AE:AE,TB!$H:$H,"E",TB!$G:$G,'SA27'!$A46)</f>
        <v>0</v>
      </c>
      <c r="I46" s="1805">
        <f>SUMIFS(TB!AF:AF,TB!$H:$H,"E",TB!$G:$G,'SA27'!$A46)</f>
        <v>0</v>
      </c>
      <c r="J46" s="1805">
        <f>SUMIFS(TB!AG:AG,TB!$H:$H,"E",TB!$G:$G,'SA27'!$A46)</f>
        <v>0</v>
      </c>
      <c r="K46" s="1805">
        <f>SUMIFS(TB!AH:AH,TB!$H:$H,"E",TB!$G:$G,'SA27'!$A46)</f>
        <v>0</v>
      </c>
      <c r="L46" s="1805">
        <f>SUMIFS(TB!AI:AI,TB!$H:$H,"E",TB!$G:$G,'SA27'!$A46)</f>
        <v>0</v>
      </c>
      <c r="M46" s="1805">
        <f>SUMIFS(TB!AJ:AJ,TB!$H:$H,"E",TB!$G:$G,'SA27'!$A46)</f>
        <v>0</v>
      </c>
      <c r="N46" s="190">
        <f t="shared" si="23"/>
        <v>0</v>
      </c>
      <c r="O46" s="191">
        <f>'A2-FinPerf SC'!I46</f>
        <v>0</v>
      </c>
      <c r="P46" s="189">
        <f>'A2-FinPerf SC'!J46</f>
        <v>0</v>
      </c>
      <c r="Q46" s="190">
        <f>'A2-FinPerf SC'!K46</f>
        <v>0</v>
      </c>
      <c r="R46" s="345"/>
    </row>
    <row r="47" spans="1:18" ht="11.25" customHeight="1">
      <c r="A47" s="1243" t="str">
        <f>'A2-FinPerf SC'!A47</f>
        <v>Other</v>
      </c>
      <c r="B47" s="849"/>
      <c r="C47" s="1831">
        <f>SUMIFS(TB!Z:Z,TB!$H:$H,"E",TB!$G:$G,'SA27'!$A47)</f>
        <v>0</v>
      </c>
      <c r="D47" s="1829">
        <f>SUMIFS(TB!AA:AA,TB!$H:$H,"E",TB!$G:$G,'SA27'!$A47)</f>
        <v>0</v>
      </c>
      <c r="E47" s="1829">
        <f>SUMIFS(TB!AB:AB,TB!$H:$H,"E",TB!$G:$G,'SA27'!$A47)</f>
        <v>0</v>
      </c>
      <c r="F47" s="1829">
        <f>SUMIFS(TB!AC:AC,TB!$H:$H,"E",TB!$G:$G,'SA27'!$A47)</f>
        <v>0</v>
      </c>
      <c r="G47" s="1829">
        <f>SUMIFS(TB!AD:AD,TB!$H:$H,"E",TB!$G:$G,'SA27'!$A47)</f>
        <v>0</v>
      </c>
      <c r="H47" s="1829">
        <f>SUMIFS(TB!AE:AE,TB!$H:$H,"E",TB!$G:$G,'SA27'!$A47)</f>
        <v>0</v>
      </c>
      <c r="I47" s="1829">
        <f>SUMIFS(TB!AF:AF,TB!$H:$H,"E",TB!$G:$G,'SA27'!$A47)</f>
        <v>0</v>
      </c>
      <c r="J47" s="1829">
        <f>SUMIFS(TB!AG:AG,TB!$H:$H,"E",TB!$G:$G,'SA27'!$A47)</f>
        <v>0</v>
      </c>
      <c r="K47" s="1829">
        <f>SUMIFS(TB!AH:AH,TB!$H:$H,"E",TB!$G:$G,'SA27'!$A47)</f>
        <v>0</v>
      </c>
      <c r="L47" s="1829">
        <f>SUMIFS(TB!AI:AI,TB!$H:$H,"E",TB!$G:$G,'SA27'!$A47)</f>
        <v>0</v>
      </c>
      <c r="M47" s="1829">
        <f>SUMIFS(TB!AJ:AJ,TB!$H:$H,"E",TB!$G:$G,'SA27'!$A47)</f>
        <v>0</v>
      </c>
      <c r="N47" s="205">
        <f t="shared" si="23"/>
        <v>0</v>
      </c>
      <c r="O47" s="206">
        <f>'A2-FinPerf SC'!I47</f>
        <v>0</v>
      </c>
      <c r="P47" s="204">
        <f>'A2-FinPerf SC'!J47</f>
        <v>0</v>
      </c>
      <c r="Q47" s="205">
        <f>'A2-FinPerf SC'!K47</f>
        <v>0</v>
      </c>
      <c r="R47" s="345"/>
    </row>
    <row r="48" spans="1:18">
      <c r="A48" s="251" t="str">
        <f>'A2-FinPerf SC'!A48</f>
        <v>Total Expenditure - Standard</v>
      </c>
      <c r="B48" s="850"/>
      <c r="C48" s="255">
        <f>C28+C32+C38+C42+C47</f>
        <v>2948833.333333333</v>
      </c>
      <c r="D48" s="253">
        <f t="shared" ref="D48:P48" si="26">D28+D32+D38+D42+D47</f>
        <v>2948500</v>
      </c>
      <c r="E48" s="253">
        <f t="shared" si="26"/>
        <v>2948833.333333333</v>
      </c>
      <c r="F48" s="253">
        <f t="shared" si="26"/>
        <v>2948500</v>
      </c>
      <c r="G48" s="253">
        <f t="shared" si="26"/>
        <v>2948833.333333333</v>
      </c>
      <c r="H48" s="253">
        <f t="shared" si="26"/>
        <v>2948500</v>
      </c>
      <c r="I48" s="253">
        <f t="shared" si="26"/>
        <v>2948833.333333333</v>
      </c>
      <c r="J48" s="253">
        <f t="shared" si="26"/>
        <v>2948500</v>
      </c>
      <c r="K48" s="253">
        <f t="shared" si="26"/>
        <v>2948833.333333333</v>
      </c>
      <c r="L48" s="253">
        <f t="shared" si="26"/>
        <v>2948500</v>
      </c>
      <c r="M48" s="253">
        <f t="shared" si="26"/>
        <v>2948500</v>
      </c>
      <c r="N48" s="200">
        <f t="shared" si="26"/>
        <v>2949969.8084362531</v>
      </c>
      <c r="O48" s="201">
        <f t="shared" si="26"/>
        <v>35385136.475102916</v>
      </c>
      <c r="P48" s="199">
        <f t="shared" si="26"/>
        <v>28671249.005062968</v>
      </c>
      <c r="Q48" s="200">
        <f>Q28+Q32+Q38+Q42+Q47</f>
        <v>30648302.180813074</v>
      </c>
      <c r="R48" s="345"/>
    </row>
    <row r="49" spans="1:18" ht="6" customHeight="1">
      <c r="A49" s="259"/>
      <c r="B49" s="849"/>
      <c r="C49" s="191"/>
      <c r="D49" s="189"/>
      <c r="E49" s="189"/>
      <c r="F49" s="189"/>
      <c r="G49" s="189"/>
      <c r="H49" s="189"/>
      <c r="I49" s="189"/>
      <c r="J49" s="189"/>
      <c r="K49" s="189"/>
      <c r="L49" s="189"/>
      <c r="M49" s="189"/>
      <c r="N49" s="190"/>
      <c r="O49" s="191"/>
      <c r="P49" s="189"/>
      <c r="Q49" s="190"/>
      <c r="R49" s="345"/>
    </row>
    <row r="50" spans="1:18">
      <c r="A50" s="853" t="str">
        <f>'A4-FinPerf RE'!A38&amp;" before assoc."</f>
        <v>Surplus/(Deficit) before assoc.</v>
      </c>
      <c r="B50" s="854"/>
      <c r="C50" s="201">
        <f t="shared" ref="C50:Q50" si="27">C25-C48</f>
        <v>1564016.2601626022</v>
      </c>
      <c r="D50" s="199">
        <f t="shared" si="27"/>
        <v>1564349.5934959352</v>
      </c>
      <c r="E50" s="199">
        <f t="shared" si="27"/>
        <v>1564016.2601626022</v>
      </c>
      <c r="F50" s="199">
        <f t="shared" si="27"/>
        <v>1564349.5934959352</v>
      </c>
      <c r="G50" s="199">
        <f t="shared" si="27"/>
        <v>1564016.2601626022</v>
      </c>
      <c r="H50" s="199">
        <f t="shared" si="27"/>
        <v>1564349.5934959352</v>
      </c>
      <c r="I50" s="199">
        <f t="shared" si="27"/>
        <v>1564016.2601626022</v>
      </c>
      <c r="J50" s="199">
        <f t="shared" si="27"/>
        <v>1564349.5934959352</v>
      </c>
      <c r="K50" s="199">
        <f t="shared" si="27"/>
        <v>1564016.2601626022</v>
      </c>
      <c r="L50" s="199">
        <f t="shared" si="27"/>
        <v>1564349.5934959352</v>
      </c>
      <c r="M50" s="199">
        <f t="shared" si="27"/>
        <v>1564349.5934959352</v>
      </c>
      <c r="N50" s="200">
        <f t="shared" si="27"/>
        <v>1564034.3267084491</v>
      </c>
      <c r="O50" s="201">
        <f t="shared" si="27"/>
        <v>18770213.188497081</v>
      </c>
      <c r="P50" s="199">
        <f t="shared" si="27"/>
        <v>32612637.94011303</v>
      </c>
      <c r="Q50" s="200">
        <f t="shared" si="27"/>
        <v>34938192.353764929</v>
      </c>
      <c r="R50" s="345"/>
    </row>
    <row r="51" spans="1:18" ht="6" customHeight="1">
      <c r="A51" s="259"/>
      <c r="B51" s="849"/>
      <c r="C51" s="191"/>
      <c r="D51" s="189"/>
      <c r="E51" s="189"/>
      <c r="F51" s="189"/>
      <c r="G51" s="189"/>
      <c r="H51" s="189"/>
      <c r="I51" s="189"/>
      <c r="J51" s="189"/>
      <c r="K51" s="189"/>
      <c r="L51" s="189"/>
      <c r="M51" s="189"/>
      <c r="N51" s="190"/>
      <c r="O51" s="191"/>
      <c r="P51" s="189"/>
      <c r="Q51" s="190"/>
      <c r="R51" s="345"/>
    </row>
    <row r="52" spans="1:18">
      <c r="A52" s="507" t="str">
        <f>'A4-FinPerf RE'!A47</f>
        <v>Share of surplus/ (deficit) of associate</v>
      </c>
      <c r="B52" s="861"/>
      <c r="C52" s="1821">
        <f>SUMIFS(TB!Z:Z,TB!$H:$H,"E",TB!$G:$G,'SA27'!$A52)</f>
        <v>0</v>
      </c>
      <c r="D52" s="1805">
        <f>SUMIFS(TB!AA:AA,TB!$H:$H,"E",TB!$G:$G,'SA27'!$A52)</f>
        <v>0</v>
      </c>
      <c r="E52" s="1805">
        <f>SUMIFS(TB!AB:AB,TB!$H:$H,"E",TB!$G:$G,'SA27'!$A52)</f>
        <v>0</v>
      </c>
      <c r="F52" s="1805">
        <f>SUMIFS(TB!AC:AC,TB!$H:$H,"E",TB!$G:$G,'SA27'!$A52)</f>
        <v>0</v>
      </c>
      <c r="G52" s="1805">
        <f>SUMIFS(TB!AD:AD,TB!$H:$H,"E",TB!$G:$G,'SA27'!$A52)</f>
        <v>0</v>
      </c>
      <c r="H52" s="1805">
        <f>SUMIFS(TB!AE:AE,TB!$H:$H,"E",TB!$G:$G,'SA27'!$A52)</f>
        <v>0</v>
      </c>
      <c r="I52" s="1805">
        <f>SUMIFS(TB!AF:AF,TB!$H:$H,"E",TB!$G:$G,'SA27'!$A52)</f>
        <v>0</v>
      </c>
      <c r="J52" s="1805">
        <f>SUMIFS(TB!AG:AG,TB!$H:$H,"E",TB!$G:$G,'SA27'!$A52)</f>
        <v>0</v>
      </c>
      <c r="K52" s="1805">
        <f>SUMIFS(TB!AH:AH,TB!$H:$H,"E",TB!$G:$G,'SA27'!$A52)</f>
        <v>0</v>
      </c>
      <c r="L52" s="1805">
        <f>SUMIFS(TB!AI:AI,TB!$H:$H,"E",TB!$G:$G,'SA27'!$A52)</f>
        <v>0</v>
      </c>
      <c r="M52" s="1805">
        <f>SUMIFS(TB!AJ:AJ,TB!$H:$H,"E",TB!$G:$G,'SA27'!$A52)</f>
        <v>0</v>
      </c>
      <c r="N52" s="190">
        <f>O52-SUM(C52:M52)</f>
        <v>0</v>
      </c>
      <c r="O52" s="191">
        <f>'A4-FinPerf RE'!J47</f>
        <v>0</v>
      </c>
      <c r="P52" s="189">
        <f>'A4-FinPerf RE'!K47</f>
        <v>0</v>
      </c>
      <c r="Q52" s="190">
        <f>'A4-FinPerf RE'!L47</f>
        <v>0</v>
      </c>
      <c r="R52" s="345"/>
    </row>
    <row r="53" spans="1:18">
      <c r="A53" s="834" t="str">
        <f>'A4-FinPerf RE'!A38</f>
        <v>Surplus/(Deficit)</v>
      </c>
      <c r="B53" s="862">
        <v>1</v>
      </c>
      <c r="C53" s="327">
        <f>C50+C52</f>
        <v>1564016.2601626022</v>
      </c>
      <c r="D53" s="213">
        <f t="shared" ref="D53:Q53" si="28">D50+D52</f>
        <v>1564349.5934959352</v>
      </c>
      <c r="E53" s="213">
        <f t="shared" si="28"/>
        <v>1564016.2601626022</v>
      </c>
      <c r="F53" s="213">
        <f t="shared" si="28"/>
        <v>1564349.5934959352</v>
      </c>
      <c r="G53" s="213">
        <f t="shared" si="28"/>
        <v>1564016.2601626022</v>
      </c>
      <c r="H53" s="213">
        <f t="shared" si="28"/>
        <v>1564349.5934959352</v>
      </c>
      <c r="I53" s="213">
        <f t="shared" si="28"/>
        <v>1564016.2601626022</v>
      </c>
      <c r="J53" s="213">
        <f t="shared" si="28"/>
        <v>1564349.5934959352</v>
      </c>
      <c r="K53" s="213">
        <f t="shared" si="28"/>
        <v>1564016.2601626022</v>
      </c>
      <c r="L53" s="213">
        <f t="shared" si="28"/>
        <v>1564349.5934959352</v>
      </c>
      <c r="M53" s="213">
        <f t="shared" si="28"/>
        <v>1564349.5934959352</v>
      </c>
      <c r="N53" s="326">
        <f t="shared" si="28"/>
        <v>1564034.3267084491</v>
      </c>
      <c r="O53" s="327">
        <f t="shared" si="28"/>
        <v>18770213.188497081</v>
      </c>
      <c r="P53" s="213">
        <f t="shared" si="28"/>
        <v>32612637.94011303</v>
      </c>
      <c r="Q53" s="326">
        <f t="shared" si="28"/>
        <v>34938192.353764929</v>
      </c>
      <c r="R53" s="345"/>
    </row>
    <row r="54" spans="1:18" hidden="1">
      <c r="A54" s="863" t="str">
        <f>head27a</f>
        <v>References</v>
      </c>
      <c r="B54" s="865"/>
      <c r="C54" s="224"/>
      <c r="D54" s="224"/>
      <c r="E54" s="224"/>
      <c r="F54" s="224"/>
      <c r="G54" s="224"/>
      <c r="H54" s="224"/>
      <c r="I54" s="224"/>
      <c r="J54" s="224"/>
      <c r="K54" s="224"/>
      <c r="L54" s="224"/>
      <c r="M54" s="224"/>
      <c r="N54" s="224"/>
      <c r="O54" s="224"/>
      <c r="P54" s="224"/>
      <c r="Q54" s="224"/>
      <c r="R54" s="345"/>
    </row>
    <row r="55" spans="1:18" hidden="1">
      <c r="A55" s="818" t="s">
        <v>1718</v>
      </c>
    </row>
    <row r="56" spans="1:18" hidden="1">
      <c r="A56" s="411" t="s">
        <v>1624</v>
      </c>
      <c r="B56" s="789"/>
      <c r="C56" s="336">
        <f>C53-'SA26'!C45</f>
        <v>2915849.5934959352</v>
      </c>
      <c r="D56" s="336">
        <f>D53-'SA26'!D45</f>
        <v>2916182.9268292682</v>
      </c>
      <c r="E56" s="336">
        <f>E53-'SA26'!E45</f>
        <v>2915849.5934959352</v>
      </c>
      <c r="F56" s="336">
        <f>F53-'SA26'!F45</f>
        <v>2916182.9268292682</v>
      </c>
      <c r="G56" s="336">
        <f>G53-'SA26'!G45</f>
        <v>2915849.5934959352</v>
      </c>
      <c r="H56" s="336">
        <f>H53-'SA26'!H45</f>
        <v>2916182.9268292682</v>
      </c>
      <c r="I56" s="336">
        <f>I53-'SA26'!I45</f>
        <v>2915849.5934959352</v>
      </c>
      <c r="J56" s="336">
        <f>J53-'SA26'!J45</f>
        <v>2916182.9268292682</v>
      </c>
      <c r="K56" s="336">
        <f>K53-'SA26'!K45</f>
        <v>2915849.5934959352</v>
      </c>
      <c r="L56" s="336">
        <f>L53-'SA26'!L45</f>
        <v>2916182.9268292682</v>
      </c>
      <c r="M56" s="336">
        <f>M53-'SA26'!M45</f>
        <v>2916182.9268292682</v>
      </c>
      <c r="N56" s="336">
        <f>N53-'SA26'!N45</f>
        <v>3366499.0175672611</v>
      </c>
      <c r="O56" s="864">
        <f>O53-'A4-FinPerf RE'!J48</f>
        <v>25949844.546022564</v>
      </c>
      <c r="P56" s="864">
        <f>P53-'A4-FinPerf RE'!K48</f>
        <v>26725179.17159503</v>
      </c>
      <c r="Q56" s="864">
        <f>Q53-'A4-FinPerf RE'!L48</f>
        <v>29006249.548184402</v>
      </c>
    </row>
    <row r="57" spans="1:18" hidden="1"/>
    <row r="58" spans="1:18" hidden="1"/>
    <row r="59" spans="1:18" hidden="1"/>
    <row r="60" spans="1:18" hidden="1"/>
    <row r="61" spans="1:18" hidden="1"/>
    <row r="62" spans="1:18" hidden="1"/>
    <row r="63" spans="1:18" hidden="1"/>
    <row r="64" spans="1:18" hidden="1"/>
    <row r="65" hidden="1"/>
    <row r="66" hidden="1"/>
    <row r="67" hidden="1"/>
    <row r="68" hidden="1"/>
    <row r="69" hidden="1"/>
    <row r="70" hidden="1"/>
    <row r="71" hidden="1"/>
    <row r="72" hidden="1"/>
    <row r="73" hidden="1"/>
    <row r="74" hidden="1"/>
  </sheetData>
  <sheetProtection sheet="1" objects="1" scenarios="1"/>
  <mergeCells count="2">
    <mergeCell ref="C2:N2"/>
    <mergeCell ref="O2:Q2"/>
  </mergeCells>
  <phoneticPr fontId="3" type="noConversion"/>
  <printOptions horizontalCentered="1"/>
  <pageMargins left="0" right="0" top="0.78740157480314965" bottom="0.59055118110236227" header="0.51181102362204722" footer="0.39370078740157483"/>
  <pageSetup paperSize="9" scale="81"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enableFormatConditionsCalculation="0">
    <tabColor indexed="42"/>
    <pageSetUpPr fitToPage="1"/>
  </sheetPr>
  <dimension ref="A1:T62"/>
  <sheetViews>
    <sheetView showGridLines="0" workbookViewId="0">
      <pane xSplit="2" ySplit="3" topLeftCell="C23" activePane="bottomRight" state="frozen"/>
      <selection activeCell="L22" sqref="L22:L24"/>
      <selection pane="topRight" activeCell="L22" sqref="L22:L24"/>
      <selection pane="bottomLeft" activeCell="L22" sqref="L22:L24"/>
      <selection pane="bottomRight" activeCell="H35" sqref="H35"/>
    </sheetView>
  </sheetViews>
  <sheetFormatPr defaultRowHeight="12.75"/>
  <cols>
    <col min="1" max="1" width="30.7109375" style="150" customWidth="1"/>
    <col min="2" max="2" width="3" style="233" hidden="1" customWidth="1"/>
    <col min="3" max="14" width="8.28515625" style="150" customWidth="1"/>
    <col min="15" max="17" width="9.28515625" style="150" customWidth="1"/>
    <col min="18" max="16384" width="9.140625" style="150"/>
  </cols>
  <sheetData>
    <row r="1" spans="1:17" ht="13.5" customHeight="1">
      <c r="A1" s="148" t="str">
        <f>muni&amp;" - "&amp; TableA28</f>
        <v>NC071 Ubuntu - Supporting Table SA28 Budgeted monthly capital expenditure (municipal vote)</v>
      </c>
      <c r="B1" s="148"/>
      <c r="C1" s="148"/>
      <c r="D1" s="148"/>
      <c r="E1" s="148"/>
      <c r="F1" s="148"/>
      <c r="G1" s="148"/>
      <c r="H1" s="148"/>
      <c r="I1" s="148"/>
      <c r="J1" s="148"/>
      <c r="K1" s="148"/>
      <c r="L1" s="148"/>
      <c r="M1" s="148"/>
      <c r="N1" s="148"/>
      <c r="O1" s="148"/>
      <c r="P1" s="148"/>
      <c r="Q1" s="148"/>
    </row>
    <row r="2" spans="1:17" ht="27" customHeight="1">
      <c r="A2" s="979" t="str">
        <f>desc</f>
        <v>Description</v>
      </c>
      <c r="B2" s="991" t="str">
        <f>head27</f>
        <v>Ref</v>
      </c>
      <c r="C2" s="2772" t="str">
        <f>Head9</f>
        <v>Budget Year 2011/12</v>
      </c>
      <c r="D2" s="2773"/>
      <c r="E2" s="2773"/>
      <c r="F2" s="2773"/>
      <c r="G2" s="2773"/>
      <c r="H2" s="2773"/>
      <c r="I2" s="2773"/>
      <c r="J2" s="2773"/>
      <c r="K2" s="2773"/>
      <c r="L2" s="2773"/>
      <c r="M2" s="2773"/>
      <c r="N2" s="2773"/>
      <c r="O2" s="2769" t="s">
        <v>1916</v>
      </c>
      <c r="P2" s="2770"/>
      <c r="Q2" s="2771"/>
    </row>
    <row r="3" spans="1:17" ht="25.5">
      <c r="A3" s="986" t="s">
        <v>697</v>
      </c>
      <c r="B3" s="992"/>
      <c r="C3" s="283" t="s">
        <v>758</v>
      </c>
      <c r="D3" s="913" t="s">
        <v>1506</v>
      </c>
      <c r="E3" s="913" t="s">
        <v>1507</v>
      </c>
      <c r="F3" s="913" t="s">
        <v>1508</v>
      </c>
      <c r="G3" s="913" t="s">
        <v>438</v>
      </c>
      <c r="H3" s="913" t="s">
        <v>439</v>
      </c>
      <c r="I3" s="913" t="s">
        <v>740</v>
      </c>
      <c r="J3" s="913" t="s">
        <v>440</v>
      </c>
      <c r="K3" s="913" t="s">
        <v>742</v>
      </c>
      <c r="L3" s="913" t="s">
        <v>743</v>
      </c>
      <c r="M3" s="913" t="s">
        <v>744</v>
      </c>
      <c r="N3" s="364" t="s">
        <v>745</v>
      </c>
      <c r="O3" s="283" t="str">
        <f>Head9</f>
        <v>Budget Year 2011/12</v>
      </c>
      <c r="P3" s="365" t="str">
        <f>Head10</f>
        <v>Budget Year +1 2012/13</v>
      </c>
      <c r="Q3" s="366" t="str">
        <f>Head11</f>
        <v>Budget Year +2 2013/14</v>
      </c>
    </row>
    <row r="4" spans="1:17">
      <c r="A4" s="170" t="s">
        <v>367</v>
      </c>
      <c r="B4" s="988">
        <v>1</v>
      </c>
      <c r="C4" s="191"/>
      <c r="D4" s="189"/>
      <c r="E4" s="189"/>
      <c r="F4" s="189"/>
      <c r="G4" s="189"/>
      <c r="H4" s="189"/>
      <c r="I4" s="189"/>
      <c r="J4" s="189"/>
      <c r="K4" s="189"/>
      <c r="L4" s="189"/>
      <c r="M4" s="189"/>
      <c r="N4" s="188"/>
      <c r="O4" s="191"/>
      <c r="P4" s="189"/>
      <c r="Q4" s="190"/>
    </row>
    <row r="5" spans="1:17">
      <c r="A5" s="1137" t="str">
        <f>'A5-Capex'!A6</f>
        <v>Vote1 - Executive and Council</v>
      </c>
      <c r="B5" s="849"/>
      <c r="C5" s="1821">
        <f>SUMIFS('SA36'!S:S,'SA36'!$Q:$Q,"M",'SA36'!$R:$R,'SA28'!$A5)</f>
        <v>0</v>
      </c>
      <c r="D5" s="1805">
        <f>SUMIFS('SA36'!T:T,'SA36'!$Q:$Q,"M",'SA36'!$R:$R,'SA28'!$A5)</f>
        <v>0</v>
      </c>
      <c r="E5" s="1805">
        <f>SUMIFS('SA36'!U:U,'SA36'!$Q:$Q,"M",'SA36'!$R:$R,'SA28'!$A5)</f>
        <v>0</v>
      </c>
      <c r="F5" s="1805">
        <f>SUMIFS('SA36'!V:V,'SA36'!$Q:$Q,"M",'SA36'!$R:$R,'SA28'!$A5)</f>
        <v>0</v>
      </c>
      <c r="G5" s="1805">
        <f>SUMIFS('SA36'!W:W,'SA36'!$Q:$Q,"M",'SA36'!$R:$R,'SA28'!$A5)</f>
        <v>0</v>
      </c>
      <c r="H5" s="1805">
        <f>SUMIFS('SA36'!X:X,'SA36'!$Q:$Q,"M",'SA36'!$R:$R,'SA28'!$A5)</f>
        <v>0</v>
      </c>
      <c r="I5" s="1805">
        <f>SUMIFS('SA36'!Y:Y,'SA36'!$Q:$Q,"M",'SA36'!$R:$R,'SA28'!$A5)</f>
        <v>0</v>
      </c>
      <c r="J5" s="1805">
        <f>SUMIFS('SA36'!Z:Z,'SA36'!$Q:$Q,"M",'SA36'!$R:$R,'SA28'!$A5)</f>
        <v>0</v>
      </c>
      <c r="K5" s="1805">
        <f>SUMIFS('SA36'!AA:AA,'SA36'!$Q:$Q,"M",'SA36'!$R:$R,'SA28'!$A5)</f>
        <v>0</v>
      </c>
      <c r="L5" s="1805">
        <f>SUMIFS('SA36'!AB:AB,'SA36'!$Q:$Q,"M",'SA36'!$R:$R,'SA28'!$A5)</f>
        <v>0</v>
      </c>
      <c r="M5" s="1805">
        <f>SUMIFS('SA36'!AC:AC,'SA36'!$Q:$Q,"M",'SA36'!$R:$R,'SA28'!$A5)</f>
        <v>0</v>
      </c>
      <c r="N5" s="188">
        <f>O5-SUM(C5:M5)</f>
        <v>0</v>
      </c>
      <c r="O5" s="191">
        <f>'A5-Capex'!J6</f>
        <v>0</v>
      </c>
      <c r="P5" s="189">
        <f>'A5-Capex'!K6</f>
        <v>0</v>
      </c>
      <c r="Q5" s="190">
        <f>'A5-Capex'!L6</f>
        <v>0</v>
      </c>
    </row>
    <row r="6" spans="1:17">
      <c r="A6" s="1137" t="str">
        <f>'A5-Capex'!A7</f>
        <v>Vote2 - Budget and Treasury Office</v>
      </c>
      <c r="B6" s="849"/>
      <c r="C6" s="1821">
        <f>SUMIFS('SA36'!S:S,'SA36'!$Q:$Q,"M",'SA36'!$R:$R,'SA28'!$A6)</f>
        <v>0</v>
      </c>
      <c r="D6" s="1805">
        <f>SUMIFS('SA36'!T:T,'SA36'!$Q:$Q,"M",'SA36'!$R:$R,'SA28'!$A6)</f>
        <v>0</v>
      </c>
      <c r="E6" s="1805">
        <f>SUMIFS('SA36'!U:U,'SA36'!$Q:$Q,"M",'SA36'!$R:$R,'SA28'!$A6)</f>
        <v>0</v>
      </c>
      <c r="F6" s="1805">
        <f>SUMIFS('SA36'!V:V,'SA36'!$Q:$Q,"M",'SA36'!$R:$R,'SA28'!$A6)</f>
        <v>0</v>
      </c>
      <c r="G6" s="1805">
        <f>SUMIFS('SA36'!W:W,'SA36'!$Q:$Q,"M",'SA36'!$R:$R,'SA28'!$A6)</f>
        <v>0</v>
      </c>
      <c r="H6" s="1805">
        <f>SUMIFS('SA36'!X:X,'SA36'!$Q:$Q,"M",'SA36'!$R:$R,'SA28'!$A6)</f>
        <v>0</v>
      </c>
      <c r="I6" s="1805">
        <f>SUMIFS('SA36'!Y:Y,'SA36'!$Q:$Q,"M",'SA36'!$R:$R,'SA28'!$A6)</f>
        <v>0</v>
      </c>
      <c r="J6" s="1805">
        <f>SUMIFS('SA36'!Z:Z,'SA36'!$Q:$Q,"M",'SA36'!$R:$R,'SA28'!$A6)</f>
        <v>0</v>
      </c>
      <c r="K6" s="1805">
        <f>SUMIFS('SA36'!AA:AA,'SA36'!$Q:$Q,"M",'SA36'!$R:$R,'SA28'!$A6)</f>
        <v>0</v>
      </c>
      <c r="L6" s="1805">
        <f>SUMIFS('SA36'!AB:AB,'SA36'!$Q:$Q,"M",'SA36'!$R:$R,'SA28'!$A6)</f>
        <v>0</v>
      </c>
      <c r="M6" s="1805">
        <f>SUMIFS('SA36'!AC:AC,'SA36'!$Q:$Q,"M",'SA36'!$R:$R,'SA28'!$A6)</f>
        <v>0</v>
      </c>
      <c r="N6" s="188">
        <f t="shared" ref="N6:N11" si="0">O6-SUM(C6:M6)</f>
        <v>0</v>
      </c>
      <c r="O6" s="191">
        <f>'A5-Capex'!J7</f>
        <v>0</v>
      </c>
      <c r="P6" s="189">
        <f>'A5-Capex'!K7</f>
        <v>0</v>
      </c>
      <c r="Q6" s="190">
        <f>'A5-Capex'!L7</f>
        <v>0</v>
      </c>
    </row>
    <row r="7" spans="1:17">
      <c r="A7" s="1137" t="str">
        <f>'A5-Capex'!A8</f>
        <v>Vote3 - Corporate Services</v>
      </c>
      <c r="B7" s="849"/>
      <c r="C7" s="1821">
        <f>SUMIFS('SA36'!S:S,'SA36'!$Q:$Q,"M",'SA36'!$R:$R,'SA28'!$A7)</f>
        <v>0</v>
      </c>
      <c r="D7" s="1805">
        <f>SUMIFS('SA36'!T:T,'SA36'!$Q:$Q,"M",'SA36'!$R:$R,'SA28'!$A7)</f>
        <v>0</v>
      </c>
      <c r="E7" s="1805">
        <f>SUMIFS('SA36'!U:U,'SA36'!$Q:$Q,"M",'SA36'!$R:$R,'SA28'!$A7)</f>
        <v>0</v>
      </c>
      <c r="F7" s="1805">
        <f>SUMIFS('SA36'!V:V,'SA36'!$Q:$Q,"M",'SA36'!$R:$R,'SA28'!$A7)</f>
        <v>0</v>
      </c>
      <c r="G7" s="1805">
        <f>SUMIFS('SA36'!W:W,'SA36'!$Q:$Q,"M",'SA36'!$R:$R,'SA28'!$A7)</f>
        <v>0</v>
      </c>
      <c r="H7" s="1805">
        <f>SUMIFS('SA36'!X:X,'SA36'!$Q:$Q,"M",'SA36'!$R:$R,'SA28'!$A7)</f>
        <v>0</v>
      </c>
      <c r="I7" s="1805">
        <f>SUMIFS('SA36'!Y:Y,'SA36'!$Q:$Q,"M",'SA36'!$R:$R,'SA28'!$A7)</f>
        <v>0</v>
      </c>
      <c r="J7" s="1805">
        <f>SUMIFS('SA36'!Z:Z,'SA36'!$Q:$Q,"M",'SA36'!$R:$R,'SA28'!$A7)</f>
        <v>0</v>
      </c>
      <c r="K7" s="1805">
        <f>SUMIFS('SA36'!AA:AA,'SA36'!$Q:$Q,"M",'SA36'!$R:$R,'SA28'!$A7)</f>
        <v>0</v>
      </c>
      <c r="L7" s="1805">
        <f>SUMIFS('SA36'!AB:AB,'SA36'!$Q:$Q,"M",'SA36'!$R:$R,'SA28'!$A7)</f>
        <v>0</v>
      </c>
      <c r="M7" s="1805">
        <f>SUMIFS('SA36'!AC:AC,'SA36'!$Q:$Q,"M",'SA36'!$R:$R,'SA28'!$A7)</f>
        <v>0</v>
      </c>
      <c r="N7" s="188">
        <f t="shared" si="0"/>
        <v>0</v>
      </c>
      <c r="O7" s="191">
        <f>'A5-Capex'!J8</f>
        <v>0</v>
      </c>
      <c r="P7" s="189">
        <f>'A5-Capex'!K8</f>
        <v>0</v>
      </c>
      <c r="Q7" s="190">
        <f>'A5-Capex'!L8</f>
        <v>0</v>
      </c>
    </row>
    <row r="8" spans="1:17">
      <c r="A8" s="1137" t="str">
        <f>'A5-Capex'!A9</f>
        <v>Vote4 - Community and Social Services</v>
      </c>
      <c r="B8" s="849"/>
      <c r="C8" s="1821">
        <f>SUMIFS('SA36'!S:S,'SA36'!$Q:$Q,"M",'SA36'!$R:$R,'SA28'!$A8)</f>
        <v>0</v>
      </c>
      <c r="D8" s="1805">
        <f>SUMIFS('SA36'!T:T,'SA36'!$Q:$Q,"M",'SA36'!$R:$R,'SA28'!$A8)</f>
        <v>0</v>
      </c>
      <c r="E8" s="1805">
        <f>SUMIFS('SA36'!U:U,'SA36'!$Q:$Q,"M",'SA36'!$R:$R,'SA28'!$A8)</f>
        <v>0</v>
      </c>
      <c r="F8" s="1805">
        <f>SUMIFS('SA36'!V:V,'SA36'!$Q:$Q,"M",'SA36'!$R:$R,'SA28'!$A8)</f>
        <v>0</v>
      </c>
      <c r="G8" s="1805">
        <f>SUMIFS('SA36'!W:W,'SA36'!$Q:$Q,"M",'SA36'!$R:$R,'SA28'!$A8)</f>
        <v>0</v>
      </c>
      <c r="H8" s="1805">
        <f>SUMIFS('SA36'!X:X,'SA36'!$Q:$Q,"M",'SA36'!$R:$R,'SA28'!$A8)</f>
        <v>0</v>
      </c>
      <c r="I8" s="1805">
        <f>SUMIFS('SA36'!Y:Y,'SA36'!$Q:$Q,"M",'SA36'!$R:$R,'SA28'!$A8)</f>
        <v>0</v>
      </c>
      <c r="J8" s="1805">
        <f>SUMIFS('SA36'!Z:Z,'SA36'!$Q:$Q,"M",'SA36'!$R:$R,'SA28'!$A8)</f>
        <v>0</v>
      </c>
      <c r="K8" s="1805">
        <f>SUMIFS('SA36'!AA:AA,'SA36'!$Q:$Q,"M",'SA36'!$R:$R,'SA28'!$A8)</f>
        <v>0</v>
      </c>
      <c r="L8" s="1805">
        <f>SUMIFS('SA36'!AB:AB,'SA36'!$Q:$Q,"M",'SA36'!$R:$R,'SA28'!$A8)</f>
        <v>0</v>
      </c>
      <c r="M8" s="1805">
        <f>SUMIFS('SA36'!AC:AC,'SA36'!$Q:$Q,"M",'SA36'!$R:$R,'SA28'!$A8)</f>
        <v>0</v>
      </c>
      <c r="N8" s="188">
        <f t="shared" si="0"/>
        <v>0</v>
      </c>
      <c r="O8" s="191">
        <f>'A5-Capex'!J9</f>
        <v>0</v>
      </c>
      <c r="P8" s="189">
        <f>'A5-Capex'!K9</f>
        <v>0</v>
      </c>
      <c r="Q8" s="190">
        <f>'A5-Capex'!L9</f>
        <v>0</v>
      </c>
    </row>
    <row r="9" spans="1:17">
      <c r="A9" s="1137" t="str">
        <f>'A5-Capex'!A10</f>
        <v>Vote5 - Sport and Recreation</v>
      </c>
      <c r="B9" s="849"/>
      <c r="C9" s="1821">
        <f>SUMIFS('SA36'!S:S,'SA36'!$Q:$Q,"M",'SA36'!$R:$R,'SA28'!$A9)</f>
        <v>0</v>
      </c>
      <c r="D9" s="1805">
        <f>SUMIFS('SA36'!T:T,'SA36'!$Q:$Q,"M",'SA36'!$R:$R,'SA28'!$A9)</f>
        <v>0</v>
      </c>
      <c r="E9" s="1805">
        <f>SUMIFS('SA36'!U:U,'SA36'!$Q:$Q,"M",'SA36'!$R:$R,'SA28'!$A9)</f>
        <v>0</v>
      </c>
      <c r="F9" s="1805">
        <f>SUMIFS('SA36'!V:V,'SA36'!$Q:$Q,"M",'SA36'!$R:$R,'SA28'!$A9)</f>
        <v>0</v>
      </c>
      <c r="G9" s="1805">
        <f>SUMIFS('SA36'!W:W,'SA36'!$Q:$Q,"M",'SA36'!$R:$R,'SA28'!$A9)</f>
        <v>0</v>
      </c>
      <c r="H9" s="1805">
        <f>SUMIFS('SA36'!X:X,'SA36'!$Q:$Q,"M",'SA36'!$R:$R,'SA28'!$A9)</f>
        <v>0</v>
      </c>
      <c r="I9" s="1805">
        <f>SUMIFS('SA36'!Y:Y,'SA36'!$Q:$Q,"M",'SA36'!$R:$R,'SA28'!$A9)</f>
        <v>0</v>
      </c>
      <c r="J9" s="1805">
        <f>SUMIFS('SA36'!Z:Z,'SA36'!$Q:$Q,"M",'SA36'!$R:$R,'SA28'!$A9)</f>
        <v>0</v>
      </c>
      <c r="K9" s="1805">
        <f>SUMIFS('SA36'!AA:AA,'SA36'!$Q:$Q,"M",'SA36'!$R:$R,'SA28'!$A9)</f>
        <v>0</v>
      </c>
      <c r="L9" s="1805">
        <f>SUMIFS('SA36'!AB:AB,'SA36'!$Q:$Q,"M",'SA36'!$R:$R,'SA28'!$A9)</f>
        <v>0</v>
      </c>
      <c r="M9" s="1805">
        <f>SUMIFS('SA36'!AC:AC,'SA36'!$Q:$Q,"M",'SA36'!$R:$R,'SA28'!$A9)</f>
        <v>0</v>
      </c>
      <c r="N9" s="188">
        <f t="shared" si="0"/>
        <v>0</v>
      </c>
      <c r="O9" s="191">
        <f>'A5-Capex'!J10</f>
        <v>0</v>
      </c>
      <c r="P9" s="189">
        <f>'A5-Capex'!K10</f>
        <v>0</v>
      </c>
      <c r="Q9" s="190">
        <f>'A5-Capex'!L10</f>
        <v>0</v>
      </c>
    </row>
    <row r="10" spans="1:17">
      <c r="A10" s="1137" t="str">
        <f>'A5-Capex'!A11</f>
        <v>Vote6 - Public Safety</v>
      </c>
      <c r="B10" s="849"/>
      <c r="C10" s="1821">
        <f>SUMIFS('SA36'!S:S,'SA36'!$Q:$Q,"M",'SA36'!$R:$R,'SA28'!$A10)</f>
        <v>0</v>
      </c>
      <c r="D10" s="1805">
        <f>SUMIFS('SA36'!T:T,'SA36'!$Q:$Q,"M",'SA36'!$R:$R,'SA28'!$A10)</f>
        <v>0</v>
      </c>
      <c r="E10" s="1805">
        <f>SUMIFS('SA36'!U:U,'SA36'!$Q:$Q,"M",'SA36'!$R:$R,'SA28'!$A10)</f>
        <v>0</v>
      </c>
      <c r="F10" s="1805">
        <f>SUMIFS('SA36'!V:V,'SA36'!$Q:$Q,"M",'SA36'!$R:$R,'SA28'!$A10)</f>
        <v>0</v>
      </c>
      <c r="G10" s="1805">
        <f>SUMIFS('SA36'!W:W,'SA36'!$Q:$Q,"M",'SA36'!$R:$R,'SA28'!$A10)</f>
        <v>0</v>
      </c>
      <c r="H10" s="1805">
        <f>SUMIFS('SA36'!X:X,'SA36'!$Q:$Q,"M",'SA36'!$R:$R,'SA28'!$A10)</f>
        <v>0</v>
      </c>
      <c r="I10" s="1805">
        <f>SUMIFS('SA36'!Y:Y,'SA36'!$Q:$Q,"M",'SA36'!$R:$R,'SA28'!$A10)</f>
        <v>0</v>
      </c>
      <c r="J10" s="1805">
        <f>SUMIFS('SA36'!Z:Z,'SA36'!$Q:$Q,"M",'SA36'!$R:$R,'SA28'!$A10)</f>
        <v>0</v>
      </c>
      <c r="K10" s="1805">
        <f>SUMIFS('SA36'!AA:AA,'SA36'!$Q:$Q,"M",'SA36'!$R:$R,'SA28'!$A10)</f>
        <v>0</v>
      </c>
      <c r="L10" s="1805">
        <f>SUMIFS('SA36'!AB:AB,'SA36'!$Q:$Q,"M",'SA36'!$R:$R,'SA28'!$A10)</f>
        <v>0</v>
      </c>
      <c r="M10" s="1805">
        <f>SUMIFS('SA36'!AC:AC,'SA36'!$Q:$Q,"M",'SA36'!$R:$R,'SA28'!$A10)</f>
        <v>0</v>
      </c>
      <c r="N10" s="188">
        <f t="shared" si="0"/>
        <v>0</v>
      </c>
      <c r="O10" s="191">
        <f>'A5-Capex'!J11</f>
        <v>0</v>
      </c>
      <c r="P10" s="189">
        <f>'A5-Capex'!K11</f>
        <v>0</v>
      </c>
      <c r="Q10" s="190">
        <f>'A5-Capex'!L11</f>
        <v>0</v>
      </c>
    </row>
    <row r="11" spans="1:17">
      <c r="A11" s="1137" t="str">
        <f>'A5-Capex'!A12</f>
        <v>Vote7 - Road Transport</v>
      </c>
      <c r="B11" s="849"/>
      <c r="C11" s="1821">
        <f>SUMIFS('SA36'!S:S,'SA36'!$Q:$Q,"M",'SA36'!$R:$R,'SA28'!$A11)</f>
        <v>0</v>
      </c>
      <c r="D11" s="1805">
        <f>SUMIFS('SA36'!T:T,'SA36'!$Q:$Q,"M",'SA36'!$R:$R,'SA28'!$A11)</f>
        <v>0</v>
      </c>
      <c r="E11" s="1805">
        <f>SUMIFS('SA36'!U:U,'SA36'!$Q:$Q,"M",'SA36'!$R:$R,'SA28'!$A11)</f>
        <v>0</v>
      </c>
      <c r="F11" s="1805">
        <f>SUMIFS('SA36'!V:V,'SA36'!$Q:$Q,"M",'SA36'!$R:$R,'SA28'!$A11)</f>
        <v>0</v>
      </c>
      <c r="G11" s="1805">
        <f>SUMIFS('SA36'!W:W,'SA36'!$Q:$Q,"M",'SA36'!$R:$R,'SA28'!$A11)</f>
        <v>0</v>
      </c>
      <c r="H11" s="1805">
        <f>SUMIFS('SA36'!X:X,'SA36'!$Q:$Q,"M",'SA36'!$R:$R,'SA28'!$A11)</f>
        <v>0</v>
      </c>
      <c r="I11" s="1805">
        <f>SUMIFS('SA36'!Y:Y,'SA36'!$Q:$Q,"M",'SA36'!$R:$R,'SA28'!$A11)</f>
        <v>0</v>
      </c>
      <c r="J11" s="1805">
        <f>SUMIFS('SA36'!Z:Z,'SA36'!$Q:$Q,"M",'SA36'!$R:$R,'SA28'!$A11)</f>
        <v>0</v>
      </c>
      <c r="K11" s="1805">
        <f>SUMIFS('SA36'!AA:AA,'SA36'!$Q:$Q,"M",'SA36'!$R:$R,'SA28'!$A11)</f>
        <v>0</v>
      </c>
      <c r="L11" s="1805">
        <f>SUMIFS('SA36'!AB:AB,'SA36'!$Q:$Q,"M",'SA36'!$R:$R,'SA28'!$A11)</f>
        <v>0</v>
      </c>
      <c r="M11" s="1805">
        <f>SUMIFS('SA36'!AC:AC,'SA36'!$Q:$Q,"M",'SA36'!$R:$R,'SA28'!$A11)</f>
        <v>0</v>
      </c>
      <c r="N11" s="188">
        <f t="shared" si="0"/>
        <v>0</v>
      </c>
      <c r="O11" s="191">
        <f>'A5-Capex'!J12</f>
        <v>0</v>
      </c>
      <c r="P11" s="189">
        <f>'A5-Capex'!K12</f>
        <v>0</v>
      </c>
      <c r="Q11" s="190">
        <f>'A5-Capex'!L12</f>
        <v>0</v>
      </c>
    </row>
    <row r="12" spans="1:17">
      <c r="A12" s="1137" t="str">
        <f>'A5-Capex'!A13</f>
        <v>Vote8 - Electricity</v>
      </c>
      <c r="B12" s="849"/>
      <c r="C12" s="1821">
        <f>SUMIFS('SA36'!S:S,'SA36'!$Q:$Q,"M",'SA36'!$R:$R,'SA28'!$A12)</f>
        <v>0</v>
      </c>
      <c r="D12" s="1805">
        <f>SUMIFS('SA36'!T:T,'SA36'!$Q:$Q,"M",'SA36'!$R:$R,'SA28'!$A12)</f>
        <v>0</v>
      </c>
      <c r="E12" s="1805">
        <f>SUMIFS('SA36'!U:U,'SA36'!$Q:$Q,"M",'SA36'!$R:$R,'SA28'!$A12)</f>
        <v>0</v>
      </c>
      <c r="F12" s="1805">
        <f>SUMIFS('SA36'!V:V,'SA36'!$Q:$Q,"M",'SA36'!$R:$R,'SA28'!$A12)</f>
        <v>0</v>
      </c>
      <c r="G12" s="1805">
        <f>SUMIFS('SA36'!W:W,'SA36'!$Q:$Q,"M",'SA36'!$R:$R,'SA28'!$A12)</f>
        <v>0</v>
      </c>
      <c r="H12" s="1805">
        <f>SUMIFS('SA36'!X:X,'SA36'!$Q:$Q,"M",'SA36'!$R:$R,'SA28'!$A12)</f>
        <v>0</v>
      </c>
      <c r="I12" s="1805">
        <f>SUMIFS('SA36'!Y:Y,'SA36'!$Q:$Q,"M",'SA36'!$R:$R,'SA28'!$A12)</f>
        <v>0</v>
      </c>
      <c r="J12" s="1805">
        <f>SUMIFS('SA36'!Z:Z,'SA36'!$Q:$Q,"M",'SA36'!$R:$R,'SA28'!$A12)</f>
        <v>0</v>
      </c>
      <c r="K12" s="1805">
        <f>SUMIFS('SA36'!AA:AA,'SA36'!$Q:$Q,"M",'SA36'!$R:$R,'SA28'!$A12)</f>
        <v>0</v>
      </c>
      <c r="L12" s="1805">
        <f>SUMIFS('SA36'!AB:AB,'SA36'!$Q:$Q,"M",'SA36'!$R:$R,'SA28'!$A12)</f>
        <v>0</v>
      </c>
      <c r="M12" s="1805">
        <f>SUMIFS('SA36'!AC:AC,'SA36'!$Q:$Q,"M",'SA36'!$R:$R,'SA28'!$A12)</f>
        <v>0</v>
      </c>
      <c r="N12" s="188">
        <f>O12-SUM(C12:M12)</f>
        <v>0</v>
      </c>
      <c r="O12" s="191">
        <f>'A5-Capex'!J13</f>
        <v>0</v>
      </c>
      <c r="P12" s="189">
        <f>'A5-Capex'!K13</f>
        <v>0</v>
      </c>
      <c r="Q12" s="190">
        <f>'A5-Capex'!L13</f>
        <v>0</v>
      </c>
    </row>
    <row r="13" spans="1:17">
      <c r="A13" s="1137" t="str">
        <f>'A5-Capex'!A14</f>
        <v>Vote9 - Water</v>
      </c>
      <c r="B13" s="849"/>
      <c r="C13" s="1821">
        <f>SUMIFS('SA36'!S:S,'SA36'!$Q:$Q,"M",'SA36'!$R:$R,'SA28'!$A13)</f>
        <v>0</v>
      </c>
      <c r="D13" s="1805">
        <f>SUMIFS('SA36'!T:T,'SA36'!$Q:$Q,"M",'SA36'!$R:$R,'SA28'!$A13)</f>
        <v>0</v>
      </c>
      <c r="E13" s="1805">
        <f>SUMIFS('SA36'!U:U,'SA36'!$Q:$Q,"M",'SA36'!$R:$R,'SA28'!$A13)</f>
        <v>0</v>
      </c>
      <c r="F13" s="1805">
        <f>SUMIFS('SA36'!V:V,'SA36'!$Q:$Q,"M",'SA36'!$R:$R,'SA28'!$A13)</f>
        <v>0</v>
      </c>
      <c r="G13" s="1805">
        <f>SUMIFS('SA36'!W:W,'SA36'!$Q:$Q,"M",'SA36'!$R:$R,'SA28'!$A13)</f>
        <v>0</v>
      </c>
      <c r="H13" s="1805">
        <f>SUMIFS('SA36'!X:X,'SA36'!$Q:$Q,"M",'SA36'!$R:$R,'SA28'!$A13)</f>
        <v>0</v>
      </c>
      <c r="I13" s="1805">
        <f>SUMIFS('SA36'!Y:Y,'SA36'!$Q:$Q,"M",'SA36'!$R:$R,'SA28'!$A13)</f>
        <v>0</v>
      </c>
      <c r="J13" s="1805">
        <f>SUMIFS('SA36'!Z:Z,'SA36'!$Q:$Q,"M",'SA36'!$R:$R,'SA28'!$A13)</f>
        <v>0</v>
      </c>
      <c r="K13" s="1805">
        <f>SUMIFS('SA36'!AA:AA,'SA36'!$Q:$Q,"M",'SA36'!$R:$R,'SA28'!$A13)</f>
        <v>0</v>
      </c>
      <c r="L13" s="1805">
        <f>SUMIFS('SA36'!AB:AB,'SA36'!$Q:$Q,"M",'SA36'!$R:$R,'SA28'!$A13)</f>
        <v>0</v>
      </c>
      <c r="M13" s="1805">
        <f>SUMIFS('SA36'!AC:AC,'SA36'!$Q:$Q,"M",'SA36'!$R:$R,'SA28'!$A13)</f>
        <v>0</v>
      </c>
      <c r="N13" s="188">
        <f>O13-SUM(C13:M13)</f>
        <v>0</v>
      </c>
      <c r="O13" s="191">
        <f>'A5-Capex'!J14</f>
        <v>0</v>
      </c>
      <c r="P13" s="189">
        <f>'A5-Capex'!K14</f>
        <v>0</v>
      </c>
      <c r="Q13" s="190">
        <f>'A5-Capex'!L14</f>
        <v>0</v>
      </c>
    </row>
    <row r="14" spans="1:17">
      <c r="A14" s="1137" t="str">
        <f>'A5-Capex'!A15</f>
        <v>Vote10 - Waste Water Management</v>
      </c>
      <c r="B14" s="849"/>
      <c r="C14" s="1821">
        <f>SUMIFS('SA36'!S:S,'SA36'!$Q:$Q,"M",'SA36'!$R:$R,'SA28'!$A14)</f>
        <v>0</v>
      </c>
      <c r="D14" s="1805">
        <f>SUMIFS('SA36'!T:T,'SA36'!$Q:$Q,"M",'SA36'!$R:$R,'SA28'!$A14)</f>
        <v>0</v>
      </c>
      <c r="E14" s="1805">
        <f>SUMIFS('SA36'!U:U,'SA36'!$Q:$Q,"M",'SA36'!$R:$R,'SA28'!$A14)</f>
        <v>0</v>
      </c>
      <c r="F14" s="1805">
        <f>SUMIFS('SA36'!V:V,'SA36'!$Q:$Q,"M",'SA36'!$R:$R,'SA28'!$A14)</f>
        <v>0</v>
      </c>
      <c r="G14" s="1805">
        <f>SUMIFS('SA36'!W:W,'SA36'!$Q:$Q,"M",'SA36'!$R:$R,'SA28'!$A14)</f>
        <v>0</v>
      </c>
      <c r="H14" s="1805">
        <f>SUMIFS('SA36'!X:X,'SA36'!$Q:$Q,"M",'SA36'!$R:$R,'SA28'!$A14)</f>
        <v>0</v>
      </c>
      <c r="I14" s="1805">
        <f>SUMIFS('SA36'!Y:Y,'SA36'!$Q:$Q,"M",'SA36'!$R:$R,'SA28'!$A14)</f>
        <v>0</v>
      </c>
      <c r="J14" s="1805">
        <f>SUMIFS('SA36'!Z:Z,'SA36'!$Q:$Q,"M",'SA36'!$R:$R,'SA28'!$A14)</f>
        <v>0</v>
      </c>
      <c r="K14" s="1805">
        <f>SUMIFS('SA36'!AA:AA,'SA36'!$Q:$Q,"M",'SA36'!$R:$R,'SA28'!$A14)</f>
        <v>0</v>
      </c>
      <c r="L14" s="1805">
        <f>SUMIFS('SA36'!AB:AB,'SA36'!$Q:$Q,"M",'SA36'!$R:$R,'SA28'!$A14)</f>
        <v>0</v>
      </c>
      <c r="M14" s="1805">
        <f>SUMIFS('SA36'!AC:AC,'SA36'!$Q:$Q,"M",'SA36'!$R:$R,'SA28'!$A14)</f>
        <v>0</v>
      </c>
      <c r="N14" s="188">
        <f t="shared" ref="N14:N19" si="1">O14-SUM(C14:M14)</f>
        <v>0</v>
      </c>
      <c r="O14" s="191">
        <f>'A5-Capex'!J15</f>
        <v>0</v>
      </c>
      <c r="P14" s="189">
        <f>'A5-Capex'!K15</f>
        <v>0</v>
      </c>
      <c r="Q14" s="190">
        <f>'A5-Capex'!L15</f>
        <v>0</v>
      </c>
    </row>
    <row r="15" spans="1:17">
      <c r="A15" s="1137" t="str">
        <f>'A5-Capex'!A16</f>
        <v>Vote11 - Waste Management</v>
      </c>
      <c r="B15" s="849"/>
      <c r="C15" s="1821">
        <f>SUMIFS('SA36'!S:S,'SA36'!$Q:$Q,"M",'SA36'!$R:$R,'SA28'!$A15)</f>
        <v>0</v>
      </c>
      <c r="D15" s="1805">
        <f>SUMIFS('SA36'!T:T,'SA36'!$Q:$Q,"M",'SA36'!$R:$R,'SA28'!$A15)</f>
        <v>0</v>
      </c>
      <c r="E15" s="1805">
        <f>SUMIFS('SA36'!U:U,'SA36'!$Q:$Q,"M",'SA36'!$R:$R,'SA28'!$A15)</f>
        <v>0</v>
      </c>
      <c r="F15" s="1805">
        <f>SUMIFS('SA36'!V:V,'SA36'!$Q:$Q,"M",'SA36'!$R:$R,'SA28'!$A15)</f>
        <v>0</v>
      </c>
      <c r="G15" s="1805">
        <f>SUMIFS('SA36'!W:W,'SA36'!$Q:$Q,"M",'SA36'!$R:$R,'SA28'!$A15)</f>
        <v>0</v>
      </c>
      <c r="H15" s="1805">
        <f>SUMIFS('SA36'!X:X,'SA36'!$Q:$Q,"M",'SA36'!$R:$R,'SA28'!$A15)</f>
        <v>0</v>
      </c>
      <c r="I15" s="1805">
        <f>SUMIFS('SA36'!Y:Y,'SA36'!$Q:$Q,"M",'SA36'!$R:$R,'SA28'!$A15)</f>
        <v>0</v>
      </c>
      <c r="J15" s="1805">
        <f>SUMIFS('SA36'!Z:Z,'SA36'!$Q:$Q,"M",'SA36'!$R:$R,'SA28'!$A15)</f>
        <v>0</v>
      </c>
      <c r="K15" s="1805">
        <f>SUMIFS('SA36'!AA:AA,'SA36'!$Q:$Q,"M",'SA36'!$R:$R,'SA28'!$A15)</f>
        <v>0</v>
      </c>
      <c r="L15" s="1805">
        <f>SUMIFS('SA36'!AB:AB,'SA36'!$Q:$Q,"M",'SA36'!$R:$R,'SA28'!$A15)</f>
        <v>0</v>
      </c>
      <c r="M15" s="1805">
        <f>SUMIFS('SA36'!AC:AC,'SA36'!$Q:$Q,"M",'SA36'!$R:$R,'SA28'!$A15)</f>
        <v>0</v>
      </c>
      <c r="N15" s="188">
        <f t="shared" si="1"/>
        <v>0</v>
      </c>
      <c r="O15" s="191">
        <f>'A5-Capex'!J16</f>
        <v>0</v>
      </c>
      <c r="P15" s="189">
        <f>'A5-Capex'!K16</f>
        <v>0</v>
      </c>
      <c r="Q15" s="190">
        <f>'A5-Capex'!L16</f>
        <v>0</v>
      </c>
    </row>
    <row r="16" spans="1:17">
      <c r="A16" s="1137" t="str">
        <f>'A5-Capex'!A17</f>
        <v>Vote12 - Environmental Protection</v>
      </c>
      <c r="B16" s="849"/>
      <c r="C16" s="1821">
        <f>SUMIFS('SA36'!S:S,'SA36'!$Q:$Q,"M",'SA36'!$R:$R,'SA28'!$A16)</f>
        <v>0</v>
      </c>
      <c r="D16" s="1805">
        <f>SUMIFS('SA36'!T:T,'SA36'!$Q:$Q,"M",'SA36'!$R:$R,'SA28'!$A16)</f>
        <v>0</v>
      </c>
      <c r="E16" s="1805">
        <f>SUMIFS('SA36'!U:U,'SA36'!$Q:$Q,"M",'SA36'!$R:$R,'SA28'!$A16)</f>
        <v>0</v>
      </c>
      <c r="F16" s="1805">
        <f>SUMIFS('SA36'!V:V,'SA36'!$Q:$Q,"M",'SA36'!$R:$R,'SA28'!$A16)</f>
        <v>0</v>
      </c>
      <c r="G16" s="1805">
        <f>SUMIFS('SA36'!W:W,'SA36'!$Q:$Q,"M",'SA36'!$R:$R,'SA28'!$A16)</f>
        <v>0</v>
      </c>
      <c r="H16" s="1805">
        <f>SUMIFS('SA36'!X:X,'SA36'!$Q:$Q,"M",'SA36'!$R:$R,'SA28'!$A16)</f>
        <v>0</v>
      </c>
      <c r="I16" s="1805">
        <f>SUMIFS('SA36'!Y:Y,'SA36'!$Q:$Q,"M",'SA36'!$R:$R,'SA28'!$A16)</f>
        <v>0</v>
      </c>
      <c r="J16" s="1805">
        <f>SUMIFS('SA36'!Z:Z,'SA36'!$Q:$Q,"M",'SA36'!$R:$R,'SA28'!$A16)</f>
        <v>0</v>
      </c>
      <c r="K16" s="1805">
        <f>SUMIFS('SA36'!AA:AA,'SA36'!$Q:$Q,"M",'SA36'!$R:$R,'SA28'!$A16)</f>
        <v>0</v>
      </c>
      <c r="L16" s="1805">
        <f>SUMIFS('SA36'!AB:AB,'SA36'!$Q:$Q,"M",'SA36'!$R:$R,'SA28'!$A16)</f>
        <v>0</v>
      </c>
      <c r="M16" s="1805">
        <f>SUMIFS('SA36'!AC:AC,'SA36'!$Q:$Q,"M",'SA36'!$R:$R,'SA28'!$A16)</f>
        <v>0</v>
      </c>
      <c r="N16" s="188">
        <f t="shared" si="1"/>
        <v>0</v>
      </c>
      <c r="O16" s="191">
        <f>'A5-Capex'!J17</f>
        <v>0</v>
      </c>
      <c r="P16" s="189">
        <f>'A5-Capex'!K17</f>
        <v>0</v>
      </c>
      <c r="Q16" s="190">
        <f>'A5-Capex'!L17</f>
        <v>0</v>
      </c>
    </row>
    <row r="17" spans="1:17">
      <c r="A17" s="1137" t="str">
        <f>'A5-Capex'!A18</f>
        <v>Vote13 - Other</v>
      </c>
      <c r="B17" s="849"/>
      <c r="C17" s="1821">
        <f>SUMIFS('SA36'!S:S,'SA36'!$Q:$Q,"M",'SA36'!$R:$R,'SA28'!$A17)</f>
        <v>0</v>
      </c>
      <c r="D17" s="1805">
        <f>SUMIFS('SA36'!T:T,'SA36'!$Q:$Q,"M",'SA36'!$R:$R,'SA28'!$A17)</f>
        <v>0</v>
      </c>
      <c r="E17" s="1805">
        <f>SUMIFS('SA36'!U:U,'SA36'!$Q:$Q,"M",'SA36'!$R:$R,'SA28'!$A17)</f>
        <v>0</v>
      </c>
      <c r="F17" s="1805">
        <f>SUMIFS('SA36'!V:V,'SA36'!$Q:$Q,"M",'SA36'!$R:$R,'SA28'!$A17)</f>
        <v>0</v>
      </c>
      <c r="G17" s="1805">
        <f>SUMIFS('SA36'!W:W,'SA36'!$Q:$Q,"M",'SA36'!$R:$R,'SA28'!$A17)</f>
        <v>0</v>
      </c>
      <c r="H17" s="1805">
        <f>SUMIFS('SA36'!X:X,'SA36'!$Q:$Q,"M",'SA36'!$R:$R,'SA28'!$A17)</f>
        <v>0</v>
      </c>
      <c r="I17" s="1805">
        <f>SUMIFS('SA36'!Y:Y,'SA36'!$Q:$Q,"M",'SA36'!$R:$R,'SA28'!$A17)</f>
        <v>0</v>
      </c>
      <c r="J17" s="1805">
        <f>SUMIFS('SA36'!Z:Z,'SA36'!$Q:$Q,"M",'SA36'!$R:$R,'SA28'!$A17)</f>
        <v>0</v>
      </c>
      <c r="K17" s="1805">
        <f>SUMIFS('SA36'!AA:AA,'SA36'!$Q:$Q,"M",'SA36'!$R:$R,'SA28'!$A17)</f>
        <v>0</v>
      </c>
      <c r="L17" s="1805">
        <f>SUMIFS('SA36'!AB:AB,'SA36'!$Q:$Q,"M",'SA36'!$R:$R,'SA28'!$A17)</f>
        <v>0</v>
      </c>
      <c r="M17" s="1805">
        <f>SUMIFS('SA36'!AC:AC,'SA36'!$Q:$Q,"M",'SA36'!$R:$R,'SA28'!$A17)</f>
        <v>0</v>
      </c>
      <c r="N17" s="188">
        <f t="shared" si="1"/>
        <v>0</v>
      </c>
      <c r="O17" s="191">
        <f>'A5-Capex'!J18</f>
        <v>0</v>
      </c>
      <c r="P17" s="189">
        <f>'A5-Capex'!K18</f>
        <v>0</v>
      </c>
      <c r="Q17" s="190">
        <f>'A5-Capex'!L18</f>
        <v>0</v>
      </c>
    </row>
    <row r="18" spans="1:17">
      <c r="A18" s="1137" t="str">
        <f>'A5-Capex'!A19</f>
        <v>Vote14 - Example 14</v>
      </c>
      <c r="B18" s="849"/>
      <c r="C18" s="1821">
        <f>SUMIFS('SA36'!S:S,'SA36'!$Q:$Q,"M",'SA36'!$R:$R,'SA28'!$A18)</f>
        <v>0</v>
      </c>
      <c r="D18" s="1805">
        <f>SUMIFS('SA36'!T:T,'SA36'!$Q:$Q,"M",'SA36'!$R:$R,'SA28'!$A18)</f>
        <v>0</v>
      </c>
      <c r="E18" s="1805">
        <f>SUMIFS('SA36'!U:U,'SA36'!$Q:$Q,"M",'SA36'!$R:$R,'SA28'!$A18)</f>
        <v>0</v>
      </c>
      <c r="F18" s="1805">
        <f>SUMIFS('SA36'!V:V,'SA36'!$Q:$Q,"M",'SA36'!$R:$R,'SA28'!$A18)</f>
        <v>0</v>
      </c>
      <c r="G18" s="1805">
        <f>SUMIFS('SA36'!W:W,'SA36'!$Q:$Q,"M",'SA36'!$R:$R,'SA28'!$A18)</f>
        <v>0</v>
      </c>
      <c r="H18" s="1805">
        <f>SUMIFS('SA36'!X:X,'SA36'!$Q:$Q,"M",'SA36'!$R:$R,'SA28'!$A18)</f>
        <v>0</v>
      </c>
      <c r="I18" s="1805">
        <f>SUMIFS('SA36'!Y:Y,'SA36'!$Q:$Q,"M",'SA36'!$R:$R,'SA28'!$A18)</f>
        <v>0</v>
      </c>
      <c r="J18" s="1805">
        <f>SUMIFS('SA36'!Z:Z,'SA36'!$Q:$Q,"M",'SA36'!$R:$R,'SA28'!$A18)</f>
        <v>0</v>
      </c>
      <c r="K18" s="1805">
        <f>SUMIFS('SA36'!AA:AA,'SA36'!$Q:$Q,"M",'SA36'!$R:$R,'SA28'!$A18)</f>
        <v>0</v>
      </c>
      <c r="L18" s="1805">
        <f>SUMIFS('SA36'!AB:AB,'SA36'!$Q:$Q,"M",'SA36'!$R:$R,'SA28'!$A18)</f>
        <v>0</v>
      </c>
      <c r="M18" s="1805">
        <f>SUMIFS('SA36'!AC:AC,'SA36'!$Q:$Q,"M",'SA36'!$R:$R,'SA28'!$A18)</f>
        <v>0</v>
      </c>
      <c r="N18" s="188">
        <f t="shared" si="1"/>
        <v>0</v>
      </c>
      <c r="O18" s="191">
        <f>'A5-Capex'!J19</f>
        <v>0</v>
      </c>
      <c r="P18" s="189">
        <f>'A5-Capex'!K19</f>
        <v>0</v>
      </c>
      <c r="Q18" s="190">
        <f>'A5-Capex'!L19</f>
        <v>0</v>
      </c>
    </row>
    <row r="19" spans="1:17">
      <c r="A19" s="1137" t="str">
        <f>'A5-Capex'!A20</f>
        <v>Vote15 - Example 15</v>
      </c>
      <c r="B19" s="849"/>
      <c r="C19" s="1821">
        <f>SUMIFS('SA36'!S:S,'SA36'!$Q:$Q,"M",'SA36'!$R:$R,'SA28'!$A19)</f>
        <v>0</v>
      </c>
      <c r="D19" s="1805">
        <f>SUMIFS('SA36'!T:T,'SA36'!$Q:$Q,"M",'SA36'!$R:$R,'SA28'!$A19)</f>
        <v>0</v>
      </c>
      <c r="E19" s="1805">
        <f>SUMIFS('SA36'!U:U,'SA36'!$Q:$Q,"M",'SA36'!$R:$R,'SA28'!$A19)</f>
        <v>0</v>
      </c>
      <c r="F19" s="1805">
        <f>SUMIFS('SA36'!V:V,'SA36'!$Q:$Q,"M",'SA36'!$R:$R,'SA28'!$A19)</f>
        <v>0</v>
      </c>
      <c r="G19" s="1805">
        <f>SUMIFS('SA36'!W:W,'SA36'!$Q:$Q,"M",'SA36'!$R:$R,'SA28'!$A19)</f>
        <v>0</v>
      </c>
      <c r="H19" s="1805">
        <f>SUMIFS('SA36'!X:X,'SA36'!$Q:$Q,"M",'SA36'!$R:$R,'SA28'!$A19)</f>
        <v>0</v>
      </c>
      <c r="I19" s="1805">
        <f>SUMIFS('SA36'!Y:Y,'SA36'!$Q:$Q,"M",'SA36'!$R:$R,'SA28'!$A19)</f>
        <v>0</v>
      </c>
      <c r="J19" s="1805">
        <f>SUMIFS('SA36'!Z:Z,'SA36'!$Q:$Q,"M",'SA36'!$R:$R,'SA28'!$A19)</f>
        <v>0</v>
      </c>
      <c r="K19" s="1805">
        <f>SUMIFS('SA36'!AA:AA,'SA36'!$Q:$Q,"M",'SA36'!$R:$R,'SA28'!$A19)</f>
        <v>0</v>
      </c>
      <c r="L19" s="1805">
        <f>SUMIFS('SA36'!AB:AB,'SA36'!$Q:$Q,"M",'SA36'!$R:$R,'SA28'!$A19)</f>
        <v>0</v>
      </c>
      <c r="M19" s="1805">
        <f>SUMIFS('SA36'!AC:AC,'SA36'!$Q:$Q,"M",'SA36'!$R:$R,'SA28'!$A19)</f>
        <v>0</v>
      </c>
      <c r="N19" s="188">
        <f t="shared" si="1"/>
        <v>0</v>
      </c>
      <c r="O19" s="191">
        <f>'A5-Capex'!J20</f>
        <v>0</v>
      </c>
      <c r="P19" s="189">
        <f>'A5-Capex'!K20</f>
        <v>0</v>
      </c>
      <c r="Q19" s="190">
        <f>'A5-Capex'!L20</f>
        <v>0</v>
      </c>
    </row>
    <row r="20" spans="1:17">
      <c r="A20" s="183" t="s">
        <v>199</v>
      </c>
      <c r="B20" s="1258">
        <v>2</v>
      </c>
      <c r="C20" s="255">
        <f>SUM(C5:C19)</f>
        <v>0</v>
      </c>
      <c r="D20" s="253">
        <f t="shared" ref="D20:Q20" si="2">SUM(D5:D19)</f>
        <v>0</v>
      </c>
      <c r="E20" s="253">
        <f t="shared" si="2"/>
        <v>0</v>
      </c>
      <c r="F20" s="253">
        <f t="shared" si="2"/>
        <v>0</v>
      </c>
      <c r="G20" s="253">
        <f t="shared" si="2"/>
        <v>0</v>
      </c>
      <c r="H20" s="253">
        <f t="shared" si="2"/>
        <v>0</v>
      </c>
      <c r="I20" s="253">
        <f t="shared" si="2"/>
        <v>0</v>
      </c>
      <c r="J20" s="253">
        <f t="shared" si="2"/>
        <v>0</v>
      </c>
      <c r="K20" s="253">
        <f t="shared" si="2"/>
        <v>0</v>
      </c>
      <c r="L20" s="253">
        <f t="shared" si="2"/>
        <v>0</v>
      </c>
      <c r="M20" s="253">
        <f>SUM(M5:M19)</f>
        <v>0</v>
      </c>
      <c r="N20" s="252">
        <f t="shared" si="2"/>
        <v>0</v>
      </c>
      <c r="O20" s="255">
        <f t="shared" si="2"/>
        <v>0</v>
      </c>
      <c r="P20" s="253">
        <f t="shared" si="2"/>
        <v>0</v>
      </c>
      <c r="Q20" s="254">
        <f t="shared" si="2"/>
        <v>0</v>
      </c>
    </row>
    <row r="21" spans="1:17" ht="3.75" customHeight="1">
      <c r="A21" s="1256"/>
      <c r="B21" s="1257"/>
      <c r="C21" s="370"/>
      <c r="D21" s="369"/>
      <c r="E21" s="369"/>
      <c r="F21" s="369"/>
      <c r="G21" s="369"/>
      <c r="H21" s="369"/>
      <c r="I21" s="369"/>
      <c r="J21" s="369"/>
      <c r="K21" s="369"/>
      <c r="L21" s="369"/>
      <c r="M21" s="369"/>
      <c r="N21" s="371"/>
      <c r="O21" s="370"/>
      <c r="P21" s="369"/>
      <c r="Q21" s="319"/>
    </row>
    <row r="22" spans="1:17">
      <c r="A22" s="170" t="s">
        <v>991</v>
      </c>
      <c r="B22" s="988"/>
      <c r="C22" s="191"/>
      <c r="D22" s="189"/>
      <c r="E22" s="189"/>
      <c r="F22" s="189"/>
      <c r="G22" s="189"/>
      <c r="H22" s="189"/>
      <c r="I22" s="189"/>
      <c r="J22" s="189"/>
      <c r="K22" s="189"/>
      <c r="L22" s="189"/>
      <c r="M22" s="189"/>
      <c r="N22" s="188"/>
      <c r="O22" s="191"/>
      <c r="P22" s="189"/>
      <c r="Q22" s="190"/>
    </row>
    <row r="23" spans="1:17">
      <c r="A23" s="1137" t="str">
        <f>'A5-Capex'!A24</f>
        <v>Vote1 - Executive and Council</v>
      </c>
      <c r="B23" s="849"/>
      <c r="C23" s="1821">
        <f>888000/12</f>
        <v>74000</v>
      </c>
      <c r="D23" s="1821">
        <f t="shared" ref="D23:M23" si="3">888000/12</f>
        <v>74000</v>
      </c>
      <c r="E23" s="1821">
        <f t="shared" si="3"/>
        <v>74000</v>
      </c>
      <c r="F23" s="1821">
        <f t="shared" si="3"/>
        <v>74000</v>
      </c>
      <c r="G23" s="1821">
        <f t="shared" si="3"/>
        <v>74000</v>
      </c>
      <c r="H23" s="1821">
        <f t="shared" si="3"/>
        <v>74000</v>
      </c>
      <c r="I23" s="1821">
        <f t="shared" si="3"/>
        <v>74000</v>
      </c>
      <c r="J23" s="1821">
        <f t="shared" si="3"/>
        <v>74000</v>
      </c>
      <c r="K23" s="1821">
        <f t="shared" si="3"/>
        <v>74000</v>
      </c>
      <c r="L23" s="1821">
        <f t="shared" si="3"/>
        <v>74000</v>
      </c>
      <c r="M23" s="1821">
        <f t="shared" si="3"/>
        <v>74000</v>
      </c>
      <c r="N23" s="188">
        <f>O23-SUM(C23:M23)</f>
        <v>74000</v>
      </c>
      <c r="O23" s="191">
        <f>'A5-Capex'!J24</f>
        <v>888000</v>
      </c>
      <c r="P23" s="189">
        <f>'A5-Capex'!K24</f>
        <v>0</v>
      </c>
      <c r="Q23" s="190">
        <f>'A5-Capex'!L24</f>
        <v>0</v>
      </c>
    </row>
    <row r="24" spans="1:17">
      <c r="A24" s="1137" t="str">
        <f>'A5-Capex'!A25</f>
        <v>Vote2 - Budget and Treasury Office</v>
      </c>
      <c r="B24" s="849"/>
      <c r="C24" s="1821">
        <f>SUMIFS('SA36'!S:S,'SA36'!$Q:$Q,"S",'SA36'!$R:$R,'SA28'!$A24)</f>
        <v>0</v>
      </c>
      <c r="D24" s="1821">
        <f>SUMIFS('SA36'!T:T,'SA36'!$Q:$Q,"S",'SA36'!$R:$R,'SA28'!$A24)</f>
        <v>0</v>
      </c>
      <c r="E24" s="1821">
        <f>SUMIFS('SA36'!U:U,'SA36'!$Q:$Q,"S",'SA36'!$R:$R,'SA28'!$A24)</f>
        <v>0</v>
      </c>
      <c r="F24" s="1821">
        <f>SUMIFS('SA36'!V:V,'SA36'!$Q:$Q,"S",'SA36'!$R:$R,'SA28'!$A24)</f>
        <v>0</v>
      </c>
      <c r="G24" s="1821">
        <f>SUMIFS('SA36'!W:W,'SA36'!$Q:$Q,"S",'SA36'!$R:$R,'SA28'!$A24)</f>
        <v>0</v>
      </c>
      <c r="H24" s="1821">
        <f>SUMIFS('SA36'!X:X,'SA36'!$Q:$Q,"S",'SA36'!$R:$R,'SA28'!$A24)</f>
        <v>0</v>
      </c>
      <c r="I24" s="1821">
        <f>SUMIFS('SA36'!Y:Y,'SA36'!$Q:$Q,"S",'SA36'!$R:$R,'SA28'!$A24)</f>
        <v>0</v>
      </c>
      <c r="J24" s="1821">
        <f>SUMIFS('SA36'!Z:Z,'SA36'!$Q:$Q,"S",'SA36'!$R:$R,'SA28'!$A24)</f>
        <v>0</v>
      </c>
      <c r="K24" s="1821">
        <f>SUMIFS('SA36'!AA:AA,'SA36'!$Q:$Q,"S",'SA36'!$R:$R,'SA28'!$A24)</f>
        <v>0</v>
      </c>
      <c r="L24" s="1821">
        <f>SUMIFS('SA36'!AB:AB,'SA36'!$Q:$Q,"S",'SA36'!$R:$R,'SA28'!$A24)</f>
        <v>0</v>
      </c>
      <c r="M24" s="1821">
        <f>SUMIFS('SA36'!AC:AC,'SA36'!$Q:$Q,"S",'SA36'!$R:$R,'SA28'!$A24)</f>
        <v>0</v>
      </c>
      <c r="N24" s="188">
        <f t="shared" ref="N24:N29" si="4">O24-SUM(C24:M24)</f>
        <v>0</v>
      </c>
      <c r="O24" s="191">
        <f>'A5-Capex'!J25</f>
        <v>0</v>
      </c>
      <c r="P24" s="189">
        <f>'A5-Capex'!K25</f>
        <v>0</v>
      </c>
      <c r="Q24" s="190">
        <f>'A5-Capex'!L25</f>
        <v>0</v>
      </c>
    </row>
    <row r="25" spans="1:17">
      <c r="A25" s="1137" t="str">
        <f>'A5-Capex'!A26</f>
        <v>Vote3 - Corporate Services</v>
      </c>
      <c r="B25" s="849"/>
      <c r="C25" s="1821">
        <f>SUMIFS('SA36'!S:S,'SA36'!$Q:$Q,"S",'SA36'!$R:$R,'SA28'!$A25)</f>
        <v>0</v>
      </c>
      <c r="D25" s="1821">
        <f>SUMIFS('SA36'!T:T,'SA36'!$Q:$Q,"S",'SA36'!$R:$R,'SA28'!$A25)</f>
        <v>0</v>
      </c>
      <c r="E25" s="1821">
        <f>SUMIFS('SA36'!U:U,'SA36'!$Q:$Q,"S",'SA36'!$R:$R,'SA28'!$A25)</f>
        <v>0</v>
      </c>
      <c r="F25" s="1821">
        <f>SUMIFS('SA36'!V:V,'SA36'!$Q:$Q,"S",'SA36'!$R:$R,'SA28'!$A25)</f>
        <v>0</v>
      </c>
      <c r="G25" s="1821">
        <f>SUMIFS('SA36'!W:W,'SA36'!$Q:$Q,"S",'SA36'!$R:$R,'SA28'!$A25)</f>
        <v>0</v>
      </c>
      <c r="H25" s="1821">
        <f>SUMIFS('SA36'!X:X,'SA36'!$Q:$Q,"S",'SA36'!$R:$R,'SA28'!$A25)</f>
        <v>0</v>
      </c>
      <c r="I25" s="1821">
        <f>SUMIFS('SA36'!Y:Y,'SA36'!$Q:$Q,"S",'SA36'!$R:$R,'SA28'!$A25)</f>
        <v>0</v>
      </c>
      <c r="J25" s="1821">
        <f>SUMIFS('SA36'!Z:Z,'SA36'!$Q:$Q,"S",'SA36'!$R:$R,'SA28'!$A25)</f>
        <v>0</v>
      </c>
      <c r="K25" s="1821">
        <f>SUMIFS('SA36'!AA:AA,'SA36'!$Q:$Q,"S",'SA36'!$R:$R,'SA28'!$A25)</f>
        <v>0</v>
      </c>
      <c r="L25" s="1821">
        <f>SUMIFS('SA36'!AB:AB,'SA36'!$Q:$Q,"S",'SA36'!$R:$R,'SA28'!$A25)</f>
        <v>0</v>
      </c>
      <c r="M25" s="1821">
        <f>SUMIFS('SA36'!AC:AC,'SA36'!$Q:$Q,"S",'SA36'!$R:$R,'SA28'!$A25)</f>
        <v>0</v>
      </c>
      <c r="N25" s="188">
        <f t="shared" si="4"/>
        <v>0</v>
      </c>
      <c r="O25" s="191">
        <f>'A5-Capex'!J26</f>
        <v>0</v>
      </c>
      <c r="P25" s="189">
        <f>'A5-Capex'!K26</f>
        <v>0</v>
      </c>
      <c r="Q25" s="190">
        <f>'A5-Capex'!L26</f>
        <v>0</v>
      </c>
    </row>
    <row r="26" spans="1:17">
      <c r="A26" s="1137" t="str">
        <f>'A5-Capex'!A27</f>
        <v>Vote4 - Community and Social Services</v>
      </c>
      <c r="B26" s="849"/>
      <c r="C26" s="1821">
        <f>300000/12</f>
        <v>25000</v>
      </c>
      <c r="D26" s="1821">
        <f t="shared" ref="D26:M26" si="5">300000/12</f>
        <v>25000</v>
      </c>
      <c r="E26" s="1821">
        <f t="shared" si="5"/>
        <v>25000</v>
      </c>
      <c r="F26" s="1821">
        <f t="shared" si="5"/>
        <v>25000</v>
      </c>
      <c r="G26" s="1821">
        <f t="shared" si="5"/>
        <v>25000</v>
      </c>
      <c r="H26" s="1821">
        <f t="shared" si="5"/>
        <v>25000</v>
      </c>
      <c r="I26" s="1821">
        <f t="shared" si="5"/>
        <v>25000</v>
      </c>
      <c r="J26" s="1821">
        <f t="shared" si="5"/>
        <v>25000</v>
      </c>
      <c r="K26" s="1821">
        <f t="shared" si="5"/>
        <v>25000</v>
      </c>
      <c r="L26" s="1821">
        <f t="shared" si="5"/>
        <v>25000</v>
      </c>
      <c r="M26" s="1821">
        <f t="shared" si="5"/>
        <v>25000</v>
      </c>
      <c r="N26" s="188">
        <f t="shared" si="4"/>
        <v>25000</v>
      </c>
      <c r="O26" s="191">
        <f>'A5-Capex'!J27</f>
        <v>300000</v>
      </c>
      <c r="P26" s="189">
        <f>'A5-Capex'!K27</f>
        <v>0</v>
      </c>
      <c r="Q26" s="190">
        <f>'A5-Capex'!L27</f>
        <v>0</v>
      </c>
    </row>
    <row r="27" spans="1:17">
      <c r="A27" s="1137" t="str">
        <f>'A5-Capex'!A28</f>
        <v>Vote5 - Sport and Recreation</v>
      </c>
      <c r="B27" s="849"/>
      <c r="C27" s="1821">
        <f>SUMIFS('SA36'!S:S,'SA36'!$Q:$Q,"S",'SA36'!$R:$R,'SA28'!$A27)</f>
        <v>0</v>
      </c>
      <c r="D27" s="1821">
        <f>SUMIFS('SA36'!T:T,'SA36'!$Q:$Q,"S",'SA36'!$R:$R,'SA28'!$A27)</f>
        <v>0</v>
      </c>
      <c r="E27" s="1821">
        <f>SUMIFS('SA36'!U:U,'SA36'!$Q:$Q,"S",'SA36'!$R:$R,'SA28'!$A27)</f>
        <v>0</v>
      </c>
      <c r="F27" s="1821">
        <f>SUMIFS('SA36'!V:V,'SA36'!$Q:$Q,"S",'SA36'!$R:$R,'SA28'!$A27)</f>
        <v>0</v>
      </c>
      <c r="G27" s="1821">
        <f>SUMIFS('SA36'!W:W,'SA36'!$Q:$Q,"S",'SA36'!$R:$R,'SA28'!$A27)</f>
        <v>0</v>
      </c>
      <c r="H27" s="1821">
        <f>SUMIFS('SA36'!X:X,'SA36'!$Q:$Q,"S",'SA36'!$R:$R,'SA28'!$A27)</f>
        <v>0</v>
      </c>
      <c r="I27" s="1821">
        <f>SUMIFS('SA36'!Y:Y,'SA36'!$Q:$Q,"S",'SA36'!$R:$R,'SA28'!$A27)</f>
        <v>0</v>
      </c>
      <c r="J27" s="1821">
        <f>SUMIFS('SA36'!Z:Z,'SA36'!$Q:$Q,"S",'SA36'!$R:$R,'SA28'!$A27)</f>
        <v>0</v>
      </c>
      <c r="K27" s="1821">
        <f>SUMIFS('SA36'!AA:AA,'SA36'!$Q:$Q,"S",'SA36'!$R:$R,'SA28'!$A27)</f>
        <v>0</v>
      </c>
      <c r="L27" s="1821">
        <f>SUMIFS('SA36'!AB:AB,'SA36'!$Q:$Q,"S",'SA36'!$R:$R,'SA28'!$A27)</f>
        <v>0</v>
      </c>
      <c r="M27" s="1821">
        <f>SUMIFS('SA36'!AC:AC,'SA36'!$Q:$Q,"S",'SA36'!$R:$R,'SA28'!$A27)</f>
        <v>0</v>
      </c>
      <c r="N27" s="188">
        <f t="shared" si="4"/>
        <v>0</v>
      </c>
      <c r="O27" s="191">
        <f>'A5-Capex'!J28</f>
        <v>0</v>
      </c>
      <c r="P27" s="189">
        <f>'A5-Capex'!K28</f>
        <v>0</v>
      </c>
      <c r="Q27" s="190">
        <f>'A5-Capex'!L28</f>
        <v>0</v>
      </c>
    </row>
    <row r="28" spans="1:17">
      <c r="A28" s="1137" t="str">
        <f>'A5-Capex'!A29</f>
        <v>Vote6 - Public Safety</v>
      </c>
      <c r="B28" s="849"/>
      <c r="C28" s="1821">
        <f>SUMIFS('SA36'!S:S,'SA36'!$Q:$Q,"S",'SA36'!$R:$R,'SA28'!$A28)</f>
        <v>0</v>
      </c>
      <c r="D28" s="1821">
        <f>SUMIFS('SA36'!T:T,'SA36'!$Q:$Q,"S",'SA36'!$R:$R,'SA28'!$A28)</f>
        <v>0</v>
      </c>
      <c r="E28" s="1821">
        <f>SUMIFS('SA36'!U:U,'SA36'!$Q:$Q,"S",'SA36'!$R:$R,'SA28'!$A28)</f>
        <v>0</v>
      </c>
      <c r="F28" s="1821">
        <f>SUMIFS('SA36'!V:V,'SA36'!$Q:$Q,"S",'SA36'!$R:$R,'SA28'!$A28)</f>
        <v>0</v>
      </c>
      <c r="G28" s="1821">
        <f>SUMIFS('SA36'!W:W,'SA36'!$Q:$Q,"S",'SA36'!$R:$R,'SA28'!$A28)</f>
        <v>0</v>
      </c>
      <c r="H28" s="1821">
        <f>SUMIFS('SA36'!X:X,'SA36'!$Q:$Q,"S",'SA36'!$R:$R,'SA28'!$A28)</f>
        <v>0</v>
      </c>
      <c r="I28" s="1821">
        <f>SUMIFS('SA36'!Y:Y,'SA36'!$Q:$Q,"S",'SA36'!$R:$R,'SA28'!$A28)</f>
        <v>0</v>
      </c>
      <c r="J28" s="1821">
        <f>SUMIFS('SA36'!Z:Z,'SA36'!$Q:$Q,"S",'SA36'!$R:$R,'SA28'!$A28)</f>
        <v>0</v>
      </c>
      <c r="K28" s="1821">
        <f>SUMIFS('SA36'!AA:AA,'SA36'!$Q:$Q,"S",'SA36'!$R:$R,'SA28'!$A28)</f>
        <v>0</v>
      </c>
      <c r="L28" s="1821">
        <f>SUMIFS('SA36'!AB:AB,'SA36'!$Q:$Q,"S",'SA36'!$R:$R,'SA28'!$A28)</f>
        <v>0</v>
      </c>
      <c r="M28" s="1821">
        <f>SUMIFS('SA36'!AC:AC,'SA36'!$Q:$Q,"S",'SA36'!$R:$R,'SA28'!$A28)</f>
        <v>0</v>
      </c>
      <c r="N28" s="188">
        <f t="shared" si="4"/>
        <v>0</v>
      </c>
      <c r="O28" s="191">
        <f>'A5-Capex'!J29</f>
        <v>0</v>
      </c>
      <c r="P28" s="189">
        <f>'A5-Capex'!K29</f>
        <v>0</v>
      </c>
      <c r="Q28" s="190">
        <f>'A5-Capex'!L29</f>
        <v>0</v>
      </c>
    </row>
    <row r="29" spans="1:17">
      <c r="A29" s="1137" t="str">
        <f>'A5-Capex'!A30</f>
        <v>Vote7 - Road Transport</v>
      </c>
      <c r="B29" s="849"/>
      <c r="C29" s="1821">
        <f>5150000/12</f>
        <v>429166.66666666669</v>
      </c>
      <c r="D29" s="1821">
        <f t="shared" ref="D29:M29" si="6">5150000/12</f>
        <v>429166.66666666669</v>
      </c>
      <c r="E29" s="1821">
        <f t="shared" si="6"/>
        <v>429166.66666666669</v>
      </c>
      <c r="F29" s="1821">
        <f t="shared" si="6"/>
        <v>429166.66666666669</v>
      </c>
      <c r="G29" s="1821">
        <f t="shared" si="6"/>
        <v>429166.66666666669</v>
      </c>
      <c r="H29" s="1821">
        <f t="shared" si="6"/>
        <v>429166.66666666669</v>
      </c>
      <c r="I29" s="1821">
        <f t="shared" si="6"/>
        <v>429166.66666666669</v>
      </c>
      <c r="J29" s="1821">
        <f t="shared" si="6"/>
        <v>429166.66666666669</v>
      </c>
      <c r="K29" s="1821">
        <f t="shared" si="6"/>
        <v>429166.66666666669</v>
      </c>
      <c r="L29" s="1821">
        <f t="shared" si="6"/>
        <v>429166.66666666669</v>
      </c>
      <c r="M29" s="1821">
        <f t="shared" si="6"/>
        <v>429166.66666666669</v>
      </c>
      <c r="N29" s="188">
        <f t="shared" si="4"/>
        <v>429166.66666666698</v>
      </c>
      <c r="O29" s="191">
        <f>'A5-Capex'!J30</f>
        <v>5150000</v>
      </c>
      <c r="P29" s="189">
        <f>'A5-Capex'!K30</f>
        <v>0</v>
      </c>
      <c r="Q29" s="190">
        <f>'A5-Capex'!L30</f>
        <v>0</v>
      </c>
    </row>
    <row r="30" spans="1:17">
      <c r="A30" s="1137" t="str">
        <f>'A5-Capex'!A31</f>
        <v>Vote8 - Electricity</v>
      </c>
      <c r="B30" s="849"/>
      <c r="C30" s="1821">
        <f>SUMIFS('SA36'!S:S,'SA36'!$Q:$Q,"S",'SA36'!$R:$R,'SA28'!$A30)</f>
        <v>0</v>
      </c>
      <c r="D30" s="1821">
        <f>SUMIFS('SA36'!T:T,'SA36'!$Q:$Q,"S",'SA36'!$R:$R,'SA28'!$A30)</f>
        <v>0</v>
      </c>
      <c r="E30" s="1821">
        <f>SUMIFS('SA36'!U:U,'SA36'!$Q:$Q,"S",'SA36'!$R:$R,'SA28'!$A30)</f>
        <v>0</v>
      </c>
      <c r="F30" s="1821">
        <f>SUMIFS('SA36'!V:V,'SA36'!$Q:$Q,"S",'SA36'!$R:$R,'SA28'!$A30)</f>
        <v>0</v>
      </c>
      <c r="G30" s="1821">
        <f>SUMIFS('SA36'!W:W,'SA36'!$Q:$Q,"S",'SA36'!$R:$R,'SA28'!$A30)</f>
        <v>0</v>
      </c>
      <c r="H30" s="1821">
        <f>SUMIFS('SA36'!X:X,'SA36'!$Q:$Q,"S",'SA36'!$R:$R,'SA28'!$A30)</f>
        <v>0</v>
      </c>
      <c r="I30" s="1821">
        <f>SUMIFS('SA36'!Y:Y,'SA36'!$Q:$Q,"S",'SA36'!$R:$R,'SA28'!$A30)</f>
        <v>0</v>
      </c>
      <c r="J30" s="1821">
        <f>SUMIFS('SA36'!Z:Z,'SA36'!$Q:$Q,"S",'SA36'!$R:$R,'SA28'!$A30)</f>
        <v>0</v>
      </c>
      <c r="K30" s="1821">
        <f>SUMIFS('SA36'!AA:AA,'SA36'!$Q:$Q,"S",'SA36'!$R:$R,'SA28'!$A30)</f>
        <v>0</v>
      </c>
      <c r="L30" s="1821">
        <f>SUMIFS('SA36'!AB:AB,'SA36'!$Q:$Q,"S",'SA36'!$R:$R,'SA28'!$A30)</f>
        <v>0</v>
      </c>
      <c r="M30" s="1821">
        <f>SUMIFS('SA36'!AC:AC,'SA36'!$Q:$Q,"S",'SA36'!$R:$R,'SA28'!$A30)</f>
        <v>0</v>
      </c>
      <c r="N30" s="188">
        <f>O30-SUM(C30:M30)</f>
        <v>0</v>
      </c>
      <c r="O30" s="191">
        <f>'A5-Capex'!J31</f>
        <v>0</v>
      </c>
      <c r="P30" s="189">
        <f>'A5-Capex'!K31</f>
        <v>0</v>
      </c>
      <c r="Q30" s="190">
        <f>'A5-Capex'!L31</f>
        <v>0</v>
      </c>
    </row>
    <row r="31" spans="1:17">
      <c r="A31" s="1137" t="str">
        <f>'A5-Capex'!A32</f>
        <v>Vote9 - Water</v>
      </c>
      <c r="B31" s="849"/>
      <c r="C31" s="1821">
        <f>200000/12</f>
        <v>16666.666666666668</v>
      </c>
      <c r="D31" s="1821">
        <f t="shared" ref="D31:M31" si="7">200000/12</f>
        <v>16666.666666666668</v>
      </c>
      <c r="E31" s="1821">
        <f t="shared" si="7"/>
        <v>16666.666666666668</v>
      </c>
      <c r="F31" s="1821">
        <f t="shared" si="7"/>
        <v>16666.666666666668</v>
      </c>
      <c r="G31" s="1821">
        <f t="shared" si="7"/>
        <v>16666.666666666668</v>
      </c>
      <c r="H31" s="1821">
        <f t="shared" si="7"/>
        <v>16666.666666666668</v>
      </c>
      <c r="I31" s="1821">
        <f t="shared" si="7"/>
        <v>16666.666666666668</v>
      </c>
      <c r="J31" s="1821">
        <f t="shared" si="7"/>
        <v>16666.666666666668</v>
      </c>
      <c r="K31" s="1821">
        <f t="shared" si="7"/>
        <v>16666.666666666668</v>
      </c>
      <c r="L31" s="1821">
        <f t="shared" si="7"/>
        <v>16666.666666666668</v>
      </c>
      <c r="M31" s="1821">
        <f t="shared" si="7"/>
        <v>16666.666666666668</v>
      </c>
      <c r="N31" s="188">
        <f>O31-SUM(C31:M31)</f>
        <v>16666.666666666686</v>
      </c>
      <c r="O31" s="191">
        <f>'A5-Capex'!J32</f>
        <v>200000</v>
      </c>
      <c r="P31" s="189">
        <f>'A5-Capex'!K32</f>
        <v>0</v>
      </c>
      <c r="Q31" s="190">
        <f>'A5-Capex'!L32</f>
        <v>0</v>
      </c>
    </row>
    <row r="32" spans="1:17">
      <c r="A32" s="1137" t="str">
        <f>'A5-Capex'!A33</f>
        <v>Vote10 - Waste Water Management</v>
      </c>
      <c r="B32" s="849"/>
      <c r="C32" s="1821">
        <f>2950000/12</f>
        <v>245833.33333333334</v>
      </c>
      <c r="D32" s="1821">
        <f t="shared" ref="D32:M32" si="8">2950000/12</f>
        <v>245833.33333333334</v>
      </c>
      <c r="E32" s="1821">
        <f t="shared" si="8"/>
        <v>245833.33333333334</v>
      </c>
      <c r="F32" s="1821">
        <f t="shared" si="8"/>
        <v>245833.33333333334</v>
      </c>
      <c r="G32" s="1821">
        <f t="shared" si="8"/>
        <v>245833.33333333334</v>
      </c>
      <c r="H32" s="1821">
        <f t="shared" si="8"/>
        <v>245833.33333333334</v>
      </c>
      <c r="I32" s="1821">
        <f t="shared" si="8"/>
        <v>245833.33333333334</v>
      </c>
      <c r="J32" s="1821">
        <f t="shared" si="8"/>
        <v>245833.33333333334</v>
      </c>
      <c r="K32" s="1821">
        <f t="shared" si="8"/>
        <v>245833.33333333334</v>
      </c>
      <c r="L32" s="1821">
        <f t="shared" si="8"/>
        <v>245833.33333333334</v>
      </c>
      <c r="M32" s="1821">
        <f t="shared" si="8"/>
        <v>245833.33333333334</v>
      </c>
      <c r="N32" s="188">
        <f t="shared" ref="N32:N37" si="9">O32-SUM(C32:M32)</f>
        <v>245833.33333333302</v>
      </c>
      <c r="O32" s="191">
        <f>'A5-Capex'!J33</f>
        <v>2950000</v>
      </c>
      <c r="P32" s="189">
        <f>'A5-Capex'!K33</f>
        <v>0</v>
      </c>
      <c r="Q32" s="190">
        <f>'A5-Capex'!L33</f>
        <v>0</v>
      </c>
    </row>
    <row r="33" spans="1:20">
      <c r="A33" s="1137" t="str">
        <f>'A5-Capex'!A34</f>
        <v>Vote11 - Waste Management</v>
      </c>
      <c r="B33" s="849"/>
      <c r="C33" s="1821">
        <f>SUMIFS('SA36'!S:S,'SA36'!$Q:$Q,"S",'SA36'!$R:$R,'SA28'!$A33)</f>
        <v>0</v>
      </c>
      <c r="D33" s="1805">
        <f>SUMIFS('SA36'!T:T,'SA36'!$Q:$Q,"S",'SA36'!$R:$R,'SA28'!$A33)</f>
        <v>0</v>
      </c>
      <c r="E33" s="1805">
        <f>SUMIFS('SA36'!U:U,'SA36'!$Q:$Q,"S",'SA36'!$R:$R,'SA28'!$A33)</f>
        <v>0</v>
      </c>
      <c r="F33" s="1805">
        <f>SUMIFS('SA36'!V:V,'SA36'!$Q:$Q,"S",'SA36'!$R:$R,'SA28'!$A33)</f>
        <v>0</v>
      </c>
      <c r="G33" s="1805">
        <f>SUMIFS('SA36'!W:W,'SA36'!$Q:$Q,"S",'SA36'!$R:$R,'SA28'!$A33)</f>
        <v>0</v>
      </c>
      <c r="H33" s="1805">
        <f>SUMIFS('SA36'!X:X,'SA36'!$Q:$Q,"S",'SA36'!$R:$R,'SA28'!$A33)</f>
        <v>0</v>
      </c>
      <c r="I33" s="1805">
        <f>SUMIFS('SA36'!Y:Y,'SA36'!$Q:$Q,"S",'SA36'!$R:$R,'SA28'!$A33)</f>
        <v>0</v>
      </c>
      <c r="J33" s="1805">
        <f>SUMIFS('SA36'!Z:Z,'SA36'!$Q:$Q,"S",'SA36'!$R:$R,'SA28'!$A33)</f>
        <v>0</v>
      </c>
      <c r="K33" s="1805">
        <f>SUMIFS('SA36'!AA:AA,'SA36'!$Q:$Q,"S",'SA36'!$R:$R,'SA28'!$A33)</f>
        <v>0</v>
      </c>
      <c r="L33" s="1805">
        <f>SUMIFS('SA36'!AB:AB,'SA36'!$Q:$Q,"S",'SA36'!$R:$R,'SA28'!$A33)</f>
        <v>0</v>
      </c>
      <c r="M33" s="1805">
        <f>SUMIFS('SA36'!AC:AC,'SA36'!$Q:$Q,"S",'SA36'!$R:$R,'SA28'!$A33)</f>
        <v>0</v>
      </c>
      <c r="N33" s="188">
        <f t="shared" si="9"/>
        <v>0</v>
      </c>
      <c r="O33" s="191">
        <f>'A5-Capex'!J34</f>
        <v>0</v>
      </c>
      <c r="P33" s="189">
        <f>'A5-Capex'!K34</f>
        <v>0</v>
      </c>
      <c r="Q33" s="190">
        <f>'A5-Capex'!L34</f>
        <v>0</v>
      </c>
    </row>
    <row r="34" spans="1:20">
      <c r="A34" s="1137" t="str">
        <f>'A5-Capex'!A35</f>
        <v>Vote12 - Environmental Protection</v>
      </c>
      <c r="B34" s="849"/>
      <c r="C34" s="1821">
        <f>SUMIFS('SA36'!S:S,'SA36'!$Q:$Q,"S",'SA36'!$R:$R,'SA28'!$A34)</f>
        <v>0</v>
      </c>
      <c r="D34" s="1805">
        <f>SUMIFS('SA36'!T:T,'SA36'!$Q:$Q,"S",'SA36'!$R:$R,'SA28'!$A34)</f>
        <v>0</v>
      </c>
      <c r="E34" s="1805">
        <f>SUMIFS('SA36'!U:U,'SA36'!$Q:$Q,"S",'SA36'!$R:$R,'SA28'!$A34)</f>
        <v>0</v>
      </c>
      <c r="F34" s="1805">
        <f>SUMIFS('SA36'!V:V,'SA36'!$Q:$Q,"S",'SA36'!$R:$R,'SA28'!$A34)</f>
        <v>0</v>
      </c>
      <c r="G34" s="1805">
        <f>SUMIFS('SA36'!W:W,'SA36'!$Q:$Q,"S",'SA36'!$R:$R,'SA28'!$A34)</f>
        <v>0</v>
      </c>
      <c r="H34" s="1805">
        <f>SUMIFS('SA36'!X:X,'SA36'!$Q:$Q,"S",'SA36'!$R:$R,'SA28'!$A34)</f>
        <v>0</v>
      </c>
      <c r="I34" s="1805">
        <f>SUMIFS('SA36'!Y:Y,'SA36'!$Q:$Q,"S",'SA36'!$R:$R,'SA28'!$A34)</f>
        <v>0</v>
      </c>
      <c r="J34" s="1805">
        <f>SUMIFS('SA36'!Z:Z,'SA36'!$Q:$Q,"S",'SA36'!$R:$R,'SA28'!$A34)</f>
        <v>0</v>
      </c>
      <c r="K34" s="1805">
        <f>SUMIFS('SA36'!AA:AA,'SA36'!$Q:$Q,"S",'SA36'!$R:$R,'SA28'!$A34)</f>
        <v>0</v>
      </c>
      <c r="L34" s="1805">
        <f>SUMIFS('SA36'!AB:AB,'SA36'!$Q:$Q,"S",'SA36'!$R:$R,'SA28'!$A34)</f>
        <v>0</v>
      </c>
      <c r="M34" s="1805">
        <f>SUMIFS('SA36'!AC:AC,'SA36'!$Q:$Q,"S",'SA36'!$R:$R,'SA28'!$A34)</f>
        <v>0</v>
      </c>
      <c r="N34" s="188">
        <f t="shared" si="9"/>
        <v>0</v>
      </c>
      <c r="O34" s="191">
        <f>'A5-Capex'!J35</f>
        <v>0</v>
      </c>
      <c r="P34" s="189">
        <f>'A5-Capex'!K35</f>
        <v>0</v>
      </c>
      <c r="Q34" s="190">
        <f>'A5-Capex'!L35</f>
        <v>0</v>
      </c>
    </row>
    <row r="35" spans="1:20">
      <c r="A35" s="1137" t="str">
        <f>'A5-Capex'!A36</f>
        <v>Vote13 - Other</v>
      </c>
      <c r="B35" s="849"/>
      <c r="C35" s="1821">
        <f>SUMIFS('SA36'!S:S,'SA36'!$Q:$Q,"S",'SA36'!$R:$R,'SA28'!$A35)</f>
        <v>0</v>
      </c>
      <c r="D35" s="1805">
        <f>SUMIFS('SA36'!T:T,'SA36'!$Q:$Q,"S",'SA36'!$R:$R,'SA28'!$A35)</f>
        <v>0</v>
      </c>
      <c r="E35" s="1805">
        <f>SUMIFS('SA36'!U:U,'SA36'!$Q:$Q,"S",'SA36'!$R:$R,'SA28'!$A35)</f>
        <v>0</v>
      </c>
      <c r="F35" s="1805">
        <f>SUMIFS('SA36'!V:V,'SA36'!$Q:$Q,"S",'SA36'!$R:$R,'SA28'!$A35)</f>
        <v>0</v>
      </c>
      <c r="G35" s="1805">
        <f>SUMIFS('SA36'!W:W,'SA36'!$Q:$Q,"S",'SA36'!$R:$R,'SA28'!$A35)</f>
        <v>0</v>
      </c>
      <c r="H35" s="1805">
        <f>SUMIFS('SA36'!X:X,'SA36'!$Q:$Q,"S",'SA36'!$R:$R,'SA28'!$A35)</f>
        <v>0</v>
      </c>
      <c r="I35" s="1805">
        <f>SUMIFS('SA36'!Y:Y,'SA36'!$Q:$Q,"S",'SA36'!$R:$R,'SA28'!$A35)</f>
        <v>0</v>
      </c>
      <c r="J35" s="1805">
        <f>SUMIFS('SA36'!Z:Z,'SA36'!$Q:$Q,"S",'SA36'!$R:$R,'SA28'!$A35)</f>
        <v>0</v>
      </c>
      <c r="K35" s="1805">
        <f>SUMIFS('SA36'!AA:AA,'SA36'!$Q:$Q,"S",'SA36'!$R:$R,'SA28'!$A35)</f>
        <v>0</v>
      </c>
      <c r="L35" s="1805">
        <f>SUMIFS('SA36'!AB:AB,'SA36'!$Q:$Q,"S",'SA36'!$R:$R,'SA28'!$A35)</f>
        <v>0</v>
      </c>
      <c r="M35" s="1805">
        <f>SUMIFS('SA36'!AC:AC,'SA36'!$Q:$Q,"S",'SA36'!$R:$R,'SA28'!$A35)</f>
        <v>0</v>
      </c>
      <c r="N35" s="188">
        <f t="shared" si="9"/>
        <v>0</v>
      </c>
      <c r="O35" s="191">
        <f>'A5-Capex'!J36</f>
        <v>0</v>
      </c>
      <c r="P35" s="189">
        <f>'A5-Capex'!K36</f>
        <v>0</v>
      </c>
      <c r="Q35" s="190">
        <f>'A5-Capex'!L36</f>
        <v>0</v>
      </c>
    </row>
    <row r="36" spans="1:20">
      <c r="A36" s="1137" t="str">
        <f>'A5-Capex'!A37</f>
        <v>Vote14 - Example 14</v>
      </c>
      <c r="B36" s="849"/>
      <c r="C36" s="1821">
        <f>SUMIFS('SA36'!S:S,'SA36'!$Q:$Q,"S",'SA36'!$R:$R,'SA28'!$A36)</f>
        <v>0</v>
      </c>
      <c r="D36" s="1805">
        <f>SUMIFS('SA36'!T:T,'SA36'!$Q:$Q,"S",'SA36'!$R:$R,'SA28'!$A36)</f>
        <v>0</v>
      </c>
      <c r="E36" s="1805">
        <f>SUMIFS('SA36'!U:U,'SA36'!$Q:$Q,"S",'SA36'!$R:$R,'SA28'!$A36)</f>
        <v>0</v>
      </c>
      <c r="F36" s="1805">
        <f>SUMIFS('SA36'!V:V,'SA36'!$Q:$Q,"S",'SA36'!$R:$R,'SA28'!$A36)</f>
        <v>0</v>
      </c>
      <c r="G36" s="1805">
        <f>SUMIFS('SA36'!W:W,'SA36'!$Q:$Q,"S",'SA36'!$R:$R,'SA28'!$A36)</f>
        <v>0</v>
      </c>
      <c r="H36" s="1805">
        <f>SUMIFS('SA36'!X:X,'SA36'!$Q:$Q,"S",'SA36'!$R:$R,'SA28'!$A36)</f>
        <v>0</v>
      </c>
      <c r="I36" s="1805">
        <f>SUMIFS('SA36'!Y:Y,'SA36'!$Q:$Q,"S",'SA36'!$R:$R,'SA28'!$A36)</f>
        <v>0</v>
      </c>
      <c r="J36" s="1805">
        <f>SUMIFS('SA36'!Z:Z,'SA36'!$Q:$Q,"S",'SA36'!$R:$R,'SA28'!$A36)</f>
        <v>0</v>
      </c>
      <c r="K36" s="1805">
        <f>SUMIFS('SA36'!AA:AA,'SA36'!$Q:$Q,"S",'SA36'!$R:$R,'SA28'!$A36)</f>
        <v>0</v>
      </c>
      <c r="L36" s="1805">
        <f>SUMIFS('SA36'!AB:AB,'SA36'!$Q:$Q,"S",'SA36'!$R:$R,'SA28'!$A36)</f>
        <v>0</v>
      </c>
      <c r="M36" s="1805">
        <f>SUMIFS('SA36'!AC:AC,'SA36'!$Q:$Q,"S",'SA36'!$R:$R,'SA28'!$A36)</f>
        <v>0</v>
      </c>
      <c r="N36" s="188">
        <f t="shared" si="9"/>
        <v>0</v>
      </c>
      <c r="O36" s="191">
        <f>'A5-Capex'!J37</f>
        <v>0</v>
      </c>
      <c r="P36" s="189">
        <f>'A5-Capex'!K37</f>
        <v>0</v>
      </c>
      <c r="Q36" s="190">
        <f>'A5-Capex'!L37</f>
        <v>0</v>
      </c>
    </row>
    <row r="37" spans="1:20">
      <c r="A37" s="1137" t="str">
        <f>'A5-Capex'!A38</f>
        <v>Vote15 - Example 15</v>
      </c>
      <c r="B37" s="849"/>
      <c r="C37" s="1821">
        <f>SUMIFS('SA36'!S:S,'SA36'!$Q:$Q,"S",'SA36'!$R:$R,'SA28'!$A37)</f>
        <v>0</v>
      </c>
      <c r="D37" s="1805">
        <f>SUMIFS('SA36'!T:T,'SA36'!$Q:$Q,"S",'SA36'!$R:$R,'SA28'!$A37)</f>
        <v>0</v>
      </c>
      <c r="E37" s="1805">
        <f>SUMIFS('SA36'!U:U,'SA36'!$Q:$Q,"S",'SA36'!$R:$R,'SA28'!$A37)</f>
        <v>0</v>
      </c>
      <c r="F37" s="1805">
        <f>SUMIFS('SA36'!V:V,'SA36'!$Q:$Q,"S",'SA36'!$R:$R,'SA28'!$A37)</f>
        <v>0</v>
      </c>
      <c r="G37" s="1805">
        <f>SUMIFS('SA36'!W:W,'SA36'!$Q:$Q,"S",'SA36'!$R:$R,'SA28'!$A37)</f>
        <v>0</v>
      </c>
      <c r="H37" s="1805">
        <f>SUMIFS('SA36'!X:X,'SA36'!$Q:$Q,"S",'SA36'!$R:$R,'SA28'!$A37)</f>
        <v>0</v>
      </c>
      <c r="I37" s="1805">
        <f>SUMIFS('SA36'!Y:Y,'SA36'!$Q:$Q,"S",'SA36'!$R:$R,'SA28'!$A37)</f>
        <v>0</v>
      </c>
      <c r="J37" s="1805">
        <f>SUMIFS('SA36'!Z:Z,'SA36'!$Q:$Q,"S",'SA36'!$R:$R,'SA28'!$A37)</f>
        <v>0</v>
      </c>
      <c r="K37" s="1805">
        <f>SUMIFS('SA36'!AA:AA,'SA36'!$Q:$Q,"S",'SA36'!$R:$R,'SA28'!$A37)</f>
        <v>0</v>
      </c>
      <c r="L37" s="1805">
        <f>SUMIFS('SA36'!AB:AB,'SA36'!$Q:$Q,"S",'SA36'!$R:$R,'SA28'!$A37)</f>
        <v>0</v>
      </c>
      <c r="M37" s="1805">
        <f>SUMIFS('SA36'!AC:AC,'SA36'!$Q:$Q,"S",'SA36'!$R:$R,'SA28'!$A37)</f>
        <v>0</v>
      </c>
      <c r="N37" s="188">
        <f t="shared" si="9"/>
        <v>0</v>
      </c>
      <c r="O37" s="191">
        <f>'A5-Capex'!J38</f>
        <v>0</v>
      </c>
      <c r="P37" s="189">
        <f>'A5-Capex'!K38</f>
        <v>0</v>
      </c>
      <c r="Q37" s="190">
        <f>'A5-Capex'!L38</f>
        <v>0</v>
      </c>
    </row>
    <row r="38" spans="1:20">
      <c r="A38" s="183" t="s">
        <v>1428</v>
      </c>
      <c r="B38" s="1258">
        <v>2</v>
      </c>
      <c r="C38" s="255">
        <f t="shared" ref="C38:Q38" si="10">SUM(C23:C37)</f>
        <v>790666.66666666674</v>
      </c>
      <c r="D38" s="253">
        <f t="shared" si="10"/>
        <v>790666.66666666674</v>
      </c>
      <c r="E38" s="253">
        <f t="shared" si="10"/>
        <v>790666.66666666674</v>
      </c>
      <c r="F38" s="253">
        <f t="shared" si="10"/>
        <v>790666.66666666674</v>
      </c>
      <c r="G38" s="253">
        <f t="shared" si="10"/>
        <v>790666.66666666674</v>
      </c>
      <c r="H38" s="253">
        <f t="shared" si="10"/>
        <v>790666.66666666674</v>
      </c>
      <c r="I38" s="253">
        <f t="shared" si="10"/>
        <v>790666.66666666674</v>
      </c>
      <c r="J38" s="253">
        <f t="shared" si="10"/>
        <v>790666.66666666674</v>
      </c>
      <c r="K38" s="253">
        <f t="shared" si="10"/>
        <v>790666.66666666674</v>
      </c>
      <c r="L38" s="253">
        <f t="shared" si="10"/>
        <v>790666.66666666674</v>
      </c>
      <c r="M38" s="253">
        <f t="shared" si="10"/>
        <v>790666.66666666674</v>
      </c>
      <c r="N38" s="252">
        <f t="shared" si="10"/>
        <v>790666.66666666674</v>
      </c>
      <c r="O38" s="255">
        <f t="shared" si="10"/>
        <v>9488000</v>
      </c>
      <c r="P38" s="253">
        <f t="shared" si="10"/>
        <v>0</v>
      </c>
      <c r="Q38" s="254">
        <f t="shared" si="10"/>
        <v>0</v>
      </c>
    </row>
    <row r="39" spans="1:20">
      <c r="A39" s="834" t="s">
        <v>628</v>
      </c>
      <c r="B39" s="866">
        <v>2</v>
      </c>
      <c r="C39" s="327">
        <f>C20+C38</f>
        <v>790666.66666666674</v>
      </c>
      <c r="D39" s="213">
        <f t="shared" ref="D39:N39" si="11">D20+D38</f>
        <v>790666.66666666674</v>
      </c>
      <c r="E39" s="213">
        <f t="shared" si="11"/>
        <v>790666.66666666674</v>
      </c>
      <c r="F39" s="213">
        <f t="shared" si="11"/>
        <v>790666.66666666674</v>
      </c>
      <c r="G39" s="213">
        <f t="shared" si="11"/>
        <v>790666.66666666674</v>
      </c>
      <c r="H39" s="213">
        <f t="shared" si="11"/>
        <v>790666.66666666674</v>
      </c>
      <c r="I39" s="213">
        <f t="shared" si="11"/>
        <v>790666.66666666674</v>
      </c>
      <c r="J39" s="213">
        <f t="shared" si="11"/>
        <v>790666.66666666674</v>
      </c>
      <c r="K39" s="213">
        <f t="shared" si="11"/>
        <v>790666.66666666674</v>
      </c>
      <c r="L39" s="213">
        <f t="shared" si="11"/>
        <v>790666.66666666674</v>
      </c>
      <c r="M39" s="213">
        <f t="shared" si="11"/>
        <v>790666.66666666674</v>
      </c>
      <c r="N39" s="212">
        <f t="shared" si="11"/>
        <v>790666.66666666674</v>
      </c>
      <c r="O39" s="327">
        <f>O20+O38</f>
        <v>9488000</v>
      </c>
      <c r="P39" s="213">
        <f>P20+P38</f>
        <v>0</v>
      </c>
      <c r="Q39" s="326">
        <f>Q20+Q38</f>
        <v>0</v>
      </c>
    </row>
    <row r="40" spans="1:20">
      <c r="A40" s="1254"/>
      <c r="B40" s="1255"/>
      <c r="C40" s="371"/>
      <c r="D40" s="371"/>
      <c r="E40" s="371"/>
      <c r="F40" s="371"/>
      <c r="G40" s="371"/>
      <c r="H40" s="371"/>
      <c r="I40" s="371"/>
      <c r="J40" s="371"/>
      <c r="K40" s="371"/>
      <c r="L40" s="371"/>
      <c r="M40" s="371"/>
      <c r="N40" s="371"/>
      <c r="O40" s="371"/>
      <c r="P40" s="371"/>
      <c r="Q40" s="371"/>
    </row>
    <row r="41" spans="1:20">
      <c r="A41" s="1254"/>
      <c r="B41" s="1255"/>
      <c r="C41" s="371"/>
      <c r="D41" s="371"/>
      <c r="E41" s="371"/>
      <c r="F41" s="371"/>
      <c r="G41" s="371"/>
      <c r="H41" s="371"/>
      <c r="I41" s="371"/>
      <c r="J41" s="371"/>
      <c r="K41" s="371"/>
      <c r="L41" s="371"/>
      <c r="M41" s="371"/>
      <c r="N41" s="371"/>
      <c r="O41" s="371"/>
      <c r="P41" s="371"/>
      <c r="Q41" s="371"/>
    </row>
    <row r="42" spans="1:20" s="693" customFormat="1" hidden="1">
      <c r="A42" s="1349" t="str">
        <f>head27a</f>
        <v>References</v>
      </c>
      <c r="B42" s="1076"/>
      <c r="C42" s="1035"/>
      <c r="D42" s="1035"/>
      <c r="E42" s="1035"/>
      <c r="F42" s="1035"/>
      <c r="G42" s="1035"/>
      <c r="H42" s="1035"/>
      <c r="I42" s="1035"/>
      <c r="J42" s="1035"/>
      <c r="K42" s="1035"/>
      <c r="L42" s="1035"/>
      <c r="M42" s="1035"/>
      <c r="N42" s="1035"/>
      <c r="O42" s="1035"/>
      <c r="P42" s="1035"/>
      <c r="Q42" s="1035"/>
      <c r="R42" s="150"/>
      <c r="S42" s="1077"/>
      <c r="T42" s="1077"/>
    </row>
    <row r="43" spans="1:20" s="693" customFormat="1" hidden="1">
      <c r="A43" s="1343" t="s">
        <v>845</v>
      </c>
      <c r="B43" s="1043"/>
      <c r="C43" s="1035"/>
      <c r="D43" s="1035"/>
      <c r="E43" s="1035"/>
      <c r="F43" s="1035"/>
      <c r="G43" s="1035"/>
      <c r="H43" s="1035"/>
      <c r="I43" s="1035"/>
      <c r="J43" s="1035"/>
      <c r="K43" s="1035"/>
      <c r="L43" s="1035"/>
      <c r="M43" s="1035"/>
      <c r="N43" s="1035"/>
      <c r="O43" s="1035"/>
      <c r="P43" s="1035"/>
      <c r="Q43" s="1035"/>
      <c r="R43" s="1077"/>
      <c r="S43" s="1077"/>
      <c r="T43" s="1077"/>
    </row>
    <row r="44" spans="1:20" s="693" customFormat="1" hidden="1">
      <c r="A44" s="1343" t="s">
        <v>173</v>
      </c>
      <c r="B44" s="1043"/>
    </row>
    <row r="45" spans="1:20" hidden="1">
      <c r="A45" s="411" t="s">
        <v>1624</v>
      </c>
      <c r="B45" s="789"/>
      <c r="C45" s="336">
        <f>C39-'SA29'!C25</f>
        <v>0</v>
      </c>
      <c r="D45" s="336">
        <f>D39-'SA29'!D25</f>
        <v>0</v>
      </c>
      <c r="E45" s="336">
        <f>E39-'SA29'!E25</f>
        <v>0</v>
      </c>
      <c r="F45" s="336">
        <f>F39-'SA29'!F25</f>
        <v>0</v>
      </c>
      <c r="G45" s="336">
        <f>G39-'SA29'!G25</f>
        <v>0</v>
      </c>
      <c r="H45" s="336">
        <f>H39-'SA29'!H25</f>
        <v>0</v>
      </c>
      <c r="I45" s="336">
        <f>I39-'SA29'!I25</f>
        <v>0</v>
      </c>
      <c r="J45" s="336">
        <f>J39-'SA29'!J25</f>
        <v>0</v>
      </c>
      <c r="K45" s="336">
        <f>K39-'SA29'!K25</f>
        <v>0</v>
      </c>
      <c r="L45" s="336">
        <f>L39-'SA29'!L25</f>
        <v>0</v>
      </c>
      <c r="M45" s="336">
        <f>M39-'SA29'!M25</f>
        <v>0</v>
      </c>
      <c r="N45" s="336">
        <f>N39-'SA29'!N25</f>
        <v>0</v>
      </c>
      <c r="O45" s="791">
        <f>O20-'A5-Capex'!J21</f>
        <v>0</v>
      </c>
      <c r="P45" s="791">
        <f>P20-'A5-Capex'!K21</f>
        <v>0</v>
      </c>
      <c r="Q45" s="791">
        <f>Q20-'A5-Capex'!L21</f>
        <v>0</v>
      </c>
    </row>
    <row r="46" spans="1:20" hidden="1"/>
    <row r="47" spans="1:20" hidden="1">
      <c r="E47" s="150" t="s">
        <v>200</v>
      </c>
    </row>
    <row r="48" spans="1:20" hidden="1"/>
    <row r="49" hidden="1"/>
    <row r="50" hidden="1"/>
    <row r="51" hidden="1"/>
    <row r="52" hidden="1"/>
    <row r="53" hidden="1"/>
    <row r="54" hidden="1"/>
    <row r="55" hidden="1"/>
    <row r="56" hidden="1"/>
    <row r="57" hidden="1"/>
    <row r="58" hidden="1"/>
    <row r="59" hidden="1"/>
    <row r="60" hidden="1"/>
    <row r="61" hidden="1"/>
    <row r="62" hidden="1"/>
  </sheetData>
  <sheetProtection sheet="1" objects="1" scenarios="1"/>
  <mergeCells count="2">
    <mergeCell ref="C2:N2"/>
    <mergeCell ref="O2:Q2"/>
  </mergeCells>
  <phoneticPr fontId="3" type="noConversion"/>
  <printOptions horizontalCentered="1"/>
  <pageMargins left="0" right="0" top="0.78740157480314965" bottom="0.59055118110236227" header="0.51181102362204722" footer="0.39370078740157483"/>
  <pageSetup paperSize="9" scale="93"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enableFormatConditionsCalculation="0">
    <tabColor indexed="42"/>
    <pageSetUpPr fitToPage="1"/>
  </sheetPr>
  <dimension ref="A1:T46"/>
  <sheetViews>
    <sheetView showGridLines="0" workbookViewId="0">
      <pane xSplit="2" ySplit="3" topLeftCell="C10" activePane="bottomRight" state="frozen"/>
      <selection activeCell="G71" sqref="G71"/>
      <selection pane="topRight" activeCell="G71" sqref="G71"/>
      <selection pane="bottomLeft" activeCell="G71" sqref="G71"/>
      <selection pane="bottomRight" activeCell="K19" sqref="K19"/>
    </sheetView>
  </sheetViews>
  <sheetFormatPr defaultRowHeight="12.75"/>
  <cols>
    <col min="1" max="1" width="30.7109375" style="150" customWidth="1"/>
    <col min="2" max="2" width="3" style="150" hidden="1" customWidth="1"/>
    <col min="3" max="14" width="8.28515625" style="150" customWidth="1"/>
    <col min="15" max="17" width="9.28515625" style="150" customWidth="1"/>
    <col min="18" max="16384" width="9.140625" style="150"/>
  </cols>
  <sheetData>
    <row r="1" spans="1:18" ht="13.5" customHeight="1">
      <c r="A1" s="148" t="str">
        <f>muni&amp;" - "&amp; TableA29</f>
        <v>NC071 Ubuntu - Supporting Table SA29 Budgeted monthly capital expenditure (standard classification)</v>
      </c>
      <c r="B1" s="148"/>
      <c r="C1" s="148"/>
      <c r="D1" s="148"/>
      <c r="E1" s="148"/>
      <c r="F1" s="148"/>
      <c r="G1" s="148"/>
      <c r="H1" s="148"/>
      <c r="I1" s="148"/>
      <c r="J1" s="148"/>
      <c r="K1" s="148"/>
      <c r="L1" s="148"/>
      <c r="M1" s="148"/>
      <c r="N1" s="148"/>
      <c r="O1" s="148"/>
      <c r="P1" s="148"/>
      <c r="Q1" s="148"/>
    </row>
    <row r="2" spans="1:18" ht="27" customHeight="1">
      <c r="A2" s="979" t="str">
        <f>desc</f>
        <v>Description</v>
      </c>
      <c r="B2" s="991" t="str">
        <f>head27</f>
        <v>Ref</v>
      </c>
      <c r="C2" s="2772" t="str">
        <f>Head9</f>
        <v>Budget Year 2011/12</v>
      </c>
      <c r="D2" s="2773"/>
      <c r="E2" s="2773"/>
      <c r="F2" s="2773"/>
      <c r="G2" s="2773"/>
      <c r="H2" s="2773"/>
      <c r="I2" s="2773"/>
      <c r="J2" s="2773"/>
      <c r="K2" s="2773"/>
      <c r="L2" s="2773"/>
      <c r="M2" s="2773"/>
      <c r="N2" s="2773"/>
      <c r="O2" s="2769" t="s">
        <v>1916</v>
      </c>
      <c r="P2" s="2770"/>
      <c r="Q2" s="2771"/>
    </row>
    <row r="3" spans="1:18" ht="25.5">
      <c r="A3" s="169" t="s">
        <v>697</v>
      </c>
      <c r="B3" s="992"/>
      <c r="C3" s="283" t="s">
        <v>758</v>
      </c>
      <c r="D3" s="913" t="s">
        <v>1506</v>
      </c>
      <c r="E3" s="913" t="s">
        <v>1507</v>
      </c>
      <c r="F3" s="913" t="s">
        <v>1508</v>
      </c>
      <c r="G3" s="913" t="s">
        <v>438</v>
      </c>
      <c r="H3" s="913" t="s">
        <v>439</v>
      </c>
      <c r="I3" s="913" t="s">
        <v>740</v>
      </c>
      <c r="J3" s="913" t="s">
        <v>440</v>
      </c>
      <c r="K3" s="913" t="s">
        <v>742</v>
      </c>
      <c r="L3" s="913" t="s">
        <v>743</v>
      </c>
      <c r="M3" s="913" t="s">
        <v>744</v>
      </c>
      <c r="N3" s="364" t="s">
        <v>745</v>
      </c>
      <c r="O3" s="283" t="str">
        <f>Head9</f>
        <v>Budget Year 2011/12</v>
      </c>
      <c r="P3" s="365" t="str">
        <f>Head10</f>
        <v>Budget Year +1 2012/13</v>
      </c>
      <c r="Q3" s="366" t="str">
        <f>Head11</f>
        <v>Budget Year +2 2013/14</v>
      </c>
    </row>
    <row r="4" spans="1:18">
      <c r="A4" s="235" t="str">
        <f>'A5-Capex'!A42</f>
        <v>Capital Expenditure - Standard</v>
      </c>
      <c r="B4" s="988">
        <v>1</v>
      </c>
      <c r="C4" s="191"/>
      <c r="D4" s="189"/>
      <c r="E4" s="189"/>
      <c r="F4" s="189"/>
      <c r="G4" s="189"/>
      <c r="H4" s="189"/>
      <c r="I4" s="189"/>
      <c r="J4" s="189"/>
      <c r="K4" s="189"/>
      <c r="L4" s="189"/>
      <c r="M4" s="189"/>
      <c r="N4" s="188"/>
      <c r="O4" s="191"/>
      <c r="P4" s="189"/>
      <c r="Q4" s="190"/>
    </row>
    <row r="5" spans="1:18">
      <c r="A5" s="1243" t="str">
        <f>'A5-Capex'!A43</f>
        <v>Governance and administration</v>
      </c>
      <c r="B5" s="849"/>
      <c r="C5" s="1133">
        <f>SUM(C6:C8)</f>
        <v>74000</v>
      </c>
      <c r="D5" s="1131">
        <f>SUM(D6:D8)</f>
        <v>74000</v>
      </c>
      <c r="E5" s="1131">
        <f t="shared" ref="E5:M5" si="0">SUM(E6:E8)</f>
        <v>74000</v>
      </c>
      <c r="F5" s="1131">
        <f t="shared" si="0"/>
        <v>74000</v>
      </c>
      <c r="G5" s="1131">
        <f t="shared" si="0"/>
        <v>74000</v>
      </c>
      <c r="H5" s="1131">
        <f t="shared" si="0"/>
        <v>74000</v>
      </c>
      <c r="I5" s="1131">
        <f t="shared" si="0"/>
        <v>74000</v>
      </c>
      <c r="J5" s="1131">
        <f t="shared" si="0"/>
        <v>74000</v>
      </c>
      <c r="K5" s="1131">
        <f t="shared" si="0"/>
        <v>74000</v>
      </c>
      <c r="L5" s="1131">
        <f t="shared" si="0"/>
        <v>74000</v>
      </c>
      <c r="M5" s="1131">
        <f t="shared" si="0"/>
        <v>74000</v>
      </c>
      <c r="N5" s="203">
        <f>O5-SUM(C5:M5)</f>
        <v>74000</v>
      </c>
      <c r="O5" s="206">
        <f>'A5-Capex'!J43</f>
        <v>888000</v>
      </c>
      <c r="P5" s="204">
        <f>'A5-Capex'!K43</f>
        <v>0</v>
      </c>
      <c r="Q5" s="319">
        <f>'A5-Capex'!L43</f>
        <v>0</v>
      </c>
      <c r="R5" s="345"/>
    </row>
    <row r="6" spans="1:18">
      <c r="A6" s="1244" t="str">
        <f>'A5-Capex'!A44</f>
        <v>Executive and council</v>
      </c>
      <c r="B6" s="849"/>
      <c r="C6" s="1821">
        <f>888000/12</f>
        <v>74000</v>
      </c>
      <c r="D6" s="1821">
        <f t="shared" ref="D6:M6" si="1">888000/12</f>
        <v>74000</v>
      </c>
      <c r="E6" s="1821">
        <f t="shared" si="1"/>
        <v>74000</v>
      </c>
      <c r="F6" s="1821">
        <f t="shared" si="1"/>
        <v>74000</v>
      </c>
      <c r="G6" s="1821">
        <f t="shared" si="1"/>
        <v>74000</v>
      </c>
      <c r="H6" s="1821">
        <f t="shared" si="1"/>
        <v>74000</v>
      </c>
      <c r="I6" s="1821">
        <f t="shared" si="1"/>
        <v>74000</v>
      </c>
      <c r="J6" s="1821">
        <f t="shared" si="1"/>
        <v>74000</v>
      </c>
      <c r="K6" s="1821">
        <f t="shared" si="1"/>
        <v>74000</v>
      </c>
      <c r="L6" s="1821">
        <f t="shared" si="1"/>
        <v>74000</v>
      </c>
      <c r="M6" s="1821">
        <f t="shared" si="1"/>
        <v>74000</v>
      </c>
      <c r="N6" s="188">
        <f t="shared" ref="N6:N24" si="2">O6-SUM(C6:M6)</f>
        <v>74000</v>
      </c>
      <c r="O6" s="191">
        <f>'A5-Capex'!J44</f>
        <v>888000</v>
      </c>
      <c r="P6" s="189">
        <f>'A5-Capex'!K44</f>
        <v>0</v>
      </c>
      <c r="Q6" s="250">
        <f>'A5-Capex'!L44</f>
        <v>0</v>
      </c>
      <c r="R6" s="345"/>
    </row>
    <row r="7" spans="1:18">
      <c r="A7" s="1244" t="str">
        <f>'A5-Capex'!A45</f>
        <v>Budget and treasury office</v>
      </c>
      <c r="B7" s="849"/>
      <c r="C7" s="1825">
        <v>0</v>
      </c>
      <c r="D7" s="1823">
        <v>0</v>
      </c>
      <c r="E7" s="1823">
        <v>0</v>
      </c>
      <c r="F7" s="1823">
        <v>0</v>
      </c>
      <c r="G7" s="1823">
        <v>0</v>
      </c>
      <c r="H7" s="1823">
        <v>0</v>
      </c>
      <c r="I7" s="1823">
        <v>0</v>
      </c>
      <c r="J7" s="1823">
        <v>0</v>
      </c>
      <c r="K7" s="1823">
        <v>0</v>
      </c>
      <c r="L7" s="1823">
        <v>0</v>
      </c>
      <c r="M7" s="1823">
        <v>0</v>
      </c>
      <c r="N7" s="188">
        <f t="shared" si="2"/>
        <v>0</v>
      </c>
      <c r="O7" s="191">
        <f>'A5-Capex'!J45</f>
        <v>0</v>
      </c>
      <c r="P7" s="189">
        <f>'A5-Capex'!K45</f>
        <v>0</v>
      </c>
      <c r="Q7" s="250">
        <f>'A5-Capex'!L45</f>
        <v>0</v>
      </c>
      <c r="R7" s="345"/>
    </row>
    <row r="8" spans="1:18">
      <c r="A8" s="1244" t="str">
        <f>'A5-Capex'!A46</f>
        <v>Corporate services</v>
      </c>
      <c r="B8" s="849"/>
      <c r="C8" s="1821">
        <v>0</v>
      </c>
      <c r="D8" s="1805">
        <v>0</v>
      </c>
      <c r="E8" s="1805">
        <v>0</v>
      </c>
      <c r="F8" s="1805">
        <v>0</v>
      </c>
      <c r="G8" s="1805">
        <v>0</v>
      </c>
      <c r="H8" s="1805">
        <v>0</v>
      </c>
      <c r="I8" s="1805">
        <v>0</v>
      </c>
      <c r="J8" s="1805">
        <v>0</v>
      </c>
      <c r="K8" s="1805">
        <v>0</v>
      </c>
      <c r="L8" s="1805">
        <v>0</v>
      </c>
      <c r="M8" s="1805">
        <v>0</v>
      </c>
      <c r="N8" s="188">
        <f t="shared" si="2"/>
        <v>0</v>
      </c>
      <c r="O8" s="191">
        <f>'A5-Capex'!J46</f>
        <v>0</v>
      </c>
      <c r="P8" s="189">
        <f>'A5-Capex'!K46</f>
        <v>0</v>
      </c>
      <c r="Q8" s="250">
        <f>'A5-Capex'!L46</f>
        <v>0</v>
      </c>
      <c r="R8" s="345"/>
    </row>
    <row r="9" spans="1:18">
      <c r="A9" s="1243" t="str">
        <f>'A5-Capex'!A47</f>
        <v>Community and public safety</v>
      </c>
      <c r="B9" s="849"/>
      <c r="C9" s="1133">
        <f>SUM(C10:C14)</f>
        <v>25000</v>
      </c>
      <c r="D9" s="1131">
        <f t="shared" ref="D9:M9" si="3">SUM(D10:D14)</f>
        <v>25000</v>
      </c>
      <c r="E9" s="1131">
        <f t="shared" si="3"/>
        <v>25000</v>
      </c>
      <c r="F9" s="1131">
        <f t="shared" si="3"/>
        <v>25000</v>
      </c>
      <c r="G9" s="1131">
        <f t="shared" si="3"/>
        <v>25000</v>
      </c>
      <c r="H9" s="1131">
        <f t="shared" si="3"/>
        <v>25000</v>
      </c>
      <c r="I9" s="1131">
        <f t="shared" si="3"/>
        <v>25000</v>
      </c>
      <c r="J9" s="1131">
        <f t="shared" si="3"/>
        <v>25000</v>
      </c>
      <c r="K9" s="1131">
        <f t="shared" si="3"/>
        <v>25000</v>
      </c>
      <c r="L9" s="1131">
        <f t="shared" si="3"/>
        <v>25000</v>
      </c>
      <c r="M9" s="1131">
        <f t="shared" si="3"/>
        <v>25000</v>
      </c>
      <c r="N9" s="203">
        <f t="shared" si="2"/>
        <v>25000</v>
      </c>
      <c r="O9" s="206">
        <f>'A5-Capex'!J47</f>
        <v>300000</v>
      </c>
      <c r="P9" s="204">
        <f>'A5-Capex'!K47</f>
        <v>0</v>
      </c>
      <c r="Q9" s="319">
        <f>'A5-Capex'!L47</f>
        <v>0</v>
      </c>
      <c r="R9" s="345"/>
    </row>
    <row r="10" spans="1:18">
      <c r="A10" s="1244" t="str">
        <f>'A5-Capex'!A48</f>
        <v>Community and social services</v>
      </c>
      <c r="B10" s="849"/>
      <c r="C10" s="1821">
        <f>300000/12</f>
        <v>25000</v>
      </c>
      <c r="D10" s="1821">
        <f t="shared" ref="D10:M10" si="4">300000/12</f>
        <v>25000</v>
      </c>
      <c r="E10" s="1821">
        <f t="shared" si="4"/>
        <v>25000</v>
      </c>
      <c r="F10" s="1821">
        <f t="shared" si="4"/>
        <v>25000</v>
      </c>
      <c r="G10" s="1821">
        <f t="shared" si="4"/>
        <v>25000</v>
      </c>
      <c r="H10" s="1821">
        <f t="shared" si="4"/>
        <v>25000</v>
      </c>
      <c r="I10" s="1821">
        <f t="shared" si="4"/>
        <v>25000</v>
      </c>
      <c r="J10" s="1821">
        <f t="shared" si="4"/>
        <v>25000</v>
      </c>
      <c r="K10" s="1821">
        <f t="shared" si="4"/>
        <v>25000</v>
      </c>
      <c r="L10" s="1821">
        <f t="shared" si="4"/>
        <v>25000</v>
      </c>
      <c r="M10" s="1821">
        <f t="shared" si="4"/>
        <v>25000</v>
      </c>
      <c r="N10" s="188">
        <f t="shared" si="2"/>
        <v>25000</v>
      </c>
      <c r="O10" s="191">
        <f>'A5-Capex'!J48</f>
        <v>300000</v>
      </c>
      <c r="P10" s="189">
        <f>'A5-Capex'!K48</f>
        <v>0</v>
      </c>
      <c r="Q10" s="250">
        <f>'A5-Capex'!L48</f>
        <v>0</v>
      </c>
      <c r="R10" s="345"/>
    </row>
    <row r="11" spans="1:18">
      <c r="A11" s="1244" t="str">
        <f>'A5-Capex'!A49</f>
        <v>Sport and recreation</v>
      </c>
      <c r="B11" s="849"/>
      <c r="C11" s="1821">
        <v>0</v>
      </c>
      <c r="D11" s="1805">
        <v>0</v>
      </c>
      <c r="E11" s="1805">
        <v>0</v>
      </c>
      <c r="F11" s="1805">
        <v>0</v>
      </c>
      <c r="G11" s="1805">
        <v>0</v>
      </c>
      <c r="H11" s="1805">
        <v>0</v>
      </c>
      <c r="I11" s="1805">
        <v>0</v>
      </c>
      <c r="J11" s="1805">
        <v>0</v>
      </c>
      <c r="K11" s="1805">
        <v>0</v>
      </c>
      <c r="L11" s="1805">
        <v>0</v>
      </c>
      <c r="M11" s="1805">
        <v>0</v>
      </c>
      <c r="N11" s="188">
        <f t="shared" si="2"/>
        <v>0</v>
      </c>
      <c r="O11" s="191">
        <f>'A5-Capex'!J49</f>
        <v>0</v>
      </c>
      <c r="P11" s="189">
        <f>'A5-Capex'!K49</f>
        <v>0</v>
      </c>
      <c r="Q11" s="250">
        <f>'A5-Capex'!L49</f>
        <v>0</v>
      </c>
      <c r="R11" s="345"/>
    </row>
    <row r="12" spans="1:18">
      <c r="A12" s="1244" t="str">
        <f>'A5-Capex'!A50</f>
        <v>Public safety</v>
      </c>
      <c r="B12" s="849"/>
      <c r="C12" s="1821">
        <v>0</v>
      </c>
      <c r="D12" s="1805">
        <v>0</v>
      </c>
      <c r="E12" s="1805">
        <v>0</v>
      </c>
      <c r="F12" s="1805">
        <v>0</v>
      </c>
      <c r="G12" s="1805">
        <v>0</v>
      </c>
      <c r="H12" s="1805">
        <v>0</v>
      </c>
      <c r="I12" s="1805">
        <v>0</v>
      </c>
      <c r="J12" s="1805">
        <v>0</v>
      </c>
      <c r="K12" s="1805">
        <v>0</v>
      </c>
      <c r="L12" s="1805">
        <v>0</v>
      </c>
      <c r="M12" s="1805">
        <v>0</v>
      </c>
      <c r="N12" s="188">
        <f t="shared" si="2"/>
        <v>0</v>
      </c>
      <c r="O12" s="191">
        <f>'A5-Capex'!J50</f>
        <v>0</v>
      </c>
      <c r="P12" s="189">
        <f>'A5-Capex'!K50</f>
        <v>0</v>
      </c>
      <c r="Q12" s="250">
        <f>'A5-Capex'!L50</f>
        <v>0</v>
      </c>
      <c r="R12" s="345"/>
    </row>
    <row r="13" spans="1:18">
      <c r="A13" s="1244" t="str">
        <f>'A5-Capex'!A51</f>
        <v>Housing</v>
      </c>
      <c r="B13" s="849"/>
      <c r="C13" s="1821">
        <v>0</v>
      </c>
      <c r="D13" s="1805">
        <v>0</v>
      </c>
      <c r="E13" s="1805">
        <v>0</v>
      </c>
      <c r="F13" s="1805">
        <v>0</v>
      </c>
      <c r="G13" s="1805">
        <v>0</v>
      </c>
      <c r="H13" s="1805">
        <v>0</v>
      </c>
      <c r="I13" s="1805">
        <v>0</v>
      </c>
      <c r="J13" s="1805">
        <v>0</v>
      </c>
      <c r="K13" s="1805">
        <v>0</v>
      </c>
      <c r="L13" s="1805">
        <v>0</v>
      </c>
      <c r="M13" s="1805">
        <v>0</v>
      </c>
      <c r="N13" s="188">
        <f t="shared" si="2"/>
        <v>0</v>
      </c>
      <c r="O13" s="191">
        <f>'A5-Capex'!J51</f>
        <v>0</v>
      </c>
      <c r="P13" s="189">
        <f>'A5-Capex'!K51</f>
        <v>0</v>
      </c>
      <c r="Q13" s="250">
        <f>'A5-Capex'!L51</f>
        <v>0</v>
      </c>
      <c r="R13" s="345"/>
    </row>
    <row r="14" spans="1:18">
      <c r="A14" s="1244" t="str">
        <f>'A5-Capex'!A52</f>
        <v>Health</v>
      </c>
      <c r="B14" s="849"/>
      <c r="C14" s="1821">
        <v>0</v>
      </c>
      <c r="D14" s="1805">
        <v>0</v>
      </c>
      <c r="E14" s="1805">
        <v>0</v>
      </c>
      <c r="F14" s="1805">
        <v>0</v>
      </c>
      <c r="G14" s="1805">
        <v>0</v>
      </c>
      <c r="H14" s="1805">
        <v>0</v>
      </c>
      <c r="I14" s="1805">
        <v>0</v>
      </c>
      <c r="J14" s="1805">
        <v>0</v>
      </c>
      <c r="K14" s="1805">
        <v>0</v>
      </c>
      <c r="L14" s="1805">
        <v>0</v>
      </c>
      <c r="M14" s="1805">
        <v>0</v>
      </c>
      <c r="N14" s="188">
        <f t="shared" si="2"/>
        <v>0</v>
      </c>
      <c r="O14" s="191">
        <f>'A5-Capex'!J52</f>
        <v>0</v>
      </c>
      <c r="P14" s="189">
        <f>'A5-Capex'!K52</f>
        <v>0</v>
      </c>
      <c r="Q14" s="250">
        <f>'A5-Capex'!L52</f>
        <v>0</v>
      </c>
      <c r="R14" s="345"/>
    </row>
    <row r="15" spans="1:18">
      <c r="A15" s="1243" t="str">
        <f>'A5-Capex'!A53</f>
        <v>Economic and environmental services</v>
      </c>
      <c r="B15" s="849"/>
      <c r="C15" s="1133">
        <f>SUM(C16:C18)</f>
        <v>429166.66666666669</v>
      </c>
      <c r="D15" s="1131">
        <f t="shared" ref="D15:M15" si="5">SUM(D16:D18)</f>
        <v>429166.66666666669</v>
      </c>
      <c r="E15" s="1131">
        <f t="shared" si="5"/>
        <v>429166.66666666669</v>
      </c>
      <c r="F15" s="1131">
        <f t="shared" si="5"/>
        <v>429166.66666666669</v>
      </c>
      <c r="G15" s="1131">
        <f t="shared" si="5"/>
        <v>429166.66666666669</v>
      </c>
      <c r="H15" s="1131">
        <f t="shared" si="5"/>
        <v>429166.66666666669</v>
      </c>
      <c r="I15" s="1131">
        <f t="shared" si="5"/>
        <v>429166.66666666669</v>
      </c>
      <c r="J15" s="1131">
        <f t="shared" si="5"/>
        <v>429166.66666666669</v>
      </c>
      <c r="K15" s="1131">
        <f t="shared" si="5"/>
        <v>429166.66666666669</v>
      </c>
      <c r="L15" s="1131">
        <f t="shared" si="5"/>
        <v>429166.66666666669</v>
      </c>
      <c r="M15" s="1131">
        <f t="shared" si="5"/>
        <v>429166.66666666669</v>
      </c>
      <c r="N15" s="203">
        <f t="shared" si="2"/>
        <v>429166.66666666698</v>
      </c>
      <c r="O15" s="206">
        <f>'A5-Capex'!J53</f>
        <v>5150000</v>
      </c>
      <c r="P15" s="204">
        <f>'A5-Capex'!K53</f>
        <v>0</v>
      </c>
      <c r="Q15" s="319">
        <f>'A5-Capex'!L53</f>
        <v>0</v>
      </c>
      <c r="R15" s="345"/>
    </row>
    <row r="16" spans="1:18">
      <c r="A16" s="1244" t="str">
        <f>'A5-Capex'!A54</f>
        <v>Planning and development</v>
      </c>
      <c r="B16" s="849"/>
      <c r="C16" s="1821">
        <v>0</v>
      </c>
      <c r="D16" s="1805">
        <v>0</v>
      </c>
      <c r="E16" s="1805">
        <v>0</v>
      </c>
      <c r="F16" s="1805">
        <v>0</v>
      </c>
      <c r="G16" s="1805">
        <v>0</v>
      </c>
      <c r="H16" s="1805">
        <v>0</v>
      </c>
      <c r="I16" s="1805">
        <v>0</v>
      </c>
      <c r="J16" s="1805">
        <v>0</v>
      </c>
      <c r="K16" s="1805">
        <v>0</v>
      </c>
      <c r="L16" s="1805">
        <v>0</v>
      </c>
      <c r="M16" s="1805">
        <v>0</v>
      </c>
      <c r="N16" s="188">
        <f t="shared" si="2"/>
        <v>0</v>
      </c>
      <c r="O16" s="191">
        <f>'A5-Capex'!J54</f>
        <v>0</v>
      </c>
      <c r="P16" s="189">
        <f>'A5-Capex'!K54</f>
        <v>0</v>
      </c>
      <c r="Q16" s="250">
        <f>'A5-Capex'!L54</f>
        <v>0</v>
      </c>
      <c r="R16" s="345"/>
    </row>
    <row r="17" spans="1:20">
      <c r="A17" s="1244" t="str">
        <f>'A5-Capex'!A55</f>
        <v>Road transport</v>
      </c>
      <c r="B17" s="849"/>
      <c r="C17" s="1821">
        <f>5150000/12</f>
        <v>429166.66666666669</v>
      </c>
      <c r="D17" s="1821">
        <f t="shared" ref="D17:M17" si="6">5150000/12</f>
        <v>429166.66666666669</v>
      </c>
      <c r="E17" s="1821">
        <f t="shared" si="6"/>
        <v>429166.66666666669</v>
      </c>
      <c r="F17" s="1821">
        <f t="shared" si="6"/>
        <v>429166.66666666669</v>
      </c>
      <c r="G17" s="1821">
        <f t="shared" si="6"/>
        <v>429166.66666666669</v>
      </c>
      <c r="H17" s="1821">
        <f t="shared" si="6"/>
        <v>429166.66666666669</v>
      </c>
      <c r="I17" s="1821">
        <f t="shared" si="6"/>
        <v>429166.66666666669</v>
      </c>
      <c r="J17" s="1821">
        <f t="shared" si="6"/>
        <v>429166.66666666669</v>
      </c>
      <c r="K17" s="1821">
        <f t="shared" si="6"/>
        <v>429166.66666666669</v>
      </c>
      <c r="L17" s="1821">
        <f t="shared" si="6"/>
        <v>429166.66666666669</v>
      </c>
      <c r="M17" s="1821">
        <f t="shared" si="6"/>
        <v>429166.66666666669</v>
      </c>
      <c r="N17" s="188">
        <f t="shared" si="2"/>
        <v>429166.66666666698</v>
      </c>
      <c r="O17" s="191">
        <f>'A5-Capex'!J55</f>
        <v>5150000</v>
      </c>
      <c r="P17" s="189">
        <f>'A5-Capex'!K55</f>
        <v>0</v>
      </c>
      <c r="Q17" s="250">
        <f>'A5-Capex'!L55</f>
        <v>0</v>
      </c>
      <c r="R17" s="345"/>
    </row>
    <row r="18" spans="1:20">
      <c r="A18" s="1244" t="str">
        <f>'A5-Capex'!A56</f>
        <v>Environmental protection</v>
      </c>
      <c r="B18" s="849"/>
      <c r="C18" s="1821">
        <v>0</v>
      </c>
      <c r="D18" s="1805">
        <v>0</v>
      </c>
      <c r="E18" s="1805">
        <v>0</v>
      </c>
      <c r="F18" s="1805">
        <v>0</v>
      </c>
      <c r="G18" s="1805">
        <v>0</v>
      </c>
      <c r="H18" s="1805">
        <v>0</v>
      </c>
      <c r="I18" s="1805">
        <v>0</v>
      </c>
      <c r="J18" s="1805">
        <v>0</v>
      </c>
      <c r="K18" s="1805">
        <v>0</v>
      </c>
      <c r="L18" s="1805">
        <v>0</v>
      </c>
      <c r="M18" s="1805">
        <v>0</v>
      </c>
      <c r="N18" s="188">
        <f t="shared" si="2"/>
        <v>0</v>
      </c>
      <c r="O18" s="191">
        <f>'A5-Capex'!J56</f>
        <v>0</v>
      </c>
      <c r="P18" s="189">
        <f>'A5-Capex'!K56</f>
        <v>0</v>
      </c>
      <c r="Q18" s="250">
        <f>'A5-Capex'!L56</f>
        <v>0</v>
      </c>
      <c r="R18" s="345"/>
    </row>
    <row r="19" spans="1:20">
      <c r="A19" s="1243" t="str">
        <f>'A5-Capex'!A57</f>
        <v>Trading services</v>
      </c>
      <c r="B19" s="849"/>
      <c r="C19" s="1133">
        <f>SUM(C20:C23)</f>
        <v>262500</v>
      </c>
      <c r="D19" s="1131">
        <f t="shared" ref="D19:M19" si="7">SUM(D20:D23)</f>
        <v>262500</v>
      </c>
      <c r="E19" s="1131">
        <f t="shared" si="7"/>
        <v>262500</v>
      </c>
      <c r="F19" s="1131">
        <f t="shared" si="7"/>
        <v>262500</v>
      </c>
      <c r="G19" s="1131">
        <f t="shared" si="7"/>
        <v>262500</v>
      </c>
      <c r="H19" s="1131">
        <f t="shared" si="7"/>
        <v>262500</v>
      </c>
      <c r="I19" s="1131">
        <f t="shared" si="7"/>
        <v>262500</v>
      </c>
      <c r="J19" s="1131">
        <f t="shared" si="7"/>
        <v>262500</v>
      </c>
      <c r="K19" s="1131">
        <f t="shared" si="7"/>
        <v>262500</v>
      </c>
      <c r="L19" s="1131">
        <f t="shared" si="7"/>
        <v>262500</v>
      </c>
      <c r="M19" s="1131">
        <f t="shared" si="7"/>
        <v>262500</v>
      </c>
      <c r="N19" s="203">
        <f t="shared" si="2"/>
        <v>262500</v>
      </c>
      <c r="O19" s="206">
        <f>'A5-Capex'!J57</f>
        <v>3150000</v>
      </c>
      <c r="P19" s="204">
        <f>'A5-Capex'!K57</f>
        <v>0</v>
      </c>
      <c r="Q19" s="319">
        <f>'A5-Capex'!L57</f>
        <v>0</v>
      </c>
      <c r="R19" s="345"/>
    </row>
    <row r="20" spans="1:20">
      <c r="A20" s="1244" t="str">
        <f>'A5-Capex'!A58</f>
        <v>Electricity</v>
      </c>
      <c r="B20" s="849"/>
      <c r="C20" s="1821">
        <v>0</v>
      </c>
      <c r="D20" s="1805">
        <v>0</v>
      </c>
      <c r="E20" s="1805">
        <v>0</v>
      </c>
      <c r="F20" s="1805">
        <v>0</v>
      </c>
      <c r="G20" s="1805">
        <v>0</v>
      </c>
      <c r="H20" s="1805">
        <v>0</v>
      </c>
      <c r="I20" s="1805">
        <v>0</v>
      </c>
      <c r="J20" s="1805">
        <v>0</v>
      </c>
      <c r="K20" s="1805">
        <v>0</v>
      </c>
      <c r="L20" s="1805">
        <v>0</v>
      </c>
      <c r="M20" s="1805">
        <v>0</v>
      </c>
      <c r="N20" s="188">
        <f t="shared" si="2"/>
        <v>0</v>
      </c>
      <c r="O20" s="191">
        <f>'A5-Capex'!J58</f>
        <v>0</v>
      </c>
      <c r="P20" s="189">
        <f>'A5-Capex'!K58</f>
        <v>0</v>
      </c>
      <c r="Q20" s="250">
        <f>'A5-Capex'!L58</f>
        <v>0</v>
      </c>
      <c r="R20" s="345"/>
    </row>
    <row r="21" spans="1:20">
      <c r="A21" s="1244" t="str">
        <f>'A5-Capex'!A59</f>
        <v>Water</v>
      </c>
      <c r="B21" s="849"/>
      <c r="C21" s="1821">
        <f>200000/12</f>
        <v>16666.666666666668</v>
      </c>
      <c r="D21" s="1821">
        <f t="shared" ref="D21:M21" si="8">200000/12</f>
        <v>16666.666666666668</v>
      </c>
      <c r="E21" s="1821">
        <f t="shared" si="8"/>
        <v>16666.666666666668</v>
      </c>
      <c r="F21" s="1821">
        <f t="shared" si="8"/>
        <v>16666.666666666668</v>
      </c>
      <c r="G21" s="1821">
        <f t="shared" si="8"/>
        <v>16666.666666666668</v>
      </c>
      <c r="H21" s="1821">
        <f t="shared" si="8"/>
        <v>16666.666666666668</v>
      </c>
      <c r="I21" s="1821">
        <f t="shared" si="8"/>
        <v>16666.666666666668</v>
      </c>
      <c r="J21" s="1821">
        <f t="shared" si="8"/>
        <v>16666.666666666668</v>
      </c>
      <c r="K21" s="1821">
        <f t="shared" si="8"/>
        <v>16666.666666666668</v>
      </c>
      <c r="L21" s="1821">
        <f t="shared" si="8"/>
        <v>16666.666666666668</v>
      </c>
      <c r="M21" s="1821">
        <f t="shared" si="8"/>
        <v>16666.666666666668</v>
      </c>
      <c r="N21" s="188">
        <f t="shared" si="2"/>
        <v>16666.666666666686</v>
      </c>
      <c r="O21" s="191">
        <f>'A5-Capex'!J59</f>
        <v>200000</v>
      </c>
      <c r="P21" s="189">
        <f>'A5-Capex'!K59</f>
        <v>0</v>
      </c>
      <c r="Q21" s="250">
        <f>'A5-Capex'!L59</f>
        <v>0</v>
      </c>
      <c r="R21" s="345"/>
    </row>
    <row r="22" spans="1:20">
      <c r="A22" s="1244" t="str">
        <f>'A5-Capex'!A60</f>
        <v>Waste water management</v>
      </c>
      <c r="B22" s="849"/>
      <c r="C22" s="1821">
        <f>2950000/12</f>
        <v>245833.33333333334</v>
      </c>
      <c r="D22" s="1821">
        <f t="shared" ref="D22:M22" si="9">2950000/12</f>
        <v>245833.33333333334</v>
      </c>
      <c r="E22" s="1821">
        <f t="shared" si="9"/>
        <v>245833.33333333334</v>
      </c>
      <c r="F22" s="1821">
        <f t="shared" si="9"/>
        <v>245833.33333333334</v>
      </c>
      <c r="G22" s="1821">
        <f t="shared" si="9"/>
        <v>245833.33333333334</v>
      </c>
      <c r="H22" s="1821">
        <f t="shared" si="9"/>
        <v>245833.33333333334</v>
      </c>
      <c r="I22" s="1821">
        <f t="shared" si="9"/>
        <v>245833.33333333334</v>
      </c>
      <c r="J22" s="1821">
        <f t="shared" si="9"/>
        <v>245833.33333333334</v>
      </c>
      <c r="K22" s="1821">
        <f t="shared" si="9"/>
        <v>245833.33333333334</v>
      </c>
      <c r="L22" s="1821">
        <f t="shared" si="9"/>
        <v>245833.33333333334</v>
      </c>
      <c r="M22" s="1821">
        <f t="shared" si="9"/>
        <v>245833.33333333334</v>
      </c>
      <c r="N22" s="188">
        <f t="shared" si="2"/>
        <v>245833.33333333302</v>
      </c>
      <c r="O22" s="191">
        <f>'A5-Capex'!J60</f>
        <v>2950000</v>
      </c>
      <c r="P22" s="189">
        <f>'A5-Capex'!K60</f>
        <v>0</v>
      </c>
      <c r="Q22" s="250">
        <f>'A5-Capex'!L60</f>
        <v>0</v>
      </c>
      <c r="R22" s="345"/>
    </row>
    <row r="23" spans="1:20">
      <c r="A23" s="1244" t="str">
        <f>'A5-Capex'!A61</f>
        <v>Waste management</v>
      </c>
      <c r="B23" s="849"/>
      <c r="C23" s="1821">
        <v>0</v>
      </c>
      <c r="D23" s="1805">
        <v>0</v>
      </c>
      <c r="E23" s="1805">
        <v>0</v>
      </c>
      <c r="F23" s="1805">
        <v>0</v>
      </c>
      <c r="G23" s="1805">
        <v>0</v>
      </c>
      <c r="H23" s="1805">
        <v>0</v>
      </c>
      <c r="I23" s="1805">
        <v>0</v>
      </c>
      <c r="J23" s="1805">
        <v>0</v>
      </c>
      <c r="K23" s="1805">
        <v>0</v>
      </c>
      <c r="L23" s="1805">
        <v>0</v>
      </c>
      <c r="M23" s="1805">
        <v>0</v>
      </c>
      <c r="N23" s="188">
        <f t="shared" si="2"/>
        <v>0</v>
      </c>
      <c r="O23" s="191">
        <f>'A5-Capex'!J61</f>
        <v>0</v>
      </c>
      <c r="P23" s="189">
        <f>'A5-Capex'!K61</f>
        <v>0</v>
      </c>
      <c r="Q23" s="250">
        <f>'A5-Capex'!L61</f>
        <v>0</v>
      </c>
      <c r="R23" s="345"/>
    </row>
    <row r="24" spans="1:20">
      <c r="A24" s="1243" t="str">
        <f>'A5-Capex'!A62</f>
        <v>Other</v>
      </c>
      <c r="B24" s="849"/>
      <c r="C24" s="1831">
        <v>0</v>
      </c>
      <c r="D24" s="1829">
        <v>0</v>
      </c>
      <c r="E24" s="1829">
        <v>0</v>
      </c>
      <c r="F24" s="1829">
        <v>0</v>
      </c>
      <c r="G24" s="1829">
        <v>0</v>
      </c>
      <c r="H24" s="1829">
        <v>0</v>
      </c>
      <c r="I24" s="1829">
        <v>0</v>
      </c>
      <c r="J24" s="1829">
        <v>0</v>
      </c>
      <c r="K24" s="1829">
        <v>0</v>
      </c>
      <c r="L24" s="1829">
        <v>0</v>
      </c>
      <c r="M24" s="1829">
        <v>0</v>
      </c>
      <c r="N24" s="203">
        <f t="shared" si="2"/>
        <v>0</v>
      </c>
      <c r="O24" s="206">
        <f>'A5-Capex'!J62</f>
        <v>0</v>
      </c>
      <c r="P24" s="204">
        <f>'A5-Capex'!K62</f>
        <v>0</v>
      </c>
      <c r="Q24" s="319">
        <f>'A5-Capex'!L62</f>
        <v>0</v>
      </c>
      <c r="R24" s="345"/>
    </row>
    <row r="25" spans="1:20">
      <c r="A25" s="834" t="str">
        <f>'A5-Capex'!A63</f>
        <v>Total Capital Expenditure - Standard</v>
      </c>
      <c r="B25" s="866">
        <v>2</v>
      </c>
      <c r="C25" s="327">
        <f>C5+C9+C15+C19+C24</f>
        <v>790666.66666666674</v>
      </c>
      <c r="D25" s="213">
        <f t="shared" ref="D25:Q25" si="10">D5+D9+D15+D19+D24</f>
        <v>790666.66666666674</v>
      </c>
      <c r="E25" s="213">
        <f t="shared" si="10"/>
        <v>790666.66666666674</v>
      </c>
      <c r="F25" s="213">
        <f t="shared" si="10"/>
        <v>790666.66666666674</v>
      </c>
      <c r="G25" s="213">
        <f t="shared" si="10"/>
        <v>790666.66666666674</v>
      </c>
      <c r="H25" s="213">
        <f t="shared" si="10"/>
        <v>790666.66666666674</v>
      </c>
      <c r="I25" s="213">
        <f t="shared" si="10"/>
        <v>790666.66666666674</v>
      </c>
      <c r="J25" s="213">
        <f t="shared" si="10"/>
        <v>790666.66666666674</v>
      </c>
      <c r="K25" s="213">
        <f t="shared" si="10"/>
        <v>790666.66666666674</v>
      </c>
      <c r="L25" s="213">
        <f t="shared" si="10"/>
        <v>790666.66666666674</v>
      </c>
      <c r="M25" s="213">
        <f t="shared" si="10"/>
        <v>790666.66666666674</v>
      </c>
      <c r="N25" s="212">
        <f t="shared" si="10"/>
        <v>790666.66666666698</v>
      </c>
      <c r="O25" s="327">
        <f t="shared" si="10"/>
        <v>9488000</v>
      </c>
      <c r="P25" s="213">
        <f t="shared" si="10"/>
        <v>0</v>
      </c>
      <c r="Q25" s="326">
        <f t="shared" si="10"/>
        <v>0</v>
      </c>
      <c r="R25" s="345"/>
    </row>
    <row r="26" spans="1:20" s="693" customFormat="1" hidden="1">
      <c r="A26" s="1350" t="str">
        <f>head27a</f>
        <v>References</v>
      </c>
      <c r="B26" s="1078"/>
      <c r="C26" s="1035"/>
      <c r="D26" s="1035"/>
      <c r="E26" s="1035"/>
      <c r="F26" s="1035"/>
      <c r="G26" s="1035"/>
      <c r="H26" s="1035"/>
      <c r="I26" s="1035"/>
      <c r="J26" s="1035"/>
      <c r="K26" s="1035"/>
      <c r="L26" s="1035"/>
      <c r="M26" s="1035"/>
      <c r="N26" s="1035"/>
      <c r="O26" s="1035"/>
      <c r="P26" s="1035"/>
      <c r="Q26" s="1035"/>
      <c r="R26" s="1077"/>
      <c r="S26" s="1077"/>
      <c r="T26" s="1077"/>
    </row>
    <row r="27" spans="1:20" s="693" customFormat="1" hidden="1">
      <c r="A27" s="1346" t="s">
        <v>845</v>
      </c>
      <c r="C27" s="1035"/>
      <c r="D27" s="1035"/>
      <c r="E27" s="1035"/>
      <c r="F27" s="1035"/>
      <c r="G27" s="1035"/>
      <c r="H27" s="1035"/>
      <c r="I27" s="1035"/>
      <c r="J27" s="1035"/>
      <c r="K27" s="1035"/>
      <c r="L27" s="1035"/>
      <c r="M27" s="1035"/>
      <c r="N27" s="1035"/>
      <c r="O27" s="1035"/>
      <c r="P27" s="1035"/>
      <c r="Q27" s="1035"/>
      <c r="R27" s="1077"/>
      <c r="S27" s="1077"/>
      <c r="T27" s="1077"/>
    </row>
    <row r="28" spans="1:20" s="693" customFormat="1" hidden="1">
      <c r="A28" s="1346" t="str">
        <f>'SA28'!A44</f>
        <v>2. Total Capital Expenditure must reconcile to Budgeted Capital Expenditure</v>
      </c>
    </row>
    <row r="29" spans="1:20" hidden="1">
      <c r="A29" s="411" t="s">
        <v>1624</v>
      </c>
      <c r="B29" s="411"/>
      <c r="C29" s="336">
        <f>C25-'SA28'!C39</f>
        <v>0</v>
      </c>
      <c r="D29" s="336">
        <f>D25-'SA28'!D39</f>
        <v>0</v>
      </c>
      <c r="E29" s="336">
        <f>E25-'SA28'!E39</f>
        <v>0</v>
      </c>
      <c r="F29" s="336">
        <f>F25-'SA28'!F39</f>
        <v>0</v>
      </c>
      <c r="G29" s="336">
        <f>G25-'SA28'!G39</f>
        <v>0</v>
      </c>
      <c r="H29" s="336">
        <f>H25-'SA28'!H39</f>
        <v>0</v>
      </c>
      <c r="I29" s="336">
        <f>I25-'SA28'!I39</f>
        <v>0</v>
      </c>
      <c r="J29" s="336">
        <f>J25-'SA28'!J39</f>
        <v>0</v>
      </c>
      <c r="K29" s="336">
        <f>K25-'SA28'!K39</f>
        <v>0</v>
      </c>
      <c r="L29" s="336">
        <f>L25-'SA28'!L39</f>
        <v>0</v>
      </c>
      <c r="M29" s="336">
        <f>M25-'SA28'!M39</f>
        <v>0</v>
      </c>
      <c r="N29" s="336">
        <f>N25-'SA28'!N39</f>
        <v>0</v>
      </c>
      <c r="O29" s="791">
        <f>O25-'A5-Capex'!J40</f>
        <v>0</v>
      </c>
      <c r="P29" s="791">
        <f>P25-'A5-Capex'!K40</f>
        <v>0</v>
      </c>
      <c r="Q29" s="791">
        <f>Q25-'A5-Capex'!L40</f>
        <v>0</v>
      </c>
    </row>
    <row r="30" spans="1:20" hidden="1"/>
    <row r="31" spans="1:20" hidden="1"/>
    <row r="32" spans="1:20" hidden="1"/>
    <row r="33" hidden="1"/>
    <row r="34" hidden="1"/>
    <row r="35" hidden="1"/>
    <row r="36" hidden="1"/>
    <row r="37" hidden="1"/>
    <row r="38" hidden="1"/>
    <row r="39" hidden="1"/>
    <row r="40" hidden="1"/>
    <row r="41" hidden="1"/>
    <row r="42" hidden="1"/>
    <row r="43" hidden="1"/>
    <row r="44" hidden="1"/>
    <row r="45" hidden="1"/>
    <row r="46" hidden="1"/>
  </sheetData>
  <sheetProtection sheet="1" objects="1" scenarios="1"/>
  <mergeCells count="2">
    <mergeCell ref="C2:N2"/>
    <mergeCell ref="O2:Q2"/>
  </mergeCells>
  <phoneticPr fontId="3" type="noConversion"/>
  <printOptions horizontalCentered="1"/>
  <pageMargins left="0" right="0" top="0.78740157480314965" bottom="0.59055118110236227" header="0.51181102362204722" footer="0.39370078740157483"/>
  <pageSetup paperSize="9" scale="93"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enableFormatConditionsCalculation="0">
    <tabColor indexed="42"/>
  </sheetPr>
  <dimension ref="A1:AR192"/>
  <sheetViews>
    <sheetView showGridLines="0" workbookViewId="0">
      <pane xSplit="1" ySplit="3" topLeftCell="B16" activePane="bottomRight" state="frozen"/>
      <selection activeCell="N1" sqref="N1"/>
      <selection pane="topRight" activeCell="N1" sqref="N1"/>
      <selection pane="bottomLeft" activeCell="N1" sqref="N1"/>
      <selection pane="bottomRight" activeCell="K25" sqref="K25:K27"/>
    </sheetView>
  </sheetViews>
  <sheetFormatPr defaultRowHeight="12.75"/>
  <cols>
    <col min="1" max="1" width="30.7109375" style="150" customWidth="1"/>
    <col min="2" max="13" width="8.28515625" style="150" customWidth="1"/>
    <col min="14" max="16" width="9.28515625" style="150" customWidth="1"/>
    <col min="17" max="17" width="9.85546875" style="150" hidden="1" customWidth="1"/>
    <col min="18" max="18" width="9.5703125" style="150" hidden="1" customWidth="1"/>
    <col min="19" max="19" width="9.85546875" style="150" hidden="1" customWidth="1"/>
    <col min="20" max="20" width="11.28515625" style="150" customWidth="1"/>
    <col min="21" max="21" width="9.5703125" style="150" bestFit="1" customWidth="1"/>
    <col min="22" max="25" width="9.85546875" style="150" bestFit="1" customWidth="1"/>
    <col min="26" max="27" width="9.5703125" style="150" bestFit="1" customWidth="1"/>
    <col min="28" max="28" width="9.85546875" style="150" bestFit="1" customWidth="1"/>
    <col min="29" max="16384" width="9.140625" style="150"/>
  </cols>
  <sheetData>
    <row r="1" spans="1:22" ht="13.5" customHeight="1">
      <c r="A1" s="148" t="str">
        <f>muni&amp;" - "&amp; TableA30</f>
        <v>NC071 Ubuntu - Supporting Table SA30 Budgeted monthly cash flow</v>
      </c>
      <c r="B1" s="148"/>
      <c r="C1" s="148"/>
      <c r="D1" s="148"/>
      <c r="E1" s="148"/>
      <c r="F1" s="148"/>
      <c r="G1" s="148"/>
      <c r="H1" s="148"/>
      <c r="I1" s="148"/>
      <c r="J1" s="148"/>
      <c r="K1" s="148"/>
      <c r="L1" s="148"/>
      <c r="M1" s="148"/>
      <c r="N1" s="148"/>
      <c r="O1" s="148"/>
      <c r="P1" s="148"/>
      <c r="Q1" s="148"/>
    </row>
    <row r="2" spans="1:22" ht="28.5" customHeight="1">
      <c r="A2" s="996" t="s">
        <v>435</v>
      </c>
      <c r="B2" s="2772" t="str">
        <f>Head9</f>
        <v>Budget Year 2011/12</v>
      </c>
      <c r="C2" s="2773"/>
      <c r="D2" s="2773"/>
      <c r="E2" s="2773"/>
      <c r="F2" s="2773"/>
      <c r="G2" s="2773"/>
      <c r="H2" s="2773"/>
      <c r="I2" s="2773"/>
      <c r="J2" s="2773"/>
      <c r="K2" s="2773"/>
      <c r="L2" s="2773"/>
      <c r="M2" s="2773"/>
      <c r="N2" s="2769" t="s">
        <v>1916</v>
      </c>
      <c r="O2" s="2770"/>
      <c r="P2" s="2771"/>
    </row>
    <row r="3" spans="1:22" ht="25.5">
      <c r="A3" s="169" t="s">
        <v>697</v>
      </c>
      <c r="B3" s="283" t="s">
        <v>758</v>
      </c>
      <c r="C3" s="913" t="s">
        <v>1506</v>
      </c>
      <c r="D3" s="913" t="s">
        <v>1507</v>
      </c>
      <c r="E3" s="913" t="s">
        <v>1508</v>
      </c>
      <c r="F3" s="913" t="s">
        <v>738</v>
      </c>
      <c r="G3" s="913" t="s">
        <v>739</v>
      </c>
      <c r="H3" s="913" t="s">
        <v>740</v>
      </c>
      <c r="I3" s="913" t="s">
        <v>741</v>
      </c>
      <c r="J3" s="913" t="s">
        <v>742</v>
      </c>
      <c r="K3" s="913" t="s">
        <v>743</v>
      </c>
      <c r="L3" s="913" t="s">
        <v>744</v>
      </c>
      <c r="M3" s="366" t="s">
        <v>745</v>
      </c>
      <c r="N3" s="283" t="str">
        <f>Head9</f>
        <v>Budget Year 2011/12</v>
      </c>
      <c r="O3" s="365" t="str">
        <f>Head10</f>
        <v>Budget Year +1 2012/13</v>
      </c>
      <c r="P3" s="366" t="str">
        <f>Head11</f>
        <v>Budget Year +2 2013/14</v>
      </c>
    </row>
    <row r="4" spans="1:22">
      <c r="A4" s="235" t="s">
        <v>974</v>
      </c>
      <c r="B4" s="294"/>
      <c r="C4" s="292"/>
      <c r="D4" s="292"/>
      <c r="E4" s="292"/>
      <c r="F4" s="292"/>
      <c r="G4" s="292"/>
      <c r="H4" s="292"/>
      <c r="I4" s="292"/>
      <c r="J4" s="292"/>
      <c r="K4" s="292"/>
      <c r="L4" s="292"/>
      <c r="M4" s="295"/>
      <c r="N4" s="1364">
        <v>1</v>
      </c>
      <c r="O4" s="292"/>
      <c r="P4" s="295"/>
      <c r="T4" s="345"/>
    </row>
    <row r="5" spans="1:22">
      <c r="A5" s="236" t="str">
        <f>'A4-FinPerf RE'!A5</f>
        <v>Property rates</v>
      </c>
      <c r="B5" s="1821">
        <f>'SA25'!C5</f>
        <v>0</v>
      </c>
      <c r="C5" s="1805">
        <f>'SA25'!D5</f>
        <v>0</v>
      </c>
      <c r="D5" s="1805">
        <f>'SA25'!E5</f>
        <v>0</v>
      </c>
      <c r="E5" s="1805">
        <f>'SA25'!F5</f>
        <v>0</v>
      </c>
      <c r="F5" s="1805">
        <f>'SA25'!G5</f>
        <v>0</v>
      </c>
      <c r="G5" s="1805">
        <f>'SA25'!H5</f>
        <v>0</v>
      </c>
      <c r="H5" s="1805">
        <f>'SA25'!I5</f>
        <v>0</v>
      </c>
      <c r="I5" s="1805">
        <f>'SA25'!J5</f>
        <v>0</v>
      </c>
      <c r="J5" s="1805">
        <f>'SA25'!K5</f>
        <v>0</v>
      </c>
      <c r="K5" s="1805">
        <f>'SA25'!L5</f>
        <v>0</v>
      </c>
      <c r="L5" s="1805">
        <f>'SA25'!M5</f>
        <v>0</v>
      </c>
      <c r="M5" s="190">
        <f t="shared" ref="M5:M20" si="0">N5-SUM(B5:L5)</f>
        <v>3880165.05</v>
      </c>
      <c r="N5" s="1821">
        <f>'SA25'!O5</f>
        <v>3880165.05</v>
      </c>
      <c r="O5" s="1805">
        <f>'SA25'!P5</f>
        <v>4112974.9530000007</v>
      </c>
      <c r="P5" s="1820">
        <f>'SA25'!Q5</f>
        <v>4359753.4501800006</v>
      </c>
      <c r="T5" s="345"/>
      <c r="U5" s="345"/>
      <c r="V5" s="345"/>
    </row>
    <row r="6" spans="1:22">
      <c r="A6" s="236" t="str">
        <f>'A4-FinPerf RE'!A6</f>
        <v>Property rates - penalties &amp; collection charges</v>
      </c>
      <c r="B6" s="1821"/>
      <c r="C6" s="1805"/>
      <c r="D6" s="1805"/>
      <c r="E6" s="1805"/>
      <c r="F6" s="1805"/>
      <c r="G6" s="1805"/>
      <c r="H6" s="1805"/>
      <c r="I6" s="1805"/>
      <c r="J6" s="1805"/>
      <c r="K6" s="1805"/>
      <c r="L6" s="1805"/>
      <c r="M6" s="190">
        <f t="shared" si="0"/>
        <v>0</v>
      </c>
      <c r="N6" s="1821">
        <v>0</v>
      </c>
      <c r="O6" s="1805">
        <v>0</v>
      </c>
      <c r="P6" s="1820">
        <v>0</v>
      </c>
      <c r="T6" s="345"/>
      <c r="U6" s="345"/>
      <c r="V6" s="345"/>
    </row>
    <row r="7" spans="1:22">
      <c r="A7" s="236" t="str">
        <f>'A4-FinPerf RE'!A7</f>
        <v>Service charges - electricity revenue</v>
      </c>
      <c r="B7" s="1821">
        <f>'SA25'!C7</f>
        <v>440833.33333333331</v>
      </c>
      <c r="C7" s="1805">
        <f>'SA25'!D7</f>
        <v>440833.33333333331</v>
      </c>
      <c r="D7" s="1805">
        <f>'SA25'!E7</f>
        <v>440833.33333333331</v>
      </c>
      <c r="E7" s="1805">
        <f>'SA25'!F7</f>
        <v>440833.33333333331</v>
      </c>
      <c r="F7" s="1805">
        <f>'SA25'!G7</f>
        <v>440833.33333333331</v>
      </c>
      <c r="G7" s="1805">
        <f>'SA25'!H7</f>
        <v>440833.33333333331</v>
      </c>
      <c r="H7" s="1805">
        <f>'SA25'!I7</f>
        <v>440833.33333333331</v>
      </c>
      <c r="I7" s="1805">
        <f>'SA25'!J7</f>
        <v>440833.33333333331</v>
      </c>
      <c r="J7" s="1805">
        <f>'SA25'!K7</f>
        <v>440833.33333333331</v>
      </c>
      <c r="K7" s="1805">
        <f>'SA25'!L7</f>
        <v>440833.33333333331</v>
      </c>
      <c r="L7" s="1805">
        <f>'SA25'!M7</f>
        <v>440833.33333333331</v>
      </c>
      <c r="M7" s="190">
        <f t="shared" si="0"/>
        <v>440696.1819333341</v>
      </c>
      <c r="N7" s="1821">
        <f>'SA25'!O7</f>
        <v>5289862.8486000011</v>
      </c>
      <c r="O7" s="1805">
        <f>'SA25'!P7</f>
        <v>8241039.267376001</v>
      </c>
      <c r="P7" s="1820">
        <f>'SA25'!Q7</f>
        <v>9018515</v>
      </c>
      <c r="T7" s="345"/>
      <c r="U7" s="345"/>
      <c r="V7" s="345"/>
    </row>
    <row r="8" spans="1:22">
      <c r="A8" s="236" t="str">
        <f>'A4-FinPerf RE'!A8</f>
        <v>Service charges - water revenue</v>
      </c>
      <c r="B8" s="1821">
        <f>'SA25'!C8</f>
        <v>175750</v>
      </c>
      <c r="C8" s="1805">
        <f>'SA25'!D8</f>
        <v>175750</v>
      </c>
      <c r="D8" s="1805">
        <f>'SA25'!E8</f>
        <v>175750</v>
      </c>
      <c r="E8" s="1805">
        <f>'SA25'!F8</f>
        <v>175750</v>
      </c>
      <c r="F8" s="1805">
        <f>'SA25'!G8</f>
        <v>175750</v>
      </c>
      <c r="G8" s="1805">
        <f>'SA25'!H8</f>
        <v>175750</v>
      </c>
      <c r="H8" s="1805">
        <f>'SA25'!I8</f>
        <v>175750</v>
      </c>
      <c r="I8" s="1805">
        <f>'SA25'!J8</f>
        <v>175750</v>
      </c>
      <c r="J8" s="1805">
        <f>'SA25'!K8</f>
        <v>175750</v>
      </c>
      <c r="K8" s="1805">
        <f>'SA25'!L8</f>
        <v>175750</v>
      </c>
      <c r="L8" s="1805">
        <f>'SA25'!M8</f>
        <v>175750</v>
      </c>
      <c r="M8" s="190">
        <f t="shared" si="0"/>
        <v>175770.77000000002</v>
      </c>
      <c r="N8" s="1821">
        <f>'SA25'!O8</f>
        <v>2109020.77</v>
      </c>
      <c r="O8" s="1805">
        <f>'SA25'!P8</f>
        <v>2328907.8470000001</v>
      </c>
      <c r="P8" s="1820">
        <f>'SA25'!Q8</f>
        <v>2606233.5886400002</v>
      </c>
      <c r="T8" s="345"/>
      <c r="U8" s="345"/>
      <c r="V8" s="345"/>
    </row>
    <row r="9" spans="1:22">
      <c r="A9" s="236" t="str">
        <f>'A4-FinPerf RE'!A9</f>
        <v>Service charges - sanitation revenue</v>
      </c>
      <c r="B9" s="1821">
        <f>'SA25'!C9</f>
        <v>133583.33333333334</v>
      </c>
      <c r="C9" s="1805">
        <f>'SA25'!D9</f>
        <v>133583.33333333334</v>
      </c>
      <c r="D9" s="1805">
        <f>'SA25'!E9</f>
        <v>133583.33333333334</v>
      </c>
      <c r="E9" s="1805">
        <f>'SA25'!F9</f>
        <v>133583.33333333334</v>
      </c>
      <c r="F9" s="1805">
        <f>'SA25'!G9</f>
        <v>133583.33333333334</v>
      </c>
      <c r="G9" s="1805">
        <f>'SA25'!H9</f>
        <v>133583.33333333334</v>
      </c>
      <c r="H9" s="1805">
        <f>'SA25'!I9</f>
        <v>133583.33333333334</v>
      </c>
      <c r="I9" s="1805">
        <f>'SA25'!J9</f>
        <v>133583.33333333334</v>
      </c>
      <c r="J9" s="1805">
        <f>'SA25'!K9</f>
        <v>133583.33333333334</v>
      </c>
      <c r="K9" s="1805">
        <f>'SA25'!L9</f>
        <v>133583.33333333334</v>
      </c>
      <c r="L9" s="1805">
        <f>'SA25'!M9</f>
        <v>133583.33333333334</v>
      </c>
      <c r="M9" s="190">
        <f t="shared" si="0"/>
        <v>133585.52833333332</v>
      </c>
      <c r="N9" s="1821">
        <f>'SA25'!O9</f>
        <v>1603002.1949999998</v>
      </c>
      <c r="O9" s="1805">
        <f>'SA25'!P9</f>
        <v>2555100</v>
      </c>
      <c r="P9" s="1820">
        <f>'SA25'!Q9</f>
        <v>2708410</v>
      </c>
      <c r="T9" s="345"/>
      <c r="U9" s="345"/>
      <c r="V9" s="345"/>
    </row>
    <row r="10" spans="1:22">
      <c r="A10" s="236" t="str">
        <f>'A4-FinPerf RE'!A10</f>
        <v>Service charges - refuse revenue</v>
      </c>
      <c r="B10" s="1821">
        <f>'SA25'!C10</f>
        <v>216083.33333333334</v>
      </c>
      <c r="C10" s="1805">
        <f>'SA25'!D10</f>
        <v>216083.33333333334</v>
      </c>
      <c r="D10" s="1805">
        <f>'SA25'!E10</f>
        <v>216083.33333333334</v>
      </c>
      <c r="E10" s="1805">
        <f>'SA25'!F10</f>
        <v>216083.33333333334</v>
      </c>
      <c r="F10" s="1805">
        <f>'SA25'!G10</f>
        <v>216083.33333333334</v>
      </c>
      <c r="G10" s="1805">
        <f>'SA25'!H10</f>
        <v>216083.33333333334</v>
      </c>
      <c r="H10" s="1805">
        <f>'SA25'!I10</f>
        <v>216083.33333333334</v>
      </c>
      <c r="I10" s="1805">
        <f>'SA25'!J10</f>
        <v>216083.33333333334</v>
      </c>
      <c r="J10" s="1805">
        <f>'SA25'!K10</f>
        <v>216083.33333333334</v>
      </c>
      <c r="K10" s="1805">
        <f>'SA25'!L10</f>
        <v>216083.33333333334</v>
      </c>
      <c r="L10" s="1805">
        <f>'SA25'!M10</f>
        <v>216083.33333333334</v>
      </c>
      <c r="M10" s="190">
        <f t="shared" si="0"/>
        <v>215948.35333333351</v>
      </c>
      <c r="N10" s="1821">
        <f>'SA25'!O10</f>
        <v>2592865.02</v>
      </c>
      <c r="O10" s="1805">
        <f>'SA25'!P10</f>
        <v>2722448.2710000002</v>
      </c>
      <c r="P10" s="1820">
        <f>'SA25'!Q10</f>
        <v>2858610.6845500004</v>
      </c>
      <c r="T10" s="345"/>
      <c r="U10" s="345"/>
      <c r="V10" s="345"/>
    </row>
    <row r="11" spans="1:22">
      <c r="A11" s="236" t="str">
        <f>'A4-FinPerf RE'!A11</f>
        <v>Service charges - other</v>
      </c>
      <c r="B11" s="1821">
        <f>'SA25'!C11</f>
        <v>0</v>
      </c>
      <c r="C11" s="1805">
        <f>'SA25'!D11</f>
        <v>0</v>
      </c>
      <c r="D11" s="1805">
        <f>'SA25'!E11</f>
        <v>0</v>
      </c>
      <c r="E11" s="1805">
        <f>'SA25'!F11</f>
        <v>0</v>
      </c>
      <c r="F11" s="1805">
        <f>'SA25'!G11</f>
        <v>0</v>
      </c>
      <c r="G11" s="1805">
        <f>'SA25'!H11</f>
        <v>0</v>
      </c>
      <c r="H11" s="1805">
        <f>'SA25'!I11</f>
        <v>0</v>
      </c>
      <c r="I11" s="1805">
        <f>'SA25'!J11</f>
        <v>0</v>
      </c>
      <c r="J11" s="1805">
        <f>'SA25'!K11</f>
        <v>0</v>
      </c>
      <c r="K11" s="1805">
        <f>'SA25'!L11</f>
        <v>0</v>
      </c>
      <c r="L11" s="1805">
        <f>'SA25'!M11</f>
        <v>0</v>
      </c>
      <c r="M11" s="190">
        <f t="shared" si="0"/>
        <v>0</v>
      </c>
      <c r="N11" s="1821">
        <f>'SA25'!O11</f>
        <v>0</v>
      </c>
      <c r="O11" s="1805">
        <f>'SA25'!P11</f>
        <v>0</v>
      </c>
      <c r="P11" s="1820">
        <f>'SA25'!Q11</f>
        <v>0</v>
      </c>
      <c r="T11" s="345"/>
      <c r="U11" s="345"/>
      <c r="V11" s="345"/>
    </row>
    <row r="12" spans="1:22">
      <c r="A12" s="236" t="str">
        <f>'A4-FinPerf RE'!A12</f>
        <v>Rental of facilities and equipment</v>
      </c>
      <c r="B12" s="1821">
        <f>'SA25'!C12</f>
        <v>41583.333333333336</v>
      </c>
      <c r="C12" s="1805">
        <f>'SA25'!D12</f>
        <v>41583.333333333336</v>
      </c>
      <c r="D12" s="1805">
        <f>'SA25'!E12</f>
        <v>41583.333333333336</v>
      </c>
      <c r="E12" s="1805">
        <f>'SA25'!F12</f>
        <v>41583.333333333336</v>
      </c>
      <c r="F12" s="1805">
        <f>'SA25'!G12</f>
        <v>41583.333333333336</v>
      </c>
      <c r="G12" s="1805">
        <f>'SA25'!H12</f>
        <v>41583.333333333336</v>
      </c>
      <c r="H12" s="1805">
        <f>'SA25'!I12</f>
        <v>41583.333333333336</v>
      </c>
      <c r="I12" s="1805">
        <f>'SA25'!J12</f>
        <v>41583.333333333336</v>
      </c>
      <c r="J12" s="1805">
        <f>'SA25'!K12</f>
        <v>41583.333333333336</v>
      </c>
      <c r="K12" s="1805">
        <f>'SA25'!L12</f>
        <v>41583.333333333336</v>
      </c>
      <c r="L12" s="1805">
        <f>'SA25'!M12</f>
        <v>41583.333333333336</v>
      </c>
      <c r="M12" s="190">
        <f t="shared" si="0"/>
        <v>41493.333333333372</v>
      </c>
      <c r="N12" s="1821">
        <f>'SA25'!O12</f>
        <v>498910</v>
      </c>
      <c r="O12" s="1805">
        <f>'SA25'!P12</f>
        <v>690200.4</v>
      </c>
      <c r="P12" s="1820">
        <f>'SA25'!Q12</f>
        <v>714554.83200000005</v>
      </c>
      <c r="T12" s="345"/>
      <c r="U12" s="345"/>
      <c r="V12" s="345"/>
    </row>
    <row r="13" spans="1:22">
      <c r="A13" s="236" t="str">
        <f>'A4-FinPerf RE'!A13</f>
        <v>Interest earned - external investments</v>
      </c>
      <c r="B13" s="1821">
        <f>'SA25'!C13</f>
        <v>20833.333333333332</v>
      </c>
      <c r="C13" s="1805">
        <f>'SA25'!D13</f>
        <v>20833.333333333332</v>
      </c>
      <c r="D13" s="1805">
        <f>'SA25'!E13</f>
        <v>20833.333333333332</v>
      </c>
      <c r="E13" s="1805">
        <f>'SA25'!F13</f>
        <v>20833.333333333332</v>
      </c>
      <c r="F13" s="1805">
        <f>'SA25'!G13</f>
        <v>20833.333333333332</v>
      </c>
      <c r="G13" s="1805">
        <f>'SA25'!H13</f>
        <v>20833.333333333332</v>
      </c>
      <c r="H13" s="1805">
        <f>'SA25'!I13</f>
        <v>20833.333333333332</v>
      </c>
      <c r="I13" s="1805">
        <f>'SA25'!J13</f>
        <v>20833.333333333332</v>
      </c>
      <c r="J13" s="1805">
        <f>'SA25'!K13</f>
        <v>20833.333333333332</v>
      </c>
      <c r="K13" s="1805">
        <f>'SA25'!L13</f>
        <v>20833.333333333332</v>
      </c>
      <c r="L13" s="1805">
        <f>'SA25'!M13</f>
        <v>20833.333333333332</v>
      </c>
      <c r="M13" s="190">
        <f t="shared" si="0"/>
        <v>20833.333333333314</v>
      </c>
      <c r="N13" s="1821">
        <f>'SA25'!O13</f>
        <v>250000</v>
      </c>
      <c r="O13" s="1805">
        <f>'SA25'!P13</f>
        <v>270000</v>
      </c>
      <c r="P13" s="1820">
        <f>'SA25'!Q13</f>
        <v>280000</v>
      </c>
      <c r="T13" s="345"/>
      <c r="U13" s="345"/>
      <c r="V13" s="345"/>
    </row>
    <row r="14" spans="1:22">
      <c r="A14" s="236" t="str">
        <f>'A4-FinPerf RE'!A14</f>
        <v>Interest earned - outstanding debtors</v>
      </c>
      <c r="B14" s="1821">
        <f>'SA25'!C14</f>
        <v>150000</v>
      </c>
      <c r="C14" s="1805">
        <f>'SA25'!D14</f>
        <v>150000</v>
      </c>
      <c r="D14" s="1805">
        <f>'SA25'!E14</f>
        <v>150000</v>
      </c>
      <c r="E14" s="1805">
        <f>'SA25'!F14</f>
        <v>150000</v>
      </c>
      <c r="F14" s="1805">
        <f>'SA25'!G14</f>
        <v>150000</v>
      </c>
      <c r="G14" s="1805">
        <f>'SA25'!H14</f>
        <v>150000</v>
      </c>
      <c r="H14" s="1805">
        <f>'SA25'!I14</f>
        <v>150000</v>
      </c>
      <c r="I14" s="1805">
        <f>'SA25'!J14</f>
        <v>150000</v>
      </c>
      <c r="J14" s="1805">
        <f>'SA25'!K14</f>
        <v>150000</v>
      </c>
      <c r="K14" s="1805">
        <f>'SA25'!L14</f>
        <v>150000</v>
      </c>
      <c r="L14" s="1805">
        <f>'SA25'!M14</f>
        <v>150000</v>
      </c>
      <c r="M14" s="190">
        <f t="shared" si="0"/>
        <v>150000</v>
      </c>
      <c r="N14" s="1821">
        <f>'SA25'!O14</f>
        <v>1800000</v>
      </c>
      <c r="O14" s="1805">
        <f>'SA25'!P14</f>
        <v>1800000</v>
      </c>
      <c r="P14" s="1820">
        <f>'SA25'!Q14</f>
        <v>1800000</v>
      </c>
      <c r="T14" s="345"/>
      <c r="U14" s="345"/>
      <c r="V14" s="345"/>
    </row>
    <row r="15" spans="1:22">
      <c r="A15" s="236" t="str">
        <f>'A4-FinPerf RE'!A15</f>
        <v>Dividends received</v>
      </c>
      <c r="B15" s="1821">
        <f>'SA25'!C15</f>
        <v>0</v>
      </c>
      <c r="C15" s="1805">
        <f>'SA25'!D15</f>
        <v>0</v>
      </c>
      <c r="D15" s="1805">
        <f>'SA25'!E15</f>
        <v>0</v>
      </c>
      <c r="E15" s="1805">
        <f>'SA25'!F15</f>
        <v>0</v>
      </c>
      <c r="F15" s="1805">
        <f>'SA25'!G15</f>
        <v>0</v>
      </c>
      <c r="G15" s="1805">
        <f>'SA25'!H15</f>
        <v>0</v>
      </c>
      <c r="H15" s="1805">
        <f>'SA25'!I15</f>
        <v>0</v>
      </c>
      <c r="I15" s="1805">
        <f>'SA25'!J15</f>
        <v>0</v>
      </c>
      <c r="J15" s="1805">
        <f>'SA25'!K15</f>
        <v>0</v>
      </c>
      <c r="K15" s="1805">
        <f>'SA25'!L15</f>
        <v>0</v>
      </c>
      <c r="L15" s="1805">
        <f>'SA25'!M15</f>
        <v>0</v>
      </c>
      <c r="M15" s="190">
        <f t="shared" si="0"/>
        <v>0</v>
      </c>
      <c r="N15" s="1821">
        <f>'SA25'!O15</f>
        <v>0</v>
      </c>
      <c r="O15" s="1805">
        <f>'SA25'!P15</f>
        <v>0</v>
      </c>
      <c r="P15" s="1820">
        <f>'SA25'!Q15</f>
        <v>0</v>
      </c>
      <c r="T15" s="345"/>
      <c r="U15" s="345"/>
      <c r="V15" s="345"/>
    </row>
    <row r="16" spans="1:22">
      <c r="A16" s="236" t="str">
        <f>'A4-FinPerf RE'!A16</f>
        <v>Fines</v>
      </c>
      <c r="B16" s="1821">
        <f>'SA25'!C16</f>
        <v>1342333.3333333333</v>
      </c>
      <c r="C16" s="1805">
        <f>'SA25'!D16</f>
        <v>1342333.3333333333</v>
      </c>
      <c r="D16" s="1805">
        <f>'SA25'!E16</f>
        <v>1342333.3333333333</v>
      </c>
      <c r="E16" s="1805">
        <f>'SA25'!F16</f>
        <v>1342333.3333333333</v>
      </c>
      <c r="F16" s="1805">
        <f>'SA25'!G16</f>
        <v>1342333.3333333333</v>
      </c>
      <c r="G16" s="1805">
        <f>'SA25'!H16</f>
        <v>1342333.3333333333</v>
      </c>
      <c r="H16" s="1805">
        <f>'SA25'!I16</f>
        <v>1342333.3333333333</v>
      </c>
      <c r="I16" s="1805">
        <f>'SA25'!J16</f>
        <v>1342333.3333333333</v>
      </c>
      <c r="J16" s="1805">
        <f>'SA25'!K16</f>
        <v>1342333.3333333333</v>
      </c>
      <c r="K16" s="1805">
        <f>'SA25'!L16</f>
        <v>1342333.3333333333</v>
      </c>
      <c r="L16" s="1805">
        <f>'SA25'!M16</f>
        <v>1342333.3333333333</v>
      </c>
      <c r="M16" s="190">
        <f t="shared" si="0"/>
        <v>1342333.3333333321</v>
      </c>
      <c r="N16" s="1821">
        <f>'SA25'!O16</f>
        <v>16108000</v>
      </c>
      <c r="O16" s="1805">
        <f>'SA25'!P16</f>
        <v>16889500</v>
      </c>
      <c r="P16" s="1820">
        <f>'SA25'!Q16</f>
        <v>17390000</v>
      </c>
      <c r="T16" s="345"/>
      <c r="U16" s="345"/>
      <c r="V16" s="345"/>
    </row>
    <row r="17" spans="1:23">
      <c r="A17" s="236" t="str">
        <f>'A4-FinPerf RE'!A17</f>
        <v>Licences and permits</v>
      </c>
      <c r="B17" s="1821">
        <f>'SA25'!C17</f>
        <v>35000</v>
      </c>
      <c r="C17" s="1805">
        <f>'SA25'!D17</f>
        <v>35000</v>
      </c>
      <c r="D17" s="1805">
        <f>'SA25'!E17</f>
        <v>35000</v>
      </c>
      <c r="E17" s="1805">
        <f>'SA25'!F17</f>
        <v>35000</v>
      </c>
      <c r="F17" s="1805">
        <f>'SA25'!G17</f>
        <v>35000</v>
      </c>
      <c r="G17" s="1805">
        <f>'SA25'!H17</f>
        <v>35000</v>
      </c>
      <c r="H17" s="1805">
        <f>'SA25'!I17</f>
        <v>35000</v>
      </c>
      <c r="I17" s="1805">
        <f>'SA25'!J17</f>
        <v>35000</v>
      </c>
      <c r="J17" s="1805">
        <f>'SA25'!K17</f>
        <v>35000</v>
      </c>
      <c r="K17" s="1805">
        <f>'SA25'!L17</f>
        <v>35000</v>
      </c>
      <c r="L17" s="1805">
        <f>'SA25'!M17</f>
        <v>35000</v>
      </c>
      <c r="M17" s="190">
        <f t="shared" si="0"/>
        <v>34800</v>
      </c>
      <c r="N17" s="1821">
        <f>'SA25'!O17</f>
        <v>419800</v>
      </c>
      <c r="O17" s="1805">
        <f>'SA25'!P17</f>
        <v>479300</v>
      </c>
      <c r="P17" s="1820">
        <f>'SA25'!Q17</f>
        <v>489600</v>
      </c>
      <c r="T17" s="345"/>
      <c r="U17" s="345"/>
      <c r="V17" s="345"/>
    </row>
    <row r="18" spans="1:23">
      <c r="A18" s="236" t="str">
        <f>'A4-FinPerf RE'!A18</f>
        <v>Agency services</v>
      </c>
      <c r="B18" s="1821">
        <f>'SA25'!C18</f>
        <v>1666.6666666666667</v>
      </c>
      <c r="C18" s="1805">
        <f>'SA25'!D18</f>
        <v>1666.6666666666667</v>
      </c>
      <c r="D18" s="1805">
        <f>'SA25'!E18</f>
        <v>1666.6666666666667</v>
      </c>
      <c r="E18" s="1805">
        <f>'SA25'!F18</f>
        <v>1666.6666666666667</v>
      </c>
      <c r="F18" s="1805">
        <f>'SA25'!G18</f>
        <v>1666.6666666666667</v>
      </c>
      <c r="G18" s="1805">
        <f>'SA25'!H18</f>
        <v>1666.6666666666667</v>
      </c>
      <c r="H18" s="1805">
        <f>'SA25'!I18</f>
        <v>1666.6666666666667</v>
      </c>
      <c r="I18" s="1805">
        <f>'SA25'!J18</f>
        <v>1666.6666666666667</v>
      </c>
      <c r="J18" s="1805">
        <f>'SA25'!K18</f>
        <v>1666.6666666666667</v>
      </c>
      <c r="K18" s="1805">
        <f>'SA25'!L18</f>
        <v>1666.6666666666667</v>
      </c>
      <c r="L18" s="1805">
        <f>'SA25'!M18</f>
        <v>1666.6666666666667</v>
      </c>
      <c r="M18" s="190">
        <f t="shared" si="0"/>
        <v>1666.6666666666679</v>
      </c>
      <c r="N18" s="1821">
        <f>'SA25'!O18</f>
        <v>20000</v>
      </c>
      <c r="O18" s="1805">
        <f>'SA25'!P18</f>
        <v>20000</v>
      </c>
      <c r="P18" s="1820">
        <f>'SA25'!Q18</f>
        <v>20000</v>
      </c>
      <c r="T18" s="345"/>
      <c r="U18" s="345"/>
      <c r="V18" s="345"/>
    </row>
    <row r="19" spans="1:23">
      <c r="A19" s="179" t="s">
        <v>594</v>
      </c>
      <c r="B19" s="1821">
        <f>'SA25'!C19</f>
        <v>1505083.3333333333</v>
      </c>
      <c r="C19" s="1805">
        <f>'SA25'!D19</f>
        <v>1505083.3333333333</v>
      </c>
      <c r="D19" s="1805">
        <f>'SA25'!E19</f>
        <v>1505083.3333333333</v>
      </c>
      <c r="E19" s="1805">
        <f>'SA25'!F19</f>
        <v>1505083.3333333333</v>
      </c>
      <c r="F19" s="1805">
        <f>'SA25'!G19</f>
        <v>1505083.3333333333</v>
      </c>
      <c r="G19" s="1805">
        <f>'SA25'!H19</f>
        <v>1505083.3333333333</v>
      </c>
      <c r="H19" s="1805">
        <f>'SA25'!I19</f>
        <v>1505083.3333333333</v>
      </c>
      <c r="I19" s="1805">
        <f>'SA25'!J19</f>
        <v>1505083.3333333333</v>
      </c>
      <c r="J19" s="1805">
        <f>'SA25'!K19</f>
        <v>1505083.3333333333</v>
      </c>
      <c r="K19" s="1805">
        <f>'SA25'!L19</f>
        <v>1505083.3333333333</v>
      </c>
      <c r="L19" s="1805">
        <f>'SA25'!M19</f>
        <v>1505083.3333333333</v>
      </c>
      <c r="M19" s="190">
        <f t="shared" si="0"/>
        <v>1505083.3333333302</v>
      </c>
      <c r="N19" s="1821">
        <f>'SA25'!O19</f>
        <v>18061000</v>
      </c>
      <c r="O19" s="1805">
        <f>'SA25'!P19</f>
        <v>19804000</v>
      </c>
      <c r="P19" s="1820">
        <f>'SA25'!Q19</f>
        <v>21904000</v>
      </c>
      <c r="T19" s="345"/>
      <c r="U19" s="345"/>
      <c r="V19" s="345"/>
    </row>
    <row r="20" spans="1:23">
      <c r="A20" s="236" t="str">
        <f>'A4-FinPerf RE'!A20</f>
        <v>Other revenue</v>
      </c>
      <c r="B20" s="1821">
        <f>'SA25'!C20</f>
        <v>43000</v>
      </c>
      <c r="C20" s="1805">
        <f>'SA25'!D20</f>
        <v>43000</v>
      </c>
      <c r="D20" s="1805">
        <f>'SA25'!E20</f>
        <v>43000</v>
      </c>
      <c r="E20" s="1805">
        <f>'SA25'!F20</f>
        <v>43000</v>
      </c>
      <c r="F20" s="1805">
        <f>'SA25'!G20</f>
        <v>43000</v>
      </c>
      <c r="G20" s="1805">
        <f>'SA25'!H20</f>
        <v>43000</v>
      </c>
      <c r="H20" s="1805">
        <f>'SA25'!I20</f>
        <v>43000</v>
      </c>
      <c r="I20" s="1805">
        <f>'SA25'!J20</f>
        <v>43000</v>
      </c>
      <c r="J20" s="1805">
        <f>'SA25'!K20</f>
        <v>43000</v>
      </c>
      <c r="K20" s="1805">
        <f>'SA25'!L20</f>
        <v>43000</v>
      </c>
      <c r="L20" s="1805">
        <f>'SA25'!M20</f>
        <v>43000</v>
      </c>
      <c r="M20" s="190">
        <f t="shared" si="0"/>
        <v>43250</v>
      </c>
      <c r="N20" s="1821">
        <f>'SA25'!O20</f>
        <v>516250</v>
      </c>
      <c r="O20" s="1805">
        <f>'SA25'!P20</f>
        <v>316830</v>
      </c>
      <c r="P20" s="1820">
        <f>'SA25'!Q20</f>
        <v>322335</v>
      </c>
      <c r="T20" s="345"/>
      <c r="U20" s="345"/>
      <c r="V20" s="345"/>
    </row>
    <row r="21" spans="1:23">
      <c r="A21" s="634" t="s">
        <v>1724</v>
      </c>
      <c r="B21" s="255">
        <f t="shared" ref="B21:P21" si="1">SUM(B5:B20)</f>
        <v>4105750</v>
      </c>
      <c r="C21" s="253">
        <f t="shared" si="1"/>
        <v>4105750</v>
      </c>
      <c r="D21" s="253">
        <f t="shared" si="1"/>
        <v>4105750</v>
      </c>
      <c r="E21" s="253">
        <f t="shared" si="1"/>
        <v>4105750</v>
      </c>
      <c r="F21" s="253">
        <f t="shared" si="1"/>
        <v>4105750</v>
      </c>
      <c r="G21" s="253">
        <f t="shared" si="1"/>
        <v>4105750</v>
      </c>
      <c r="H21" s="253">
        <f t="shared" si="1"/>
        <v>4105750</v>
      </c>
      <c r="I21" s="253">
        <f t="shared" si="1"/>
        <v>4105750</v>
      </c>
      <c r="J21" s="253">
        <f t="shared" si="1"/>
        <v>4105750</v>
      </c>
      <c r="K21" s="253">
        <f t="shared" si="1"/>
        <v>4105750</v>
      </c>
      <c r="L21" s="253">
        <f t="shared" si="1"/>
        <v>4105750</v>
      </c>
      <c r="M21" s="254">
        <f t="shared" si="1"/>
        <v>7985625.8835999966</v>
      </c>
      <c r="N21" s="255">
        <f t="shared" si="1"/>
        <v>53148875.883599997</v>
      </c>
      <c r="O21" s="253">
        <f t="shared" si="1"/>
        <v>60230300.738376006</v>
      </c>
      <c r="P21" s="254">
        <f t="shared" si="1"/>
        <v>64472012.555370003</v>
      </c>
      <c r="Q21" s="345"/>
      <c r="R21" s="345"/>
      <c r="S21" s="345"/>
      <c r="T21" s="345"/>
      <c r="U21" s="345"/>
      <c r="V21" s="345"/>
      <c r="W21" s="345"/>
    </row>
    <row r="22" spans="1:23" ht="5.0999999999999996" customHeight="1">
      <c r="A22" s="802"/>
      <c r="B22" s="237"/>
      <c r="C22" s="193"/>
      <c r="D22" s="193"/>
      <c r="E22" s="193"/>
      <c r="F22" s="193"/>
      <c r="G22" s="193"/>
      <c r="H22" s="193"/>
      <c r="I22" s="193"/>
      <c r="J22" s="193"/>
      <c r="K22" s="193"/>
      <c r="L22" s="193"/>
      <c r="M22" s="250"/>
      <c r="N22" s="237"/>
      <c r="O22" s="193"/>
      <c r="P22" s="250"/>
      <c r="Q22" s="345"/>
      <c r="R22" s="345"/>
      <c r="S22" s="345"/>
      <c r="T22" s="345"/>
      <c r="U22" s="345"/>
      <c r="V22" s="345"/>
      <c r="W22" s="345"/>
    </row>
    <row r="23" spans="1:23" ht="11.25" customHeight="1">
      <c r="A23" s="347" t="s">
        <v>992</v>
      </c>
      <c r="B23" s="237"/>
      <c r="C23" s="193"/>
      <c r="D23" s="193"/>
      <c r="E23" s="193"/>
      <c r="F23" s="193"/>
      <c r="G23" s="193"/>
      <c r="H23" s="193"/>
      <c r="I23" s="193"/>
      <c r="J23" s="193"/>
      <c r="K23" s="193"/>
      <c r="L23" s="193"/>
      <c r="M23" s="250"/>
      <c r="N23" s="237"/>
      <c r="O23" s="193"/>
      <c r="P23" s="250"/>
      <c r="Q23" s="345"/>
      <c r="R23" s="345"/>
      <c r="S23" s="345"/>
      <c r="T23" s="345"/>
      <c r="U23" s="345"/>
      <c r="V23" s="345"/>
      <c r="W23" s="345"/>
    </row>
    <row r="24" spans="1:23" ht="11.25" customHeight="1">
      <c r="A24" s="304" t="s">
        <v>593</v>
      </c>
      <c r="B24" s="1821">
        <f>'SA36'!S237</f>
        <v>0</v>
      </c>
      <c r="C24" s="1805">
        <f>'SA36'!T237</f>
        <v>0</v>
      </c>
      <c r="D24" s="1805">
        <f>'SA36'!U237</f>
        <v>0</v>
      </c>
      <c r="E24" s="1805">
        <f>'SA36'!V237</f>
        <v>0</v>
      </c>
      <c r="F24" s="1805">
        <f>'SA36'!W237</f>
        <v>0</v>
      </c>
      <c r="G24" s="1805">
        <f>'SA36'!X237</f>
        <v>0</v>
      </c>
      <c r="H24" s="1805">
        <f>'SA36'!Y237</f>
        <v>0</v>
      </c>
      <c r="I24" s="1805">
        <f>'SA36'!Z237</f>
        <v>0</v>
      </c>
      <c r="J24" s="1805">
        <f>'SA36'!AA237</f>
        <v>0</v>
      </c>
      <c r="K24" s="1805">
        <f>'SA36'!AB237</f>
        <v>0</v>
      </c>
      <c r="L24" s="1805">
        <f>'SA36'!AC237</f>
        <v>0</v>
      </c>
      <c r="M24" s="250">
        <f t="shared" ref="M24:M32" si="2">N24-SUM(B24:L24)</f>
        <v>9488000</v>
      </c>
      <c r="N24" s="1821">
        <f>'SA25'!O39</f>
        <v>9488000</v>
      </c>
      <c r="O24" s="1805">
        <f>'SA25'!P39</f>
        <v>11537000</v>
      </c>
      <c r="P24" s="1820">
        <f>'SA25'!Q39</f>
        <v>12171000</v>
      </c>
      <c r="Q24" s="345"/>
      <c r="R24" s="345"/>
      <c r="S24" s="345"/>
      <c r="T24" s="345"/>
      <c r="U24" s="345"/>
      <c r="V24" s="345"/>
      <c r="W24" s="345"/>
    </row>
    <row r="25" spans="1:23" ht="11.25" customHeight="1">
      <c r="A25" s="240" t="str">
        <f>'A4-FinPerf RE'!A40&amp;" &amp; "&amp;'A4-FinPerf RE'!A41</f>
        <v>Contributions recognised - capital &amp; Contributed assets</v>
      </c>
      <c r="B25" s="1821">
        <v>0</v>
      </c>
      <c r="C25" s="1805">
        <v>0</v>
      </c>
      <c r="D25" s="1805">
        <v>0</v>
      </c>
      <c r="E25" s="1805">
        <v>0</v>
      </c>
      <c r="F25" s="1805">
        <v>0</v>
      </c>
      <c r="G25" s="1805">
        <v>0</v>
      </c>
      <c r="H25" s="1805">
        <v>0</v>
      </c>
      <c r="I25" s="1805">
        <v>0</v>
      </c>
      <c r="J25" s="1805">
        <v>0</v>
      </c>
      <c r="K25" s="1805">
        <v>0</v>
      </c>
      <c r="L25" s="1805">
        <v>0</v>
      </c>
      <c r="M25" s="250">
        <f t="shared" si="2"/>
        <v>0</v>
      </c>
      <c r="N25" s="1821">
        <v>0</v>
      </c>
      <c r="O25" s="1805">
        <v>0</v>
      </c>
      <c r="P25" s="1820">
        <v>0</v>
      </c>
      <c r="Q25" s="345"/>
      <c r="R25" s="345"/>
      <c r="S25" s="345"/>
      <c r="T25" s="345"/>
      <c r="U25" s="345"/>
      <c r="V25" s="345"/>
      <c r="W25" s="345"/>
    </row>
    <row r="26" spans="1:23" ht="11.25" customHeight="1">
      <c r="A26" s="240" t="str">
        <f>'A7-CFlow'!A19</f>
        <v>Proceeds on disposal of PPE</v>
      </c>
      <c r="B26" s="1821">
        <v>0</v>
      </c>
      <c r="C26" s="1805">
        <v>0</v>
      </c>
      <c r="D26" s="1805">
        <v>0</v>
      </c>
      <c r="E26" s="1805">
        <v>0</v>
      </c>
      <c r="F26" s="1805">
        <v>0</v>
      </c>
      <c r="G26" s="1805">
        <v>0</v>
      </c>
      <c r="H26" s="1805">
        <v>0</v>
      </c>
      <c r="I26" s="1805">
        <v>0</v>
      </c>
      <c r="J26" s="1805">
        <v>0</v>
      </c>
      <c r="K26" s="1805">
        <v>0</v>
      </c>
      <c r="L26" s="1805">
        <v>0</v>
      </c>
      <c r="M26" s="250">
        <f t="shared" si="2"/>
        <v>0</v>
      </c>
      <c r="N26" s="1821">
        <f>'A7-CFlow'!J19</f>
        <v>0</v>
      </c>
      <c r="O26" s="1805">
        <f>'A7-CFlow'!K19</f>
        <v>0</v>
      </c>
      <c r="P26" s="1820">
        <f>'A7-CFlow'!L19</f>
        <v>0</v>
      </c>
      <c r="Q26" s="345"/>
      <c r="R26" s="345"/>
      <c r="S26" s="345"/>
      <c r="T26" s="345"/>
      <c r="U26" s="345"/>
      <c r="V26" s="345"/>
      <c r="W26" s="345"/>
    </row>
    <row r="27" spans="1:23" ht="11.25" customHeight="1">
      <c r="A27" s="240" t="str">
        <f>'A7-CFlow'!A29</f>
        <v>Short term loans</v>
      </c>
      <c r="B27" s="1821">
        <v>0</v>
      </c>
      <c r="C27" s="1805">
        <v>0</v>
      </c>
      <c r="D27" s="1805">
        <v>0</v>
      </c>
      <c r="E27" s="1805">
        <v>0</v>
      </c>
      <c r="F27" s="1805">
        <v>0</v>
      </c>
      <c r="G27" s="1805">
        <v>0</v>
      </c>
      <c r="H27" s="1805">
        <v>0</v>
      </c>
      <c r="I27" s="1805">
        <v>0</v>
      </c>
      <c r="J27" s="1805">
        <v>0</v>
      </c>
      <c r="K27" s="1805">
        <v>0</v>
      </c>
      <c r="L27" s="1805">
        <v>0</v>
      </c>
      <c r="M27" s="250">
        <f t="shared" si="2"/>
        <v>0</v>
      </c>
      <c r="N27" s="1821">
        <f>'A7-CFlow'!J29</f>
        <v>0</v>
      </c>
      <c r="O27" s="1805">
        <f>'A7-CFlow'!K29</f>
        <v>0</v>
      </c>
      <c r="P27" s="1820">
        <f>'A7-CFlow'!L29</f>
        <v>0</v>
      </c>
      <c r="Q27" s="345"/>
      <c r="R27" s="345"/>
      <c r="S27" s="345"/>
      <c r="T27" s="345"/>
      <c r="U27" s="345"/>
      <c r="V27" s="345"/>
      <c r="W27" s="345"/>
    </row>
    <row r="28" spans="1:23" ht="11.25" customHeight="1">
      <c r="A28" s="240" t="str">
        <f>'A7-CFlow'!A30</f>
        <v>Borrowing long term/refinancing</v>
      </c>
      <c r="B28" s="1821">
        <v>0</v>
      </c>
      <c r="C28" s="1805">
        <v>0</v>
      </c>
      <c r="D28" s="1805">
        <v>0</v>
      </c>
      <c r="E28" s="1805">
        <v>0</v>
      </c>
      <c r="F28" s="1805">
        <v>0</v>
      </c>
      <c r="G28" s="1805">
        <v>0</v>
      </c>
      <c r="H28" s="1805">
        <v>0</v>
      </c>
      <c r="I28" s="1805">
        <v>0</v>
      </c>
      <c r="J28" s="1805">
        <v>0</v>
      </c>
      <c r="K28" s="1805">
        <v>0</v>
      </c>
      <c r="L28" s="1805">
        <v>0</v>
      </c>
      <c r="M28" s="250">
        <f t="shared" si="2"/>
        <v>0</v>
      </c>
      <c r="N28" s="1821">
        <f>'A7-CFlow'!J30</f>
        <v>0</v>
      </c>
      <c r="O28" s="1805">
        <f>'A7-CFlow'!K30</f>
        <v>0</v>
      </c>
      <c r="P28" s="1820">
        <f>'A7-CFlow'!L30</f>
        <v>0</v>
      </c>
      <c r="Q28" s="345"/>
      <c r="R28" s="345"/>
      <c r="S28" s="345"/>
      <c r="T28" s="345"/>
      <c r="U28" s="345"/>
      <c r="V28" s="345"/>
      <c r="W28" s="345"/>
    </row>
    <row r="29" spans="1:23" ht="11.25" customHeight="1">
      <c r="A29" s="240" t="str">
        <f>'A7-CFlow'!A31</f>
        <v>Increase (decrease) in consumer deposits</v>
      </c>
      <c r="B29" s="1821">
        <f t="shared" ref="B29:J31" si="3">C29</f>
        <v>14416.666666666666</v>
      </c>
      <c r="C29" s="1805">
        <f t="shared" si="3"/>
        <v>14416.666666666666</v>
      </c>
      <c r="D29" s="1805">
        <f t="shared" si="3"/>
        <v>14416.666666666666</v>
      </c>
      <c r="E29" s="1805">
        <f t="shared" si="3"/>
        <v>14416.666666666666</v>
      </c>
      <c r="F29" s="1805">
        <f t="shared" si="3"/>
        <v>14416.666666666666</v>
      </c>
      <c r="G29" s="1805">
        <f t="shared" si="3"/>
        <v>14416.666666666666</v>
      </c>
      <c r="H29" s="1805">
        <f t="shared" si="3"/>
        <v>14416.666666666666</v>
      </c>
      <c r="I29" s="1805">
        <f t="shared" si="3"/>
        <v>14416.666666666666</v>
      </c>
      <c r="J29" s="1805">
        <f t="shared" si="3"/>
        <v>14416.666666666666</v>
      </c>
      <c r="K29" s="1805">
        <f>L29</f>
        <v>14416.666666666666</v>
      </c>
      <c r="L29" s="1805">
        <f>N29/12</f>
        <v>14416.666666666666</v>
      </c>
      <c r="M29" s="250">
        <f t="shared" si="2"/>
        <v>14416.666666666657</v>
      </c>
      <c r="N29" s="1821">
        <f>'A7-CFlow'!J31</f>
        <v>173000</v>
      </c>
      <c r="O29" s="1805">
        <f>'A7-CFlow'!K31</f>
        <v>183380</v>
      </c>
      <c r="P29" s="1820">
        <f>'A7-CFlow'!L31</f>
        <v>173000</v>
      </c>
      <c r="Q29" s="345"/>
      <c r="R29" s="345"/>
      <c r="S29" s="345"/>
      <c r="T29" s="345"/>
      <c r="U29" s="345"/>
      <c r="V29" s="345"/>
      <c r="W29" s="345"/>
    </row>
    <row r="30" spans="1:23" ht="11.25" customHeight="1">
      <c r="A30" s="240" t="str">
        <f>'A7-CFlow'!A20</f>
        <v>Decrease (Increase) in non-current debtors</v>
      </c>
      <c r="B30" s="1821">
        <v>0</v>
      </c>
      <c r="C30" s="1805">
        <v>0</v>
      </c>
      <c r="D30" s="1805">
        <v>0</v>
      </c>
      <c r="E30" s="1805">
        <v>0</v>
      </c>
      <c r="F30" s="1805">
        <v>0</v>
      </c>
      <c r="G30" s="1805">
        <v>0</v>
      </c>
      <c r="H30" s="1805">
        <v>0</v>
      </c>
      <c r="I30" s="1805">
        <v>0</v>
      </c>
      <c r="J30" s="1805">
        <v>0</v>
      </c>
      <c r="K30" s="1805">
        <v>0</v>
      </c>
      <c r="L30" s="1805">
        <v>0</v>
      </c>
      <c r="M30" s="250">
        <f t="shared" si="2"/>
        <v>0</v>
      </c>
      <c r="N30" s="1821">
        <f>'A7-CFlow'!J20</f>
        <v>0</v>
      </c>
      <c r="O30" s="1805">
        <f>'A7-CFlow'!K20</f>
        <v>0</v>
      </c>
      <c r="P30" s="1820">
        <f>'A7-CFlow'!L20</f>
        <v>0</v>
      </c>
      <c r="Q30" s="345"/>
      <c r="R30" s="345"/>
      <c r="S30" s="345"/>
      <c r="T30" s="345"/>
      <c r="U30" s="345"/>
      <c r="V30" s="345"/>
      <c r="W30" s="345"/>
    </row>
    <row r="31" spans="1:23" ht="11.25" customHeight="1">
      <c r="A31" s="240" t="str">
        <f>'A7-CFlow'!A21</f>
        <v>Decrease (increase) other non-current receivables</v>
      </c>
      <c r="B31" s="1821">
        <f t="shared" si="3"/>
        <v>-21678.413333333334</v>
      </c>
      <c r="C31" s="1805">
        <f t="shared" si="3"/>
        <v>-21678.413333333334</v>
      </c>
      <c r="D31" s="1805">
        <f t="shared" si="3"/>
        <v>-21678.413333333334</v>
      </c>
      <c r="E31" s="1805">
        <f t="shared" si="3"/>
        <v>-21678.413333333334</v>
      </c>
      <c r="F31" s="1805">
        <f t="shared" si="3"/>
        <v>-21678.413333333334</v>
      </c>
      <c r="G31" s="1805">
        <f t="shared" si="3"/>
        <v>-21678.413333333334</v>
      </c>
      <c r="H31" s="1805">
        <f t="shared" si="3"/>
        <v>-21678.413333333334</v>
      </c>
      <c r="I31" s="1805">
        <f t="shared" si="3"/>
        <v>-21678.413333333334</v>
      </c>
      <c r="J31" s="1805">
        <f t="shared" si="3"/>
        <v>-21678.413333333334</v>
      </c>
      <c r="K31" s="1805">
        <f>L31</f>
        <v>-21678.413333333334</v>
      </c>
      <c r="L31" s="1805">
        <f>N31/12</f>
        <v>-21678.413333333334</v>
      </c>
      <c r="M31" s="250">
        <f t="shared" si="2"/>
        <v>-21678.413333333359</v>
      </c>
      <c r="N31" s="1821">
        <f>'A7-CFlow'!J21</f>
        <v>-260140.96000000002</v>
      </c>
      <c r="O31" s="1805">
        <f>'A7-CFlow'!K21</f>
        <v>-260140.96000000002</v>
      </c>
      <c r="P31" s="1820">
        <f>'A7-CFlow'!L21</f>
        <v>-275749.41760000004</v>
      </c>
      <c r="Q31" s="345"/>
      <c r="R31" s="345"/>
      <c r="S31" s="345"/>
      <c r="T31" s="345"/>
      <c r="U31" s="345"/>
      <c r="V31" s="345"/>
      <c r="W31" s="345"/>
    </row>
    <row r="32" spans="1:23" ht="11.25" customHeight="1">
      <c r="A32" s="240" t="str">
        <f>'A7-CFlow'!A22</f>
        <v>Decrease (increase) in non-current investments</v>
      </c>
      <c r="B32" s="1821">
        <v>0</v>
      </c>
      <c r="C32" s="1805">
        <v>0</v>
      </c>
      <c r="D32" s="1805">
        <v>0</v>
      </c>
      <c r="E32" s="1805"/>
      <c r="F32" s="1805">
        <v>0</v>
      </c>
      <c r="G32" s="1805">
        <v>0</v>
      </c>
      <c r="H32" s="1805">
        <v>0</v>
      </c>
      <c r="I32" s="1805">
        <v>0</v>
      </c>
      <c r="J32" s="1805">
        <v>0</v>
      </c>
      <c r="K32" s="1805">
        <v>0</v>
      </c>
      <c r="L32" s="1805">
        <v>0</v>
      </c>
      <c r="M32" s="250">
        <f t="shared" si="2"/>
        <v>0</v>
      </c>
      <c r="N32" s="1821">
        <v>0</v>
      </c>
      <c r="O32" s="1805">
        <v>0</v>
      </c>
      <c r="P32" s="1820">
        <v>0</v>
      </c>
      <c r="Q32" s="345"/>
      <c r="R32" s="345"/>
      <c r="S32" s="345"/>
      <c r="T32" s="345"/>
      <c r="U32" s="345"/>
      <c r="V32" s="345"/>
      <c r="W32" s="345"/>
    </row>
    <row r="33" spans="1:23" ht="11.25" customHeight="1">
      <c r="A33" s="795" t="s">
        <v>747</v>
      </c>
      <c r="B33" s="799">
        <f t="shared" ref="B33:P33" si="4">SUM(B21:B32)</f>
        <v>4098488.2533333329</v>
      </c>
      <c r="C33" s="797">
        <f t="shared" si="4"/>
        <v>4098488.2533333329</v>
      </c>
      <c r="D33" s="797">
        <f t="shared" si="4"/>
        <v>4098488.2533333329</v>
      </c>
      <c r="E33" s="797">
        <f t="shared" si="4"/>
        <v>4098488.2533333329</v>
      </c>
      <c r="F33" s="797">
        <f t="shared" si="4"/>
        <v>4098488.2533333329</v>
      </c>
      <c r="G33" s="797">
        <f t="shared" si="4"/>
        <v>4098488.2533333329</v>
      </c>
      <c r="H33" s="797">
        <f t="shared" si="4"/>
        <v>4098488.2533333329</v>
      </c>
      <c r="I33" s="797">
        <f t="shared" si="4"/>
        <v>4098488.2533333329</v>
      </c>
      <c r="J33" s="797">
        <f t="shared" si="4"/>
        <v>4098488.2533333329</v>
      </c>
      <c r="K33" s="797">
        <f t="shared" si="4"/>
        <v>4098488.2533333329</v>
      </c>
      <c r="L33" s="797">
        <f t="shared" si="4"/>
        <v>4098488.2533333329</v>
      </c>
      <c r="M33" s="798">
        <f t="shared" si="4"/>
        <v>17466364.13693333</v>
      </c>
      <c r="N33" s="799">
        <f t="shared" si="4"/>
        <v>62549734.923599996</v>
      </c>
      <c r="O33" s="797">
        <f t="shared" si="4"/>
        <v>71690539.778376013</v>
      </c>
      <c r="P33" s="798">
        <f t="shared" si="4"/>
        <v>76540263.137769997</v>
      </c>
      <c r="Q33" s="345"/>
      <c r="R33" s="345"/>
      <c r="S33" s="345"/>
      <c r="T33" s="345"/>
      <c r="U33" s="345"/>
      <c r="V33" s="345"/>
      <c r="W33" s="345"/>
    </row>
    <row r="34" spans="1:23" ht="5.0999999999999996" customHeight="1">
      <c r="A34" s="867"/>
      <c r="B34" s="237"/>
      <c r="C34" s="193"/>
      <c r="D34" s="193"/>
      <c r="E34" s="193"/>
      <c r="F34" s="193"/>
      <c r="G34" s="193"/>
      <c r="H34" s="193"/>
      <c r="I34" s="193"/>
      <c r="J34" s="193"/>
      <c r="K34" s="193"/>
      <c r="L34" s="193"/>
      <c r="M34" s="250"/>
      <c r="N34" s="237"/>
      <c r="O34" s="193"/>
      <c r="P34" s="250"/>
      <c r="Q34" s="345"/>
      <c r="R34" s="345"/>
      <c r="S34" s="345"/>
      <c r="T34" s="345"/>
      <c r="U34" s="345"/>
      <c r="V34" s="345"/>
      <c r="W34" s="345"/>
    </row>
    <row r="35" spans="1:23">
      <c r="A35" s="794" t="s">
        <v>1725</v>
      </c>
      <c r="B35" s="237"/>
      <c r="C35" s="193"/>
      <c r="D35" s="193"/>
      <c r="E35" s="193"/>
      <c r="F35" s="193"/>
      <c r="G35" s="193"/>
      <c r="H35" s="193"/>
      <c r="I35" s="193"/>
      <c r="J35" s="193"/>
      <c r="K35" s="193"/>
      <c r="L35" s="193"/>
      <c r="M35" s="250"/>
      <c r="N35" s="244"/>
      <c r="O35" s="193"/>
      <c r="P35" s="250"/>
      <c r="Q35" s="345"/>
      <c r="R35" s="345"/>
      <c r="S35" s="345"/>
      <c r="T35" s="345"/>
      <c r="U35" s="345"/>
      <c r="V35" s="345"/>
      <c r="W35" s="345"/>
    </row>
    <row r="36" spans="1:23">
      <c r="A36" s="240" t="s">
        <v>497</v>
      </c>
      <c r="B36" s="1821">
        <f>'SA25'!C25</f>
        <v>1939916.6666666667</v>
      </c>
      <c r="C36" s="1805">
        <f>'SA25'!D25</f>
        <v>1939916.6666666667</v>
      </c>
      <c r="D36" s="1805">
        <f>'SA25'!E25</f>
        <v>1939916.6666666667</v>
      </c>
      <c r="E36" s="1805">
        <f>'SA25'!F25</f>
        <v>1939916.6666666667</v>
      </c>
      <c r="F36" s="1805">
        <f>'SA25'!G25</f>
        <v>1939916.6666666667</v>
      </c>
      <c r="G36" s="1805">
        <f>'SA25'!H25</f>
        <v>1939916.6666666667</v>
      </c>
      <c r="H36" s="1805">
        <f>'SA25'!I25</f>
        <v>1939916.6666666667</v>
      </c>
      <c r="I36" s="1805">
        <f>'SA25'!J25</f>
        <v>1939916.6666666667</v>
      </c>
      <c r="J36" s="1805">
        <f>'SA25'!K25</f>
        <v>1939916.6666666667</v>
      </c>
      <c r="K36" s="1805">
        <f>'SA25'!L25</f>
        <v>1939916.6666666667</v>
      </c>
      <c r="L36" s="1805">
        <f>'SA25'!M25</f>
        <v>1939916.6666666667</v>
      </c>
      <c r="M36" s="250">
        <f t="shared" ref="M36:M46" si="5">N36-SUM(B36:L36)</f>
        <v>1939762.2034896724</v>
      </c>
      <c r="N36" s="1821">
        <f>'SA25'!O25</f>
        <v>23278845.536823008</v>
      </c>
      <c r="O36" s="1805">
        <f>'SA25'!P25</f>
        <v>24705577.725229669</v>
      </c>
      <c r="P36" s="1820">
        <f>'SA25'!Q25</f>
        <v>26406330.990956668</v>
      </c>
      <c r="Q36" s="345"/>
      <c r="R36" s="345"/>
      <c r="S36" s="345"/>
      <c r="T36" s="345"/>
      <c r="U36" s="345"/>
      <c r="V36" s="345"/>
      <c r="W36" s="345"/>
    </row>
    <row r="37" spans="1:23">
      <c r="A37" s="240" t="s">
        <v>555</v>
      </c>
      <c r="B37" s="1821">
        <f>'SA25'!C26</f>
        <v>154166.66666666666</v>
      </c>
      <c r="C37" s="1805">
        <f>'SA25'!D26</f>
        <v>154166.66666666666</v>
      </c>
      <c r="D37" s="1805">
        <f>'SA25'!E26</f>
        <v>154166.66666666666</v>
      </c>
      <c r="E37" s="1805">
        <f>'SA25'!F26</f>
        <v>154166.66666666666</v>
      </c>
      <c r="F37" s="1805">
        <f>'SA25'!G26</f>
        <v>154166.66666666666</v>
      </c>
      <c r="G37" s="1805">
        <f>'SA25'!H26</f>
        <v>154166.66666666666</v>
      </c>
      <c r="H37" s="1805">
        <f>'SA25'!I26</f>
        <v>154166.66666666666</v>
      </c>
      <c r="I37" s="1805">
        <f>'SA25'!J26</f>
        <v>154166.66666666666</v>
      </c>
      <c r="J37" s="1805">
        <f>'SA25'!K26</f>
        <v>154166.66666666666</v>
      </c>
      <c r="K37" s="1805">
        <f>'SA25'!L26</f>
        <v>154166.66666666666</v>
      </c>
      <c r="L37" s="1805">
        <f>'SA25'!M26</f>
        <v>154166.66666666666</v>
      </c>
      <c r="M37" s="250">
        <f t="shared" si="5"/>
        <v>154166.66666666651</v>
      </c>
      <c r="N37" s="1821">
        <f>'SA25'!O26</f>
        <v>1850000</v>
      </c>
      <c r="O37" s="1805">
        <f>'SA25'!P26</f>
        <v>1916000</v>
      </c>
      <c r="P37" s="1820">
        <f>'SA25'!Q26</f>
        <v>2033280</v>
      </c>
      <c r="Q37" s="345"/>
      <c r="R37" s="345"/>
      <c r="S37" s="345"/>
      <c r="T37" s="345"/>
      <c r="U37" s="345"/>
      <c r="V37" s="345"/>
      <c r="W37" s="345"/>
    </row>
    <row r="38" spans="1:23">
      <c r="A38" s="240" t="s">
        <v>498</v>
      </c>
      <c r="B38" s="1821">
        <v>0</v>
      </c>
      <c r="C38" s="1805">
        <v>0</v>
      </c>
      <c r="D38" s="1805">
        <v>0</v>
      </c>
      <c r="E38" s="1805">
        <v>0</v>
      </c>
      <c r="F38" s="1805">
        <v>0</v>
      </c>
      <c r="G38" s="1805">
        <v>0</v>
      </c>
      <c r="H38" s="1805">
        <v>0</v>
      </c>
      <c r="I38" s="1805">
        <v>0</v>
      </c>
      <c r="J38" s="1805">
        <v>0</v>
      </c>
      <c r="K38" s="1805">
        <v>0</v>
      </c>
      <c r="L38" s="1805">
        <v>0</v>
      </c>
      <c r="M38" s="250">
        <f t="shared" si="5"/>
        <v>0</v>
      </c>
      <c r="N38" s="1821">
        <v>0</v>
      </c>
      <c r="O38" s="1805">
        <v>0</v>
      </c>
      <c r="P38" s="1820">
        <v>0</v>
      </c>
      <c r="Q38" s="345"/>
      <c r="R38" s="345"/>
      <c r="S38" s="345"/>
      <c r="T38" s="345"/>
      <c r="U38" s="345"/>
      <c r="V38" s="345"/>
      <c r="W38" s="345"/>
    </row>
    <row r="39" spans="1:23">
      <c r="A39" s="240" t="s">
        <v>499</v>
      </c>
      <c r="B39" s="1821">
        <f>'SA25'!C29</f>
        <v>37750</v>
      </c>
      <c r="C39" s="1805">
        <f>'SA25'!D29</f>
        <v>37750</v>
      </c>
      <c r="D39" s="1805">
        <f>'SA25'!E29</f>
        <v>37750</v>
      </c>
      <c r="E39" s="1805">
        <f>'SA25'!F29</f>
        <v>37750</v>
      </c>
      <c r="F39" s="1805">
        <f>'SA25'!G29</f>
        <v>37750</v>
      </c>
      <c r="G39" s="1805">
        <f>'SA25'!H29</f>
        <v>37750</v>
      </c>
      <c r="H39" s="1805">
        <f>'SA25'!I29</f>
        <v>37750</v>
      </c>
      <c r="I39" s="1805">
        <f>'SA25'!J29</f>
        <v>37750</v>
      </c>
      <c r="J39" s="1805">
        <f>'SA25'!K29</f>
        <v>37750</v>
      </c>
      <c r="K39" s="1805">
        <f>'SA25'!L29</f>
        <v>37750</v>
      </c>
      <c r="L39" s="1805">
        <f>'SA25'!M29</f>
        <v>37750</v>
      </c>
      <c r="M39" s="250">
        <f t="shared" si="5"/>
        <v>37750</v>
      </c>
      <c r="N39" s="1821">
        <f>'SA25'!O29</f>
        <v>453000</v>
      </c>
      <c r="O39" s="1805">
        <f>'SA25'!P29</f>
        <v>610000</v>
      </c>
      <c r="P39" s="1820">
        <f>'SA25'!Q29</f>
        <v>620000</v>
      </c>
      <c r="Q39" s="345"/>
      <c r="R39" s="345"/>
      <c r="S39" s="345"/>
      <c r="T39" s="345"/>
      <c r="U39" s="345"/>
      <c r="V39" s="345"/>
      <c r="W39" s="345"/>
    </row>
    <row r="40" spans="1:23">
      <c r="A40" s="240" t="s">
        <v>746</v>
      </c>
      <c r="B40" s="1821">
        <f>SUMIF(TB!$M:$M,'SA30'!$A40,TB!Z:Z)</f>
        <v>0</v>
      </c>
      <c r="C40" s="1805">
        <f>SUMIF(TB!$M:$M,'SA30'!$A40,TB!AA:AA)</f>
        <v>0</v>
      </c>
      <c r="D40" s="1805">
        <f>SUMIF(TB!$M:$M,'SA30'!$A40,TB!AB:AB)</f>
        <v>0</v>
      </c>
      <c r="E40" s="1805">
        <f>SUMIF(TB!$M:$M,'SA30'!$A40,TB!AC:AC)</f>
        <v>0</v>
      </c>
      <c r="F40" s="1805">
        <f>SUMIF(TB!$M:$M,'SA30'!$A40,TB!AD:AD)</f>
        <v>0</v>
      </c>
      <c r="G40" s="1805">
        <f>SUMIF(TB!$M:$M,'SA30'!$A40,TB!AE:AE)</f>
        <v>0</v>
      </c>
      <c r="H40" s="1805">
        <f>SUMIF(TB!$M:$M,'SA30'!$A40,TB!AF:AF)</f>
        <v>0</v>
      </c>
      <c r="I40" s="1805">
        <f>SUMIF(TB!$M:$M,'SA30'!$A40,TB!AG:AG)</f>
        <v>0</v>
      </c>
      <c r="J40" s="1805">
        <f>SUMIF(TB!$M:$M,'SA30'!$A40,TB!AH:AH)</f>
        <v>0</v>
      </c>
      <c r="K40" s="1805">
        <f>SUMIF(TB!$M:$M,'SA30'!$A40,TB!AI:AI)</f>
        <v>0</v>
      </c>
      <c r="L40" s="1805">
        <f>SUMIF(TB!$M:$M,'SA30'!$A40,TB!AJ:AJ)</f>
        <v>0</v>
      </c>
      <c r="M40" s="250">
        <f t="shared" si="5"/>
        <v>0</v>
      </c>
      <c r="N40" s="1821">
        <f>SUMIF(TB!$M:$M,'SA30'!$A40,TB!U:U)</f>
        <v>0</v>
      </c>
      <c r="O40" s="1805">
        <f>SUMIF(TB!$M:$M,'SA30'!$A40,TB!V:V)</f>
        <v>0</v>
      </c>
      <c r="P40" s="1820">
        <f>SUMIF(TB!$M:$M,'SA30'!$A40,TB!W:W)</f>
        <v>0</v>
      </c>
      <c r="Q40" s="345"/>
      <c r="R40" s="345"/>
      <c r="S40" s="345"/>
      <c r="T40" s="345"/>
      <c r="U40" s="345"/>
      <c r="V40" s="345"/>
      <c r="W40" s="345"/>
    </row>
    <row r="41" spans="1:23">
      <c r="A41" s="240" t="s">
        <v>749</v>
      </c>
      <c r="B41" s="1821">
        <f>SUMIF(TB!$M:$M,'SA30'!$A41,TB!Z:Z)</f>
        <v>0</v>
      </c>
      <c r="C41" s="1805">
        <f>SUMIF(TB!$M:$M,'SA30'!$A41,TB!AA:AA)</f>
        <v>0</v>
      </c>
      <c r="D41" s="1805">
        <f>SUMIF(TB!$M:$M,'SA30'!$A41,TB!AB:AB)</f>
        <v>0</v>
      </c>
      <c r="E41" s="1805">
        <f>SUMIF(TB!$M:$M,'SA30'!$A41,TB!AC:AC)</f>
        <v>0</v>
      </c>
      <c r="F41" s="1805">
        <f>SUMIF(TB!$M:$M,'SA30'!$A41,TB!AD:AD)</f>
        <v>0</v>
      </c>
      <c r="G41" s="1805">
        <f>SUMIF(TB!$M:$M,'SA30'!$A41,TB!AE:AE)</f>
        <v>0</v>
      </c>
      <c r="H41" s="1805">
        <f>SUMIF(TB!$M:$M,'SA30'!$A41,TB!AF:AF)</f>
        <v>0</v>
      </c>
      <c r="I41" s="1805">
        <f>SUMIF(TB!$M:$M,'SA30'!$A41,TB!AG:AG)</f>
        <v>0</v>
      </c>
      <c r="J41" s="1805">
        <f>SUMIF(TB!$M:$M,'SA30'!$A41,TB!AH:AH)</f>
        <v>0</v>
      </c>
      <c r="K41" s="1805">
        <f>SUMIF(TB!$M:$M,'SA30'!$A41,TB!AI:AI)</f>
        <v>0</v>
      </c>
      <c r="L41" s="1805">
        <f>SUMIF(TB!$M:$M,'SA30'!$A41,TB!AJ:AJ)</f>
        <v>0</v>
      </c>
      <c r="M41" s="250">
        <f t="shared" si="5"/>
        <v>0</v>
      </c>
      <c r="N41" s="1821">
        <f>SUMIF(TB!$M:$M,'SA30'!$A41,TB!U:U)</f>
        <v>0</v>
      </c>
      <c r="O41" s="1805">
        <f>SUMIF(TB!$M:$M,'SA30'!$A41,TB!V:V)</f>
        <v>0</v>
      </c>
      <c r="P41" s="1820">
        <f>SUMIF(TB!$M:$M,'SA30'!$A41,TB!W:W)</f>
        <v>0</v>
      </c>
      <c r="Q41" s="819"/>
      <c r="R41" s="345"/>
      <c r="S41" s="345"/>
      <c r="T41" s="345"/>
      <c r="U41" s="345"/>
      <c r="V41" s="345"/>
      <c r="W41" s="345"/>
    </row>
    <row r="42" spans="1:23">
      <c r="A42" s="240" t="s">
        <v>1629</v>
      </c>
      <c r="B42" s="1821">
        <f>'SA25'!C31</f>
        <v>0</v>
      </c>
      <c r="C42" s="1805">
        <f>'SA25'!D31</f>
        <v>0</v>
      </c>
      <c r="D42" s="1805">
        <f>'SA25'!E31</f>
        <v>0</v>
      </c>
      <c r="E42" s="1805">
        <f>'SA25'!F31</f>
        <v>0</v>
      </c>
      <c r="F42" s="1805">
        <f>'SA25'!G31</f>
        <v>0</v>
      </c>
      <c r="G42" s="1805">
        <f>'SA25'!H31</f>
        <v>0</v>
      </c>
      <c r="H42" s="1805">
        <f>'SA25'!I31</f>
        <v>0</v>
      </c>
      <c r="I42" s="1805">
        <f>'SA25'!J31</f>
        <v>0</v>
      </c>
      <c r="J42" s="1805">
        <f>'SA25'!K31</f>
        <v>0</v>
      </c>
      <c r="K42" s="1805">
        <f>'SA25'!L31</f>
        <v>0</v>
      </c>
      <c r="L42" s="1805">
        <f>'SA25'!M31</f>
        <v>0</v>
      </c>
      <c r="M42" s="250">
        <f t="shared" si="5"/>
        <v>0</v>
      </c>
      <c r="N42" s="1821">
        <f>'SA25'!O31</f>
        <v>0</v>
      </c>
      <c r="O42" s="1805">
        <f>'SA25'!P31</f>
        <v>0</v>
      </c>
      <c r="P42" s="1820">
        <f>'SA25'!Q31</f>
        <v>0</v>
      </c>
      <c r="Q42" s="819"/>
      <c r="R42" s="345"/>
      <c r="S42" s="345"/>
      <c r="T42" s="345"/>
      <c r="U42" s="345"/>
      <c r="V42" s="345"/>
      <c r="W42" s="345"/>
    </row>
    <row r="43" spans="1:23">
      <c r="A43" s="240" t="s">
        <v>501</v>
      </c>
      <c r="B43" s="1821">
        <f>'SA25'!C32</f>
        <v>0</v>
      </c>
      <c r="C43" s="1805">
        <f>'SA25'!D32</f>
        <v>0</v>
      </c>
      <c r="D43" s="1805">
        <f>'SA25'!E32</f>
        <v>0</v>
      </c>
      <c r="E43" s="1805">
        <f>'SA25'!F32</f>
        <v>0</v>
      </c>
      <c r="F43" s="1805">
        <f>'SA25'!G32</f>
        <v>0</v>
      </c>
      <c r="G43" s="1805">
        <f>'SA25'!H32</f>
        <v>0</v>
      </c>
      <c r="H43" s="1805">
        <f>'SA25'!I32</f>
        <v>0</v>
      </c>
      <c r="I43" s="1805">
        <f>'SA25'!J32</f>
        <v>0</v>
      </c>
      <c r="J43" s="1805">
        <f>'SA25'!K32</f>
        <v>0</v>
      </c>
      <c r="K43" s="1805">
        <f>'SA25'!L32</f>
        <v>0</v>
      </c>
      <c r="L43" s="1805">
        <f>'SA25'!M32</f>
        <v>0</v>
      </c>
      <c r="M43" s="250">
        <f t="shared" si="5"/>
        <v>0</v>
      </c>
      <c r="N43" s="1821">
        <f>'SA25'!O32</f>
        <v>0</v>
      </c>
      <c r="O43" s="1805">
        <f>'SA25'!P32</f>
        <v>0</v>
      </c>
      <c r="P43" s="1820">
        <f>'SA25'!Q32</f>
        <v>0</v>
      </c>
      <c r="Q43" s="345"/>
      <c r="R43" s="345"/>
      <c r="S43" s="345"/>
      <c r="T43" s="345"/>
      <c r="U43" s="345"/>
      <c r="V43" s="345"/>
      <c r="W43" s="345"/>
    </row>
    <row r="44" spans="1:23">
      <c r="A44" s="240" t="s">
        <v>1637</v>
      </c>
      <c r="B44" s="1821">
        <v>0</v>
      </c>
      <c r="C44" s="1805">
        <v>0</v>
      </c>
      <c r="D44" s="1805">
        <v>0</v>
      </c>
      <c r="E44" s="1805">
        <v>0</v>
      </c>
      <c r="F44" s="1805">
        <v>0</v>
      </c>
      <c r="G44" s="1805">
        <v>0</v>
      </c>
      <c r="H44" s="1805">
        <v>0</v>
      </c>
      <c r="I44" s="1805">
        <v>0</v>
      </c>
      <c r="J44" s="1805">
        <v>0</v>
      </c>
      <c r="K44" s="1805">
        <v>0</v>
      </c>
      <c r="L44" s="1805">
        <v>0</v>
      </c>
      <c r="M44" s="250">
        <f t="shared" si="5"/>
        <v>0</v>
      </c>
      <c r="N44" s="1821">
        <v>0</v>
      </c>
      <c r="O44" s="1805">
        <v>0</v>
      </c>
      <c r="P44" s="1820">
        <v>0</v>
      </c>
      <c r="Q44" s="345"/>
      <c r="R44" s="345"/>
      <c r="S44" s="345"/>
      <c r="T44" s="345"/>
      <c r="U44" s="345"/>
      <c r="V44" s="345"/>
      <c r="W44" s="345"/>
    </row>
    <row r="45" spans="1:23">
      <c r="A45" s="240" t="s">
        <v>1638</v>
      </c>
      <c r="B45" s="1821">
        <v>0</v>
      </c>
      <c r="C45" s="1805">
        <v>0</v>
      </c>
      <c r="D45" s="1805">
        <v>0</v>
      </c>
      <c r="E45" s="1805">
        <v>0</v>
      </c>
      <c r="F45" s="1805">
        <v>0</v>
      </c>
      <c r="G45" s="1805">
        <v>0</v>
      </c>
      <c r="H45" s="1805">
        <v>0</v>
      </c>
      <c r="I45" s="1805">
        <v>0</v>
      </c>
      <c r="J45" s="1805">
        <v>0</v>
      </c>
      <c r="K45" s="1805">
        <v>0</v>
      </c>
      <c r="L45" s="1805">
        <v>0</v>
      </c>
      <c r="M45" s="250">
        <f t="shared" si="5"/>
        <v>0</v>
      </c>
      <c r="N45" s="1821">
        <v>0</v>
      </c>
      <c r="O45" s="1805">
        <v>0</v>
      </c>
      <c r="P45" s="1820">
        <v>0</v>
      </c>
      <c r="Q45" s="345"/>
      <c r="R45" s="345"/>
      <c r="S45" s="345"/>
      <c r="T45" s="345"/>
      <c r="U45" s="345"/>
      <c r="V45" s="345"/>
      <c r="W45" s="345"/>
    </row>
    <row r="46" spans="1:23">
      <c r="A46" s="240" t="s">
        <v>502</v>
      </c>
      <c r="B46" s="1821">
        <f>'SA25'!C34</f>
        <v>1508166.6666666667</v>
      </c>
      <c r="C46" s="1805">
        <f>'SA25'!D34</f>
        <v>1508166.6666666667</v>
      </c>
      <c r="D46" s="1805">
        <f>'SA25'!E34</f>
        <v>1508166.6666666667</v>
      </c>
      <c r="E46" s="1805">
        <f>'SA25'!F34</f>
        <v>1508166.6666666667</v>
      </c>
      <c r="F46" s="1805">
        <f>'SA25'!G34</f>
        <v>1508166.6666666667</v>
      </c>
      <c r="G46" s="1805">
        <f>'SA25'!H34</f>
        <v>1508166.6666666667</v>
      </c>
      <c r="H46" s="1805">
        <f>'SA25'!I34</f>
        <v>1508166.6666666667</v>
      </c>
      <c r="I46" s="1805">
        <f>'SA25'!J34</f>
        <v>1508166.6666666667</v>
      </c>
      <c r="J46" s="1805">
        <f>'SA25'!K34</f>
        <v>1508166.6666666667</v>
      </c>
      <c r="K46" s="1805">
        <f>'SA25'!L34</f>
        <v>1508166.6666666667</v>
      </c>
      <c r="L46" s="1805">
        <f>'SA25'!M34</f>
        <v>1508166.6666666667</v>
      </c>
      <c r="M46" s="250">
        <f t="shared" si="5"/>
        <v>1508150.2160546687</v>
      </c>
      <c r="N46" s="1821">
        <f>'SA25'!O34</f>
        <v>18097983.549387999</v>
      </c>
      <c r="O46" s="1805">
        <f>'SA25'!P34</f>
        <v>19318626.933339041</v>
      </c>
      <c r="P46" s="1820">
        <f>'SA25'!Q34</f>
        <v>19608991.708866164</v>
      </c>
      <c r="Q46" s="345"/>
      <c r="R46" s="345"/>
      <c r="S46" s="345"/>
      <c r="T46" s="345"/>
      <c r="U46" s="345"/>
      <c r="V46" s="345"/>
      <c r="W46" s="345"/>
    </row>
    <row r="47" spans="1:23">
      <c r="A47" s="634" t="s">
        <v>1725</v>
      </c>
      <c r="B47" s="255">
        <f>SUM(B36:B46)</f>
        <v>3640000</v>
      </c>
      <c r="C47" s="253">
        <f t="shared" ref="C47:P47" si="6">SUM(C36:C46)</f>
        <v>3640000</v>
      </c>
      <c r="D47" s="253">
        <f t="shared" si="6"/>
        <v>3640000</v>
      </c>
      <c r="E47" s="253">
        <f t="shared" si="6"/>
        <v>3640000</v>
      </c>
      <c r="F47" s="253">
        <f t="shared" si="6"/>
        <v>3640000</v>
      </c>
      <c r="G47" s="253">
        <f t="shared" si="6"/>
        <v>3640000</v>
      </c>
      <c r="H47" s="253">
        <f t="shared" si="6"/>
        <v>3640000</v>
      </c>
      <c r="I47" s="253">
        <f t="shared" si="6"/>
        <v>3640000</v>
      </c>
      <c r="J47" s="253">
        <f t="shared" si="6"/>
        <v>3640000</v>
      </c>
      <c r="K47" s="253">
        <f t="shared" si="6"/>
        <v>3640000</v>
      </c>
      <c r="L47" s="253">
        <f t="shared" si="6"/>
        <v>3640000</v>
      </c>
      <c r="M47" s="254">
        <f t="shared" si="6"/>
        <v>3639829.0862110076</v>
      </c>
      <c r="N47" s="255">
        <f t="shared" si="6"/>
        <v>43679829.086211011</v>
      </c>
      <c r="O47" s="253">
        <f t="shared" si="6"/>
        <v>46550204.65856871</v>
      </c>
      <c r="P47" s="254">
        <f t="shared" si="6"/>
        <v>48668602.699822828</v>
      </c>
      <c r="Q47" s="345"/>
      <c r="R47" s="345"/>
      <c r="S47" s="345"/>
      <c r="T47" s="345"/>
      <c r="U47" s="345"/>
      <c r="V47" s="345"/>
      <c r="W47" s="345"/>
    </row>
    <row r="48" spans="1:23" ht="5.0999999999999996" customHeight="1">
      <c r="A48" s="802"/>
      <c r="B48" s="237"/>
      <c r="C48" s="193"/>
      <c r="D48" s="193"/>
      <c r="E48" s="193"/>
      <c r="F48" s="193"/>
      <c r="G48" s="193"/>
      <c r="H48" s="193"/>
      <c r="I48" s="193"/>
      <c r="J48" s="193"/>
      <c r="K48" s="193"/>
      <c r="L48" s="193"/>
      <c r="M48" s="250"/>
      <c r="N48" s="237"/>
      <c r="O48" s="193"/>
      <c r="P48" s="250"/>
      <c r="Q48" s="345"/>
      <c r="R48" s="345"/>
      <c r="S48" s="345"/>
      <c r="T48" s="345"/>
      <c r="U48" s="345"/>
      <c r="V48" s="345"/>
      <c r="W48" s="345"/>
    </row>
    <row r="49" spans="1:23">
      <c r="A49" s="634" t="s">
        <v>310</v>
      </c>
      <c r="B49" s="237"/>
      <c r="C49" s="193"/>
      <c r="D49" s="193"/>
      <c r="E49" s="193"/>
      <c r="F49" s="193"/>
      <c r="G49" s="193"/>
      <c r="H49" s="193"/>
      <c r="I49" s="193"/>
      <c r="J49" s="193"/>
      <c r="K49" s="193"/>
      <c r="L49" s="193"/>
      <c r="M49" s="250"/>
      <c r="N49" s="237"/>
      <c r="O49" s="193"/>
      <c r="P49" s="250"/>
      <c r="Q49" s="345"/>
      <c r="R49" s="345"/>
      <c r="S49" s="345"/>
      <c r="T49" s="345"/>
      <c r="U49" s="345"/>
      <c r="V49" s="345"/>
      <c r="W49" s="345"/>
    </row>
    <row r="50" spans="1:23">
      <c r="A50" s="240" t="str">
        <f>'A7-CFlow'!A24</f>
        <v>Capital assets</v>
      </c>
      <c r="B50" s="1821">
        <f>'SA29'!C25</f>
        <v>790666.66666666674</v>
      </c>
      <c r="C50" s="1805">
        <f>'SA29'!D25</f>
        <v>790666.66666666674</v>
      </c>
      <c r="D50" s="1805">
        <f>'SA29'!E25</f>
        <v>790666.66666666674</v>
      </c>
      <c r="E50" s="1805">
        <f>'SA29'!F25</f>
        <v>790666.66666666674</v>
      </c>
      <c r="F50" s="1805">
        <f>'SA29'!G25</f>
        <v>790666.66666666674</v>
      </c>
      <c r="G50" s="1805">
        <f>'SA29'!H25</f>
        <v>790666.66666666674</v>
      </c>
      <c r="H50" s="1805">
        <f>'SA29'!I25</f>
        <v>790666.66666666674</v>
      </c>
      <c r="I50" s="1805">
        <f>'SA29'!J25</f>
        <v>790666.66666666674</v>
      </c>
      <c r="J50" s="1805">
        <f>'SA29'!K25</f>
        <v>790666.66666666674</v>
      </c>
      <c r="K50" s="1805">
        <f>'SA29'!L25</f>
        <v>790666.66666666674</v>
      </c>
      <c r="L50" s="1805">
        <f>'SA29'!M25</f>
        <v>790666.66666666674</v>
      </c>
      <c r="M50" s="250">
        <f>N50-SUM(B50:L50)</f>
        <v>790666.66666666418</v>
      </c>
      <c r="N50" s="1821">
        <f>-'A7-CFlow'!J24</f>
        <v>9488000</v>
      </c>
      <c r="O50" s="1805">
        <f>-'A7-CFlow'!K24</f>
        <v>11537000</v>
      </c>
      <c r="P50" s="1820">
        <f>-'A7-CFlow'!L24</f>
        <v>12171000</v>
      </c>
      <c r="Q50" s="345"/>
      <c r="R50" s="345"/>
      <c r="S50" s="345"/>
      <c r="T50" s="345"/>
      <c r="U50" s="345"/>
      <c r="V50" s="345"/>
      <c r="W50" s="345"/>
    </row>
    <row r="51" spans="1:23">
      <c r="A51" s="240" t="str">
        <f>'A7-CFlow'!A33</f>
        <v>Repayment of borrowing</v>
      </c>
      <c r="B51" s="1821">
        <f t="shared" ref="B51:J51" si="7">C51</f>
        <v>157416.66666666666</v>
      </c>
      <c r="C51" s="1805">
        <f t="shared" si="7"/>
        <v>157416.66666666666</v>
      </c>
      <c r="D51" s="1805">
        <f t="shared" si="7"/>
        <v>157416.66666666666</v>
      </c>
      <c r="E51" s="1805">
        <f t="shared" si="7"/>
        <v>157416.66666666666</v>
      </c>
      <c r="F51" s="1805">
        <f t="shared" si="7"/>
        <v>157416.66666666666</v>
      </c>
      <c r="G51" s="1805">
        <f t="shared" si="7"/>
        <v>157416.66666666666</v>
      </c>
      <c r="H51" s="1805">
        <f t="shared" si="7"/>
        <v>157416.66666666666</v>
      </c>
      <c r="I51" s="1805">
        <f t="shared" si="7"/>
        <v>157416.66666666666</v>
      </c>
      <c r="J51" s="1805">
        <f t="shared" si="7"/>
        <v>157416.66666666666</v>
      </c>
      <c r="K51" s="1805">
        <f>L51</f>
        <v>157416.66666666666</v>
      </c>
      <c r="L51" s="1805">
        <f>N51/12</f>
        <v>157416.66666666666</v>
      </c>
      <c r="M51" s="250">
        <f>N51-SUM(B51:L51)</f>
        <v>157416.66666666651</v>
      </c>
      <c r="N51" s="1821">
        <f>-'A7-CFlow'!J33</f>
        <v>1889000</v>
      </c>
      <c r="O51" s="1805">
        <f>-'A7-CFlow'!K33</f>
        <v>1889000</v>
      </c>
      <c r="P51" s="1820">
        <f>-'A7-CFlow'!L33</f>
        <v>1889000</v>
      </c>
      <c r="Q51" s="345"/>
      <c r="R51" s="345"/>
      <c r="S51" s="345"/>
      <c r="T51" s="345"/>
      <c r="U51" s="345"/>
      <c r="V51" s="345"/>
      <c r="W51" s="345"/>
    </row>
    <row r="52" spans="1:23">
      <c r="A52" s="240" t="str">
        <f>LEFT(A49,25)</f>
        <v>Other Cash Flows/Payments</v>
      </c>
      <c r="B52" s="1821">
        <f t="shared" ref="B52:J52" si="8">C52</f>
        <v>112977.10970833153</v>
      </c>
      <c r="C52" s="1805">
        <f t="shared" si="8"/>
        <v>112977.10970833153</v>
      </c>
      <c r="D52" s="1805">
        <f t="shared" si="8"/>
        <v>112977.10970833153</v>
      </c>
      <c r="E52" s="1805">
        <f t="shared" si="8"/>
        <v>112977.10970833153</v>
      </c>
      <c r="F52" s="1805">
        <f t="shared" si="8"/>
        <v>112977.10970833153</v>
      </c>
      <c r="G52" s="1805">
        <f t="shared" si="8"/>
        <v>112977.10970833153</v>
      </c>
      <c r="H52" s="1805">
        <f t="shared" si="8"/>
        <v>112977.10970833153</v>
      </c>
      <c r="I52" s="1805">
        <f t="shared" si="8"/>
        <v>112977.10970833153</v>
      </c>
      <c r="J52" s="1805">
        <f t="shared" si="8"/>
        <v>112977.10970833153</v>
      </c>
      <c r="K52" s="1805">
        <f>L52</f>
        <v>112977.10970833153</v>
      </c>
      <c r="L52" s="1805">
        <f>N52/12</f>
        <v>112977.10970833153</v>
      </c>
      <c r="M52" s="250">
        <f>N52-SUM(B52:L52)</f>
        <v>112977.10970833153</v>
      </c>
      <c r="N52" s="1821">
        <v>1355725.3164999783</v>
      </c>
      <c r="O52" s="1805">
        <v>1327916.2111499757</v>
      </c>
      <c r="P52" s="1820">
        <v>1430707.8322649933</v>
      </c>
      <c r="Q52" s="345"/>
      <c r="R52" s="345"/>
      <c r="S52" s="345"/>
      <c r="T52" s="345"/>
      <c r="U52" s="345"/>
      <c r="V52" s="345"/>
      <c r="W52" s="345"/>
    </row>
    <row r="53" spans="1:23">
      <c r="A53" s="795" t="s">
        <v>748</v>
      </c>
      <c r="B53" s="799">
        <f>SUM(B47:B52)</f>
        <v>4701060.4430416655</v>
      </c>
      <c r="C53" s="797">
        <f t="shared" ref="C53:P53" si="9">SUM(C47:C52)</f>
        <v>4701060.4430416655</v>
      </c>
      <c r="D53" s="797">
        <f t="shared" si="9"/>
        <v>4701060.4430416655</v>
      </c>
      <c r="E53" s="797">
        <f t="shared" si="9"/>
        <v>4701060.4430416655</v>
      </c>
      <c r="F53" s="797">
        <f t="shared" si="9"/>
        <v>4701060.4430416655</v>
      </c>
      <c r="G53" s="797">
        <f t="shared" si="9"/>
        <v>4701060.4430416655</v>
      </c>
      <c r="H53" s="797">
        <f t="shared" si="9"/>
        <v>4701060.4430416655</v>
      </c>
      <c r="I53" s="797">
        <f t="shared" si="9"/>
        <v>4701060.4430416655</v>
      </c>
      <c r="J53" s="797">
        <f t="shared" si="9"/>
        <v>4701060.4430416655</v>
      </c>
      <c r="K53" s="797">
        <f t="shared" si="9"/>
        <v>4701060.4430416655</v>
      </c>
      <c r="L53" s="797">
        <f t="shared" si="9"/>
        <v>4701060.4430416655</v>
      </c>
      <c r="M53" s="798">
        <f t="shared" si="9"/>
        <v>4700889.5292526688</v>
      </c>
      <c r="N53" s="799">
        <f t="shared" si="9"/>
        <v>56412554.402710989</v>
      </c>
      <c r="O53" s="797">
        <f t="shared" si="9"/>
        <v>61304120.869718686</v>
      </c>
      <c r="P53" s="798">
        <f t="shared" si="9"/>
        <v>64159310.532087818</v>
      </c>
      <c r="Q53" s="345"/>
      <c r="R53" s="868" t="s">
        <v>573</v>
      </c>
      <c r="S53" s="345"/>
      <c r="T53" s="345"/>
      <c r="U53" s="345"/>
      <c r="V53" s="345"/>
      <c r="W53" s="345"/>
    </row>
    <row r="54" spans="1:23" ht="5.0999999999999996" customHeight="1">
      <c r="A54" s="802"/>
      <c r="B54" s="237"/>
      <c r="C54" s="193"/>
      <c r="D54" s="193"/>
      <c r="E54" s="193"/>
      <c r="F54" s="193"/>
      <c r="G54" s="193"/>
      <c r="H54" s="193"/>
      <c r="I54" s="193"/>
      <c r="J54" s="193"/>
      <c r="K54" s="193"/>
      <c r="L54" s="193"/>
      <c r="M54" s="250"/>
      <c r="N54" s="237"/>
      <c r="O54" s="193"/>
      <c r="P54" s="250"/>
      <c r="Q54" s="345"/>
      <c r="R54" s="345"/>
      <c r="S54" s="345"/>
      <c r="T54" s="345"/>
      <c r="U54" s="345"/>
      <c r="V54" s="345"/>
      <c r="W54" s="345"/>
    </row>
    <row r="55" spans="1:23" s="753" customFormat="1" ht="13.5" thickBot="1">
      <c r="A55" s="869" t="s">
        <v>414</v>
      </c>
      <c r="B55" s="870">
        <f>B33-B53</f>
        <v>-602572.18970833253</v>
      </c>
      <c r="C55" s="871">
        <f t="shared" ref="C55:P55" si="10">C33-C53</f>
        <v>-602572.18970833253</v>
      </c>
      <c r="D55" s="871">
        <f t="shared" si="10"/>
        <v>-602572.18970833253</v>
      </c>
      <c r="E55" s="871">
        <f t="shared" si="10"/>
        <v>-602572.18970833253</v>
      </c>
      <c r="F55" s="871">
        <f t="shared" si="10"/>
        <v>-602572.18970833253</v>
      </c>
      <c r="G55" s="871">
        <f t="shared" si="10"/>
        <v>-602572.18970833253</v>
      </c>
      <c r="H55" s="871">
        <f t="shared" si="10"/>
        <v>-602572.18970833253</v>
      </c>
      <c r="I55" s="871">
        <f t="shared" si="10"/>
        <v>-602572.18970833253</v>
      </c>
      <c r="J55" s="871">
        <f t="shared" si="10"/>
        <v>-602572.18970833253</v>
      </c>
      <c r="K55" s="871">
        <f t="shared" si="10"/>
        <v>-602572.18970833253</v>
      </c>
      <c r="L55" s="871">
        <f t="shared" si="10"/>
        <v>-602572.18970833253</v>
      </c>
      <c r="M55" s="872">
        <f t="shared" si="10"/>
        <v>12765474.607680662</v>
      </c>
      <c r="N55" s="870">
        <f t="shared" si="10"/>
        <v>6137180.5208890066</v>
      </c>
      <c r="O55" s="871">
        <f t="shared" si="10"/>
        <v>10386418.908657327</v>
      </c>
      <c r="P55" s="872">
        <f t="shared" si="10"/>
        <v>12380952.605682179</v>
      </c>
      <c r="Q55" s="873" t="e">
        <f>#REF!</f>
        <v>#REF!</v>
      </c>
      <c r="R55" s="874" t="e">
        <f>#REF!</f>
        <v>#REF!</v>
      </c>
      <c r="S55" s="875" t="e">
        <f>#REF!</f>
        <v>#REF!</v>
      </c>
      <c r="T55" s="876"/>
      <c r="U55" s="876"/>
      <c r="V55" s="876"/>
      <c r="W55" s="876"/>
    </row>
    <row r="56" spans="1:23" ht="10.5" customHeight="1">
      <c r="A56" s="802" t="s">
        <v>1026</v>
      </c>
      <c r="B56" s="2181">
        <f>'A7-CFlow'!J37</f>
        <v>13906081</v>
      </c>
      <c r="C56" s="340">
        <f>B57</f>
        <v>13303508.810291667</v>
      </c>
      <c r="D56" s="340">
        <f t="shared" ref="D56:M56" si="11">C57</f>
        <v>12700936.620583333</v>
      </c>
      <c r="E56" s="340">
        <f t="shared" si="11"/>
        <v>12098364.430875</v>
      </c>
      <c r="F56" s="340">
        <f t="shared" si="11"/>
        <v>11495792.241166666</v>
      </c>
      <c r="G56" s="340">
        <f t="shared" si="11"/>
        <v>10893220.051458333</v>
      </c>
      <c r="H56" s="340">
        <f t="shared" si="11"/>
        <v>10290647.861749999</v>
      </c>
      <c r="I56" s="340">
        <f t="shared" si="11"/>
        <v>9688075.6720416658</v>
      </c>
      <c r="J56" s="340">
        <f t="shared" si="11"/>
        <v>9085503.4823333323</v>
      </c>
      <c r="K56" s="340">
        <f t="shared" si="11"/>
        <v>8482931.2926249988</v>
      </c>
      <c r="L56" s="340">
        <f t="shared" si="11"/>
        <v>7880359.1029166663</v>
      </c>
      <c r="M56" s="341">
        <f t="shared" si="11"/>
        <v>7277786.9132083338</v>
      </c>
      <c r="N56" s="342">
        <f>B56</f>
        <v>13906081</v>
      </c>
      <c r="O56" s="340">
        <f>N57</f>
        <v>20043261.520889007</v>
      </c>
      <c r="P56" s="341">
        <f>O57</f>
        <v>30429680.429546334</v>
      </c>
      <c r="Q56" s="345"/>
      <c r="R56" s="345"/>
      <c r="S56" s="345"/>
      <c r="T56" s="345"/>
      <c r="U56" s="345"/>
      <c r="V56" s="345"/>
      <c r="W56" s="345"/>
    </row>
    <row r="57" spans="1:23" ht="10.5" customHeight="1">
      <c r="A57" s="877" t="s">
        <v>1025</v>
      </c>
      <c r="B57" s="878">
        <f>B56+B55</f>
        <v>13303508.810291667</v>
      </c>
      <c r="C57" s="879">
        <f>C56+C55</f>
        <v>12700936.620583333</v>
      </c>
      <c r="D57" s="879">
        <f t="shared" ref="D57:P57" si="12">D56+D55</f>
        <v>12098364.430875</v>
      </c>
      <c r="E57" s="879">
        <f t="shared" si="12"/>
        <v>11495792.241166666</v>
      </c>
      <c r="F57" s="879">
        <f t="shared" si="12"/>
        <v>10893220.051458333</v>
      </c>
      <c r="G57" s="879">
        <f t="shared" si="12"/>
        <v>10290647.861749999</v>
      </c>
      <c r="H57" s="879">
        <f t="shared" si="12"/>
        <v>9688075.6720416658</v>
      </c>
      <c r="I57" s="879">
        <f t="shared" si="12"/>
        <v>9085503.4823333323</v>
      </c>
      <c r="J57" s="879">
        <f t="shared" si="12"/>
        <v>8482931.2926249988</v>
      </c>
      <c r="K57" s="879">
        <f t="shared" si="12"/>
        <v>7880359.1029166663</v>
      </c>
      <c r="L57" s="879">
        <f t="shared" si="12"/>
        <v>7277786.9132083338</v>
      </c>
      <c r="M57" s="880">
        <f t="shared" si="12"/>
        <v>20043261.520888995</v>
      </c>
      <c r="N57" s="878">
        <f t="shared" si="12"/>
        <v>20043261.520889007</v>
      </c>
      <c r="O57" s="879">
        <f t="shared" si="12"/>
        <v>30429680.429546334</v>
      </c>
      <c r="P57" s="880">
        <f t="shared" si="12"/>
        <v>42810633.035228513</v>
      </c>
      <c r="Q57" s="345"/>
      <c r="R57" s="345"/>
      <c r="S57" s="345"/>
      <c r="T57" s="345"/>
      <c r="U57" s="345"/>
      <c r="V57" s="345"/>
      <c r="W57" s="345"/>
    </row>
    <row r="58" spans="1:23" ht="10.5" hidden="1" customHeight="1">
      <c r="A58" s="1199" t="str">
        <f>head27a</f>
        <v>References</v>
      </c>
      <c r="B58" s="345"/>
      <c r="C58" s="345"/>
      <c r="D58" s="345"/>
      <c r="E58" s="345"/>
      <c r="F58" s="345"/>
      <c r="G58" s="345"/>
      <c r="H58" s="345"/>
      <c r="I58" s="345"/>
      <c r="J58" s="345"/>
      <c r="K58" s="345"/>
      <c r="L58" s="345"/>
      <c r="M58" s="345"/>
      <c r="N58" s="345"/>
      <c r="O58" s="345"/>
      <c r="P58" s="345"/>
      <c r="Q58" s="345"/>
      <c r="R58" s="345"/>
      <c r="S58" s="345"/>
      <c r="T58" s="345"/>
      <c r="U58" s="345"/>
      <c r="V58" s="345"/>
      <c r="W58" s="345"/>
    </row>
    <row r="59" spans="1:23" ht="10.5" hidden="1" customHeight="1">
      <c r="A59" s="1201" t="s">
        <v>874</v>
      </c>
      <c r="B59" s="345"/>
      <c r="C59" s="345"/>
      <c r="D59" s="345"/>
      <c r="E59" s="345"/>
      <c r="F59" s="345"/>
      <c r="G59" s="345"/>
      <c r="H59" s="345"/>
      <c r="I59" s="345"/>
      <c r="J59" s="345"/>
      <c r="K59" s="345"/>
      <c r="L59" s="345"/>
      <c r="M59" s="345"/>
      <c r="N59" s="345"/>
      <c r="O59" s="345"/>
      <c r="P59" s="345"/>
      <c r="Q59" s="345"/>
      <c r="R59" s="345"/>
      <c r="S59" s="345"/>
      <c r="T59" s="345"/>
      <c r="U59" s="345"/>
      <c r="V59" s="345"/>
      <c r="W59" s="345"/>
    </row>
    <row r="60" spans="1:23" ht="10.5" hidden="1" customHeight="1">
      <c r="A60" s="345"/>
      <c r="B60" s="345"/>
      <c r="C60" s="345"/>
      <c r="D60" s="345"/>
      <c r="E60" s="345"/>
      <c r="F60" s="345"/>
      <c r="G60" s="345"/>
      <c r="H60" s="345"/>
      <c r="I60" s="345"/>
      <c r="J60" s="345"/>
      <c r="K60" s="345"/>
      <c r="L60" s="345"/>
      <c r="M60" s="345"/>
      <c r="N60" s="345"/>
      <c r="O60" s="345"/>
      <c r="P60" s="345"/>
      <c r="Q60" s="345"/>
      <c r="R60" s="345"/>
      <c r="S60" s="345"/>
      <c r="T60" s="345"/>
      <c r="U60" s="345"/>
      <c r="V60" s="345"/>
      <c r="W60" s="345"/>
    </row>
    <row r="61" spans="1:23" ht="10.5" hidden="1" customHeight="1">
      <c r="A61" s="345"/>
      <c r="B61" s="345"/>
      <c r="C61" s="345"/>
      <c r="D61" s="345"/>
      <c r="E61" s="345"/>
      <c r="F61" s="345"/>
      <c r="G61" s="345"/>
      <c r="H61" s="345"/>
      <c r="I61" s="345"/>
      <c r="J61" s="345"/>
      <c r="K61" s="345"/>
      <c r="L61" s="345"/>
      <c r="M61" s="345"/>
      <c r="N61" s="1771">
        <f>N57-'A7-CFlow'!J38</f>
        <v>3653677.3828090057</v>
      </c>
      <c r="O61" s="1771">
        <f>O57-'A7-CFlow'!K38</f>
        <v>33497372.430057317</v>
      </c>
      <c r="P61" s="1771">
        <f>P57-'A7-CFlow'!L38</f>
        <v>64866318.22621341</v>
      </c>
      <c r="Q61" s="345"/>
      <c r="R61" s="345"/>
      <c r="S61" s="345"/>
      <c r="T61" s="345"/>
      <c r="U61" s="345"/>
      <c r="V61" s="345"/>
      <c r="W61" s="345"/>
    </row>
    <row r="62" spans="1:23" hidden="1">
      <c r="A62" s="345"/>
      <c r="B62" s="345"/>
      <c r="C62" s="345"/>
      <c r="D62" s="345"/>
      <c r="E62" s="345"/>
      <c r="F62" s="345"/>
      <c r="G62" s="345"/>
      <c r="H62" s="345"/>
      <c r="I62" s="345"/>
      <c r="J62" s="345"/>
      <c r="K62" s="345"/>
      <c r="L62" s="345"/>
      <c r="M62" s="345"/>
      <c r="N62" s="345"/>
      <c r="O62" s="345"/>
      <c r="P62" s="345"/>
      <c r="Q62" s="345"/>
      <c r="R62" s="345"/>
      <c r="S62" s="345"/>
      <c r="T62" s="345"/>
      <c r="U62" s="345"/>
      <c r="V62" s="345"/>
      <c r="W62" s="345"/>
    </row>
    <row r="63" spans="1:23" hidden="1">
      <c r="A63" s="345"/>
      <c r="B63" s="345"/>
      <c r="C63" s="345"/>
      <c r="D63" s="345"/>
      <c r="E63" s="338"/>
      <c r="F63" s="338"/>
      <c r="G63" s="338"/>
      <c r="H63" s="338"/>
      <c r="I63" s="338"/>
      <c r="J63" s="338"/>
      <c r="K63" s="338"/>
      <c r="L63" s="338"/>
      <c r="M63" s="338"/>
      <c r="N63" s="345"/>
      <c r="O63" s="345"/>
      <c r="P63" s="345"/>
      <c r="Q63" s="345"/>
      <c r="R63" s="345"/>
      <c r="S63" s="345"/>
      <c r="T63" s="345"/>
      <c r="U63" s="345"/>
      <c r="V63" s="345"/>
      <c r="W63" s="345"/>
    </row>
    <row r="64" spans="1:23" hidden="1">
      <c r="A64" s="345"/>
      <c r="B64" s="345"/>
      <c r="C64" s="345"/>
      <c r="D64" s="345"/>
      <c r="E64" s="819"/>
      <c r="F64" s="819"/>
      <c r="G64" s="819"/>
      <c r="H64" s="819"/>
      <c r="I64" s="819"/>
      <c r="J64" s="819"/>
      <c r="K64" s="819"/>
      <c r="L64" s="819"/>
      <c r="M64" s="819"/>
      <c r="N64" s="819"/>
      <c r="O64" s="819"/>
      <c r="P64" s="819"/>
      <c r="Q64" s="345"/>
      <c r="R64" s="345"/>
      <c r="S64" s="345"/>
      <c r="T64" s="345"/>
      <c r="U64" s="345"/>
      <c r="V64" s="345"/>
      <c r="W64" s="345"/>
    </row>
    <row r="65" spans="1:23" hidden="1">
      <c r="A65" s="345"/>
      <c r="B65" s="345"/>
      <c r="C65" s="345"/>
      <c r="D65" s="345"/>
      <c r="E65" s="819"/>
      <c r="F65" s="819"/>
      <c r="G65" s="819"/>
      <c r="H65" s="819"/>
      <c r="I65" s="819"/>
      <c r="J65" s="819"/>
      <c r="K65" s="819"/>
      <c r="L65" s="819"/>
      <c r="M65" s="819"/>
      <c r="N65" s="819"/>
      <c r="O65" s="819"/>
      <c r="P65" s="819"/>
      <c r="Q65" s="345"/>
      <c r="R65" s="345"/>
      <c r="S65" s="345"/>
      <c r="T65" s="345"/>
      <c r="U65" s="345"/>
      <c r="V65" s="345"/>
      <c r="W65" s="345"/>
    </row>
    <row r="66" spans="1:23" hidden="1">
      <c r="A66" s="345"/>
      <c r="B66" s="345"/>
      <c r="C66" s="345"/>
      <c r="D66" s="345"/>
      <c r="E66" s="345"/>
      <c r="F66" s="345"/>
      <c r="G66" s="345"/>
      <c r="H66" s="345"/>
      <c r="I66" s="345"/>
      <c r="J66" s="345"/>
      <c r="K66" s="345"/>
      <c r="L66" s="345"/>
      <c r="M66" s="345"/>
      <c r="N66" s="345"/>
      <c r="O66" s="345"/>
      <c r="P66" s="345"/>
      <c r="Q66" s="345"/>
      <c r="R66" s="345"/>
      <c r="S66" s="345"/>
      <c r="T66" s="345"/>
      <c r="U66" s="345"/>
      <c r="V66" s="345"/>
      <c r="W66" s="345"/>
    </row>
    <row r="67" spans="1:23" hidden="1">
      <c r="A67" s="345"/>
      <c r="B67" s="345"/>
      <c r="C67" s="345"/>
      <c r="D67" s="345"/>
      <c r="E67" s="345"/>
      <c r="F67" s="345"/>
      <c r="G67" s="345"/>
      <c r="H67" s="345"/>
      <c r="I67" s="345"/>
      <c r="J67" s="345"/>
      <c r="K67" s="345"/>
      <c r="L67" s="345"/>
      <c r="M67" s="345"/>
      <c r="N67" s="345"/>
      <c r="O67" s="345"/>
      <c r="P67" s="345"/>
      <c r="Q67" s="345"/>
      <c r="R67" s="345"/>
      <c r="S67" s="345"/>
      <c r="T67" s="345"/>
      <c r="U67" s="345"/>
      <c r="V67" s="345"/>
      <c r="W67" s="345"/>
    </row>
    <row r="68" spans="1:23" hidden="1">
      <c r="A68" s="345"/>
      <c r="B68" s="345"/>
      <c r="C68" s="345"/>
      <c r="D68" s="345"/>
      <c r="E68" s="345"/>
      <c r="F68" s="345"/>
      <c r="G68" s="345"/>
      <c r="H68" s="345"/>
      <c r="I68" s="345"/>
      <c r="J68" s="345"/>
      <c r="K68" s="345"/>
      <c r="L68" s="345"/>
      <c r="M68" s="345"/>
      <c r="N68" s="345"/>
      <c r="O68" s="345"/>
      <c r="P68" s="345"/>
      <c r="Q68" s="345"/>
      <c r="R68" s="345"/>
      <c r="S68" s="345"/>
      <c r="T68" s="345"/>
      <c r="U68" s="345"/>
      <c r="V68" s="345"/>
      <c r="W68" s="345"/>
    </row>
    <row r="69" spans="1:23" hidden="1">
      <c r="A69" s="345"/>
      <c r="B69" s="345"/>
      <c r="C69" s="345"/>
      <c r="D69" s="345"/>
      <c r="E69" s="345"/>
      <c r="F69" s="345"/>
      <c r="G69" s="345"/>
      <c r="H69" s="345"/>
      <c r="I69" s="345"/>
      <c r="J69" s="345"/>
      <c r="K69" s="345"/>
      <c r="L69" s="345"/>
      <c r="M69" s="345"/>
      <c r="N69" s="345"/>
      <c r="O69" s="345"/>
      <c r="P69" s="345"/>
      <c r="Q69" s="345"/>
      <c r="R69" s="345"/>
      <c r="S69" s="345"/>
      <c r="T69" s="345"/>
      <c r="U69" s="345"/>
      <c r="V69" s="345"/>
      <c r="W69" s="345"/>
    </row>
    <row r="70" spans="1:23" hidden="1">
      <c r="A70" s="345"/>
      <c r="B70" s="345"/>
      <c r="C70" s="345"/>
      <c r="D70" s="345"/>
      <c r="E70" s="345"/>
      <c r="F70" s="345"/>
      <c r="G70" s="345"/>
      <c r="H70" s="345"/>
      <c r="I70" s="345"/>
      <c r="J70" s="345"/>
      <c r="K70" s="345"/>
      <c r="L70" s="345"/>
      <c r="M70" s="345"/>
      <c r="N70" s="345"/>
      <c r="O70" s="345"/>
      <c r="P70" s="345"/>
      <c r="Q70" s="345"/>
      <c r="R70" s="345"/>
      <c r="S70" s="345"/>
      <c r="T70" s="345"/>
      <c r="U70" s="345"/>
      <c r="V70" s="345"/>
      <c r="W70" s="345"/>
    </row>
    <row r="71" spans="1:23" hidden="1"/>
    <row r="72" spans="1:23" hidden="1"/>
    <row r="73" spans="1:23" hidden="1"/>
    <row r="74" spans="1:23" hidden="1"/>
    <row r="75" spans="1:23" hidden="1"/>
    <row r="76" spans="1:23" hidden="1"/>
    <row r="77" spans="1:23" hidden="1"/>
    <row r="78" spans="1:23" hidden="1"/>
    <row r="190" spans="2:44">
      <c r="B190" s="231"/>
      <c r="C190" s="231"/>
      <c r="D190" s="231"/>
      <c r="E190" s="231"/>
      <c r="F190" s="231"/>
      <c r="G190" s="231"/>
      <c r="H190" s="231"/>
      <c r="I190" s="231"/>
      <c r="J190" s="231"/>
      <c r="K190" s="231"/>
      <c r="L190" s="231"/>
      <c r="N190" s="291"/>
      <c r="O190" s="291"/>
      <c r="P190" s="291"/>
      <c r="Q190" s="291"/>
      <c r="R190" s="291"/>
      <c r="S190" s="291"/>
      <c r="AH190" s="291"/>
      <c r="AI190" s="291"/>
      <c r="AJ190" s="291"/>
      <c r="AK190" s="291"/>
      <c r="AL190" s="291"/>
      <c r="AM190" s="291"/>
      <c r="AN190" s="291"/>
      <c r="AO190" s="291"/>
      <c r="AP190" s="291"/>
      <c r="AQ190" s="291"/>
      <c r="AR190" s="291"/>
    </row>
    <row r="191" spans="2:44">
      <c r="N191" s="291"/>
      <c r="O191" s="291"/>
      <c r="P191" s="291"/>
      <c r="Q191" s="291"/>
      <c r="R191" s="291"/>
      <c r="S191" s="291"/>
      <c r="AH191" s="291"/>
      <c r="AI191" s="291"/>
      <c r="AJ191" s="291"/>
      <c r="AK191" s="291"/>
      <c r="AL191" s="291"/>
      <c r="AM191" s="291"/>
      <c r="AN191" s="291"/>
      <c r="AO191" s="291"/>
      <c r="AP191" s="291"/>
      <c r="AQ191" s="291"/>
      <c r="AR191" s="291"/>
    </row>
    <row r="192" spans="2:44">
      <c r="N192" s="291"/>
      <c r="O192" s="291"/>
      <c r="P192" s="291"/>
      <c r="Q192" s="291"/>
      <c r="R192" s="291"/>
      <c r="S192" s="291"/>
      <c r="AH192" s="291"/>
      <c r="AI192" s="291"/>
      <c r="AJ192" s="291"/>
      <c r="AK192" s="291"/>
      <c r="AL192" s="291"/>
      <c r="AM192" s="291"/>
      <c r="AN192" s="291"/>
      <c r="AO192" s="291"/>
      <c r="AP192" s="291"/>
      <c r="AQ192" s="291"/>
      <c r="AR192" s="291"/>
    </row>
  </sheetData>
  <sheetProtection sheet="1" objects="1" scenarios="1"/>
  <mergeCells count="2">
    <mergeCell ref="N2:P2"/>
    <mergeCell ref="B2:M2"/>
  </mergeCells>
  <phoneticPr fontId="3" type="noConversion"/>
  <printOptions horizontalCentered="1"/>
  <pageMargins left="0" right="0" top="0.19685039370078741" bottom="0.19685039370078741" header="0.51181102362204722" footer="0.51181102362204722"/>
  <pageSetup paperSize="9" scale="8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enableFormatConditionsCalculation="0">
    <tabColor indexed="42"/>
    <pageSetUpPr fitToPage="1"/>
  </sheetPr>
  <dimension ref="A1:O42"/>
  <sheetViews>
    <sheetView showGridLines="0" workbookViewId="0">
      <pane xSplit="1" ySplit="3" topLeftCell="B4" activePane="bottomRight" state="frozen"/>
      <selection activeCell="L22" sqref="L22:L24"/>
      <selection pane="topRight" activeCell="L22" sqref="L22:L24"/>
      <selection pane="bottomLeft" activeCell="L22" sqref="L22:L24"/>
      <selection pane="bottomRight" activeCell="F13" sqref="F13"/>
    </sheetView>
  </sheetViews>
  <sheetFormatPr defaultRowHeight="12.75"/>
  <cols>
    <col min="1" max="1" width="30.7109375" style="150" customWidth="1"/>
    <col min="2" max="2" width="4.42578125" style="150" hidden="1" customWidth="1"/>
    <col min="3" max="11" width="9.28515625" style="150" customWidth="1"/>
    <col min="12" max="12" width="8.7109375" style="150" customWidth="1"/>
    <col min="13" max="15" width="7.7109375" style="150" customWidth="1"/>
    <col min="16" max="16384" width="9.140625" style="150"/>
  </cols>
  <sheetData>
    <row r="1" spans="1:11" ht="13.5" customHeight="1">
      <c r="A1" s="148" t="str">
        <f>muni&amp;" - "&amp; TableA31</f>
        <v>NC071 Ubuntu - NOT REQUIRED - municipality does not have entities</v>
      </c>
      <c r="B1" s="148"/>
      <c r="C1" s="148"/>
      <c r="D1" s="148"/>
      <c r="E1" s="148"/>
      <c r="F1" s="148"/>
      <c r="G1" s="148"/>
      <c r="H1" s="148"/>
      <c r="I1" s="148"/>
      <c r="J1" s="148"/>
      <c r="K1" s="148"/>
    </row>
    <row r="2" spans="1:11" ht="28.5" customHeight="1">
      <c r="A2" s="997" t="str">
        <f>desc</f>
        <v>Description</v>
      </c>
      <c r="B2" s="2821" t="str">
        <f>head27</f>
        <v>Ref</v>
      </c>
      <c r="C2" s="881" t="str">
        <f>head1b</f>
        <v>2007/8</v>
      </c>
      <c r="D2" s="740" t="str">
        <f>head1A</f>
        <v>2008/9</v>
      </c>
      <c r="E2" s="147" t="str">
        <f>Head1</f>
        <v>2009/10</v>
      </c>
      <c r="F2" s="2772" t="str">
        <f>Head2</f>
        <v>Current Year 2010/11</v>
      </c>
      <c r="G2" s="2773"/>
      <c r="H2" s="2777"/>
      <c r="I2" s="2769" t="str">
        <f>Head3</f>
        <v>2011/12 Medium Term Revenue &amp; Expenditure Framework</v>
      </c>
      <c r="J2" s="2770"/>
      <c r="K2" s="2771"/>
    </row>
    <row r="3" spans="1:11" ht="25.5">
      <c r="A3" s="169" t="s">
        <v>696</v>
      </c>
      <c r="B3" s="2822"/>
      <c r="C3" s="982" t="str">
        <f>Head5</f>
        <v>Audited Outcome</v>
      </c>
      <c r="D3" s="993" t="str">
        <f>Head5</f>
        <v>Audited Outcome</v>
      </c>
      <c r="E3" s="366" t="str">
        <f>Head5</f>
        <v>Audited Outcome</v>
      </c>
      <c r="F3" s="283" t="str">
        <f>Head6</f>
        <v>Original Budget</v>
      </c>
      <c r="G3" s="365" t="str">
        <f>Head7</f>
        <v>Adjusted Budget</v>
      </c>
      <c r="H3" s="366" t="str">
        <f>Head8</f>
        <v>Full Year Forecast</v>
      </c>
      <c r="I3" s="283" t="str">
        <f>Head9</f>
        <v>Budget Year 2011/12</v>
      </c>
      <c r="J3" s="365" t="str">
        <f>Head10</f>
        <v>Budget Year +1 2012/13</v>
      </c>
      <c r="K3" s="366" t="str">
        <f>Head11</f>
        <v>Budget Year +2 2013/14</v>
      </c>
    </row>
    <row r="4" spans="1:11" ht="12.75" customHeight="1">
      <c r="A4" s="904" t="s">
        <v>1472</v>
      </c>
      <c r="B4" s="235"/>
      <c r="C4" s="883"/>
      <c r="D4" s="164"/>
      <c r="E4" s="165"/>
      <c r="F4" s="163"/>
      <c r="G4" s="164"/>
      <c r="H4" s="595"/>
      <c r="I4" s="883"/>
      <c r="J4" s="164"/>
      <c r="K4" s="165"/>
    </row>
    <row r="5" spans="1:11">
      <c r="A5" s="885" t="str">
        <f>'A1-Sum'!A5</f>
        <v>Property rates</v>
      </c>
      <c r="B5" s="236"/>
      <c r="C5" s="2182">
        <v>0</v>
      </c>
      <c r="D5" s="2084">
        <v>0</v>
      </c>
      <c r="E5" s="2085">
        <v>0</v>
      </c>
      <c r="F5" s="2086">
        <v>0</v>
      </c>
      <c r="G5" s="2084">
        <v>0</v>
      </c>
      <c r="H5" s="2088">
        <v>0</v>
      </c>
      <c r="I5" s="2182">
        <v>0</v>
      </c>
      <c r="J5" s="2084">
        <v>0</v>
      </c>
      <c r="K5" s="2085">
        <v>0</v>
      </c>
    </row>
    <row r="6" spans="1:11">
      <c r="A6" s="885" t="str">
        <f>'A1-Sum'!A6</f>
        <v>Service charges</v>
      </c>
      <c r="B6" s="236"/>
      <c r="C6" s="2182">
        <v>0</v>
      </c>
      <c r="D6" s="2084">
        <v>0</v>
      </c>
      <c r="E6" s="2085">
        <v>0</v>
      </c>
      <c r="F6" s="2086">
        <v>0</v>
      </c>
      <c r="G6" s="2084">
        <v>0</v>
      </c>
      <c r="H6" s="2088">
        <v>0</v>
      </c>
      <c r="I6" s="2182">
        <v>0</v>
      </c>
      <c r="J6" s="2084">
        <v>0</v>
      </c>
      <c r="K6" s="2085">
        <v>0</v>
      </c>
    </row>
    <row r="7" spans="1:11">
      <c r="A7" s="885" t="str">
        <f>'A1-Sum'!A7</f>
        <v>Investment revenue</v>
      </c>
      <c r="B7" s="236"/>
      <c r="C7" s="2182">
        <v>0</v>
      </c>
      <c r="D7" s="2084">
        <v>0</v>
      </c>
      <c r="E7" s="2085">
        <v>0</v>
      </c>
      <c r="F7" s="2086">
        <v>0</v>
      </c>
      <c r="G7" s="2084">
        <v>0</v>
      </c>
      <c r="H7" s="2088">
        <v>0</v>
      </c>
      <c r="I7" s="2182">
        <v>0</v>
      </c>
      <c r="J7" s="2084">
        <v>0</v>
      </c>
      <c r="K7" s="2085">
        <v>0</v>
      </c>
    </row>
    <row r="8" spans="1:11">
      <c r="A8" s="885" t="str">
        <f>'A1-Sum'!A8</f>
        <v>Transfers recognised - operational</v>
      </c>
      <c r="B8" s="236"/>
      <c r="C8" s="2182">
        <v>0</v>
      </c>
      <c r="D8" s="2084">
        <v>0</v>
      </c>
      <c r="E8" s="2085">
        <v>0</v>
      </c>
      <c r="F8" s="2086">
        <v>0</v>
      </c>
      <c r="G8" s="2084">
        <v>0</v>
      </c>
      <c r="H8" s="2088">
        <v>0</v>
      </c>
      <c r="I8" s="2182">
        <v>0</v>
      </c>
      <c r="J8" s="2084">
        <v>0</v>
      </c>
      <c r="K8" s="2085">
        <v>0</v>
      </c>
    </row>
    <row r="9" spans="1:11">
      <c r="A9" s="885" t="str">
        <f>'A1-Sum'!A9</f>
        <v>Other own revenue</v>
      </c>
      <c r="B9" s="236"/>
      <c r="C9" s="2182">
        <v>0</v>
      </c>
      <c r="D9" s="2084">
        <v>0</v>
      </c>
      <c r="E9" s="2085">
        <v>0</v>
      </c>
      <c r="F9" s="2086">
        <v>0</v>
      </c>
      <c r="G9" s="2084">
        <v>0</v>
      </c>
      <c r="H9" s="2088">
        <v>0</v>
      </c>
      <c r="I9" s="2182">
        <v>0</v>
      </c>
      <c r="J9" s="2084">
        <v>0</v>
      </c>
      <c r="K9" s="2085">
        <v>0</v>
      </c>
    </row>
    <row r="10" spans="1:11">
      <c r="A10" s="885" t="str">
        <f>'A1-Sum'!A21</f>
        <v>Contributions recognised - capital &amp; contributed assets</v>
      </c>
      <c r="B10" s="236"/>
      <c r="C10" s="2182">
        <v>0</v>
      </c>
      <c r="D10" s="2084">
        <v>0</v>
      </c>
      <c r="E10" s="2085">
        <v>0</v>
      </c>
      <c r="F10" s="2086">
        <v>0</v>
      </c>
      <c r="G10" s="2084">
        <v>0</v>
      </c>
      <c r="H10" s="2088">
        <v>0</v>
      </c>
      <c r="I10" s="2182">
        <v>0</v>
      </c>
      <c r="J10" s="2084">
        <v>0</v>
      </c>
      <c r="K10" s="2085">
        <v>0</v>
      </c>
    </row>
    <row r="11" spans="1:11">
      <c r="A11" s="886" t="str">
        <f>'A4-FinPerf RE'!A22</f>
        <v>Total Revenue (excluding capital transfers and contributions)</v>
      </c>
      <c r="B11" s="251"/>
      <c r="C11" s="887">
        <f>SUM(C5:C10)</f>
        <v>0</v>
      </c>
      <c r="D11" s="593">
        <f>SUM(D5:D10)</f>
        <v>0</v>
      </c>
      <c r="E11" s="594">
        <f t="shared" ref="E11:K11" si="0">SUM(E5:E10)</f>
        <v>0</v>
      </c>
      <c r="F11" s="888">
        <f t="shared" si="0"/>
        <v>0</v>
      </c>
      <c r="G11" s="593">
        <f t="shared" si="0"/>
        <v>0</v>
      </c>
      <c r="H11" s="889">
        <f t="shared" si="0"/>
        <v>0</v>
      </c>
      <c r="I11" s="887">
        <f t="shared" si="0"/>
        <v>0</v>
      </c>
      <c r="J11" s="593">
        <f t="shared" si="0"/>
        <v>0</v>
      </c>
      <c r="K11" s="594">
        <f t="shared" si="0"/>
        <v>0</v>
      </c>
    </row>
    <row r="12" spans="1:11">
      <c r="A12" s="885" t="str">
        <f>'A1-Sum'!A11</f>
        <v>Employee costs</v>
      </c>
      <c r="B12" s="236"/>
      <c r="C12" s="2182">
        <v>0</v>
      </c>
      <c r="D12" s="2084">
        <v>0</v>
      </c>
      <c r="E12" s="2085">
        <v>0</v>
      </c>
      <c r="F12" s="2086">
        <v>0</v>
      </c>
      <c r="G12" s="2084">
        <v>0</v>
      </c>
      <c r="H12" s="2088">
        <v>0</v>
      </c>
      <c r="I12" s="2182">
        <v>0</v>
      </c>
      <c r="J12" s="2084">
        <v>0</v>
      </c>
      <c r="K12" s="2085">
        <v>0</v>
      </c>
    </row>
    <row r="13" spans="1:11">
      <c r="A13" s="885" t="s">
        <v>1017</v>
      </c>
      <c r="B13" s="236"/>
      <c r="C13" s="2182">
        <v>0</v>
      </c>
      <c r="D13" s="2084">
        <v>0</v>
      </c>
      <c r="E13" s="2085">
        <v>0</v>
      </c>
      <c r="F13" s="2086">
        <v>0</v>
      </c>
      <c r="G13" s="2084">
        <v>0</v>
      </c>
      <c r="H13" s="2088">
        <v>0</v>
      </c>
      <c r="I13" s="2182">
        <v>0</v>
      </c>
      <c r="J13" s="2084">
        <v>0</v>
      </c>
      <c r="K13" s="2085">
        <v>0</v>
      </c>
    </row>
    <row r="14" spans="1:11">
      <c r="A14" s="885" t="str">
        <f>'A1-Sum'!A13</f>
        <v>Depreciation &amp; asset impairment</v>
      </c>
      <c r="B14" s="236"/>
      <c r="C14" s="2182">
        <v>0</v>
      </c>
      <c r="D14" s="2084">
        <v>0</v>
      </c>
      <c r="E14" s="2085">
        <v>0</v>
      </c>
      <c r="F14" s="2086">
        <v>0</v>
      </c>
      <c r="G14" s="2084">
        <v>0</v>
      </c>
      <c r="H14" s="2088">
        <v>0</v>
      </c>
      <c r="I14" s="2182">
        <v>0</v>
      </c>
      <c r="J14" s="2084">
        <v>0</v>
      </c>
      <c r="K14" s="2085">
        <v>0</v>
      </c>
    </row>
    <row r="15" spans="1:11">
      <c r="A15" s="885" t="str">
        <f>'A1-Sum'!A14</f>
        <v>Finance charges</v>
      </c>
      <c r="B15" s="236"/>
      <c r="C15" s="2182">
        <v>0</v>
      </c>
      <c r="D15" s="2084">
        <v>0</v>
      </c>
      <c r="E15" s="2085">
        <v>0</v>
      </c>
      <c r="F15" s="2086">
        <v>0</v>
      </c>
      <c r="G15" s="2084">
        <v>0</v>
      </c>
      <c r="H15" s="2088">
        <v>0</v>
      </c>
      <c r="I15" s="2182">
        <v>0</v>
      </c>
      <c r="J15" s="2084">
        <v>0</v>
      </c>
      <c r="K15" s="2085">
        <v>0</v>
      </c>
    </row>
    <row r="16" spans="1:11">
      <c r="A16" s="885" t="str">
        <f>'A1-Sum'!A15</f>
        <v>Materials and bulk purchases</v>
      </c>
      <c r="B16" s="236"/>
      <c r="C16" s="2182">
        <v>0</v>
      </c>
      <c r="D16" s="2084">
        <v>0</v>
      </c>
      <c r="E16" s="2085">
        <v>0</v>
      </c>
      <c r="F16" s="2086">
        <v>0</v>
      </c>
      <c r="G16" s="2084">
        <v>0</v>
      </c>
      <c r="H16" s="2088">
        <v>0</v>
      </c>
      <c r="I16" s="2182">
        <v>0</v>
      </c>
      <c r="J16" s="2084">
        <v>0</v>
      </c>
      <c r="K16" s="2085">
        <v>0</v>
      </c>
    </row>
    <row r="17" spans="1:12">
      <c r="A17" s="885" t="str">
        <f>'A1-Sum'!A16</f>
        <v>Transfers and grants</v>
      </c>
      <c r="B17" s="236"/>
      <c r="C17" s="2182">
        <v>0</v>
      </c>
      <c r="D17" s="2084">
        <v>0</v>
      </c>
      <c r="E17" s="2085">
        <v>0</v>
      </c>
      <c r="F17" s="2086">
        <v>0</v>
      </c>
      <c r="G17" s="2084">
        <v>0</v>
      </c>
      <c r="H17" s="2088">
        <v>0</v>
      </c>
      <c r="I17" s="2182">
        <v>0</v>
      </c>
      <c r="J17" s="2084">
        <v>0</v>
      </c>
      <c r="K17" s="2085">
        <v>0</v>
      </c>
    </row>
    <row r="18" spans="1:12">
      <c r="A18" s="885" t="str">
        <f>'A1-Sum'!A17</f>
        <v>Other expenditure</v>
      </c>
      <c r="B18" s="236"/>
      <c r="C18" s="2182">
        <v>0</v>
      </c>
      <c r="D18" s="2084">
        <v>0</v>
      </c>
      <c r="E18" s="2085">
        <v>0</v>
      </c>
      <c r="F18" s="2086">
        <v>0</v>
      </c>
      <c r="G18" s="2084">
        <v>0</v>
      </c>
      <c r="H18" s="2088">
        <v>0</v>
      </c>
      <c r="I18" s="2182">
        <v>0</v>
      </c>
      <c r="J18" s="2084">
        <v>0</v>
      </c>
      <c r="K18" s="2085">
        <v>0</v>
      </c>
    </row>
    <row r="19" spans="1:12">
      <c r="A19" s="886" t="str">
        <f>'A4-FinPerf RE'!A36</f>
        <v>Total Expenditure</v>
      </c>
      <c r="B19" s="251"/>
      <c r="C19" s="890">
        <f>SUM(C12:C18)</f>
        <v>0</v>
      </c>
      <c r="D19" s="891">
        <f t="shared" ref="D19:K19" si="1">SUM(D12:D18)</f>
        <v>0</v>
      </c>
      <c r="E19" s="892">
        <f t="shared" si="1"/>
        <v>0</v>
      </c>
      <c r="F19" s="893">
        <f t="shared" si="1"/>
        <v>0</v>
      </c>
      <c r="G19" s="891">
        <f t="shared" si="1"/>
        <v>0</v>
      </c>
      <c r="H19" s="894">
        <f t="shared" si="1"/>
        <v>0</v>
      </c>
      <c r="I19" s="890">
        <f t="shared" si="1"/>
        <v>0</v>
      </c>
      <c r="J19" s="891">
        <f t="shared" si="1"/>
        <v>0</v>
      </c>
      <c r="K19" s="892">
        <f t="shared" si="1"/>
        <v>0</v>
      </c>
    </row>
    <row r="20" spans="1:12">
      <c r="A20" s="886" t="str">
        <f>'A4-FinPerf RE'!A38</f>
        <v>Surplus/(Deficit)</v>
      </c>
      <c r="B20" s="251"/>
      <c r="C20" s="895">
        <f>C11-C19</f>
        <v>0</v>
      </c>
      <c r="D20" s="596">
        <f t="shared" ref="D20:K20" si="2">D11-D19</f>
        <v>0</v>
      </c>
      <c r="E20" s="597">
        <f t="shared" si="2"/>
        <v>0</v>
      </c>
      <c r="F20" s="896">
        <f t="shared" si="2"/>
        <v>0</v>
      </c>
      <c r="G20" s="596">
        <f t="shared" si="2"/>
        <v>0</v>
      </c>
      <c r="H20" s="897">
        <f t="shared" si="2"/>
        <v>0</v>
      </c>
      <c r="I20" s="895">
        <f t="shared" si="2"/>
        <v>0</v>
      </c>
      <c r="J20" s="596">
        <f t="shared" si="2"/>
        <v>0</v>
      </c>
      <c r="K20" s="597">
        <f t="shared" si="2"/>
        <v>0</v>
      </c>
    </row>
    <row r="21" spans="1:12" ht="6" customHeight="1">
      <c r="A21" s="898"/>
      <c r="B21" s="356"/>
      <c r="C21" s="899"/>
      <c r="D21" s="900"/>
      <c r="E21" s="901"/>
      <c r="F21" s="902"/>
      <c r="G21" s="900"/>
      <c r="H21" s="903"/>
      <c r="I21" s="899"/>
      <c r="J21" s="900"/>
      <c r="K21" s="901"/>
    </row>
    <row r="22" spans="1:12" ht="12.75" customHeight="1">
      <c r="A22" s="904" t="s">
        <v>1134</v>
      </c>
      <c r="B22" s="235"/>
      <c r="C22" s="883"/>
      <c r="D22" s="164"/>
      <c r="E22" s="165"/>
      <c r="F22" s="163"/>
      <c r="G22" s="164"/>
      <c r="H22" s="595"/>
      <c r="I22" s="883"/>
      <c r="J22" s="164"/>
      <c r="K22" s="165"/>
    </row>
    <row r="23" spans="1:12">
      <c r="A23" s="905" t="s">
        <v>1612</v>
      </c>
      <c r="B23" s="349"/>
      <c r="C23" s="2183">
        <v>0</v>
      </c>
      <c r="D23" s="2184">
        <v>0</v>
      </c>
      <c r="E23" s="2185">
        <v>0</v>
      </c>
      <c r="F23" s="2186">
        <v>0</v>
      </c>
      <c r="G23" s="2184">
        <v>0</v>
      </c>
      <c r="H23" s="2187">
        <v>0</v>
      </c>
      <c r="I23" s="2183">
        <v>0</v>
      </c>
      <c r="J23" s="2184">
        <v>0</v>
      </c>
      <c r="K23" s="2185">
        <v>0</v>
      </c>
      <c r="L23" s="232"/>
    </row>
    <row r="24" spans="1:12">
      <c r="A24" s="885" t="str">
        <f>A8</f>
        <v>Transfers recognised - operational</v>
      </c>
      <c r="B24" s="236"/>
      <c r="C24" s="2182">
        <v>0</v>
      </c>
      <c r="D24" s="2084">
        <v>0</v>
      </c>
      <c r="E24" s="2085">
        <v>0</v>
      </c>
      <c r="F24" s="2086">
        <v>0</v>
      </c>
      <c r="G24" s="2084">
        <v>0</v>
      </c>
      <c r="H24" s="2088">
        <v>0</v>
      </c>
      <c r="I24" s="2182">
        <v>0</v>
      </c>
      <c r="J24" s="2084">
        <v>0</v>
      </c>
      <c r="K24" s="2085">
        <v>0</v>
      </c>
      <c r="L24" s="906"/>
    </row>
    <row r="25" spans="1:12">
      <c r="A25" s="885" t="str">
        <f>'A5-Capex'!A71</f>
        <v>Public contributions &amp; donations</v>
      </c>
      <c r="B25" s="236"/>
      <c r="C25" s="2182">
        <v>0</v>
      </c>
      <c r="D25" s="2084">
        <v>0</v>
      </c>
      <c r="E25" s="2085">
        <v>0</v>
      </c>
      <c r="F25" s="2086">
        <v>0</v>
      </c>
      <c r="G25" s="2084">
        <v>0</v>
      </c>
      <c r="H25" s="2088">
        <v>0</v>
      </c>
      <c r="I25" s="2182">
        <v>0</v>
      </c>
      <c r="J25" s="2084">
        <v>0</v>
      </c>
      <c r="K25" s="2085">
        <v>0</v>
      </c>
      <c r="L25" s="906"/>
    </row>
    <row r="26" spans="1:12">
      <c r="A26" s="885" t="str">
        <f>'A5-Capex'!A72</f>
        <v>Borrowing</v>
      </c>
      <c r="B26" s="236"/>
      <c r="C26" s="2182">
        <v>0</v>
      </c>
      <c r="D26" s="2084">
        <v>0</v>
      </c>
      <c r="E26" s="2085">
        <v>0</v>
      </c>
      <c r="F26" s="2086">
        <v>0</v>
      </c>
      <c r="G26" s="2084">
        <v>0</v>
      </c>
      <c r="H26" s="2088">
        <v>0</v>
      </c>
      <c r="I26" s="2182">
        <v>0</v>
      </c>
      <c r="J26" s="2084">
        <v>0</v>
      </c>
      <c r="K26" s="2085">
        <v>0</v>
      </c>
      <c r="L26" s="906"/>
    </row>
    <row r="27" spans="1:12">
      <c r="A27" s="885" t="str">
        <f>'A5-Capex'!A73</f>
        <v>Internally generated funds</v>
      </c>
      <c r="B27" s="236"/>
      <c r="C27" s="2182">
        <v>0</v>
      </c>
      <c r="D27" s="2084">
        <v>0</v>
      </c>
      <c r="E27" s="2085">
        <v>0</v>
      </c>
      <c r="F27" s="2086">
        <v>0</v>
      </c>
      <c r="G27" s="2084">
        <v>0</v>
      </c>
      <c r="H27" s="2088">
        <v>0</v>
      </c>
      <c r="I27" s="2182">
        <v>0</v>
      </c>
      <c r="J27" s="2084">
        <v>0</v>
      </c>
      <c r="K27" s="2085">
        <v>0</v>
      </c>
      <c r="L27" s="906"/>
    </row>
    <row r="28" spans="1:12">
      <c r="A28" s="166" t="s">
        <v>993</v>
      </c>
      <c r="B28" s="853"/>
      <c r="C28" s="887">
        <f t="shared" ref="C28:K28" si="3">SUM(C24:C27)</f>
        <v>0</v>
      </c>
      <c r="D28" s="593">
        <f t="shared" si="3"/>
        <v>0</v>
      </c>
      <c r="E28" s="594">
        <f t="shared" si="3"/>
        <v>0</v>
      </c>
      <c r="F28" s="888">
        <f t="shared" si="3"/>
        <v>0</v>
      </c>
      <c r="G28" s="593">
        <f t="shared" si="3"/>
        <v>0</v>
      </c>
      <c r="H28" s="889">
        <f t="shared" si="3"/>
        <v>0</v>
      </c>
      <c r="I28" s="887">
        <f t="shared" si="3"/>
        <v>0</v>
      </c>
      <c r="J28" s="593">
        <f t="shared" si="3"/>
        <v>0</v>
      </c>
      <c r="K28" s="594">
        <f t="shared" si="3"/>
        <v>0</v>
      </c>
    </row>
    <row r="29" spans="1:12" ht="6" customHeight="1">
      <c r="A29" s="886"/>
      <c r="B29" s="251"/>
      <c r="C29" s="895"/>
      <c r="D29" s="596"/>
      <c r="E29" s="597"/>
      <c r="F29" s="896"/>
      <c r="G29" s="596"/>
      <c r="H29" s="897"/>
      <c r="I29" s="895"/>
      <c r="J29" s="596"/>
      <c r="K29" s="597"/>
    </row>
    <row r="30" spans="1:12" ht="12.75" customHeight="1">
      <c r="A30" s="882" t="s">
        <v>205</v>
      </c>
      <c r="B30" s="846"/>
      <c r="C30" s="884"/>
      <c r="D30" s="907"/>
      <c r="E30" s="908"/>
      <c r="F30" s="909"/>
      <c r="G30" s="907"/>
      <c r="H30" s="910"/>
      <c r="I30" s="884"/>
      <c r="J30" s="907"/>
      <c r="K30" s="908"/>
    </row>
    <row r="31" spans="1:12">
      <c r="A31" s="885" t="str">
        <f>'A6-FinPos'!A12</f>
        <v>Total current assets</v>
      </c>
      <c r="B31" s="236"/>
      <c r="C31" s="2182">
        <v>0</v>
      </c>
      <c r="D31" s="2084">
        <v>0</v>
      </c>
      <c r="E31" s="2085">
        <v>0</v>
      </c>
      <c r="F31" s="2086">
        <v>0</v>
      </c>
      <c r="G31" s="2084">
        <v>0</v>
      </c>
      <c r="H31" s="2088">
        <v>0</v>
      </c>
      <c r="I31" s="2182">
        <v>0</v>
      </c>
      <c r="J31" s="2084">
        <v>0</v>
      </c>
      <c r="K31" s="2085">
        <v>0</v>
      </c>
    </row>
    <row r="32" spans="1:12">
      <c r="A32" s="885" t="str">
        <f>'A6-FinPos'!A24</f>
        <v>Total non current assets</v>
      </c>
      <c r="B32" s="236"/>
      <c r="C32" s="2182">
        <v>0</v>
      </c>
      <c r="D32" s="2084">
        <v>0</v>
      </c>
      <c r="E32" s="2085">
        <v>0</v>
      </c>
      <c r="F32" s="2086">
        <v>0</v>
      </c>
      <c r="G32" s="2084">
        <v>0</v>
      </c>
      <c r="H32" s="2088">
        <v>0</v>
      </c>
      <c r="I32" s="2182">
        <v>0</v>
      </c>
      <c r="J32" s="2084">
        <v>0</v>
      </c>
      <c r="K32" s="2085">
        <v>0</v>
      </c>
    </row>
    <row r="33" spans="1:15">
      <c r="A33" s="885" t="str">
        <f>'A6-FinPos'!A34</f>
        <v>Total current liabilities</v>
      </c>
      <c r="B33" s="236"/>
      <c r="C33" s="2182">
        <v>0</v>
      </c>
      <c r="D33" s="2084">
        <v>0</v>
      </c>
      <c r="E33" s="2085">
        <v>0</v>
      </c>
      <c r="F33" s="2086">
        <v>0</v>
      </c>
      <c r="G33" s="2084">
        <v>0</v>
      </c>
      <c r="H33" s="2088">
        <v>0</v>
      </c>
      <c r="I33" s="2182">
        <v>0</v>
      </c>
      <c r="J33" s="2084">
        <v>0</v>
      </c>
      <c r="K33" s="2085">
        <v>0</v>
      </c>
    </row>
    <row r="34" spans="1:15">
      <c r="A34" s="885" t="str">
        <f>'A6-FinPos'!A39</f>
        <v>Total non current liabilities</v>
      </c>
      <c r="B34" s="236"/>
      <c r="C34" s="2182">
        <v>0</v>
      </c>
      <c r="D34" s="2084">
        <v>0</v>
      </c>
      <c r="E34" s="2085">
        <v>0</v>
      </c>
      <c r="F34" s="2086">
        <v>0</v>
      </c>
      <c r="G34" s="2084">
        <v>0</v>
      </c>
      <c r="H34" s="2088">
        <v>0</v>
      </c>
      <c r="I34" s="2182">
        <v>0</v>
      </c>
      <c r="J34" s="2084">
        <v>0</v>
      </c>
      <c r="K34" s="2085">
        <v>0</v>
      </c>
    </row>
    <row r="35" spans="1:15">
      <c r="A35" s="885" t="s">
        <v>641</v>
      </c>
      <c r="B35" s="236"/>
      <c r="C35" s="2182">
        <v>0</v>
      </c>
      <c r="D35" s="2084">
        <v>0</v>
      </c>
      <c r="E35" s="2085">
        <v>0</v>
      </c>
      <c r="F35" s="2086">
        <v>0</v>
      </c>
      <c r="G35" s="2084">
        <v>0</v>
      </c>
      <c r="H35" s="2088">
        <v>0</v>
      </c>
      <c r="I35" s="2182">
        <v>0</v>
      </c>
      <c r="J35" s="2084">
        <v>0</v>
      </c>
      <c r="K35" s="2085">
        <v>0</v>
      </c>
    </row>
    <row r="36" spans="1:15" ht="6" customHeight="1">
      <c r="A36" s="898"/>
      <c r="B36" s="356"/>
      <c r="C36" s="899"/>
      <c r="D36" s="900"/>
      <c r="E36" s="901"/>
      <c r="F36" s="902"/>
      <c r="G36" s="900"/>
      <c r="H36" s="903"/>
      <c r="I36" s="899"/>
      <c r="J36" s="900"/>
      <c r="K36" s="901"/>
    </row>
    <row r="37" spans="1:15" ht="12.75" customHeight="1">
      <c r="A37" s="904" t="s">
        <v>206</v>
      </c>
      <c r="B37" s="235"/>
      <c r="C37" s="883"/>
      <c r="D37" s="164"/>
      <c r="E37" s="165"/>
      <c r="F37" s="163"/>
      <c r="G37" s="164"/>
      <c r="H37" s="595"/>
      <c r="I37" s="883"/>
      <c r="J37" s="164"/>
      <c r="K37" s="165"/>
      <c r="O37" s="345"/>
    </row>
    <row r="38" spans="1:15">
      <c r="A38" s="885" t="str">
        <f>'A1-Sum'!A42</f>
        <v>Net cash from (used) operating</v>
      </c>
      <c r="B38" s="236"/>
      <c r="C38" s="2182">
        <v>0</v>
      </c>
      <c r="D38" s="2084">
        <v>0</v>
      </c>
      <c r="E38" s="2085">
        <v>0</v>
      </c>
      <c r="F38" s="2086">
        <v>0</v>
      </c>
      <c r="G38" s="2084">
        <v>0</v>
      </c>
      <c r="H38" s="2088">
        <v>0</v>
      </c>
      <c r="I38" s="2182">
        <v>0</v>
      </c>
      <c r="J38" s="2084">
        <v>0</v>
      </c>
      <c r="K38" s="2085">
        <v>0</v>
      </c>
    </row>
    <row r="39" spans="1:15">
      <c r="A39" s="885" t="str">
        <f>'A1-Sum'!A43</f>
        <v>Net cash from (used) investing</v>
      </c>
      <c r="B39" s="236"/>
      <c r="C39" s="2182">
        <v>0</v>
      </c>
      <c r="D39" s="2084">
        <v>0</v>
      </c>
      <c r="E39" s="2085">
        <v>0</v>
      </c>
      <c r="F39" s="2086">
        <v>0</v>
      </c>
      <c r="G39" s="2084">
        <v>0</v>
      </c>
      <c r="H39" s="2088">
        <v>0</v>
      </c>
      <c r="I39" s="2182">
        <v>0</v>
      </c>
      <c r="J39" s="2084">
        <v>0</v>
      </c>
      <c r="K39" s="2085">
        <v>0</v>
      </c>
    </row>
    <row r="40" spans="1:15">
      <c r="A40" s="885" t="str">
        <f>'A1-Sum'!A44</f>
        <v>Net cash from (used) financing</v>
      </c>
      <c r="B40" s="236"/>
      <c r="C40" s="2182">
        <v>0</v>
      </c>
      <c r="D40" s="2084">
        <v>0</v>
      </c>
      <c r="E40" s="2085">
        <v>0</v>
      </c>
      <c r="F40" s="2086">
        <v>0</v>
      </c>
      <c r="G40" s="2084">
        <v>0</v>
      </c>
      <c r="H40" s="2088">
        <v>0</v>
      </c>
      <c r="I40" s="2182">
        <v>0</v>
      </c>
      <c r="J40" s="2084">
        <v>0</v>
      </c>
      <c r="K40" s="2085">
        <v>0</v>
      </c>
    </row>
    <row r="41" spans="1:15">
      <c r="A41" s="886" t="str">
        <f>'A1-Sum'!A45</f>
        <v>Cash/cash equivalents at the year end</v>
      </c>
      <c r="B41" s="251"/>
      <c r="C41" s="2182">
        <v>0</v>
      </c>
      <c r="D41" s="2084">
        <v>0</v>
      </c>
      <c r="E41" s="2085">
        <v>0</v>
      </c>
      <c r="F41" s="2086">
        <v>0</v>
      </c>
      <c r="G41" s="2084">
        <v>0</v>
      </c>
      <c r="H41" s="2088">
        <v>0</v>
      </c>
      <c r="I41" s="2182">
        <v>0</v>
      </c>
      <c r="J41" s="2084">
        <v>0</v>
      </c>
      <c r="K41" s="2085">
        <v>0</v>
      </c>
    </row>
    <row r="42" spans="1:15" ht="6" customHeight="1">
      <c r="A42" s="911"/>
      <c r="B42" s="310"/>
      <c r="C42" s="899"/>
      <c r="D42" s="900"/>
      <c r="E42" s="901"/>
      <c r="F42" s="902"/>
      <c r="G42" s="900"/>
      <c r="H42" s="903"/>
      <c r="I42" s="899"/>
      <c r="J42" s="900"/>
      <c r="K42" s="901"/>
    </row>
  </sheetData>
  <sheetProtection sheet="1" objects="1" scenarios="1"/>
  <mergeCells count="3">
    <mergeCell ref="F2:H2"/>
    <mergeCell ref="I2:K2"/>
    <mergeCell ref="B2:B3"/>
  </mergeCells>
  <phoneticPr fontId="3" type="noConversion"/>
  <printOptions horizontalCentered="1"/>
  <pageMargins left="0" right="0" top="0.78740157480314965" bottom="0.59055118110236227" header="0.51181102362204722" footer="0.39370078740157483"/>
  <pageSetup paperSize="9" scale="9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indexed="44"/>
  </sheetPr>
  <dimension ref="A1:C166"/>
  <sheetViews>
    <sheetView view="pageBreakPreview" topLeftCell="A114" zoomScale="60" workbookViewId="0">
      <selection activeCell="B165" sqref="B165"/>
    </sheetView>
  </sheetViews>
  <sheetFormatPr defaultRowHeight="11.25"/>
  <cols>
    <col min="1" max="1" width="35.7109375" style="1184" bestFit="1" customWidth="1"/>
    <col min="2" max="2" width="47.85546875" style="1319" bestFit="1" customWidth="1"/>
    <col min="3" max="3" width="6" style="1184" bestFit="1" customWidth="1"/>
    <col min="4" max="16384" width="9.140625" style="1184"/>
  </cols>
  <sheetData>
    <row r="1" spans="1:3">
      <c r="A1" s="1185" t="s">
        <v>1313</v>
      </c>
      <c r="B1" s="1183" t="s">
        <v>1314</v>
      </c>
    </row>
    <row r="2" spans="1:3">
      <c r="A2" s="1186" t="str">
        <f>C2&amp;" - "&amp;B2</f>
        <v>Vote1 - Health</v>
      </c>
      <c r="B2" s="1484" t="s">
        <v>1912</v>
      </c>
      <c r="C2" s="1184" t="s">
        <v>1315</v>
      </c>
    </row>
    <row r="3" spans="1:3">
      <c r="A3" s="1186" t="str">
        <f>C13&amp;" - "&amp; B13</f>
        <v>Vote2 - Planning &amp; Development</v>
      </c>
      <c r="B3" s="1485" t="s">
        <v>2208</v>
      </c>
    </row>
    <row r="4" spans="1:3">
      <c r="A4" s="1186" t="str">
        <f>C24&amp;" - "&amp;B24</f>
        <v>Vote3 - Budget &amp; Treasury</v>
      </c>
      <c r="B4" s="1485" t="s">
        <v>826</v>
      </c>
    </row>
    <row r="5" spans="1:3">
      <c r="A5" s="1186" t="str">
        <f>C35&amp;" - "&amp;B35</f>
        <v>Vote4 - Community &amp; Social Services</v>
      </c>
      <c r="B5" s="1485" t="s">
        <v>826</v>
      </c>
    </row>
    <row r="6" spans="1:3">
      <c r="A6" s="1186" t="str">
        <f>C46&amp;" - "&amp;B46</f>
        <v>Vote5 - Executive &amp; Council</v>
      </c>
      <c r="B6" s="1485" t="s">
        <v>826</v>
      </c>
    </row>
    <row r="7" spans="1:3">
      <c r="A7" s="1186" t="str">
        <f>C57&amp;" - "&amp;B57</f>
        <v>Vote6 - Public Safety</v>
      </c>
      <c r="B7" s="1485" t="s">
        <v>827</v>
      </c>
    </row>
    <row r="8" spans="1:3">
      <c r="A8" s="1186" t="str">
        <f>C68&amp;" - "&amp;B68</f>
        <v>Vote7 - Sport &amp; Recreation</v>
      </c>
      <c r="B8" s="1485" t="s">
        <v>828</v>
      </c>
    </row>
    <row r="9" spans="1:3">
      <c r="A9" s="1186" t="str">
        <f>C79&amp;" - "&amp;B79</f>
        <v>Vote8 - Waste Management</v>
      </c>
      <c r="B9" s="1485" t="s">
        <v>829</v>
      </c>
    </row>
    <row r="10" spans="1:3">
      <c r="A10" s="1186" t="str">
        <f>C90&amp;" - "&amp;B90</f>
        <v>Vote9 - Electricity</v>
      </c>
      <c r="B10" s="1485" t="s">
        <v>830</v>
      </c>
    </row>
    <row r="11" spans="1:3">
      <c r="A11" s="1186" t="str">
        <f>C101&amp;" - "&amp;B101</f>
        <v>Vote10 - Water</v>
      </c>
      <c r="B11" s="1485" t="s">
        <v>831</v>
      </c>
    </row>
    <row r="12" spans="1:3">
      <c r="A12" s="1186" t="str">
        <f>C112&amp;" - "&amp;B112</f>
        <v>Vote11 - Subvote example 10</v>
      </c>
      <c r="B12" s="1485" t="s">
        <v>832</v>
      </c>
    </row>
    <row r="13" spans="1:3">
      <c r="A13" s="1186" t="str">
        <f>C123&amp;" - "&amp;B123</f>
        <v>Vote12 - Subvote example 10</v>
      </c>
      <c r="B13" s="1484" t="s">
        <v>2209</v>
      </c>
      <c r="C13" s="1184" t="s">
        <v>1316</v>
      </c>
    </row>
    <row r="14" spans="1:3">
      <c r="A14" s="1186" t="str">
        <f>C134&amp;" - "&amp;B134</f>
        <v>Vote13 - Subvote example 10</v>
      </c>
      <c r="B14" s="1485" t="s">
        <v>2210</v>
      </c>
    </row>
    <row r="15" spans="1:3">
      <c r="A15" s="1186" t="str">
        <f>C145&amp;" - "&amp;B145</f>
        <v>Vote14 - Subvote example 10</v>
      </c>
      <c r="B15" s="1485" t="s">
        <v>2211</v>
      </c>
    </row>
    <row r="16" spans="1:3">
      <c r="A16" s="1186" t="str">
        <f>C156&amp;" - "&amp;B156</f>
        <v>Vote15 - Example 15</v>
      </c>
      <c r="B16" s="1485" t="s">
        <v>2212</v>
      </c>
    </row>
    <row r="17" spans="2:3">
      <c r="B17" s="1485" t="s">
        <v>2213</v>
      </c>
    </row>
    <row r="18" spans="2:3">
      <c r="B18" s="1485" t="s">
        <v>828</v>
      </c>
    </row>
    <row r="19" spans="2:3">
      <c r="B19" s="1485" t="s">
        <v>828</v>
      </c>
    </row>
    <row r="20" spans="2:3">
      <c r="B20" s="1485" t="s">
        <v>829</v>
      </c>
    </row>
    <row r="21" spans="2:3">
      <c r="B21" s="1485" t="s">
        <v>830</v>
      </c>
    </row>
    <row r="22" spans="2:3">
      <c r="B22" s="1485" t="s">
        <v>831</v>
      </c>
    </row>
    <row r="23" spans="2:3">
      <c r="B23" s="1485" t="s">
        <v>832</v>
      </c>
    </row>
    <row r="24" spans="2:3">
      <c r="B24" s="1484" t="s">
        <v>2214</v>
      </c>
      <c r="C24" s="1184" t="s">
        <v>1317</v>
      </c>
    </row>
    <row r="25" spans="2:3">
      <c r="B25" s="1485" t="s">
        <v>2215</v>
      </c>
    </row>
    <row r="26" spans="2:3">
      <c r="B26" s="1485" t="s">
        <v>2216</v>
      </c>
    </row>
    <row r="27" spans="2:3">
      <c r="B27" s="1485" t="s">
        <v>2155</v>
      </c>
    </row>
    <row r="28" spans="2:3">
      <c r="B28" s="1485" t="s">
        <v>2142</v>
      </c>
    </row>
    <row r="29" spans="2:3">
      <c r="B29" s="1485" t="s">
        <v>2217</v>
      </c>
    </row>
    <row r="30" spans="2:3">
      <c r="B30" s="1485" t="s">
        <v>1945</v>
      </c>
    </row>
    <row r="31" spans="2:3">
      <c r="B31" s="1485" t="s">
        <v>2218</v>
      </c>
    </row>
    <row r="32" spans="2:3">
      <c r="B32" s="1485" t="s">
        <v>2219</v>
      </c>
    </row>
    <row r="33" spans="2:3">
      <c r="B33" s="1485" t="s">
        <v>831</v>
      </c>
    </row>
    <row r="34" spans="2:3">
      <c r="B34" s="1485" t="s">
        <v>832</v>
      </c>
    </row>
    <row r="35" spans="2:3">
      <c r="B35" s="1484" t="s">
        <v>2220</v>
      </c>
      <c r="C35" s="1184" t="s">
        <v>1318</v>
      </c>
    </row>
    <row r="36" spans="2:3">
      <c r="B36" s="1485" t="s">
        <v>2221</v>
      </c>
    </row>
    <row r="37" spans="2:3">
      <c r="B37" s="1485" t="s">
        <v>2222</v>
      </c>
    </row>
    <row r="38" spans="2:3">
      <c r="B38" s="1485" t="s">
        <v>2223</v>
      </c>
    </row>
    <row r="39" spans="2:3">
      <c r="B39" s="1485" t="s">
        <v>2130</v>
      </c>
    </row>
    <row r="40" spans="2:3">
      <c r="B40" s="1485" t="s">
        <v>827</v>
      </c>
    </row>
    <row r="41" spans="2:3">
      <c r="B41" s="1485" t="s">
        <v>828</v>
      </c>
    </row>
    <row r="42" spans="2:3">
      <c r="B42" s="1485" t="s">
        <v>829</v>
      </c>
    </row>
    <row r="43" spans="2:3">
      <c r="B43" s="1485" t="s">
        <v>830</v>
      </c>
    </row>
    <row r="44" spans="2:3">
      <c r="B44" s="1485" t="s">
        <v>831</v>
      </c>
    </row>
    <row r="45" spans="2:3">
      <c r="B45" s="1485" t="s">
        <v>832</v>
      </c>
    </row>
    <row r="46" spans="2:3">
      <c r="B46" s="1484" t="s">
        <v>2224</v>
      </c>
      <c r="C46" s="1184" t="s">
        <v>1319</v>
      </c>
    </row>
    <row r="47" spans="2:3">
      <c r="B47" s="1485" t="s">
        <v>2123</v>
      </c>
    </row>
    <row r="48" spans="2:3">
      <c r="B48" s="1485" t="s">
        <v>828</v>
      </c>
    </row>
    <row r="49" spans="2:3">
      <c r="B49" s="1485" t="s">
        <v>828</v>
      </c>
    </row>
    <row r="50" spans="2:3">
      <c r="B50" s="1485" t="s">
        <v>828</v>
      </c>
    </row>
    <row r="51" spans="2:3">
      <c r="B51" s="1485" t="s">
        <v>828</v>
      </c>
    </row>
    <row r="52" spans="2:3">
      <c r="B52" s="1485" t="s">
        <v>828</v>
      </c>
    </row>
    <row r="53" spans="2:3">
      <c r="B53" s="1485" t="s">
        <v>829</v>
      </c>
    </row>
    <row r="54" spans="2:3">
      <c r="B54" s="1485" t="s">
        <v>830</v>
      </c>
    </row>
    <row r="55" spans="2:3">
      <c r="B55" s="1485" t="s">
        <v>831</v>
      </c>
    </row>
    <row r="56" spans="2:3">
      <c r="B56" s="1485" t="s">
        <v>832</v>
      </c>
    </row>
    <row r="57" spans="2:3">
      <c r="B57" s="1484" t="s">
        <v>2133</v>
      </c>
      <c r="C57" s="1184" t="s">
        <v>1320</v>
      </c>
    </row>
    <row r="58" spans="2:3">
      <c r="B58" s="1485" t="s">
        <v>2225</v>
      </c>
    </row>
    <row r="59" spans="2:3">
      <c r="B59" s="1485" t="s">
        <v>825</v>
      </c>
    </row>
    <row r="60" spans="2:3">
      <c r="B60" s="1485" t="s">
        <v>825</v>
      </c>
    </row>
    <row r="61" spans="2:3">
      <c r="B61" s="1485" t="s">
        <v>826</v>
      </c>
    </row>
    <row r="62" spans="2:3">
      <c r="B62" s="1485" t="s">
        <v>827</v>
      </c>
    </row>
    <row r="63" spans="2:3">
      <c r="B63" s="1485" t="s">
        <v>828</v>
      </c>
    </row>
    <row r="64" spans="2:3">
      <c r="B64" s="1485" t="s">
        <v>829</v>
      </c>
    </row>
    <row r="65" spans="2:3">
      <c r="B65" s="1485" t="s">
        <v>830</v>
      </c>
    </row>
    <row r="66" spans="2:3">
      <c r="B66" s="1485" t="s">
        <v>831</v>
      </c>
    </row>
    <row r="67" spans="2:3">
      <c r="B67" s="1485" t="s">
        <v>832</v>
      </c>
    </row>
    <row r="68" spans="2:3">
      <c r="B68" s="1484" t="s">
        <v>2226</v>
      </c>
      <c r="C68" s="1184" t="s">
        <v>1321</v>
      </c>
    </row>
    <row r="69" spans="2:3">
      <c r="B69" s="1485" t="s">
        <v>2227</v>
      </c>
    </row>
    <row r="70" spans="2:3">
      <c r="B70" s="1485" t="s">
        <v>825</v>
      </c>
    </row>
    <row r="71" spans="2:3">
      <c r="B71" s="1485" t="s">
        <v>825</v>
      </c>
    </row>
    <row r="72" spans="2:3">
      <c r="B72" s="1485" t="s">
        <v>826</v>
      </c>
    </row>
    <row r="73" spans="2:3">
      <c r="B73" s="1485" t="s">
        <v>827</v>
      </c>
    </row>
    <row r="74" spans="2:3">
      <c r="B74" s="1485" t="s">
        <v>828</v>
      </c>
    </row>
    <row r="75" spans="2:3">
      <c r="B75" s="1485" t="s">
        <v>829</v>
      </c>
    </row>
    <row r="76" spans="2:3">
      <c r="B76" s="1485" t="s">
        <v>830</v>
      </c>
    </row>
    <row r="77" spans="2:3">
      <c r="B77" s="1485" t="s">
        <v>831</v>
      </c>
    </row>
    <row r="78" spans="2:3">
      <c r="B78" s="1485" t="s">
        <v>832</v>
      </c>
    </row>
    <row r="79" spans="2:3">
      <c r="B79" s="1484" t="s">
        <v>1152</v>
      </c>
      <c r="C79" s="1184" t="s">
        <v>1322</v>
      </c>
    </row>
    <row r="80" spans="2:3">
      <c r="B80" s="1485" t="s">
        <v>2228</v>
      </c>
    </row>
    <row r="81" spans="2:3">
      <c r="B81" s="1485" t="s">
        <v>2229</v>
      </c>
    </row>
    <row r="82" spans="2:3">
      <c r="B82" s="1485" t="s">
        <v>825</v>
      </c>
    </row>
    <row r="83" spans="2:3">
      <c r="B83" s="1485" t="s">
        <v>826</v>
      </c>
    </row>
    <row r="84" spans="2:3">
      <c r="B84" s="1485" t="s">
        <v>827</v>
      </c>
    </row>
    <row r="85" spans="2:3">
      <c r="B85" s="1485" t="s">
        <v>828</v>
      </c>
    </row>
    <row r="86" spans="2:3">
      <c r="B86" s="1485" t="s">
        <v>829</v>
      </c>
    </row>
    <row r="87" spans="2:3">
      <c r="B87" s="1485" t="s">
        <v>830</v>
      </c>
    </row>
    <row r="88" spans="2:3">
      <c r="B88" s="1485" t="s">
        <v>831</v>
      </c>
    </row>
    <row r="89" spans="2:3">
      <c r="B89" s="1485" t="s">
        <v>832</v>
      </c>
    </row>
    <row r="90" spans="2:3">
      <c r="B90" s="1484" t="s">
        <v>684</v>
      </c>
      <c r="C90" s="1184" t="s">
        <v>1323</v>
      </c>
    </row>
    <row r="91" spans="2:3">
      <c r="B91" s="1485" t="s">
        <v>684</v>
      </c>
    </row>
    <row r="92" spans="2:3">
      <c r="B92" s="1485" t="s">
        <v>824</v>
      </c>
    </row>
    <row r="93" spans="2:3">
      <c r="B93" s="1485" t="s">
        <v>824</v>
      </c>
    </row>
    <row r="94" spans="2:3">
      <c r="B94" s="1485" t="s">
        <v>825</v>
      </c>
    </row>
    <row r="95" spans="2:3">
      <c r="B95" s="1485" t="s">
        <v>826</v>
      </c>
    </row>
    <row r="96" spans="2:3">
      <c r="B96" s="1485" t="s">
        <v>827</v>
      </c>
    </row>
    <row r="97" spans="2:3">
      <c r="B97" s="1485" t="s">
        <v>828</v>
      </c>
    </row>
    <row r="98" spans="2:3">
      <c r="B98" s="1485" t="s">
        <v>829</v>
      </c>
    </row>
    <row r="99" spans="2:3">
      <c r="B99" s="1485" t="s">
        <v>830</v>
      </c>
    </row>
    <row r="100" spans="2:3">
      <c r="B100" s="1485" t="s">
        <v>831</v>
      </c>
    </row>
    <row r="101" spans="2:3">
      <c r="B101" s="1484" t="s">
        <v>1018</v>
      </c>
      <c r="C101" s="1184" t="s">
        <v>1324</v>
      </c>
    </row>
    <row r="102" spans="2:3">
      <c r="B102" s="1485" t="s">
        <v>774</v>
      </c>
    </row>
    <row r="103" spans="2:3">
      <c r="B103" s="1485" t="s">
        <v>824</v>
      </c>
    </row>
    <row r="104" spans="2:3">
      <c r="B104" s="1485" t="s">
        <v>824</v>
      </c>
    </row>
    <row r="105" spans="2:3">
      <c r="B105" s="1485" t="s">
        <v>825</v>
      </c>
    </row>
    <row r="106" spans="2:3">
      <c r="B106" s="1485" t="s">
        <v>826</v>
      </c>
    </row>
    <row r="107" spans="2:3">
      <c r="B107" s="1485" t="s">
        <v>827</v>
      </c>
    </row>
    <row r="108" spans="2:3">
      <c r="B108" s="1485" t="s">
        <v>828</v>
      </c>
    </row>
    <row r="109" spans="2:3">
      <c r="B109" s="1485" t="s">
        <v>829</v>
      </c>
    </row>
    <row r="110" spans="2:3">
      <c r="B110" s="1485" t="s">
        <v>830</v>
      </c>
    </row>
    <row r="111" spans="2:3">
      <c r="B111" s="1485" t="s">
        <v>831</v>
      </c>
    </row>
    <row r="112" spans="2:3">
      <c r="B112" s="1484" t="s">
        <v>832</v>
      </c>
      <c r="C112" s="1184" t="s">
        <v>350</v>
      </c>
    </row>
    <row r="113" spans="2:3">
      <c r="B113" s="1485" t="s">
        <v>824</v>
      </c>
    </row>
    <row r="114" spans="2:3">
      <c r="B114" s="1485" t="s">
        <v>824</v>
      </c>
    </row>
    <row r="115" spans="2:3">
      <c r="B115" s="1485" t="s">
        <v>824</v>
      </c>
    </row>
    <row r="116" spans="2:3">
      <c r="B116" s="1485" t="s">
        <v>825</v>
      </c>
    </row>
    <row r="117" spans="2:3">
      <c r="B117" s="1485" t="s">
        <v>826</v>
      </c>
    </row>
    <row r="118" spans="2:3">
      <c r="B118" s="1485" t="s">
        <v>827</v>
      </c>
    </row>
    <row r="119" spans="2:3">
      <c r="B119" s="1485" t="s">
        <v>828</v>
      </c>
    </row>
    <row r="120" spans="2:3">
      <c r="B120" s="1485" t="s">
        <v>829</v>
      </c>
    </row>
    <row r="121" spans="2:3">
      <c r="B121" s="1485" t="s">
        <v>830</v>
      </c>
    </row>
    <row r="122" spans="2:3">
      <c r="B122" s="1485" t="s">
        <v>831</v>
      </c>
    </row>
    <row r="123" spans="2:3">
      <c r="B123" s="1484" t="s">
        <v>832</v>
      </c>
      <c r="C123" s="1184" t="s">
        <v>351</v>
      </c>
    </row>
    <row r="124" spans="2:3">
      <c r="B124" s="1485" t="s">
        <v>824</v>
      </c>
    </row>
    <row r="125" spans="2:3">
      <c r="B125" s="1485" t="s">
        <v>824</v>
      </c>
    </row>
    <row r="126" spans="2:3">
      <c r="B126" s="1485" t="s">
        <v>824</v>
      </c>
    </row>
    <row r="127" spans="2:3">
      <c r="B127" s="1485" t="s">
        <v>825</v>
      </c>
    </row>
    <row r="128" spans="2:3">
      <c r="B128" s="1485" t="s">
        <v>826</v>
      </c>
    </row>
    <row r="129" spans="2:3">
      <c r="B129" s="1485" t="s">
        <v>827</v>
      </c>
    </row>
    <row r="130" spans="2:3">
      <c r="B130" s="1485" t="s">
        <v>828</v>
      </c>
    </row>
    <row r="131" spans="2:3">
      <c r="B131" s="1485" t="s">
        <v>829</v>
      </c>
    </row>
    <row r="132" spans="2:3">
      <c r="B132" s="1485" t="s">
        <v>830</v>
      </c>
    </row>
    <row r="133" spans="2:3">
      <c r="B133" s="1485" t="s">
        <v>831</v>
      </c>
    </row>
    <row r="134" spans="2:3">
      <c r="B134" s="1484" t="s">
        <v>832</v>
      </c>
      <c r="C134" s="1184" t="s">
        <v>352</v>
      </c>
    </row>
    <row r="135" spans="2:3">
      <c r="B135" s="1485" t="s">
        <v>824</v>
      </c>
    </row>
    <row r="136" spans="2:3">
      <c r="B136" s="1485" t="s">
        <v>825</v>
      </c>
    </row>
    <row r="137" spans="2:3">
      <c r="B137" s="1485" t="s">
        <v>825</v>
      </c>
    </row>
    <row r="138" spans="2:3">
      <c r="B138" s="1485" t="s">
        <v>825</v>
      </c>
    </row>
    <row r="139" spans="2:3">
      <c r="B139" s="1485" t="s">
        <v>826</v>
      </c>
    </row>
    <row r="140" spans="2:3">
      <c r="B140" s="1485" t="s">
        <v>827</v>
      </c>
    </row>
    <row r="141" spans="2:3">
      <c r="B141" s="1485" t="s">
        <v>828</v>
      </c>
    </row>
    <row r="142" spans="2:3">
      <c r="B142" s="1485" t="s">
        <v>829</v>
      </c>
    </row>
    <row r="143" spans="2:3">
      <c r="B143" s="1485" t="s">
        <v>830</v>
      </c>
    </row>
    <row r="144" spans="2:3">
      <c r="B144" s="1485" t="s">
        <v>831</v>
      </c>
    </row>
    <row r="145" spans="2:3">
      <c r="B145" s="1484" t="s">
        <v>832</v>
      </c>
      <c r="C145" s="1184" t="s">
        <v>353</v>
      </c>
    </row>
    <row r="146" spans="2:3">
      <c r="B146" s="1485" t="s">
        <v>823</v>
      </c>
    </row>
    <row r="147" spans="2:3">
      <c r="B147" s="1485" t="s">
        <v>824</v>
      </c>
    </row>
    <row r="148" spans="2:3">
      <c r="B148" s="1485" t="s">
        <v>825</v>
      </c>
    </row>
    <row r="149" spans="2:3">
      <c r="B149" s="1485" t="s">
        <v>826</v>
      </c>
    </row>
    <row r="150" spans="2:3">
      <c r="B150" s="1485" t="s">
        <v>827</v>
      </c>
    </row>
    <row r="151" spans="2:3">
      <c r="B151" s="1485" t="s">
        <v>828</v>
      </c>
    </row>
    <row r="152" spans="2:3">
      <c r="B152" s="1485" t="s">
        <v>829</v>
      </c>
    </row>
    <row r="153" spans="2:3">
      <c r="B153" s="1485" t="s">
        <v>830</v>
      </c>
    </row>
    <row r="154" spans="2:3">
      <c r="B154" s="1485" t="s">
        <v>831</v>
      </c>
    </row>
    <row r="155" spans="2:3">
      <c r="B155" s="1485" t="s">
        <v>832</v>
      </c>
    </row>
    <row r="156" spans="2:3">
      <c r="B156" s="1484" t="s">
        <v>355</v>
      </c>
      <c r="C156" s="1184" t="s">
        <v>354</v>
      </c>
    </row>
    <row r="157" spans="2:3">
      <c r="B157" s="1485" t="s">
        <v>823</v>
      </c>
    </row>
    <row r="158" spans="2:3">
      <c r="B158" s="1485" t="s">
        <v>824</v>
      </c>
    </row>
    <row r="159" spans="2:3">
      <c r="B159" s="1485" t="s">
        <v>825</v>
      </c>
    </row>
    <row r="160" spans="2:3">
      <c r="B160" s="1485" t="s">
        <v>826</v>
      </c>
    </row>
    <row r="161" spans="2:2">
      <c r="B161" s="1485" t="s">
        <v>827</v>
      </c>
    </row>
    <row r="162" spans="2:2">
      <c r="B162" s="1485" t="s">
        <v>828</v>
      </c>
    </row>
    <row r="163" spans="2:2">
      <c r="B163" s="1485" t="s">
        <v>829</v>
      </c>
    </row>
    <row r="164" spans="2:2">
      <c r="B164" s="1485" t="s">
        <v>830</v>
      </c>
    </row>
    <row r="165" spans="2:2">
      <c r="B165" s="1485" t="s">
        <v>831</v>
      </c>
    </row>
    <row r="166" spans="2:2">
      <c r="B166" s="1485" t="s">
        <v>832</v>
      </c>
    </row>
  </sheetData>
  <phoneticPr fontId="3" type="noConversion"/>
  <pageMargins left="0.75" right="0.75" top="1" bottom="1" header="0.5" footer="0.5"/>
  <pageSetup paperSize="9"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enableFormatConditionsCalculation="0">
    <tabColor indexed="42"/>
  </sheetPr>
  <dimension ref="A1:L61"/>
  <sheetViews>
    <sheetView showGridLines="0" workbookViewId="0">
      <pane xSplit="1" ySplit="3" topLeftCell="B4" activePane="bottomRight" state="frozen"/>
      <selection activeCell="L22" sqref="L22:L24"/>
      <selection pane="topRight" activeCell="L22" sqref="L22:L24"/>
      <selection pane="bottomLeft" activeCell="L22" sqref="L22:L24"/>
      <selection pane="bottomRight" activeCell="A10" sqref="A10"/>
    </sheetView>
  </sheetViews>
  <sheetFormatPr defaultRowHeight="12.75"/>
  <cols>
    <col min="1" max="1" width="30.7109375" style="150" customWidth="1"/>
    <col min="2" max="2" width="4.140625" style="233" bestFit="1" customWidth="1"/>
    <col min="3" max="3" width="9.28515625" style="150" customWidth="1"/>
    <col min="4" max="4" width="30.7109375" style="150" customWidth="1"/>
    <col min="5" max="5" width="13" style="150" customWidth="1"/>
    <col min="6" max="6" width="9.28515625" style="150" customWidth="1"/>
    <col min="7" max="7" width="9.85546875" style="150" customWidth="1"/>
    <col min="8" max="8" width="9.85546875" style="150" bestFit="1" customWidth="1"/>
    <col min="9" max="10" width="9.85546875" style="150" customWidth="1"/>
    <col min="11" max="11" width="9.5703125" style="150" customWidth="1"/>
    <col min="12" max="12" width="9.85546875" style="150" customWidth="1"/>
    <col min="13" max="15" width="9.5703125" style="150" customWidth="1"/>
    <col min="16" max="16" width="9.85546875" style="150" customWidth="1"/>
    <col min="17" max="19" width="9.5703125" style="150" customWidth="1"/>
    <col min="20" max="21" width="9.85546875" style="150" customWidth="1"/>
    <col min="22" max="16384" width="9.140625" style="150"/>
  </cols>
  <sheetData>
    <row r="1" spans="1:6" ht="13.5" customHeight="1">
      <c r="A1" s="148" t="str">
        <f>muni&amp;" - "&amp;TableA32</f>
        <v>NC071 Ubuntu - Supporting Table SA32 List of external mechanisms</v>
      </c>
      <c r="B1" s="148"/>
      <c r="C1" s="148"/>
      <c r="D1" s="148"/>
      <c r="E1" s="148"/>
      <c r="F1" s="148"/>
    </row>
    <row r="2" spans="1:6" ht="33.75" customHeight="1">
      <c r="A2" s="143" t="s">
        <v>334</v>
      </c>
      <c r="B2" s="2814" t="s">
        <v>1799</v>
      </c>
      <c r="C2" s="616" t="s">
        <v>337</v>
      </c>
      <c r="D2" s="2814" t="s">
        <v>338</v>
      </c>
      <c r="E2" s="2814" t="s">
        <v>336</v>
      </c>
      <c r="F2" s="912" t="s">
        <v>339</v>
      </c>
    </row>
    <row r="3" spans="1:6" ht="24.75" customHeight="1">
      <c r="A3" s="141" t="s">
        <v>335</v>
      </c>
      <c r="B3" s="2815"/>
      <c r="C3" s="913" t="s">
        <v>1800</v>
      </c>
      <c r="D3" s="2815"/>
      <c r="E3" s="2815"/>
      <c r="F3" s="914" t="s">
        <v>697</v>
      </c>
    </row>
    <row r="4" spans="1:6" ht="11.25" customHeight="1">
      <c r="A4" s="2188" t="s">
        <v>2192</v>
      </c>
      <c r="B4" s="2056"/>
      <c r="C4" s="2056"/>
      <c r="D4" s="2189"/>
      <c r="E4" s="2190"/>
      <c r="F4" s="1820"/>
    </row>
    <row r="5" spans="1:6" ht="11.25" customHeight="1">
      <c r="A5" s="2188"/>
      <c r="B5" s="2056"/>
      <c r="C5" s="2056"/>
      <c r="D5" s="2189"/>
      <c r="E5" s="2191"/>
      <c r="F5" s="1820"/>
    </row>
    <row r="6" spans="1:6" ht="11.25" customHeight="1">
      <c r="A6" s="2188"/>
      <c r="B6" s="2056"/>
      <c r="C6" s="2056"/>
      <c r="D6" s="2189"/>
      <c r="E6" s="2190"/>
      <c r="F6" s="1820"/>
    </row>
    <row r="7" spans="1:6" ht="11.25" customHeight="1">
      <c r="A7" s="2188"/>
      <c r="B7" s="2056"/>
      <c r="C7" s="2056"/>
      <c r="D7" s="2189"/>
      <c r="E7" s="2190"/>
      <c r="F7" s="1820"/>
    </row>
    <row r="8" spans="1:6" ht="11.25" customHeight="1">
      <c r="A8" s="2188"/>
      <c r="B8" s="2056"/>
      <c r="C8" s="2056"/>
      <c r="D8" s="2189"/>
      <c r="E8" s="2190"/>
      <c r="F8" s="1820"/>
    </row>
    <row r="9" spans="1:6" ht="11.25" customHeight="1">
      <c r="A9" s="2188"/>
      <c r="B9" s="2056"/>
      <c r="C9" s="2056"/>
      <c r="D9" s="2189"/>
      <c r="E9" s="2190"/>
      <c r="F9" s="1820"/>
    </row>
    <row r="10" spans="1:6" ht="11.25" customHeight="1">
      <c r="A10" s="2188"/>
      <c r="B10" s="2056"/>
      <c r="C10" s="2056"/>
      <c r="D10" s="2189"/>
      <c r="E10" s="2190"/>
      <c r="F10" s="1820"/>
    </row>
    <row r="11" spans="1:6" ht="11.25" customHeight="1">
      <c r="A11" s="2188"/>
      <c r="B11" s="2056"/>
      <c r="C11" s="2056"/>
      <c r="D11" s="2189"/>
      <c r="E11" s="2190"/>
      <c r="F11" s="1820"/>
    </row>
    <row r="12" spans="1:6" ht="11.25" customHeight="1">
      <c r="A12" s="2188"/>
      <c r="B12" s="2056"/>
      <c r="C12" s="2056"/>
      <c r="D12" s="2189"/>
      <c r="E12" s="2190"/>
      <c r="F12" s="1820"/>
    </row>
    <row r="13" spans="1:6" ht="11.25" customHeight="1">
      <c r="A13" s="2188"/>
      <c r="B13" s="2056"/>
      <c r="C13" s="2056"/>
      <c r="D13" s="2189"/>
      <c r="E13" s="2190"/>
      <c r="F13" s="1820"/>
    </row>
    <row r="14" spans="1:6" ht="11.25" customHeight="1">
      <c r="A14" s="2188"/>
      <c r="B14" s="2056"/>
      <c r="C14" s="2056"/>
      <c r="D14" s="2189"/>
      <c r="E14" s="2190"/>
      <c r="F14" s="1820"/>
    </row>
    <row r="15" spans="1:6" ht="11.25" customHeight="1">
      <c r="A15" s="2188"/>
      <c r="B15" s="2056"/>
      <c r="C15" s="2056"/>
      <c r="D15" s="2189"/>
      <c r="E15" s="2190"/>
      <c r="F15" s="1820"/>
    </row>
    <row r="16" spans="1:6" ht="11.25" customHeight="1">
      <c r="A16" s="2188"/>
      <c r="B16" s="2056"/>
      <c r="C16" s="2056"/>
      <c r="D16" s="2189"/>
      <c r="E16" s="2190"/>
      <c r="F16" s="1820"/>
    </row>
    <row r="17" spans="1:12" ht="11.25" customHeight="1">
      <c r="A17" s="2188"/>
      <c r="B17" s="2056"/>
      <c r="C17" s="2056"/>
      <c r="D17" s="2189"/>
      <c r="E17" s="2190"/>
      <c r="F17" s="1820"/>
    </row>
    <row r="18" spans="1:12" ht="11.25" customHeight="1">
      <c r="A18" s="2188"/>
      <c r="B18" s="2056"/>
      <c r="C18" s="2056"/>
      <c r="D18" s="2189"/>
      <c r="E18" s="2190"/>
      <c r="F18" s="1820"/>
    </row>
    <row r="19" spans="1:12" ht="11.25" customHeight="1">
      <c r="A19" s="2188"/>
      <c r="B19" s="2056"/>
      <c r="C19" s="2056"/>
      <c r="D19" s="2189"/>
      <c r="E19" s="2190"/>
      <c r="F19" s="1820"/>
    </row>
    <row r="20" spans="1:12" ht="11.25" customHeight="1">
      <c r="A20" s="2188"/>
      <c r="B20" s="2056"/>
      <c r="C20" s="2056"/>
      <c r="D20" s="2189"/>
      <c r="E20" s="2190"/>
      <c r="F20" s="1820"/>
    </row>
    <row r="21" spans="1:12" ht="11.25" customHeight="1">
      <c r="A21" s="2188"/>
      <c r="B21" s="2056"/>
      <c r="C21" s="2056"/>
      <c r="D21" s="2189"/>
      <c r="E21" s="2190"/>
      <c r="F21" s="1820"/>
    </row>
    <row r="22" spans="1:12" ht="11.25" customHeight="1">
      <c r="A22" s="2188"/>
      <c r="B22" s="2056"/>
      <c r="C22" s="2056"/>
      <c r="D22" s="2189"/>
      <c r="E22" s="2190"/>
      <c r="F22" s="1820"/>
    </row>
    <row r="23" spans="1:12">
      <c r="A23" s="2192"/>
      <c r="B23" s="2193"/>
      <c r="C23" s="2193"/>
      <c r="D23" s="2194"/>
      <c r="E23" s="2195"/>
      <c r="F23" s="2196"/>
    </row>
    <row r="24" spans="1:12" ht="6" customHeight="1">
      <c r="A24" s="232"/>
      <c r="B24" s="222"/>
      <c r="C24" s="290"/>
      <c r="D24" s="290"/>
      <c r="E24" s="290"/>
      <c r="F24" s="290"/>
      <c r="J24" s="232"/>
      <c r="K24" s="232"/>
      <c r="L24" s="232"/>
    </row>
    <row r="25" spans="1:12" s="693" customFormat="1" hidden="1">
      <c r="A25" s="1220" t="str">
        <f>head27a</f>
        <v>References</v>
      </c>
      <c r="B25" s="1033"/>
      <c r="C25" s="1070"/>
      <c r="D25" s="1070"/>
      <c r="E25" s="1070"/>
      <c r="F25" s="1070"/>
      <c r="J25" s="1052"/>
      <c r="K25" s="1052"/>
      <c r="L25" s="1052"/>
    </row>
    <row r="26" spans="1:12" s="693" customFormat="1" ht="11.25" hidden="1" customHeight="1">
      <c r="A26" s="1201" t="s">
        <v>409</v>
      </c>
      <c r="B26" s="1033"/>
      <c r="C26" s="1037"/>
      <c r="D26" s="1036"/>
      <c r="E26" s="1037"/>
      <c r="F26" s="1037"/>
    </row>
    <row r="27" spans="1:12" s="693" customFormat="1" ht="11.25" hidden="1" customHeight="1">
      <c r="A27" s="1201" t="s">
        <v>340</v>
      </c>
      <c r="B27" s="1033"/>
      <c r="C27" s="1070"/>
      <c r="D27" s="1070"/>
      <c r="E27" s="1070"/>
      <c r="F27" s="1070"/>
    </row>
    <row r="28" spans="1:12" ht="11.25" hidden="1" customHeight="1"/>
    <row r="29" spans="1:12" ht="11.25" hidden="1" customHeight="1"/>
    <row r="30" spans="1:12" ht="11.25" hidden="1" customHeight="1"/>
    <row r="31" spans="1:12" ht="11.25" hidden="1" customHeight="1"/>
    <row r="32" spans="1:12" ht="11.25" hidden="1" customHeight="1"/>
    <row r="33" ht="11.25" hidden="1" customHeight="1"/>
    <row r="34" ht="11.25" hidden="1" customHeight="1"/>
    <row r="35" ht="11.25" hidden="1" customHeight="1"/>
    <row r="36" ht="11.25" hidden="1" customHeight="1"/>
    <row r="37" ht="11.25" hidden="1" customHeight="1"/>
    <row r="38" ht="11.25" hidden="1" customHeight="1"/>
    <row r="39" ht="11.25" hidden="1" customHeight="1"/>
    <row r="40" ht="11.25" hidden="1" customHeight="1"/>
    <row r="41" ht="11.25" hidden="1" customHeight="1"/>
    <row r="42" ht="11.25" hidden="1" customHeight="1"/>
    <row r="43" ht="11.25" hidden="1" customHeight="1"/>
    <row r="44" ht="11.25" hidden="1" customHeight="1"/>
    <row r="45" ht="11.25" hidden="1" customHeight="1"/>
    <row r="46" ht="11.25" customHeight="1"/>
    <row r="47" ht="11.25" customHeight="1"/>
    <row r="48"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row r="61" ht="11.25" customHeight="1"/>
  </sheetData>
  <sheetProtection sheet="1" objects="1" scenarios="1"/>
  <mergeCells count="3">
    <mergeCell ref="D2:D3"/>
    <mergeCell ref="E2:E3"/>
    <mergeCell ref="B2:B3"/>
  </mergeCells>
  <phoneticPr fontId="3" type="noConversion"/>
  <dataValidations count="1">
    <dataValidation type="list" allowBlank="1" showInputMessage="1" showErrorMessage="1" promptTitle="Selection" prompt="Select period description" sqref="B4:B23">
      <formula1>List8</formula1>
    </dataValidation>
  </dataValidations>
  <printOptions horizontalCentered="1"/>
  <pageMargins left="0" right="0" top="0.78740157480314965" bottom="0.59055118110236227" header="0.51181102362204722" footer="0.39370078740157483"/>
  <pageSetup paperSize="9" scale="80"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enableFormatConditionsCalculation="0">
    <tabColor indexed="42"/>
  </sheetPr>
  <dimension ref="A1:O83"/>
  <sheetViews>
    <sheetView showGridLines="0" workbookViewId="0">
      <pane xSplit="2" ySplit="3" topLeftCell="C4" activePane="bottomRight" state="frozen"/>
      <selection activeCell="O37" sqref="A1:IV65536"/>
      <selection pane="topRight" activeCell="O37" sqref="A1:IV65536"/>
      <selection pane="bottomLeft" activeCell="O37" sqref="A1:IV65536"/>
      <selection pane="bottomRight" activeCell="C25" sqref="C25"/>
    </sheetView>
  </sheetViews>
  <sheetFormatPr defaultRowHeight="12.75"/>
  <cols>
    <col min="1" max="1" width="30.7109375" style="150" customWidth="1"/>
    <col min="2" max="2" width="3" style="233" hidden="1" customWidth="1"/>
    <col min="3" max="7" width="9.28515625" style="150" customWidth="1"/>
    <col min="8" max="15" width="8.28515625" style="150" customWidth="1"/>
    <col min="16" max="17" width="9.5703125" style="150" customWidth="1"/>
    <col min="18" max="19" width="9.85546875" style="150" customWidth="1"/>
    <col min="20" max="16384" width="9.140625" style="150"/>
  </cols>
  <sheetData>
    <row r="1" spans="1:15" ht="13.5" customHeight="1">
      <c r="A1" s="148" t="str">
        <f>muni&amp;" - "&amp; TableA33</f>
        <v>NC071 Ubuntu - Supporting Table SA33 Contracts having future budgetary implications</v>
      </c>
      <c r="B1" s="148"/>
      <c r="C1" s="148"/>
      <c r="D1" s="148"/>
      <c r="E1" s="148"/>
      <c r="F1" s="148"/>
      <c r="G1" s="148"/>
      <c r="H1" s="148"/>
      <c r="I1" s="148"/>
      <c r="J1" s="148"/>
      <c r="K1" s="148"/>
      <c r="L1" s="148"/>
      <c r="M1" s="148"/>
      <c r="N1" s="148"/>
      <c r="O1" s="148"/>
    </row>
    <row r="2" spans="1:15" ht="36" customHeight="1">
      <c r="A2" s="979" t="str">
        <f>desc</f>
        <v>Description</v>
      </c>
      <c r="B2" s="394" t="str">
        <f>head27</f>
        <v>Ref</v>
      </c>
      <c r="C2" s="151" t="s">
        <v>445</v>
      </c>
      <c r="D2" s="147" t="str">
        <f>Head2</f>
        <v>Current Year 2010/11</v>
      </c>
      <c r="E2" s="2769" t="str">
        <f>Head3</f>
        <v>2011/12 Medium Term Revenue &amp; Expenditure Framework</v>
      </c>
      <c r="F2" s="2770"/>
      <c r="G2" s="2771"/>
      <c r="H2" s="145" t="str">
        <f>Head12</f>
        <v>Forecast 2014/15</v>
      </c>
      <c r="I2" s="151" t="str">
        <f>Head13</f>
        <v>Forecast 2015/16</v>
      </c>
      <c r="J2" s="151" t="str">
        <f>Head14</f>
        <v>Forecast 2016/17</v>
      </c>
      <c r="K2" s="151" t="str">
        <f>Head15</f>
        <v>Forecast 2017/18</v>
      </c>
      <c r="L2" s="151" t="str">
        <f>Head16</f>
        <v>Forecast 2018/19</v>
      </c>
      <c r="M2" s="151" t="str">
        <f>Head17</f>
        <v>Forecast 2019/20</v>
      </c>
      <c r="N2" s="147" t="str">
        <f>Head18</f>
        <v>Forecast 2020/21</v>
      </c>
      <c r="O2" s="915" t="s">
        <v>715</v>
      </c>
    </row>
    <row r="3" spans="1:15" ht="25.5">
      <c r="A3" s="169" t="s">
        <v>697</v>
      </c>
      <c r="B3" s="916" t="s">
        <v>543</v>
      </c>
      <c r="C3" s="365" t="s">
        <v>815</v>
      </c>
      <c r="D3" s="366" t="str">
        <f>Head6</f>
        <v>Original Budget</v>
      </c>
      <c r="E3" s="283" t="str">
        <f>Head9</f>
        <v>Budget Year 2011/12</v>
      </c>
      <c r="F3" s="365" t="str">
        <f>Head10</f>
        <v>Budget Year +1 2012/13</v>
      </c>
      <c r="G3" s="366" t="str">
        <f>Head11</f>
        <v>Budget Year +2 2013/14</v>
      </c>
      <c r="H3" s="283" t="s">
        <v>415</v>
      </c>
      <c r="I3" s="365" t="s">
        <v>415</v>
      </c>
      <c r="J3" s="365" t="s">
        <v>415</v>
      </c>
      <c r="K3" s="365" t="s">
        <v>415</v>
      </c>
      <c r="L3" s="365" t="s">
        <v>415</v>
      </c>
      <c r="M3" s="365" t="s">
        <v>415</v>
      </c>
      <c r="N3" s="366" t="s">
        <v>415</v>
      </c>
      <c r="O3" s="998" t="s">
        <v>415</v>
      </c>
    </row>
    <row r="4" spans="1:15">
      <c r="A4" s="251" t="s">
        <v>1052</v>
      </c>
      <c r="B4" s="171"/>
      <c r="C4" s="292"/>
      <c r="D4" s="293"/>
      <c r="E4" s="294"/>
      <c r="F4" s="292"/>
      <c r="G4" s="295"/>
      <c r="H4" s="293"/>
      <c r="I4" s="292"/>
      <c r="J4" s="292"/>
      <c r="K4" s="292"/>
      <c r="L4" s="292"/>
      <c r="M4" s="292"/>
      <c r="N4" s="295"/>
      <c r="O4" s="395"/>
    </row>
    <row r="5" spans="1:15">
      <c r="A5" s="235" t="s">
        <v>1726</v>
      </c>
      <c r="B5" s="171">
        <v>2</v>
      </c>
      <c r="C5" s="296"/>
      <c r="D5" s="297"/>
      <c r="E5" s="298"/>
      <c r="F5" s="296"/>
      <c r="G5" s="299"/>
      <c r="H5" s="297"/>
      <c r="I5" s="296"/>
      <c r="J5" s="296"/>
      <c r="K5" s="296"/>
      <c r="L5" s="296"/>
      <c r="M5" s="296"/>
      <c r="N5" s="299"/>
      <c r="O5" s="917"/>
    </row>
    <row r="6" spans="1:15">
      <c r="A6" s="2166" t="s">
        <v>416</v>
      </c>
      <c r="B6" s="171"/>
      <c r="C6" s="2197">
        <v>0</v>
      </c>
      <c r="D6" s="2198">
        <v>0</v>
      </c>
      <c r="E6" s="2199">
        <v>0</v>
      </c>
      <c r="F6" s="2197">
        <v>0</v>
      </c>
      <c r="G6" s="2200">
        <v>0</v>
      </c>
      <c r="H6" s="2198">
        <v>0</v>
      </c>
      <c r="I6" s="2197">
        <v>0</v>
      </c>
      <c r="J6" s="2197">
        <v>0</v>
      </c>
      <c r="K6" s="2197">
        <v>0</v>
      </c>
      <c r="L6" s="2197">
        <v>0</v>
      </c>
      <c r="M6" s="2197">
        <v>0</v>
      </c>
      <c r="N6" s="2200">
        <v>0</v>
      </c>
      <c r="O6" s="570">
        <f>SUM(C6:N6)</f>
        <v>0</v>
      </c>
    </row>
    <row r="7" spans="1:15">
      <c r="A7" s="2166" t="s">
        <v>417</v>
      </c>
      <c r="B7" s="171"/>
      <c r="C7" s="1829">
        <v>0</v>
      </c>
      <c r="D7" s="1832">
        <v>0</v>
      </c>
      <c r="E7" s="1831">
        <v>0</v>
      </c>
      <c r="F7" s="1829">
        <v>0</v>
      </c>
      <c r="G7" s="1830">
        <v>0</v>
      </c>
      <c r="H7" s="1832">
        <v>0</v>
      </c>
      <c r="I7" s="1829">
        <v>0</v>
      </c>
      <c r="J7" s="1829">
        <v>0</v>
      </c>
      <c r="K7" s="1829">
        <v>0</v>
      </c>
      <c r="L7" s="1829">
        <v>0</v>
      </c>
      <c r="M7" s="1829">
        <v>0</v>
      </c>
      <c r="N7" s="1830">
        <v>0</v>
      </c>
      <c r="O7" s="570">
        <f>SUM(C7:N7)</f>
        <v>0</v>
      </c>
    </row>
    <row r="8" spans="1:15">
      <c r="A8" s="2166" t="s">
        <v>418</v>
      </c>
      <c r="B8" s="171"/>
      <c r="C8" s="1805">
        <v>0</v>
      </c>
      <c r="D8" s="1822">
        <v>0</v>
      </c>
      <c r="E8" s="1821">
        <v>0</v>
      </c>
      <c r="F8" s="1805">
        <v>0</v>
      </c>
      <c r="G8" s="1820">
        <v>0</v>
      </c>
      <c r="H8" s="1822">
        <v>0</v>
      </c>
      <c r="I8" s="1805">
        <v>0</v>
      </c>
      <c r="J8" s="1805">
        <v>0</v>
      </c>
      <c r="K8" s="1805">
        <v>0</v>
      </c>
      <c r="L8" s="1805">
        <v>0</v>
      </c>
      <c r="M8" s="1805">
        <v>0</v>
      </c>
      <c r="N8" s="1820">
        <v>0</v>
      </c>
      <c r="O8" s="570">
        <f>SUM(C8:N8)</f>
        <v>0</v>
      </c>
    </row>
    <row r="9" spans="1:15">
      <c r="A9" s="251" t="s">
        <v>1447</v>
      </c>
      <c r="B9" s="171"/>
      <c r="C9" s="199">
        <f>SUM(C6:C8)</f>
        <v>0</v>
      </c>
      <c r="D9" s="198">
        <f t="shared" ref="D9:N9" si="0">SUM(D6:D8)</f>
        <v>0</v>
      </c>
      <c r="E9" s="201">
        <f t="shared" si="0"/>
        <v>0</v>
      </c>
      <c r="F9" s="199">
        <f t="shared" si="0"/>
        <v>0</v>
      </c>
      <c r="G9" s="200">
        <f t="shared" si="0"/>
        <v>0</v>
      </c>
      <c r="H9" s="198">
        <f t="shared" si="0"/>
        <v>0</v>
      </c>
      <c r="I9" s="199">
        <f t="shared" si="0"/>
        <v>0</v>
      </c>
      <c r="J9" s="199">
        <f t="shared" si="0"/>
        <v>0</v>
      </c>
      <c r="K9" s="199">
        <f t="shared" si="0"/>
        <v>0</v>
      </c>
      <c r="L9" s="199">
        <f t="shared" si="0"/>
        <v>0</v>
      </c>
      <c r="M9" s="199">
        <f t="shared" si="0"/>
        <v>0</v>
      </c>
      <c r="N9" s="200">
        <f t="shared" si="0"/>
        <v>0</v>
      </c>
      <c r="O9" s="918">
        <f>SUM(C9:N9)</f>
        <v>0</v>
      </c>
    </row>
    <row r="10" spans="1:15" ht="5.0999999999999996" customHeight="1">
      <c r="A10" s="259"/>
      <c r="B10" s="171"/>
      <c r="C10" s="189"/>
      <c r="D10" s="188"/>
      <c r="E10" s="191"/>
      <c r="F10" s="189"/>
      <c r="G10" s="190"/>
      <c r="H10" s="188"/>
      <c r="I10" s="189"/>
      <c r="J10" s="189"/>
      <c r="K10" s="189"/>
      <c r="L10" s="189"/>
      <c r="M10" s="189"/>
      <c r="N10" s="190"/>
      <c r="O10" s="570"/>
    </row>
    <row r="11" spans="1:15">
      <c r="A11" s="235" t="s">
        <v>1053</v>
      </c>
      <c r="B11" s="171">
        <v>2</v>
      </c>
      <c r="C11" s="189"/>
      <c r="D11" s="188"/>
      <c r="E11" s="191"/>
      <c r="F11" s="189"/>
      <c r="G11" s="190"/>
      <c r="H11" s="188"/>
      <c r="I11" s="189"/>
      <c r="J11" s="189"/>
      <c r="K11" s="189"/>
      <c r="L11" s="189"/>
      <c r="M11" s="189"/>
      <c r="N11" s="190"/>
      <c r="O11" s="570"/>
    </row>
    <row r="12" spans="1:15">
      <c r="A12" s="2166" t="s">
        <v>416</v>
      </c>
      <c r="B12" s="171"/>
      <c r="C12" s="1805">
        <v>0</v>
      </c>
      <c r="D12" s="1822">
        <v>0</v>
      </c>
      <c r="E12" s="1821">
        <v>0</v>
      </c>
      <c r="F12" s="1805">
        <v>0</v>
      </c>
      <c r="G12" s="1820">
        <v>0</v>
      </c>
      <c r="H12" s="1822">
        <v>0</v>
      </c>
      <c r="I12" s="1805">
        <v>0</v>
      </c>
      <c r="J12" s="1805">
        <v>0</v>
      </c>
      <c r="K12" s="1805">
        <v>0</v>
      </c>
      <c r="L12" s="1805">
        <v>0</v>
      </c>
      <c r="M12" s="1805">
        <v>0</v>
      </c>
      <c r="N12" s="1820">
        <v>0</v>
      </c>
      <c r="O12" s="570">
        <f>SUM(C12:N12)</f>
        <v>0</v>
      </c>
    </row>
    <row r="13" spans="1:15">
      <c r="A13" s="2166" t="s">
        <v>417</v>
      </c>
      <c r="B13" s="171"/>
      <c r="C13" s="1805">
        <v>0</v>
      </c>
      <c r="D13" s="1822">
        <v>0</v>
      </c>
      <c r="E13" s="1821">
        <v>0</v>
      </c>
      <c r="F13" s="1805">
        <v>0</v>
      </c>
      <c r="G13" s="1820">
        <v>0</v>
      </c>
      <c r="H13" s="1822">
        <v>0</v>
      </c>
      <c r="I13" s="1805">
        <v>0</v>
      </c>
      <c r="J13" s="1805">
        <v>0</v>
      </c>
      <c r="K13" s="1805">
        <v>0</v>
      </c>
      <c r="L13" s="1805">
        <v>0</v>
      </c>
      <c r="M13" s="1805">
        <v>0</v>
      </c>
      <c r="N13" s="1820">
        <v>0</v>
      </c>
      <c r="O13" s="570">
        <f>SUM(C13:N13)</f>
        <v>0</v>
      </c>
    </row>
    <row r="14" spans="1:15">
      <c r="A14" s="2166" t="s">
        <v>418</v>
      </c>
      <c r="B14" s="171"/>
      <c r="C14" s="1805">
        <v>0</v>
      </c>
      <c r="D14" s="1822">
        <v>0</v>
      </c>
      <c r="E14" s="1821">
        <v>0</v>
      </c>
      <c r="F14" s="1805">
        <v>0</v>
      </c>
      <c r="G14" s="1820">
        <v>0</v>
      </c>
      <c r="H14" s="1822">
        <v>0</v>
      </c>
      <c r="I14" s="1805">
        <v>0</v>
      </c>
      <c r="J14" s="1805">
        <v>0</v>
      </c>
      <c r="K14" s="1805">
        <v>0</v>
      </c>
      <c r="L14" s="1805">
        <v>0</v>
      </c>
      <c r="M14" s="1805">
        <v>0</v>
      </c>
      <c r="N14" s="1820">
        <v>0</v>
      </c>
      <c r="O14" s="570">
        <f>SUM(C14:N14)</f>
        <v>0</v>
      </c>
    </row>
    <row r="15" spans="1:15">
      <c r="A15" s="251" t="s">
        <v>1055</v>
      </c>
      <c r="B15" s="171"/>
      <c r="C15" s="384">
        <f t="shared" ref="C15:N15" si="1">SUM(C12:C14)</f>
        <v>0</v>
      </c>
      <c r="D15" s="387">
        <f t="shared" si="1"/>
        <v>0</v>
      </c>
      <c r="E15" s="386">
        <f t="shared" si="1"/>
        <v>0</v>
      </c>
      <c r="F15" s="384">
        <f t="shared" si="1"/>
        <v>0</v>
      </c>
      <c r="G15" s="385">
        <f t="shared" si="1"/>
        <v>0</v>
      </c>
      <c r="H15" s="387">
        <f t="shared" si="1"/>
        <v>0</v>
      </c>
      <c r="I15" s="384">
        <f t="shared" si="1"/>
        <v>0</v>
      </c>
      <c r="J15" s="384">
        <f t="shared" si="1"/>
        <v>0</v>
      </c>
      <c r="K15" s="384">
        <f t="shared" si="1"/>
        <v>0</v>
      </c>
      <c r="L15" s="384">
        <f t="shared" si="1"/>
        <v>0</v>
      </c>
      <c r="M15" s="384">
        <f t="shared" si="1"/>
        <v>0</v>
      </c>
      <c r="N15" s="385">
        <f t="shared" si="1"/>
        <v>0</v>
      </c>
      <c r="O15" s="918">
        <f>SUM(C15:N15)</f>
        <v>0</v>
      </c>
    </row>
    <row r="16" spans="1:15" ht="5.0999999999999996" customHeight="1">
      <c r="A16" s="259"/>
      <c r="B16" s="171"/>
      <c r="C16" s="189"/>
      <c r="D16" s="188"/>
      <c r="E16" s="191"/>
      <c r="F16" s="189"/>
      <c r="G16" s="190"/>
      <c r="H16" s="188"/>
      <c r="I16" s="189"/>
      <c r="J16" s="189"/>
      <c r="K16" s="189"/>
      <c r="L16" s="189"/>
      <c r="M16" s="189"/>
      <c r="N16" s="190"/>
      <c r="O16" s="570"/>
    </row>
    <row r="17" spans="1:15">
      <c r="A17" s="235" t="s">
        <v>1054</v>
      </c>
      <c r="B17" s="171">
        <v>2</v>
      </c>
      <c r="C17" s="204"/>
      <c r="D17" s="203"/>
      <c r="E17" s="206"/>
      <c r="F17" s="204"/>
      <c r="G17" s="205"/>
      <c r="H17" s="203"/>
      <c r="I17" s="204"/>
      <c r="J17" s="204"/>
      <c r="K17" s="204"/>
      <c r="L17" s="204"/>
      <c r="M17" s="204"/>
      <c r="N17" s="205"/>
      <c r="O17" s="570"/>
    </row>
    <row r="18" spans="1:15">
      <c r="A18" s="2166" t="s">
        <v>416</v>
      </c>
      <c r="B18" s="171"/>
      <c r="C18" s="1805">
        <v>0</v>
      </c>
      <c r="D18" s="1822">
        <v>0</v>
      </c>
      <c r="E18" s="1821">
        <v>0</v>
      </c>
      <c r="F18" s="1805">
        <v>0</v>
      </c>
      <c r="G18" s="1820">
        <v>0</v>
      </c>
      <c r="H18" s="1822">
        <v>0</v>
      </c>
      <c r="I18" s="1805">
        <v>0</v>
      </c>
      <c r="J18" s="1805">
        <v>0</v>
      </c>
      <c r="K18" s="1805">
        <v>0</v>
      </c>
      <c r="L18" s="1805">
        <v>0</v>
      </c>
      <c r="M18" s="1805">
        <v>0</v>
      </c>
      <c r="N18" s="1820">
        <v>0</v>
      </c>
      <c r="O18" s="570">
        <f>SUM(C18:N18)</f>
        <v>0</v>
      </c>
    </row>
    <row r="19" spans="1:15">
      <c r="A19" s="2166" t="s">
        <v>417</v>
      </c>
      <c r="B19" s="171"/>
      <c r="C19" s="1805">
        <v>0</v>
      </c>
      <c r="D19" s="1822">
        <v>0</v>
      </c>
      <c r="E19" s="1821">
        <v>0</v>
      </c>
      <c r="F19" s="1805">
        <v>0</v>
      </c>
      <c r="G19" s="1820">
        <v>0</v>
      </c>
      <c r="H19" s="1822">
        <v>0</v>
      </c>
      <c r="I19" s="1805">
        <v>0</v>
      </c>
      <c r="J19" s="1805">
        <v>0</v>
      </c>
      <c r="K19" s="1805">
        <v>0</v>
      </c>
      <c r="L19" s="1805">
        <v>0</v>
      </c>
      <c r="M19" s="1805">
        <v>0</v>
      </c>
      <c r="N19" s="1820">
        <v>0</v>
      </c>
      <c r="O19" s="570">
        <f>SUM(C19:N19)</f>
        <v>0</v>
      </c>
    </row>
    <row r="20" spans="1:15">
      <c r="A20" s="2166" t="s">
        <v>418</v>
      </c>
      <c r="B20" s="171"/>
      <c r="C20" s="1805">
        <v>0</v>
      </c>
      <c r="D20" s="1822">
        <v>0</v>
      </c>
      <c r="E20" s="1821">
        <v>0</v>
      </c>
      <c r="F20" s="1805">
        <v>0</v>
      </c>
      <c r="G20" s="1820">
        <v>0</v>
      </c>
      <c r="H20" s="1822">
        <v>0</v>
      </c>
      <c r="I20" s="1805">
        <v>0</v>
      </c>
      <c r="J20" s="1805">
        <v>0</v>
      </c>
      <c r="K20" s="1805">
        <v>0</v>
      </c>
      <c r="L20" s="1805">
        <v>0</v>
      </c>
      <c r="M20" s="1805">
        <v>0</v>
      </c>
      <c r="N20" s="1820">
        <v>0</v>
      </c>
      <c r="O20" s="570">
        <f>SUM(C20:N20)</f>
        <v>0</v>
      </c>
    </row>
    <row r="21" spans="1:15">
      <c r="A21" s="251" t="s">
        <v>1523</v>
      </c>
      <c r="B21" s="171"/>
      <c r="C21" s="384">
        <f t="shared" ref="C21:N21" si="2">SUM(C18:C20)</f>
        <v>0</v>
      </c>
      <c r="D21" s="387">
        <f t="shared" si="2"/>
        <v>0</v>
      </c>
      <c r="E21" s="386">
        <f t="shared" si="2"/>
        <v>0</v>
      </c>
      <c r="F21" s="384">
        <f t="shared" si="2"/>
        <v>0</v>
      </c>
      <c r="G21" s="385">
        <f t="shared" si="2"/>
        <v>0</v>
      </c>
      <c r="H21" s="387">
        <f t="shared" si="2"/>
        <v>0</v>
      </c>
      <c r="I21" s="384">
        <f t="shared" si="2"/>
        <v>0</v>
      </c>
      <c r="J21" s="384">
        <f t="shared" si="2"/>
        <v>0</v>
      </c>
      <c r="K21" s="384">
        <f t="shared" si="2"/>
        <v>0</v>
      </c>
      <c r="L21" s="384">
        <f t="shared" si="2"/>
        <v>0</v>
      </c>
      <c r="M21" s="384">
        <f t="shared" si="2"/>
        <v>0</v>
      </c>
      <c r="N21" s="385">
        <f t="shared" si="2"/>
        <v>0</v>
      </c>
      <c r="O21" s="918">
        <f>SUM(C21:N21)</f>
        <v>0</v>
      </c>
    </row>
    <row r="22" spans="1:15" ht="5.0999999999999996" customHeight="1">
      <c r="A22" s="259"/>
      <c r="B22" s="171"/>
      <c r="C22" s="189"/>
      <c r="D22" s="188"/>
      <c r="E22" s="191"/>
      <c r="F22" s="189"/>
      <c r="G22" s="190"/>
      <c r="H22" s="188"/>
      <c r="I22" s="189"/>
      <c r="J22" s="189"/>
      <c r="K22" s="189"/>
      <c r="L22" s="189"/>
      <c r="M22" s="189"/>
      <c r="N22" s="190"/>
      <c r="O22" s="570"/>
    </row>
    <row r="23" spans="1:15">
      <c r="A23" s="267" t="s">
        <v>15</v>
      </c>
      <c r="B23" s="211"/>
      <c r="C23" s="216">
        <f>C15+C21</f>
        <v>0</v>
      </c>
      <c r="D23" s="217">
        <f t="shared" ref="D23:O23" si="3">D15+D21</f>
        <v>0</v>
      </c>
      <c r="E23" s="215">
        <f t="shared" si="3"/>
        <v>0</v>
      </c>
      <c r="F23" s="216">
        <f t="shared" si="3"/>
        <v>0</v>
      </c>
      <c r="G23" s="214">
        <f t="shared" si="3"/>
        <v>0</v>
      </c>
      <c r="H23" s="217">
        <f t="shared" si="3"/>
        <v>0</v>
      </c>
      <c r="I23" s="216">
        <f t="shared" si="3"/>
        <v>0</v>
      </c>
      <c r="J23" s="216">
        <f t="shared" si="3"/>
        <v>0</v>
      </c>
      <c r="K23" s="216">
        <f t="shared" si="3"/>
        <v>0</v>
      </c>
      <c r="L23" s="216">
        <f t="shared" si="3"/>
        <v>0</v>
      </c>
      <c r="M23" s="216">
        <f t="shared" si="3"/>
        <v>0</v>
      </c>
      <c r="N23" s="214">
        <f t="shared" si="3"/>
        <v>0</v>
      </c>
      <c r="O23" s="919">
        <f t="shared" si="3"/>
        <v>0</v>
      </c>
    </row>
    <row r="24" spans="1:15" ht="4.5" customHeight="1">
      <c r="A24" s="235"/>
      <c r="B24" s="171"/>
      <c r="C24" s="296"/>
      <c r="D24" s="297"/>
      <c r="E24" s="298"/>
      <c r="F24" s="296"/>
      <c r="G24" s="299"/>
      <c r="H24" s="297"/>
      <c r="I24" s="296"/>
      <c r="J24" s="296"/>
      <c r="K24" s="296"/>
      <c r="L24" s="296"/>
      <c r="M24" s="296"/>
      <c r="N24" s="299"/>
      <c r="O24" s="917"/>
    </row>
    <row r="25" spans="1:15">
      <c r="A25" s="251" t="s">
        <v>16</v>
      </c>
      <c r="B25" s="171"/>
      <c r="C25" s="296"/>
      <c r="D25" s="297"/>
      <c r="E25" s="298"/>
      <c r="F25" s="296"/>
      <c r="G25" s="299"/>
      <c r="H25" s="297"/>
      <c r="I25" s="296"/>
      <c r="J25" s="296"/>
      <c r="K25" s="296"/>
      <c r="L25" s="296"/>
      <c r="M25" s="296"/>
      <c r="N25" s="299"/>
      <c r="O25" s="917"/>
    </row>
    <row r="26" spans="1:15" ht="11.25" customHeight="1">
      <c r="A26" s="235" t="s">
        <v>1726</v>
      </c>
      <c r="B26" s="171">
        <v>2</v>
      </c>
      <c r="C26" s="296"/>
      <c r="D26" s="297"/>
      <c r="E26" s="298"/>
      <c r="F26" s="296"/>
      <c r="G26" s="299"/>
      <c r="H26" s="297"/>
      <c r="I26" s="296"/>
      <c r="J26" s="296"/>
      <c r="K26" s="296"/>
      <c r="L26" s="296"/>
      <c r="M26" s="296"/>
      <c r="N26" s="299"/>
      <c r="O26" s="917"/>
    </row>
    <row r="27" spans="1:15" ht="11.25" customHeight="1">
      <c r="A27" s="2166" t="s">
        <v>416</v>
      </c>
      <c r="B27" s="171"/>
      <c r="C27" s="2197">
        <v>0</v>
      </c>
      <c r="D27" s="2198">
        <v>0</v>
      </c>
      <c r="E27" s="2199">
        <v>0</v>
      </c>
      <c r="F27" s="2197">
        <v>0</v>
      </c>
      <c r="G27" s="2200">
        <v>0</v>
      </c>
      <c r="H27" s="2198">
        <v>0</v>
      </c>
      <c r="I27" s="2197">
        <v>0</v>
      </c>
      <c r="J27" s="2197">
        <v>0</v>
      </c>
      <c r="K27" s="2197">
        <v>0</v>
      </c>
      <c r="L27" s="2197">
        <v>0</v>
      </c>
      <c r="M27" s="2197">
        <v>0</v>
      </c>
      <c r="N27" s="2200">
        <v>0</v>
      </c>
      <c r="O27" s="570">
        <f>SUM(C27:N27)</f>
        <v>0</v>
      </c>
    </row>
    <row r="28" spans="1:15" ht="11.25" customHeight="1">
      <c r="A28" s="2166" t="s">
        <v>417</v>
      </c>
      <c r="B28" s="171"/>
      <c r="C28" s="1829">
        <v>0</v>
      </c>
      <c r="D28" s="1832">
        <v>0</v>
      </c>
      <c r="E28" s="1831">
        <v>0</v>
      </c>
      <c r="F28" s="1829">
        <v>0</v>
      </c>
      <c r="G28" s="1830">
        <v>0</v>
      </c>
      <c r="H28" s="1832">
        <v>0</v>
      </c>
      <c r="I28" s="1829">
        <v>0</v>
      </c>
      <c r="J28" s="1829">
        <v>0</v>
      </c>
      <c r="K28" s="1829">
        <v>0</v>
      </c>
      <c r="L28" s="1829">
        <v>0</v>
      </c>
      <c r="M28" s="1829">
        <v>0</v>
      </c>
      <c r="N28" s="1830">
        <v>0</v>
      </c>
      <c r="O28" s="570">
        <f>SUM(C28:N28)</f>
        <v>0</v>
      </c>
    </row>
    <row r="29" spans="1:15" ht="11.25" customHeight="1">
      <c r="A29" s="2166" t="s">
        <v>418</v>
      </c>
      <c r="B29" s="171"/>
      <c r="C29" s="1805">
        <v>0</v>
      </c>
      <c r="D29" s="1822">
        <v>0</v>
      </c>
      <c r="E29" s="1821">
        <v>0</v>
      </c>
      <c r="F29" s="1805">
        <v>0</v>
      </c>
      <c r="G29" s="1820">
        <v>0</v>
      </c>
      <c r="H29" s="1822">
        <v>0</v>
      </c>
      <c r="I29" s="1805">
        <v>0</v>
      </c>
      <c r="J29" s="1805">
        <v>0</v>
      </c>
      <c r="K29" s="1805">
        <v>0</v>
      </c>
      <c r="L29" s="1805">
        <v>0</v>
      </c>
      <c r="M29" s="1805">
        <v>0</v>
      </c>
      <c r="N29" s="1820">
        <v>0</v>
      </c>
      <c r="O29" s="570">
        <f>SUM(C29:N29)</f>
        <v>0</v>
      </c>
    </row>
    <row r="30" spans="1:15" ht="11.25" customHeight="1">
      <c r="A30" s="251" t="s">
        <v>1447</v>
      </c>
      <c r="B30" s="171"/>
      <c r="C30" s="199">
        <f t="shared" ref="C30:N30" si="4">SUM(C27:C29)</f>
        <v>0</v>
      </c>
      <c r="D30" s="198">
        <f t="shared" si="4"/>
        <v>0</v>
      </c>
      <c r="E30" s="201">
        <f t="shared" si="4"/>
        <v>0</v>
      </c>
      <c r="F30" s="199">
        <f t="shared" si="4"/>
        <v>0</v>
      </c>
      <c r="G30" s="200">
        <f t="shared" si="4"/>
        <v>0</v>
      </c>
      <c r="H30" s="198">
        <f t="shared" si="4"/>
        <v>0</v>
      </c>
      <c r="I30" s="199">
        <f t="shared" si="4"/>
        <v>0</v>
      </c>
      <c r="J30" s="199">
        <f t="shared" si="4"/>
        <v>0</v>
      </c>
      <c r="K30" s="199">
        <f t="shared" si="4"/>
        <v>0</v>
      </c>
      <c r="L30" s="199">
        <f t="shared" si="4"/>
        <v>0</v>
      </c>
      <c r="M30" s="199">
        <f t="shared" si="4"/>
        <v>0</v>
      </c>
      <c r="N30" s="200">
        <f t="shared" si="4"/>
        <v>0</v>
      </c>
      <c r="O30" s="918">
        <f>SUM(C30:N30)</f>
        <v>0</v>
      </c>
    </row>
    <row r="31" spans="1:15" ht="5.0999999999999996" customHeight="1">
      <c r="A31" s="259"/>
      <c r="B31" s="171"/>
      <c r="C31" s="189"/>
      <c r="D31" s="188"/>
      <c r="E31" s="191"/>
      <c r="F31" s="189"/>
      <c r="G31" s="190"/>
      <c r="H31" s="188"/>
      <c r="I31" s="189"/>
      <c r="J31" s="189"/>
      <c r="K31" s="189"/>
      <c r="L31" s="189"/>
      <c r="M31" s="189"/>
      <c r="N31" s="190"/>
      <c r="O31" s="570"/>
    </row>
    <row r="32" spans="1:15" ht="11.25" customHeight="1">
      <c r="A32" s="235" t="s">
        <v>1053</v>
      </c>
      <c r="B32" s="171">
        <v>2</v>
      </c>
      <c r="C32" s="189"/>
      <c r="D32" s="188"/>
      <c r="E32" s="191"/>
      <c r="F32" s="189"/>
      <c r="G32" s="190"/>
      <c r="H32" s="188"/>
      <c r="I32" s="189"/>
      <c r="J32" s="189"/>
      <c r="K32" s="189"/>
      <c r="L32" s="189"/>
      <c r="M32" s="189"/>
      <c r="N32" s="190"/>
      <c r="O32" s="570"/>
    </row>
    <row r="33" spans="1:15" ht="11.25" customHeight="1">
      <c r="A33" s="2166" t="s">
        <v>416</v>
      </c>
      <c r="B33" s="171"/>
      <c r="C33" s="1805">
        <v>0</v>
      </c>
      <c r="D33" s="1822">
        <v>0</v>
      </c>
      <c r="E33" s="1821">
        <v>0</v>
      </c>
      <c r="F33" s="1805">
        <v>0</v>
      </c>
      <c r="G33" s="1820">
        <v>0</v>
      </c>
      <c r="H33" s="1822">
        <v>0</v>
      </c>
      <c r="I33" s="1805">
        <v>0</v>
      </c>
      <c r="J33" s="1805">
        <v>0</v>
      </c>
      <c r="K33" s="1805">
        <v>0</v>
      </c>
      <c r="L33" s="1805">
        <v>0</v>
      </c>
      <c r="M33" s="1805">
        <v>0</v>
      </c>
      <c r="N33" s="1820">
        <v>0</v>
      </c>
      <c r="O33" s="570">
        <f>SUM(C33:N33)</f>
        <v>0</v>
      </c>
    </row>
    <row r="34" spans="1:15" ht="11.25" customHeight="1">
      <c r="A34" s="2166" t="s">
        <v>417</v>
      </c>
      <c r="B34" s="171"/>
      <c r="C34" s="1805">
        <v>0</v>
      </c>
      <c r="D34" s="1822">
        <v>0</v>
      </c>
      <c r="E34" s="1821">
        <v>0</v>
      </c>
      <c r="F34" s="1805">
        <v>0</v>
      </c>
      <c r="G34" s="1820">
        <v>0</v>
      </c>
      <c r="H34" s="1822">
        <v>0</v>
      </c>
      <c r="I34" s="1805">
        <v>0</v>
      </c>
      <c r="J34" s="1805">
        <v>0</v>
      </c>
      <c r="K34" s="1805">
        <v>0</v>
      </c>
      <c r="L34" s="1805">
        <v>0</v>
      </c>
      <c r="M34" s="1805">
        <v>0</v>
      </c>
      <c r="N34" s="1820">
        <v>0</v>
      </c>
      <c r="O34" s="570">
        <f>SUM(C34:N34)</f>
        <v>0</v>
      </c>
    </row>
    <row r="35" spans="1:15" ht="11.25" customHeight="1">
      <c r="A35" s="2166" t="s">
        <v>418</v>
      </c>
      <c r="B35" s="171"/>
      <c r="C35" s="1805">
        <v>0</v>
      </c>
      <c r="D35" s="1822">
        <v>0</v>
      </c>
      <c r="E35" s="1821">
        <v>0</v>
      </c>
      <c r="F35" s="1805">
        <v>0</v>
      </c>
      <c r="G35" s="1820">
        <v>0</v>
      </c>
      <c r="H35" s="1822">
        <v>0</v>
      </c>
      <c r="I35" s="1805">
        <v>0</v>
      </c>
      <c r="J35" s="1805">
        <v>0</v>
      </c>
      <c r="K35" s="1805">
        <v>0</v>
      </c>
      <c r="L35" s="1805">
        <v>0</v>
      </c>
      <c r="M35" s="1805">
        <v>0</v>
      </c>
      <c r="N35" s="1820">
        <v>0</v>
      </c>
      <c r="O35" s="570">
        <f>SUM(C35:N35)</f>
        <v>0</v>
      </c>
    </row>
    <row r="36" spans="1:15" ht="11.25" customHeight="1">
      <c r="A36" s="251" t="s">
        <v>1055</v>
      </c>
      <c r="B36" s="171"/>
      <c r="C36" s="384">
        <f t="shared" ref="C36:N36" si="5">SUM(C33:C35)</f>
        <v>0</v>
      </c>
      <c r="D36" s="387">
        <f t="shared" si="5"/>
        <v>0</v>
      </c>
      <c r="E36" s="386">
        <f t="shared" si="5"/>
        <v>0</v>
      </c>
      <c r="F36" s="384">
        <f t="shared" si="5"/>
        <v>0</v>
      </c>
      <c r="G36" s="385">
        <f t="shared" si="5"/>
        <v>0</v>
      </c>
      <c r="H36" s="387">
        <f t="shared" si="5"/>
        <v>0</v>
      </c>
      <c r="I36" s="384">
        <f t="shared" si="5"/>
        <v>0</v>
      </c>
      <c r="J36" s="384">
        <f t="shared" si="5"/>
        <v>0</v>
      </c>
      <c r="K36" s="384">
        <f t="shared" si="5"/>
        <v>0</v>
      </c>
      <c r="L36" s="384">
        <f t="shared" si="5"/>
        <v>0</v>
      </c>
      <c r="M36" s="384">
        <f t="shared" si="5"/>
        <v>0</v>
      </c>
      <c r="N36" s="385">
        <f t="shared" si="5"/>
        <v>0</v>
      </c>
      <c r="O36" s="918">
        <f>SUM(C36:N36)</f>
        <v>0</v>
      </c>
    </row>
    <row r="37" spans="1:15" ht="5.0999999999999996" customHeight="1">
      <c r="A37" s="259"/>
      <c r="B37" s="171"/>
      <c r="C37" s="189"/>
      <c r="D37" s="188"/>
      <c r="E37" s="191"/>
      <c r="F37" s="189"/>
      <c r="G37" s="190"/>
      <c r="H37" s="188"/>
      <c r="I37" s="189"/>
      <c r="J37" s="189"/>
      <c r="K37" s="189"/>
      <c r="L37" s="189"/>
      <c r="M37" s="189"/>
      <c r="N37" s="190"/>
      <c r="O37" s="1060"/>
    </row>
    <row r="38" spans="1:15" ht="11.25" customHeight="1">
      <c r="A38" s="235" t="s">
        <v>1054</v>
      </c>
      <c r="B38" s="171">
        <v>2</v>
      </c>
      <c r="C38" s="204"/>
      <c r="D38" s="203"/>
      <c r="E38" s="206"/>
      <c r="F38" s="204"/>
      <c r="G38" s="205"/>
      <c r="H38" s="203"/>
      <c r="I38" s="204"/>
      <c r="J38" s="204"/>
      <c r="K38" s="204"/>
      <c r="L38" s="204"/>
      <c r="M38" s="204"/>
      <c r="N38" s="205"/>
      <c r="O38" s="570"/>
    </row>
    <row r="39" spans="1:15" ht="11.25" customHeight="1">
      <c r="A39" s="2166" t="s">
        <v>416</v>
      </c>
      <c r="B39" s="171"/>
      <c r="C39" s="1805">
        <v>0</v>
      </c>
      <c r="D39" s="1822">
        <v>0</v>
      </c>
      <c r="E39" s="1821">
        <v>0</v>
      </c>
      <c r="F39" s="1805">
        <v>0</v>
      </c>
      <c r="G39" s="1820">
        <v>0</v>
      </c>
      <c r="H39" s="1822">
        <v>0</v>
      </c>
      <c r="I39" s="1805">
        <v>0</v>
      </c>
      <c r="J39" s="1805">
        <v>0</v>
      </c>
      <c r="K39" s="1805">
        <v>0</v>
      </c>
      <c r="L39" s="1805">
        <v>0</v>
      </c>
      <c r="M39" s="1805">
        <v>0</v>
      </c>
      <c r="N39" s="1820">
        <v>0</v>
      </c>
      <c r="O39" s="570">
        <f>SUM(C39:N39)</f>
        <v>0</v>
      </c>
    </row>
    <row r="40" spans="1:15" ht="11.25" customHeight="1">
      <c r="A40" s="2166" t="s">
        <v>417</v>
      </c>
      <c r="B40" s="171"/>
      <c r="C40" s="1805">
        <v>0</v>
      </c>
      <c r="D40" s="1822">
        <v>0</v>
      </c>
      <c r="E40" s="1821">
        <v>0</v>
      </c>
      <c r="F40" s="1805">
        <v>0</v>
      </c>
      <c r="G40" s="1820">
        <v>0</v>
      </c>
      <c r="H40" s="1822">
        <v>0</v>
      </c>
      <c r="I40" s="1805">
        <v>0</v>
      </c>
      <c r="J40" s="1805">
        <v>0</v>
      </c>
      <c r="K40" s="1805">
        <v>0</v>
      </c>
      <c r="L40" s="1805">
        <v>0</v>
      </c>
      <c r="M40" s="1805">
        <v>0</v>
      </c>
      <c r="N40" s="1820">
        <v>0</v>
      </c>
      <c r="O40" s="570">
        <f>SUM(C40:N40)</f>
        <v>0</v>
      </c>
    </row>
    <row r="41" spans="1:15" ht="11.25" customHeight="1">
      <c r="A41" s="2166" t="s">
        <v>418</v>
      </c>
      <c r="B41" s="171"/>
      <c r="C41" s="1805">
        <v>0</v>
      </c>
      <c r="D41" s="1822">
        <v>0</v>
      </c>
      <c r="E41" s="1821">
        <v>0</v>
      </c>
      <c r="F41" s="1805">
        <v>0</v>
      </c>
      <c r="G41" s="1820">
        <v>0</v>
      </c>
      <c r="H41" s="1822">
        <v>0</v>
      </c>
      <c r="I41" s="1805">
        <v>0</v>
      </c>
      <c r="J41" s="1805">
        <v>0</v>
      </c>
      <c r="K41" s="1805">
        <v>0</v>
      </c>
      <c r="L41" s="1805">
        <v>0</v>
      </c>
      <c r="M41" s="1805">
        <v>0</v>
      </c>
      <c r="N41" s="1820">
        <v>0</v>
      </c>
      <c r="O41" s="570">
        <f>SUM(C41:N41)</f>
        <v>0</v>
      </c>
    </row>
    <row r="42" spans="1:15" ht="11.25" customHeight="1">
      <c r="A42" s="251" t="s">
        <v>1523</v>
      </c>
      <c r="B42" s="171"/>
      <c r="C42" s="384">
        <f t="shared" ref="C42:N42" si="6">SUM(C39:C41)</f>
        <v>0</v>
      </c>
      <c r="D42" s="387">
        <f t="shared" si="6"/>
        <v>0</v>
      </c>
      <c r="E42" s="386">
        <f t="shared" si="6"/>
        <v>0</v>
      </c>
      <c r="F42" s="384">
        <f t="shared" si="6"/>
        <v>0</v>
      </c>
      <c r="G42" s="385">
        <f t="shared" si="6"/>
        <v>0</v>
      </c>
      <c r="H42" s="387">
        <f t="shared" si="6"/>
        <v>0</v>
      </c>
      <c r="I42" s="384">
        <f t="shared" si="6"/>
        <v>0</v>
      </c>
      <c r="J42" s="384">
        <f t="shared" si="6"/>
        <v>0</v>
      </c>
      <c r="K42" s="384">
        <f t="shared" si="6"/>
        <v>0</v>
      </c>
      <c r="L42" s="384">
        <f t="shared" si="6"/>
        <v>0</v>
      </c>
      <c r="M42" s="384">
        <f t="shared" si="6"/>
        <v>0</v>
      </c>
      <c r="N42" s="385">
        <f t="shared" si="6"/>
        <v>0</v>
      </c>
      <c r="O42" s="918">
        <f>SUM(C42:N42)</f>
        <v>0</v>
      </c>
    </row>
    <row r="43" spans="1:15" ht="5.0999999999999996" customHeight="1">
      <c r="A43" s="259"/>
      <c r="B43" s="171"/>
      <c r="C43" s="189"/>
      <c r="D43" s="188"/>
      <c r="E43" s="191"/>
      <c r="F43" s="189"/>
      <c r="G43" s="190"/>
      <c r="H43" s="188"/>
      <c r="I43" s="189"/>
      <c r="J43" s="189"/>
      <c r="K43" s="189"/>
      <c r="L43" s="189"/>
      <c r="M43" s="189"/>
      <c r="N43" s="190"/>
      <c r="O43" s="570"/>
    </row>
    <row r="44" spans="1:15" ht="11.25" customHeight="1">
      <c r="A44" s="267" t="s">
        <v>17</v>
      </c>
      <c r="B44" s="211"/>
      <c r="C44" s="216">
        <f>C36+C42</f>
        <v>0</v>
      </c>
      <c r="D44" s="217">
        <f t="shared" ref="D44:O44" si="7">D36+D42</f>
        <v>0</v>
      </c>
      <c r="E44" s="215">
        <f t="shared" si="7"/>
        <v>0</v>
      </c>
      <c r="F44" s="216">
        <f t="shared" si="7"/>
        <v>0</v>
      </c>
      <c r="G44" s="214">
        <f t="shared" si="7"/>
        <v>0</v>
      </c>
      <c r="H44" s="217">
        <f t="shared" si="7"/>
        <v>0</v>
      </c>
      <c r="I44" s="216">
        <f t="shared" si="7"/>
        <v>0</v>
      </c>
      <c r="J44" s="216">
        <f t="shared" si="7"/>
        <v>0</v>
      </c>
      <c r="K44" s="216">
        <f t="shared" si="7"/>
        <v>0</v>
      </c>
      <c r="L44" s="216">
        <f t="shared" si="7"/>
        <v>0</v>
      </c>
      <c r="M44" s="216">
        <f t="shared" si="7"/>
        <v>0</v>
      </c>
      <c r="N44" s="214">
        <f t="shared" si="7"/>
        <v>0</v>
      </c>
      <c r="O44" s="919">
        <f t="shared" si="7"/>
        <v>0</v>
      </c>
    </row>
    <row r="45" spans="1:15" s="693" customFormat="1" hidden="1">
      <c r="A45" s="1234" t="str">
        <f>head27a</f>
        <v>References</v>
      </c>
      <c r="B45" s="1033"/>
      <c r="C45" s="1037"/>
      <c r="D45" s="1037"/>
      <c r="E45" s="1037"/>
      <c r="F45" s="1037"/>
      <c r="G45" s="1037"/>
      <c r="H45" s="1037"/>
      <c r="I45" s="1037"/>
      <c r="J45" s="1037"/>
      <c r="K45" s="1037"/>
      <c r="L45" s="1037"/>
      <c r="M45" s="1037"/>
      <c r="N45" s="1037"/>
      <c r="O45" s="1070"/>
    </row>
    <row r="46" spans="1:15" s="693" customFormat="1" ht="11.25" hidden="1" customHeight="1">
      <c r="A46" s="1344" t="s">
        <v>18</v>
      </c>
      <c r="B46" s="1033"/>
      <c r="C46" s="1036"/>
      <c r="D46" s="1037"/>
      <c r="E46" s="1037"/>
      <c r="F46" s="1037"/>
      <c r="G46" s="1037"/>
    </row>
    <row r="47" spans="1:15" s="693" customFormat="1" ht="11.25" hidden="1" customHeight="1">
      <c r="A47" s="1235" t="s">
        <v>1533</v>
      </c>
      <c r="B47" s="1033"/>
      <c r="C47" s="1036"/>
      <c r="D47" s="1037"/>
      <c r="E47" s="1037"/>
      <c r="F47" s="1037"/>
      <c r="G47" s="1037"/>
    </row>
    <row r="48" spans="1:15" ht="24.75" hidden="1" customHeight="1">
      <c r="A48" s="2823" t="s">
        <v>718</v>
      </c>
      <c r="B48" s="2824"/>
      <c r="C48" s="2824"/>
      <c r="D48" s="2824"/>
      <c r="E48" s="2824"/>
      <c r="F48" s="2824"/>
      <c r="G48" s="2824"/>
      <c r="H48" s="2824"/>
      <c r="I48" s="2824"/>
      <c r="J48" s="2824"/>
      <c r="K48" s="2824"/>
      <c r="L48" s="2824"/>
      <c r="M48" s="2824"/>
      <c r="N48" s="2824"/>
    </row>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sheetData>
  <sheetProtection sheet="1" objects="1" scenarios="1"/>
  <mergeCells count="2">
    <mergeCell ref="E2:G2"/>
    <mergeCell ref="A48:N48"/>
  </mergeCells>
  <phoneticPr fontId="3" type="noConversion"/>
  <printOptions horizontalCentered="1"/>
  <pageMargins left="0" right="0" top="0.78740157480314965" bottom="0.59055118110236227" header="0.51181102362204722" footer="0.39370078740157483"/>
  <pageSetup paperSize="9" scale="8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enableFormatConditionsCalculation="0">
    <tabColor indexed="42"/>
    <pageSetUpPr fitToPage="1"/>
  </sheetPr>
  <dimension ref="A1:O132"/>
  <sheetViews>
    <sheetView showGridLines="0" workbookViewId="0">
      <pane xSplit="2" ySplit="3" topLeftCell="C21" activePane="bottomRight" state="frozen"/>
      <selection activeCell="M84" sqref="M84"/>
      <selection pane="topRight" activeCell="M84" sqref="M84"/>
      <selection pane="bottomLeft" activeCell="M84" sqref="M84"/>
      <selection pane="bottomRight" activeCell="F71" sqref="F71"/>
    </sheetView>
  </sheetViews>
  <sheetFormatPr defaultRowHeight="12.75"/>
  <cols>
    <col min="1" max="1" width="30.7109375" style="150" customWidth="1"/>
    <col min="2" max="2" width="3" style="233" hidden="1" customWidth="1"/>
    <col min="3" max="11" width="9.28515625" style="150" customWidth="1"/>
    <col min="12" max="12" width="9.7109375" style="150" customWidth="1"/>
    <col min="13" max="13" width="9.5703125" style="150" customWidth="1"/>
    <col min="14" max="14" width="9.85546875" style="150" customWidth="1"/>
    <col min="15" max="17" width="9.5703125" style="150" customWidth="1"/>
    <col min="18" max="18" width="9.85546875" style="150" customWidth="1"/>
    <col min="19" max="21" width="9.5703125" style="150" customWidth="1"/>
    <col min="22" max="23" width="9.85546875" style="150" customWidth="1"/>
    <col min="24" max="16384" width="9.140625" style="150"/>
  </cols>
  <sheetData>
    <row r="1" spans="1:12" ht="13.5" customHeight="1">
      <c r="A1" s="148" t="str">
        <f>muni&amp;" - "&amp;TableA34a</f>
        <v>NC071 Ubuntu - Supporting Table SA34a Capital expenditure on new assets by asset class</v>
      </c>
      <c r="B1" s="148"/>
      <c r="C1" s="148"/>
      <c r="D1" s="148"/>
      <c r="E1" s="148"/>
      <c r="F1" s="148"/>
      <c r="G1" s="148"/>
      <c r="H1" s="148"/>
      <c r="I1" s="148"/>
      <c r="J1" s="148"/>
      <c r="K1" s="148"/>
    </row>
    <row r="2" spans="1:12" ht="28.5" customHeight="1">
      <c r="A2" s="979" t="str">
        <f>desc</f>
        <v>Description</v>
      </c>
      <c r="B2" s="394" t="str">
        <f>head27</f>
        <v>Ref</v>
      </c>
      <c r="C2" s="151" t="str">
        <f>head1b</f>
        <v>2007/8</v>
      </c>
      <c r="D2" s="740" t="str">
        <f>head1A</f>
        <v>2008/9</v>
      </c>
      <c r="E2" s="147" t="str">
        <f>Head1</f>
        <v>2009/10</v>
      </c>
      <c r="F2" s="2772" t="str">
        <f>Head2</f>
        <v>Current Year 2010/11</v>
      </c>
      <c r="G2" s="2773"/>
      <c r="H2" s="2773"/>
      <c r="I2" s="2769" t="str">
        <f>Head3</f>
        <v>2011/12 Medium Term Revenue &amp; Expenditure Framework</v>
      </c>
      <c r="J2" s="2770"/>
      <c r="K2" s="2771"/>
    </row>
    <row r="3" spans="1:12" ht="25.5">
      <c r="A3" s="169" t="s">
        <v>697</v>
      </c>
      <c r="B3" s="980">
        <v>1</v>
      </c>
      <c r="C3" s="365" t="str">
        <f>Head5</f>
        <v>Audited Outcome</v>
      </c>
      <c r="D3" s="993" t="str">
        <f>Head5</f>
        <v>Audited Outcome</v>
      </c>
      <c r="E3" s="366" t="str">
        <f>Head5</f>
        <v>Audited Outcome</v>
      </c>
      <c r="F3" s="283" t="str">
        <f>Head6</f>
        <v>Original Budget</v>
      </c>
      <c r="G3" s="365" t="str">
        <f>Head7</f>
        <v>Adjusted Budget</v>
      </c>
      <c r="H3" s="364" t="str">
        <f>Head8</f>
        <v>Full Year Forecast</v>
      </c>
      <c r="I3" s="283" t="str">
        <f>Head9</f>
        <v>Budget Year 2011/12</v>
      </c>
      <c r="J3" s="365" t="str">
        <f>Head10</f>
        <v>Budget Year +1 2012/13</v>
      </c>
      <c r="K3" s="366" t="str">
        <f>Head11</f>
        <v>Budget Year +2 2013/14</v>
      </c>
    </row>
    <row r="4" spans="1:12" ht="11.25" customHeight="1">
      <c r="A4" s="846" t="s">
        <v>1305</v>
      </c>
      <c r="B4" s="733"/>
      <c r="C4" s="1090"/>
      <c r="D4" s="292"/>
      <c r="E4" s="295"/>
      <c r="F4" s="294"/>
      <c r="G4" s="292"/>
      <c r="H4" s="293"/>
      <c r="I4" s="294"/>
      <c r="J4" s="292"/>
      <c r="K4" s="295"/>
      <c r="L4" s="345"/>
    </row>
    <row r="5" spans="1:12" ht="5.0999999999999996" customHeight="1">
      <c r="A5" s="235"/>
      <c r="B5" s="171"/>
      <c r="C5" s="296"/>
      <c r="D5" s="296"/>
      <c r="E5" s="299"/>
      <c r="F5" s="298"/>
      <c r="G5" s="296"/>
      <c r="H5" s="297"/>
      <c r="I5" s="298"/>
      <c r="J5" s="296"/>
      <c r="K5" s="299"/>
      <c r="L5" s="345"/>
    </row>
    <row r="6" spans="1:12" ht="11.25" customHeight="1">
      <c r="A6" s="235" t="s">
        <v>1040</v>
      </c>
      <c r="B6" s="171"/>
      <c r="C6" s="369">
        <f t="shared" ref="C6:K6" si="0">C7+C10+C14+C18+C21</f>
        <v>0</v>
      </c>
      <c r="D6" s="369">
        <f t="shared" si="0"/>
        <v>0</v>
      </c>
      <c r="E6" s="319">
        <f t="shared" si="0"/>
        <v>0</v>
      </c>
      <c r="F6" s="370">
        <f t="shared" si="0"/>
        <v>0</v>
      </c>
      <c r="G6" s="369">
        <f t="shared" si="0"/>
        <v>0</v>
      </c>
      <c r="H6" s="371">
        <f t="shared" si="0"/>
        <v>0</v>
      </c>
      <c r="I6" s="370">
        <f t="shared" si="0"/>
        <v>0</v>
      </c>
      <c r="J6" s="369">
        <f t="shared" si="0"/>
        <v>0</v>
      </c>
      <c r="K6" s="319">
        <f t="shared" si="0"/>
        <v>0</v>
      </c>
      <c r="L6" s="1522"/>
    </row>
    <row r="7" spans="1:12" s="1498" customFormat="1" ht="13.5">
      <c r="A7" s="236" t="s">
        <v>560</v>
      </c>
      <c r="B7" s="171"/>
      <c r="C7" s="1102">
        <f>SUM(C8:C9)</f>
        <v>0</v>
      </c>
      <c r="D7" s="1102">
        <f t="shared" ref="D7:K7" si="1">SUM(D8:D9)</f>
        <v>0</v>
      </c>
      <c r="E7" s="1351">
        <f t="shared" si="1"/>
        <v>0</v>
      </c>
      <c r="F7" s="1106">
        <f t="shared" si="1"/>
        <v>0</v>
      </c>
      <c r="G7" s="1102">
        <f t="shared" si="1"/>
        <v>0</v>
      </c>
      <c r="H7" s="1151">
        <f t="shared" si="1"/>
        <v>0</v>
      </c>
      <c r="I7" s="1352">
        <f t="shared" si="1"/>
        <v>0</v>
      </c>
      <c r="J7" s="1102">
        <f t="shared" si="1"/>
        <v>0</v>
      </c>
      <c r="K7" s="1151">
        <f t="shared" si="1"/>
        <v>0</v>
      </c>
      <c r="L7" s="345"/>
    </row>
    <row r="8" spans="1:12" s="1498" customFormat="1" ht="13.5">
      <c r="A8" s="1260" t="s">
        <v>561</v>
      </c>
      <c r="B8" s="171"/>
      <c r="C8" s="1805">
        <v>0</v>
      </c>
      <c r="D8" s="1805">
        <v>0</v>
      </c>
      <c r="E8" s="1820">
        <f>SUMIFS('SA36'!I:I,'SA36'!$O:$O,"N",'SA36'!$F:$F,SA34a!$A$7,'SA36'!$G:$G,SA34a!$A8)</f>
        <v>0</v>
      </c>
      <c r="F8" s="1821">
        <v>0</v>
      </c>
      <c r="G8" s="1805">
        <f>SUMIFS('SA36'!J:J,'SA36'!$O:$O,"N",'SA36'!$F:$F,SA34a!$A$7,'SA36'!$G:$G,SA34a!$A8)</f>
        <v>0</v>
      </c>
      <c r="H8" s="1822">
        <f>G8</f>
        <v>0</v>
      </c>
      <c r="I8" s="1821">
        <f>SUMIFS('SA36'!K:K,'SA36'!$O:$O,"N",'SA36'!$F:$F,SA34a!$A$7,'SA36'!$G:$G,SA34a!$A8)</f>
        <v>0</v>
      </c>
      <c r="J8" s="1805">
        <f>SUMIFS('SA36'!L:L,'SA36'!$O:$O,"N",'SA36'!$F:$F,SA34a!$A$7,'SA36'!$G:$G,SA34a!$A8)</f>
        <v>0</v>
      </c>
      <c r="K8" s="1820">
        <f>SUMIFS('SA36'!M:M,'SA36'!$O:$O,"N",'SA36'!$F:$F,SA34a!$A$7,'SA36'!$G:$G,SA34a!$A8)</f>
        <v>0</v>
      </c>
      <c r="L8" s="1522"/>
    </row>
    <row r="9" spans="1:12" s="1498" customFormat="1" ht="13.5">
      <c r="A9" s="1260" t="s">
        <v>562</v>
      </c>
      <c r="B9" s="171"/>
      <c r="C9" s="1805">
        <v>0</v>
      </c>
      <c r="D9" s="1805">
        <v>0</v>
      </c>
      <c r="E9" s="1820">
        <f>SUMIFS('SA36'!I:I,'SA36'!$O:$O,"N",'SA36'!$F:$F,SA34a!$A$7,'SA36'!$G:$G,SA34a!$A9)</f>
        <v>0</v>
      </c>
      <c r="F9" s="1821">
        <v>0</v>
      </c>
      <c r="G9" s="1805">
        <f>SUMIFS('SA36'!J:J,'SA36'!$O:$O,"N",'SA36'!$F:$F,SA34a!$A$7,'SA36'!$G:$G,SA34a!$A9)</f>
        <v>0</v>
      </c>
      <c r="H9" s="1822">
        <f>G9</f>
        <v>0</v>
      </c>
      <c r="I9" s="1821">
        <f>SUMIFS('SA36'!K:K,'SA36'!$O:$O,"N",'SA36'!$F:$F,SA34a!$A$7,'SA36'!$G:$G,SA34a!$A9)</f>
        <v>0</v>
      </c>
      <c r="J9" s="1805">
        <f>SUMIFS('SA36'!L:L,'SA36'!$O:$O,"N",'SA36'!$F:$F,SA34a!$A$7,'SA36'!$G:$G,SA34a!$A9)</f>
        <v>0</v>
      </c>
      <c r="K9" s="1820">
        <f>SUMIFS('SA36'!M:M,'SA36'!$O:$O,"N",'SA36'!$F:$F,SA34a!$A$7,'SA36'!$G:$G,SA34a!$A9)</f>
        <v>0</v>
      </c>
      <c r="L9" s="1523"/>
    </row>
    <row r="10" spans="1:12" s="1498" customFormat="1" ht="13.5">
      <c r="A10" s="236" t="s">
        <v>21</v>
      </c>
      <c r="B10" s="171"/>
      <c r="C10" s="1054">
        <f>SUM(C11:C13)</f>
        <v>0</v>
      </c>
      <c r="D10" s="1054">
        <f t="shared" ref="D10:K10" si="2">SUM(D11:D13)</f>
        <v>0</v>
      </c>
      <c r="E10" s="1353">
        <f t="shared" si="2"/>
        <v>0</v>
      </c>
      <c r="F10" s="1058">
        <f t="shared" si="2"/>
        <v>0</v>
      </c>
      <c r="G10" s="1054">
        <f t="shared" si="2"/>
        <v>0</v>
      </c>
      <c r="H10" s="1154">
        <f t="shared" si="2"/>
        <v>0</v>
      </c>
      <c r="I10" s="1354">
        <f t="shared" si="2"/>
        <v>0</v>
      </c>
      <c r="J10" s="1054">
        <f t="shared" si="2"/>
        <v>0</v>
      </c>
      <c r="K10" s="1154">
        <f t="shared" si="2"/>
        <v>0</v>
      </c>
      <c r="L10" s="1523"/>
    </row>
    <row r="11" spans="1:12" s="1498" customFormat="1" ht="13.5">
      <c r="A11" s="1260" t="s">
        <v>22</v>
      </c>
      <c r="B11" s="171"/>
      <c r="C11" s="1805">
        <v>0</v>
      </c>
      <c r="D11" s="1805">
        <v>0</v>
      </c>
      <c r="E11" s="1806">
        <f>SUMIFS('SA36'!I:I,'SA36'!$O:$O,"N",'SA36'!$F:$F,SA34a!$A$10,'SA36'!$G:$G,SA34a!$A11)</f>
        <v>0</v>
      </c>
      <c r="F11" s="1807">
        <v>0</v>
      </c>
      <c r="G11" s="1805">
        <f>SUMIFS('SA36'!J:J,'SA36'!$O:$O,"N",'SA36'!$F:$F,SA34a!$A$10,'SA36'!$G:$G,SA34a!$A11)</f>
        <v>0</v>
      </c>
      <c r="H11" s="1822">
        <f>G11</f>
        <v>0</v>
      </c>
      <c r="I11" s="1821">
        <f>SUMIFS('SA36'!K:K,'SA36'!$O:$O,"N",'SA36'!$F:$F,SA34a!$A$10,'SA36'!$G:$G,SA34a!$A11)</f>
        <v>0</v>
      </c>
      <c r="J11" s="1805">
        <f>SUMIFS('SA36'!L:L,'SA36'!$O:$O,"N",'SA36'!$F:$F,SA34a!$A$10,'SA36'!$G:$G,SA34a!$A11)</f>
        <v>0</v>
      </c>
      <c r="K11" s="1820">
        <f>SUMIFS('SA36'!M:M,'SA36'!$O:$O,"N",'SA36'!$F:$F,SA34a!$A$10,'SA36'!$G:$G,SA34a!$A11)</f>
        <v>0</v>
      </c>
      <c r="L11" s="1523"/>
    </row>
    <row r="12" spans="1:12" s="1498" customFormat="1" ht="13.5">
      <c r="A12" s="1260" t="s">
        <v>23</v>
      </c>
      <c r="B12" s="171"/>
      <c r="C12" s="1805">
        <v>0</v>
      </c>
      <c r="D12" s="1805">
        <v>0</v>
      </c>
      <c r="E12" s="1806">
        <f>SUMIFS('SA36'!I:I,'SA36'!$O:$O,"N",'SA36'!$F:$F,SA34a!$A$10,'SA36'!$G:$G,SA34a!$A12)</f>
        <v>0</v>
      </c>
      <c r="F12" s="1807">
        <v>0</v>
      </c>
      <c r="G12" s="1805">
        <f>SUMIFS('SA36'!J:J,'SA36'!$O:$O,"N",'SA36'!$F:$F,SA34a!$A$10,'SA36'!$G:$G,SA34a!$A12)</f>
        <v>0</v>
      </c>
      <c r="H12" s="1822">
        <f>G12</f>
        <v>0</v>
      </c>
      <c r="I12" s="1821">
        <f>SUMIFS('SA36'!K:K,'SA36'!$O:$O,"N",'SA36'!$F:$F,SA34a!$A$10,'SA36'!$G:$G,SA34a!$A12)</f>
        <v>0</v>
      </c>
      <c r="J12" s="1805">
        <f>SUMIFS('SA36'!L:L,'SA36'!$O:$O,"N",'SA36'!$F:$F,SA34a!$A$10,'SA36'!$G:$G,SA34a!$A12)</f>
        <v>0</v>
      </c>
      <c r="K12" s="1820">
        <f>SUMIFS('SA36'!M:M,'SA36'!$O:$O,"N",'SA36'!$F:$F,SA34a!$A$10,'SA36'!$G:$G,SA34a!$A12)</f>
        <v>0</v>
      </c>
      <c r="L12" s="1523"/>
    </row>
    <row r="13" spans="1:12" s="1498" customFormat="1" ht="13.5">
      <c r="A13" s="1260" t="s">
        <v>136</v>
      </c>
      <c r="B13" s="171"/>
      <c r="C13" s="1805">
        <v>0</v>
      </c>
      <c r="D13" s="1805">
        <v>0</v>
      </c>
      <c r="E13" s="1806">
        <f>SUMIFS('SA36'!I:I,'SA36'!$O:$O,"N",'SA36'!$F:$F,SA34a!$A$10,'SA36'!$G:$G,SA34a!$A13)</f>
        <v>0</v>
      </c>
      <c r="F13" s="1807">
        <v>0</v>
      </c>
      <c r="G13" s="1805">
        <f>SUMIFS('SA36'!J:J,'SA36'!$O:$O,"N",'SA36'!$F:$F,SA34a!$A$10,'SA36'!$G:$G,SA34a!$A13)</f>
        <v>0</v>
      </c>
      <c r="H13" s="1822">
        <f>G13</f>
        <v>0</v>
      </c>
      <c r="I13" s="1821">
        <f>SUMIFS('SA36'!K:K,'SA36'!$O:$O,"N",'SA36'!$F:$F,SA34a!$A$10,'SA36'!$G:$G,SA34a!$A13)</f>
        <v>0</v>
      </c>
      <c r="J13" s="1805">
        <f>SUMIFS('SA36'!L:L,'SA36'!$O:$O,"N",'SA36'!$F:$F,SA34a!$A$10,'SA36'!$G:$G,SA34a!$A13)</f>
        <v>0</v>
      </c>
      <c r="K13" s="1820">
        <f>SUMIFS('SA36'!M:M,'SA36'!$O:$O,"N",'SA36'!$F:$F,SA34a!$A$10,'SA36'!$G:$G,SA34a!$A13)</f>
        <v>0</v>
      </c>
      <c r="L13" s="1523"/>
    </row>
    <row r="14" spans="1:12" s="1498" customFormat="1" ht="13.5">
      <c r="A14" s="240" t="s">
        <v>24</v>
      </c>
      <c r="B14" s="324"/>
      <c r="C14" s="1054">
        <f>SUM(C15:C17)</f>
        <v>0</v>
      </c>
      <c r="D14" s="1054">
        <f t="shared" ref="D14:K14" si="3">SUM(D15:D17)</f>
        <v>0</v>
      </c>
      <c r="E14" s="1353">
        <f t="shared" si="3"/>
        <v>0</v>
      </c>
      <c r="F14" s="1058">
        <f t="shared" si="3"/>
        <v>0</v>
      </c>
      <c r="G14" s="1054">
        <f t="shared" si="3"/>
        <v>0</v>
      </c>
      <c r="H14" s="1154">
        <f t="shared" si="3"/>
        <v>0</v>
      </c>
      <c r="I14" s="1354">
        <f t="shared" si="3"/>
        <v>0</v>
      </c>
      <c r="J14" s="1054">
        <f t="shared" si="3"/>
        <v>0</v>
      </c>
      <c r="K14" s="1154">
        <f t="shared" si="3"/>
        <v>0</v>
      </c>
      <c r="L14" s="1523"/>
    </row>
    <row r="15" spans="1:12" s="1498" customFormat="1" ht="13.5">
      <c r="A15" s="1260" t="s">
        <v>25</v>
      </c>
      <c r="B15" s="171"/>
      <c r="C15" s="1805">
        <v>0</v>
      </c>
      <c r="D15" s="1805">
        <v>0</v>
      </c>
      <c r="E15" s="1806">
        <f>SUMIFS('SA36'!I:I,'SA36'!$O:$O,"N",'SA36'!$F:$F,SA34a!$A$14,'SA36'!$G:$G,SA34a!$A15)</f>
        <v>0</v>
      </c>
      <c r="F15" s="1807">
        <v>0</v>
      </c>
      <c r="G15" s="1805">
        <f>SUMIFS('SA36'!J:J,'SA36'!$O:$O,"N",'SA36'!$F:$F,SA34a!$A$14,'SA36'!$G:$G,SA34a!$A15)</f>
        <v>0</v>
      </c>
      <c r="H15" s="1822">
        <f>G15</f>
        <v>0</v>
      </c>
      <c r="I15" s="1821">
        <f>SUMIFS('SA36'!K:K,'SA36'!$O:$O,"N",'SA36'!$F:$F,SA34a!$A$14,'SA36'!$G:$G,SA34a!$A15)</f>
        <v>0</v>
      </c>
      <c r="J15" s="1805">
        <f>SUMIFS('SA36'!L:L,'SA36'!$O:$O,"N",'SA36'!$F:$F,SA34a!$A$14,'SA36'!$G:$G,SA34a!$A15)</f>
        <v>0</v>
      </c>
      <c r="K15" s="1820">
        <f>SUMIFS('SA36'!M:M,'SA36'!$O:$O,"N",'SA36'!$F:$F,SA34a!$A$14,'SA36'!$G:$G,SA34a!$A15)</f>
        <v>0</v>
      </c>
      <c r="L15" s="1523"/>
    </row>
    <row r="16" spans="1:12" s="1498" customFormat="1" ht="13.5">
      <c r="A16" s="1260" t="s">
        <v>26</v>
      </c>
      <c r="B16" s="171"/>
      <c r="C16" s="1805">
        <v>0</v>
      </c>
      <c r="D16" s="1805">
        <v>0</v>
      </c>
      <c r="E16" s="1806">
        <f>SUMIFS('SA36'!I:I,'SA36'!$O:$O,"N",'SA36'!$F:$F,SA34a!$A$14,'SA36'!$G:$G,SA34a!$A16)</f>
        <v>0</v>
      </c>
      <c r="F16" s="1807">
        <v>0</v>
      </c>
      <c r="G16" s="1805">
        <f>SUMIFS('SA36'!J:J,'SA36'!$O:$O,"N",'SA36'!$F:$F,SA34a!$A$14,'SA36'!$G:$G,SA34a!$A16)</f>
        <v>0</v>
      </c>
      <c r="H16" s="1822">
        <f>G16</f>
        <v>0</v>
      </c>
      <c r="I16" s="1821">
        <f>SUMIFS('SA36'!K:K,'SA36'!$O:$O,"N",'SA36'!$F:$F,SA34a!$A$14,'SA36'!$G:$G,SA34a!$A16)</f>
        <v>0</v>
      </c>
      <c r="J16" s="1805">
        <f>SUMIFS('SA36'!L:L,'SA36'!$O:$O,"N",'SA36'!$F:$F,SA34a!$A$14,'SA36'!$G:$G,SA34a!$A16)</f>
        <v>0</v>
      </c>
      <c r="K16" s="1820">
        <f>SUMIFS('SA36'!M:M,'SA36'!$O:$O,"N",'SA36'!$F:$F,SA34a!$A$14,'SA36'!$G:$G,SA34a!$A16)</f>
        <v>0</v>
      </c>
      <c r="L16" s="1523"/>
    </row>
    <row r="17" spans="1:12" s="1498" customFormat="1" ht="13.5">
      <c r="A17" s="1260" t="s">
        <v>27</v>
      </c>
      <c r="B17" s="171"/>
      <c r="C17" s="1805">
        <v>0</v>
      </c>
      <c r="D17" s="1805">
        <v>0</v>
      </c>
      <c r="E17" s="1806">
        <f>SUMIFS('SA36'!I:I,'SA36'!$O:$O,"N",'SA36'!$F:$F,SA34a!$A$14,'SA36'!$G:$G,SA34a!$A17)</f>
        <v>0</v>
      </c>
      <c r="F17" s="1807">
        <v>0</v>
      </c>
      <c r="G17" s="1805">
        <f>SUMIFS('SA36'!J:J,'SA36'!$O:$O,"N",'SA36'!$F:$F,SA34a!$A$14,'SA36'!$G:$G,SA34a!$A17)</f>
        <v>0</v>
      </c>
      <c r="H17" s="1822">
        <f>G17</f>
        <v>0</v>
      </c>
      <c r="I17" s="1821">
        <f>SUMIFS('SA36'!K:K,'SA36'!$O:$O,"N",'SA36'!$F:$F,SA34a!$A$14,'SA36'!$G:$G,SA34a!$A17)</f>
        <v>0</v>
      </c>
      <c r="J17" s="1805">
        <f>SUMIFS('SA36'!L:L,'SA36'!$O:$O,"N",'SA36'!$F:$F,SA34a!$A$14,'SA36'!$G:$G,SA34a!$A17)</f>
        <v>0</v>
      </c>
      <c r="K17" s="1820">
        <f>SUMIFS('SA36'!M:M,'SA36'!$O:$O,"N",'SA36'!$F:$F,SA34a!$A$14,'SA36'!$G:$G,SA34a!$A17)</f>
        <v>0</v>
      </c>
      <c r="L17" s="1523"/>
    </row>
    <row r="18" spans="1:12" s="1498" customFormat="1" ht="13.5">
      <c r="A18" s="240" t="s">
        <v>28</v>
      </c>
      <c r="B18" s="171"/>
      <c r="C18" s="1054">
        <f t="shared" ref="C18:K18" si="4">SUM(C19:C20)</f>
        <v>0</v>
      </c>
      <c r="D18" s="1054">
        <f t="shared" si="4"/>
        <v>0</v>
      </c>
      <c r="E18" s="1353">
        <f t="shared" si="4"/>
        <v>0</v>
      </c>
      <c r="F18" s="1058">
        <f t="shared" si="4"/>
        <v>0</v>
      </c>
      <c r="G18" s="1054">
        <f t="shared" si="4"/>
        <v>0</v>
      </c>
      <c r="H18" s="1154">
        <f t="shared" si="4"/>
        <v>0</v>
      </c>
      <c r="I18" s="1354">
        <f t="shared" si="4"/>
        <v>0</v>
      </c>
      <c r="J18" s="1054">
        <f t="shared" si="4"/>
        <v>0</v>
      </c>
      <c r="K18" s="1154">
        <f t="shared" si="4"/>
        <v>0</v>
      </c>
      <c r="L18" s="1523"/>
    </row>
    <row r="19" spans="1:12" s="1498" customFormat="1" ht="13.5">
      <c r="A19" s="1260" t="s">
        <v>27</v>
      </c>
      <c r="B19" s="171"/>
      <c r="C19" s="1805">
        <v>0</v>
      </c>
      <c r="D19" s="1805">
        <v>0</v>
      </c>
      <c r="E19" s="1806">
        <f>SUMIFS('SA36'!I:I,'SA36'!$O:$O,"N",'SA36'!$F:$F,SA34a!$A$18,'SA36'!$G:$G,SA34a!$A19)</f>
        <v>0</v>
      </c>
      <c r="F19" s="1807">
        <v>0</v>
      </c>
      <c r="G19" s="1805">
        <f>SUMIFS('SA36'!J:J,'SA36'!$O:$O,"N",'SA36'!$F:$F,SA34a!$A$18,'SA36'!$G:$G,SA34a!$A19)</f>
        <v>0</v>
      </c>
      <c r="H19" s="1822">
        <f>G19</f>
        <v>0</v>
      </c>
      <c r="I19" s="1821">
        <f>SUMIFS('SA36'!K:K,'SA36'!$O:$O,"N",'SA36'!$F:$F,SA34a!$A$18,'SA36'!$G:$G,SA34a!$A19)</f>
        <v>0</v>
      </c>
      <c r="J19" s="1805">
        <f>SUMIFS('SA36'!L:L,'SA36'!$O:$O,"N",'SA36'!$F:$F,SA34a!$A$18,'SA36'!$G:$G,SA34a!$A19)</f>
        <v>0</v>
      </c>
      <c r="K19" s="1820">
        <f>SUMIFS('SA36'!M:M,'SA36'!$O:$O,"N",'SA36'!$F:$F,SA34a!$A$18,'SA36'!$G:$G,SA34a!$A19)</f>
        <v>0</v>
      </c>
      <c r="L19" s="1523"/>
    </row>
    <row r="20" spans="1:12" s="1498" customFormat="1" ht="13.5">
      <c r="A20" s="1260" t="s">
        <v>29</v>
      </c>
      <c r="B20" s="171"/>
      <c r="C20" s="1805">
        <v>0</v>
      </c>
      <c r="D20" s="1805">
        <v>0</v>
      </c>
      <c r="E20" s="1806">
        <f>SUMIFS('SA36'!I:I,'SA36'!$O:$O,"N",'SA36'!$F:$F,SA34a!$A$18,'SA36'!$G:$G,SA34a!$A20)</f>
        <v>0</v>
      </c>
      <c r="F20" s="1807">
        <v>0</v>
      </c>
      <c r="G20" s="1805">
        <f>SUMIFS('SA36'!J:J,'SA36'!$O:$O,"N",'SA36'!$F:$F,SA34a!$A$18,'SA36'!$G:$G,SA34a!$A20)</f>
        <v>0</v>
      </c>
      <c r="H20" s="1822">
        <f>G20</f>
        <v>0</v>
      </c>
      <c r="I20" s="1821">
        <f>SUMIFS('SA36'!K:K,'SA36'!$O:$O,"N",'SA36'!$F:$F,SA34a!$A$18,'SA36'!$G:$G,SA34a!$A20)</f>
        <v>0</v>
      </c>
      <c r="J20" s="1805">
        <f>SUMIFS('SA36'!L:L,'SA36'!$O:$O,"N",'SA36'!$F:$F,SA34a!$A$18,'SA36'!$G:$G,SA34a!$A20)</f>
        <v>0</v>
      </c>
      <c r="K20" s="1820">
        <f>SUMIFS('SA36'!M:M,'SA36'!$O:$O,"N",'SA36'!$F:$F,SA34a!$A$18,'SA36'!$G:$G,SA34a!$A20)</f>
        <v>0</v>
      </c>
      <c r="L20" s="1523"/>
    </row>
    <row r="21" spans="1:12" s="1498" customFormat="1" ht="13.5">
      <c r="A21" s="236" t="s">
        <v>30</v>
      </c>
      <c r="B21" s="171"/>
      <c r="C21" s="1054">
        <f>SUM(C22:C25)</f>
        <v>0</v>
      </c>
      <c r="D21" s="1054">
        <f t="shared" ref="D21:K21" si="5">SUM(D22:D25)</f>
        <v>0</v>
      </c>
      <c r="E21" s="1054">
        <f t="shared" si="5"/>
        <v>0</v>
      </c>
      <c r="F21" s="1058">
        <f t="shared" si="5"/>
        <v>0</v>
      </c>
      <c r="G21" s="1054">
        <f t="shared" si="5"/>
        <v>0</v>
      </c>
      <c r="H21" s="1154">
        <f t="shared" si="5"/>
        <v>0</v>
      </c>
      <c r="I21" s="1354">
        <f t="shared" si="5"/>
        <v>0</v>
      </c>
      <c r="J21" s="1054">
        <f t="shared" si="5"/>
        <v>0</v>
      </c>
      <c r="K21" s="1154">
        <f t="shared" si="5"/>
        <v>0</v>
      </c>
      <c r="L21" s="1523"/>
    </row>
    <row r="22" spans="1:12" s="1498" customFormat="1" ht="13.5">
      <c r="A22" s="1260" t="s">
        <v>1152</v>
      </c>
      <c r="B22" s="171"/>
      <c r="C22" s="1805">
        <v>0</v>
      </c>
      <c r="D22" s="1805">
        <v>0</v>
      </c>
      <c r="E22" s="1806">
        <f>SUMIFS('SA36'!I:I,'SA36'!$O:$O,"N",'SA36'!$F:$F,SA34a!$A$21,'SA36'!$G:$G,SA34a!$A22)</f>
        <v>0</v>
      </c>
      <c r="F22" s="1821">
        <v>0</v>
      </c>
      <c r="G22" s="1805">
        <f>SUMIFS('SA36'!J:J,'SA36'!$O:$O,"N",'SA36'!$F:$F,SA34a!$A$21,'SA36'!$G:$G,SA34a!$A22)</f>
        <v>0</v>
      </c>
      <c r="H22" s="1822">
        <f>G22</f>
        <v>0</v>
      </c>
      <c r="I22" s="1821">
        <f>SUMIFS('SA36'!K:K,'SA36'!$O:$O,"N",'SA36'!$F:$F,SA34a!$A$21,'SA36'!$G:$G,SA34a!$A22)</f>
        <v>0</v>
      </c>
      <c r="J22" s="1805">
        <f>SUMIFS('SA36'!L:L,'SA36'!$O:$O,"N",'SA36'!$F:$F,SA34a!$A$21,'SA36'!$G:$G,SA34a!$A22)</f>
        <v>0</v>
      </c>
      <c r="K22" s="1820">
        <f>SUMIFS('SA36'!M:M,'SA36'!$O:$O,"N",'SA36'!$F:$F,SA34a!$A$21,'SA36'!$G:$G,SA34a!$A22)</f>
        <v>0</v>
      </c>
      <c r="L22" s="1522"/>
    </row>
    <row r="23" spans="1:12" s="1498" customFormat="1" ht="13.5">
      <c r="A23" s="1260" t="s">
        <v>328</v>
      </c>
      <c r="B23" s="171">
        <v>2</v>
      </c>
      <c r="C23" s="1805">
        <v>0</v>
      </c>
      <c r="D23" s="1805">
        <v>0</v>
      </c>
      <c r="E23" s="1806">
        <f>SUMIFS('SA36'!I:I,'SA36'!$O:$O,"N",'SA36'!$F:$F,SA34a!$A$21,'SA36'!$G:$G,SA34a!$A23)</f>
        <v>0</v>
      </c>
      <c r="F23" s="1821">
        <v>0</v>
      </c>
      <c r="G23" s="1805">
        <f>SUMIFS('SA36'!J:J,'SA36'!$O:$O,"N",'SA36'!$F:$F,SA34a!$A$21,'SA36'!$G:$G,SA34a!$A23)</f>
        <v>0</v>
      </c>
      <c r="H23" s="1822">
        <f>G23</f>
        <v>0</v>
      </c>
      <c r="I23" s="1821">
        <f>SUMIFS('SA36'!K:K,'SA36'!$O:$O,"N",'SA36'!$F:$F,SA34a!$A$21,'SA36'!$G:$G,SA34a!$A23)</f>
        <v>0</v>
      </c>
      <c r="J23" s="1805">
        <f>SUMIFS('SA36'!L:L,'SA36'!$O:$O,"N",'SA36'!$F:$F,SA34a!$A$21,'SA36'!$G:$G,SA34a!$A23)</f>
        <v>0</v>
      </c>
      <c r="K23" s="1820">
        <f>SUMIFS('SA36'!M:M,'SA36'!$O:$O,"N",'SA36'!$F:$F,SA34a!$A$21,'SA36'!$G:$G,SA34a!$A23)</f>
        <v>0</v>
      </c>
      <c r="L23" s="1523"/>
    </row>
    <row r="24" spans="1:12" s="1498" customFormat="1" ht="13.5">
      <c r="A24" s="1260" t="s">
        <v>137</v>
      </c>
      <c r="B24" s="171"/>
      <c r="C24" s="1805">
        <v>0</v>
      </c>
      <c r="D24" s="1805">
        <v>0</v>
      </c>
      <c r="E24" s="1806">
        <f>SUMIFS('SA36'!I:I,'SA36'!$O:$O,"N",'SA36'!$F:$F,SA34a!$A$21,'SA36'!$G:$G,SA34a!$A24)</f>
        <v>0</v>
      </c>
      <c r="F24" s="1821">
        <v>0</v>
      </c>
      <c r="G24" s="1805">
        <f>SUMIFS('SA36'!J:J,'SA36'!$O:$O,"N",'SA36'!$F:$F,SA34a!$A$21,'SA36'!$G:$G,SA34a!$A24)</f>
        <v>0</v>
      </c>
      <c r="H24" s="1822">
        <f>G24</f>
        <v>0</v>
      </c>
      <c r="I24" s="1821">
        <f>SUMIFS('SA36'!K:K,'SA36'!$O:$O,"N",'SA36'!$F:$F,SA34a!$A$21,'SA36'!$G:$G,SA34a!$A24)</f>
        <v>0</v>
      </c>
      <c r="J24" s="1805">
        <f>SUMIFS('SA36'!L:L,'SA36'!$O:$O,"N",'SA36'!$F:$F,SA34a!$A$21,'SA36'!$G:$G,SA34a!$A24)</f>
        <v>0</v>
      </c>
      <c r="K24" s="1820">
        <f>SUMIFS('SA36'!M:M,'SA36'!$O:$O,"N",'SA36'!$F:$F,SA34a!$A$21,'SA36'!$G:$G,SA34a!$A24)</f>
        <v>0</v>
      </c>
      <c r="L24" s="1523"/>
    </row>
    <row r="25" spans="1:12" s="1498" customFormat="1" ht="13.5">
      <c r="A25" s="1260" t="s">
        <v>297</v>
      </c>
      <c r="B25" s="171">
        <v>3</v>
      </c>
      <c r="C25" s="1805">
        <v>0</v>
      </c>
      <c r="D25" s="1805">
        <v>0</v>
      </c>
      <c r="E25" s="1806">
        <f>SUMIFS('SA36'!I:I,'SA36'!$O:$O,"N",'SA36'!$F:$F,SA34a!$A$21,'SA36'!$G:$G,SA34a!$A25)</f>
        <v>0</v>
      </c>
      <c r="F25" s="1821">
        <v>0</v>
      </c>
      <c r="G25" s="1805">
        <f>SUMIFS('SA36'!J:J,'SA36'!$O:$O,"N",'SA36'!$F:$F,SA34a!$A$21,'SA36'!$G:$G,SA34a!$A25)</f>
        <v>0</v>
      </c>
      <c r="H25" s="1822">
        <f>G25</f>
        <v>0</v>
      </c>
      <c r="I25" s="1821">
        <f>SUMIFS('SA36'!K:K,'SA36'!$O:$O,"N",'SA36'!$F:$F,SA34a!$A$21,'SA36'!$G:$G,SA34a!$A25)</f>
        <v>0</v>
      </c>
      <c r="J25" s="1805">
        <f>SUMIFS('SA36'!L:L,'SA36'!$O:$O,"N",'SA36'!$F:$F,SA34a!$A$21,'SA36'!$G:$G,SA34a!$A25)</f>
        <v>0</v>
      </c>
      <c r="K25" s="1820">
        <f>SUMIFS('SA36'!M:M,'SA36'!$O:$O,"N",'SA36'!$F:$F,SA34a!$A$21,'SA36'!$G:$G,SA34a!$A25)</f>
        <v>0</v>
      </c>
      <c r="L25" s="1523"/>
    </row>
    <row r="26" spans="1:12" ht="5.0999999999999996" customHeight="1">
      <c r="A26" s="259"/>
      <c r="B26" s="171"/>
      <c r="C26" s="189"/>
      <c r="D26" s="189"/>
      <c r="E26" s="190"/>
      <c r="F26" s="191"/>
      <c r="G26" s="189"/>
      <c r="H26" s="188"/>
      <c r="I26" s="191"/>
      <c r="J26" s="189"/>
      <c r="K26" s="190"/>
      <c r="L26" s="345"/>
    </row>
    <row r="27" spans="1:12" ht="17.25" customHeight="1">
      <c r="A27" s="235" t="s">
        <v>1676</v>
      </c>
      <c r="B27" s="171"/>
      <c r="C27" s="204">
        <f>SUM(C28:C41)</f>
        <v>0</v>
      </c>
      <c r="D27" s="204">
        <f t="shared" ref="D27:K27" si="6">SUM(D28:D41)</f>
        <v>0</v>
      </c>
      <c r="E27" s="205">
        <f t="shared" si="6"/>
        <v>0</v>
      </c>
      <c r="F27" s="206">
        <f t="shared" si="6"/>
        <v>0</v>
      </c>
      <c r="G27" s="204">
        <f t="shared" si="6"/>
        <v>0</v>
      </c>
      <c r="H27" s="203">
        <f t="shared" si="6"/>
        <v>0</v>
      </c>
      <c r="I27" s="206">
        <f t="shared" si="6"/>
        <v>0</v>
      </c>
      <c r="J27" s="204">
        <f t="shared" si="6"/>
        <v>0</v>
      </c>
      <c r="K27" s="205">
        <f t="shared" si="6"/>
        <v>0</v>
      </c>
      <c r="L27" s="345"/>
    </row>
    <row r="28" spans="1:12" ht="11.25" customHeight="1">
      <c r="A28" s="236" t="s">
        <v>2</v>
      </c>
      <c r="B28" s="171"/>
      <c r="C28" s="1810">
        <v>0</v>
      </c>
      <c r="D28" s="1810">
        <v>0</v>
      </c>
      <c r="E28" s="2201">
        <f>SUMIFS('SA36'!I:I,'SA36'!$O:$O,"N",'SA36'!$F:$F,SA34a!$A$27,'SA36'!$G:$G,SA34a!$A28)</f>
        <v>0</v>
      </c>
      <c r="F28" s="2181">
        <v>0</v>
      </c>
      <c r="G28" s="1810">
        <f>SUMIFS('SA36'!J:J,'SA36'!$O:$O,"N",'SA36'!$F:$F,SA34a!$A$27,'SA36'!$G:$G,SA34a!$A28)</f>
        <v>0</v>
      </c>
      <c r="H28" s="2202">
        <f>G28</f>
        <v>0</v>
      </c>
      <c r="I28" s="2181">
        <f>SUMIFS('SA36'!K:K,'SA36'!$O:$O,"N",'SA36'!$F:$F,SA34a!$A$27,'SA36'!$G:$G,SA34a!$A28)</f>
        <v>0</v>
      </c>
      <c r="J28" s="1810">
        <f>SUMIFS('SA36'!L:L,'SA36'!$O:$O,"N",'SA36'!$F:$F,SA34a!$A$27,'SA36'!$G:$G,SA34a!$A28)</f>
        <v>0</v>
      </c>
      <c r="K28" s="2113">
        <f>SUMIFS('SA36'!M:M,'SA36'!$O:$O,"N",'SA36'!$F:$F,SA34a!$A$27,'SA36'!$G:$G,SA34a!$A28)</f>
        <v>0</v>
      </c>
      <c r="L28" s="1523"/>
    </row>
    <row r="29" spans="1:12" ht="11.25" customHeight="1">
      <c r="A29" s="236" t="s">
        <v>2189</v>
      </c>
      <c r="B29" s="171"/>
      <c r="C29" s="1805">
        <v>0</v>
      </c>
      <c r="D29" s="1805">
        <v>0</v>
      </c>
      <c r="E29" s="1820">
        <f>SUMIFS('SA36'!I:I,'SA36'!$O:$O,"N",'SA36'!$F:$F,SA34a!$A$27,'SA36'!$G:$G,SA34a!$A29)</f>
        <v>0</v>
      </c>
      <c r="F29" s="1821">
        <v>0</v>
      </c>
      <c r="G29" s="1805">
        <f>SUMIFS('SA36'!J:J,'SA36'!$O:$O,"N",'SA36'!$F:$F,SA34a!$A$27,'SA36'!$G:$G,SA34a!$A29)</f>
        <v>0</v>
      </c>
      <c r="H29" s="1822">
        <f t="shared" ref="H29:H41" si="7">G29</f>
        <v>0</v>
      </c>
      <c r="I29" s="1821">
        <f>SUMIFS('SA36'!K:K,'SA36'!$O:$O,"N",'SA36'!$F:$F,SA34a!$A$27,'SA36'!$G:$G,SA34a!$A29)</f>
        <v>0</v>
      </c>
      <c r="J29" s="1805">
        <f>SUMIFS('SA36'!L:L,'SA36'!$O:$O,"N",'SA36'!$F:$F,SA34a!$A$27,'SA36'!$G:$G,SA34a!$A29)</f>
        <v>0</v>
      </c>
      <c r="K29" s="1820">
        <f>SUMIFS('SA36'!M:M,'SA36'!$O:$O,"N",'SA36'!$F:$F,SA34a!$A$27,'SA36'!$G:$G,SA34a!$A29)</f>
        <v>0</v>
      </c>
      <c r="L29" s="1523"/>
    </row>
    <row r="30" spans="1:12" ht="11.25" customHeight="1">
      <c r="A30" s="236" t="s">
        <v>528</v>
      </c>
      <c r="B30" s="171"/>
      <c r="C30" s="1805">
        <v>0</v>
      </c>
      <c r="D30" s="1805">
        <v>0</v>
      </c>
      <c r="E30" s="1820">
        <f>SUMIFS('SA36'!I:I,'SA36'!$O:$O,"N",'SA36'!$F:$F,SA34a!$A$27,'SA36'!$G:$G,SA34a!$A30)</f>
        <v>0</v>
      </c>
      <c r="F30" s="1821">
        <v>0</v>
      </c>
      <c r="G30" s="1805">
        <f>SUMIFS('SA36'!J:J,'SA36'!$O:$O,"N",'SA36'!$F:$F,SA34a!$A$27,'SA36'!$G:$G,SA34a!$A30)</f>
        <v>0</v>
      </c>
      <c r="H30" s="1822">
        <f t="shared" si="7"/>
        <v>0</v>
      </c>
      <c r="I30" s="1821">
        <f>SUMIFS('SA36'!K:K,'SA36'!$O:$O,"N",'SA36'!$F:$F,SA34a!$A$27,'SA36'!$G:$G,SA34a!$A30)</f>
        <v>0</v>
      </c>
      <c r="J30" s="1805">
        <f>SUMIFS('SA36'!L:L,'SA36'!$O:$O,"N",'SA36'!$F:$F,SA34a!$A$27,'SA36'!$G:$G,SA34a!$A30)</f>
        <v>0</v>
      </c>
      <c r="K30" s="1820">
        <f>SUMIFS('SA36'!M:M,'SA36'!$O:$O,"N",'SA36'!$F:$F,SA34a!$A$27,'SA36'!$G:$G,SA34a!$A30)</f>
        <v>0</v>
      </c>
      <c r="L30" s="1523"/>
    </row>
    <row r="31" spans="1:12" ht="11.25" customHeight="1">
      <c r="A31" s="236" t="s">
        <v>1</v>
      </c>
      <c r="B31" s="171"/>
      <c r="C31" s="1805">
        <v>0</v>
      </c>
      <c r="D31" s="1805">
        <v>0</v>
      </c>
      <c r="E31" s="1820">
        <f>SUMIFS('SA36'!I:I,'SA36'!$O:$O,"N",'SA36'!$F:$F,SA34a!$A$27,'SA36'!$G:$G,SA34a!$A31)</f>
        <v>0</v>
      </c>
      <c r="F31" s="1821">
        <v>0</v>
      </c>
      <c r="G31" s="1805">
        <f>SUMIFS('SA36'!J:J,'SA36'!$O:$O,"N",'SA36'!$F:$F,SA34a!$A$27,'SA36'!$G:$G,SA34a!$A31)</f>
        <v>0</v>
      </c>
      <c r="H31" s="1822">
        <f t="shared" si="7"/>
        <v>0</v>
      </c>
      <c r="I31" s="1821">
        <f>SUMIFS('SA36'!K:K,'SA36'!$O:$O,"N",'SA36'!$F:$F,SA34a!$A$27,'SA36'!$G:$G,SA34a!$A31)</f>
        <v>0</v>
      </c>
      <c r="J31" s="1805">
        <f>SUMIFS('SA36'!L:L,'SA36'!$O:$O,"N",'SA36'!$F:$F,SA34a!$A$27,'SA36'!$G:$G,SA34a!$A31)</f>
        <v>0</v>
      </c>
      <c r="K31" s="1820">
        <f>SUMIFS('SA36'!M:M,'SA36'!$O:$O,"N",'SA36'!$F:$F,SA34a!$A$27,'SA36'!$G:$G,SA34a!$A31)</f>
        <v>0</v>
      </c>
      <c r="L31" s="1523"/>
    </row>
    <row r="32" spans="1:12" ht="11.25" customHeight="1">
      <c r="A32" s="236" t="s">
        <v>347</v>
      </c>
      <c r="B32" s="171"/>
      <c r="C32" s="1805">
        <v>0</v>
      </c>
      <c r="D32" s="1805">
        <v>0</v>
      </c>
      <c r="E32" s="1820">
        <f>SUMIFS('SA36'!I:I,'SA36'!$O:$O,"N",'SA36'!$F:$F,SA34a!$A$27,'SA36'!$G:$G,SA34a!$A32)</f>
        <v>0</v>
      </c>
      <c r="F32" s="1821">
        <v>0</v>
      </c>
      <c r="G32" s="1805">
        <f>SUMIFS('SA36'!J:J,'SA36'!$O:$O,"N",'SA36'!$F:$F,SA34a!$A$27,'SA36'!$G:$G,SA34a!$A32)</f>
        <v>0</v>
      </c>
      <c r="H32" s="1822">
        <f t="shared" si="7"/>
        <v>0</v>
      </c>
      <c r="I32" s="1821">
        <f>SUMIFS('SA36'!K:K,'SA36'!$O:$O,"N",'SA36'!$F:$F,SA34a!$A$27,'SA36'!$G:$G,SA34a!$A32)</f>
        <v>0</v>
      </c>
      <c r="J32" s="1805">
        <f>SUMIFS('SA36'!L:L,'SA36'!$O:$O,"N",'SA36'!$F:$F,SA34a!$A$27,'SA36'!$G:$G,SA34a!$A32)</f>
        <v>0</v>
      </c>
      <c r="K32" s="1820">
        <f>SUMIFS('SA36'!M:M,'SA36'!$O:$O,"N",'SA36'!$F:$F,SA34a!$A$27,'SA36'!$G:$G,SA34a!$A32)</f>
        <v>0</v>
      </c>
      <c r="L32" s="1523"/>
    </row>
    <row r="33" spans="1:15" ht="11.25" customHeight="1">
      <c r="A33" s="236" t="s">
        <v>0</v>
      </c>
      <c r="B33" s="171"/>
      <c r="C33" s="1805">
        <v>0</v>
      </c>
      <c r="D33" s="1805">
        <v>0</v>
      </c>
      <c r="E33" s="1820">
        <f>SUMIFS('SA36'!I:I,'SA36'!$O:$O,"N",'SA36'!$F:$F,SA34a!$A$27,'SA36'!$G:$G,SA34a!$A33)</f>
        <v>0</v>
      </c>
      <c r="F33" s="1821">
        <v>0</v>
      </c>
      <c r="G33" s="1805">
        <f>SUMIFS('SA36'!J:J,'SA36'!$O:$O,"N",'SA36'!$F:$F,SA34a!$A$27,'SA36'!$G:$G,SA34a!$A33)</f>
        <v>0</v>
      </c>
      <c r="H33" s="1822">
        <f t="shared" si="7"/>
        <v>0</v>
      </c>
      <c r="I33" s="1821">
        <f>SUMIFS('SA36'!K:K,'SA36'!$O:$O,"N",'SA36'!$F:$F,SA34a!$A$27,'SA36'!$G:$G,SA34a!$A33)</f>
        <v>0</v>
      </c>
      <c r="J33" s="1805">
        <f>SUMIFS('SA36'!L:L,'SA36'!$O:$O,"N",'SA36'!$F:$F,SA34a!$A$27,'SA36'!$G:$G,SA34a!$A33)</f>
        <v>0</v>
      </c>
      <c r="K33" s="1820">
        <f>SUMIFS('SA36'!M:M,'SA36'!$O:$O,"N",'SA36'!$F:$F,SA34a!$A$27,'SA36'!$G:$G,SA34a!$A33)</f>
        <v>0</v>
      </c>
      <c r="L33" s="1523"/>
    </row>
    <row r="34" spans="1:15" ht="11.25" customHeight="1">
      <c r="A34" s="236" t="s">
        <v>1698</v>
      </c>
      <c r="B34" s="171"/>
      <c r="C34" s="1805">
        <v>0</v>
      </c>
      <c r="D34" s="1805">
        <v>0</v>
      </c>
      <c r="E34" s="1820">
        <f>SUMIFS('SA36'!I:I,'SA36'!$O:$O,"N",'SA36'!$F:$F,SA34a!$A$27,'SA36'!$G:$G,SA34a!$A34)</f>
        <v>0</v>
      </c>
      <c r="F34" s="1821">
        <v>0</v>
      </c>
      <c r="G34" s="1805">
        <f>SUMIFS('SA36'!J:J,'SA36'!$O:$O,"N",'SA36'!$F:$F,SA34a!$A$27,'SA36'!$G:$G,SA34a!$A34)</f>
        <v>0</v>
      </c>
      <c r="H34" s="1822">
        <f t="shared" si="7"/>
        <v>0</v>
      </c>
      <c r="I34" s="1821">
        <f>SUMIFS('SA36'!K:K,'SA36'!$O:$O,"N",'SA36'!$F:$F,SA34a!$A$27,'SA36'!$G:$G,SA34a!$A34)</f>
        <v>0</v>
      </c>
      <c r="J34" s="1805">
        <f>SUMIFS('SA36'!L:L,'SA36'!$O:$O,"N",'SA36'!$F:$F,SA34a!$A$27,'SA36'!$G:$G,SA34a!$A34)</f>
        <v>0</v>
      </c>
      <c r="K34" s="1820">
        <f>SUMIFS('SA36'!M:M,'SA36'!$O:$O,"N",'SA36'!$F:$F,SA34a!$A$27,'SA36'!$G:$G,SA34a!$A34)</f>
        <v>0</v>
      </c>
      <c r="L34" s="1523"/>
    </row>
    <row r="35" spans="1:15" ht="11.25" customHeight="1">
      <c r="A35" s="236" t="s">
        <v>1024</v>
      </c>
      <c r="B35" s="171"/>
      <c r="C35" s="1805">
        <v>0</v>
      </c>
      <c r="D35" s="1805">
        <v>0</v>
      </c>
      <c r="E35" s="1820">
        <f>SUMIFS('SA36'!I:I,'SA36'!$O:$O,"N",'SA36'!$F:$F,SA34a!$A$27,'SA36'!$G:$G,SA34a!$A35)</f>
        <v>0</v>
      </c>
      <c r="F35" s="1821">
        <v>0</v>
      </c>
      <c r="G35" s="1805">
        <f>SUMIFS('SA36'!J:J,'SA36'!$O:$O,"N",'SA36'!$F:$F,SA34a!$A$27,'SA36'!$G:$G,SA34a!$A35)</f>
        <v>0</v>
      </c>
      <c r="H35" s="1822">
        <f t="shared" si="7"/>
        <v>0</v>
      </c>
      <c r="I35" s="1821">
        <f>SUMIFS('SA36'!K:K,'SA36'!$O:$O,"N",'SA36'!$F:$F,SA34a!$A$27,'SA36'!$G:$G,SA34a!$A35)</f>
        <v>0</v>
      </c>
      <c r="J35" s="1805">
        <f>SUMIFS('SA36'!L:L,'SA36'!$O:$O,"N",'SA36'!$F:$F,SA34a!$A$27,'SA36'!$G:$G,SA34a!$A35)</f>
        <v>0</v>
      </c>
      <c r="K35" s="1820">
        <f>SUMIFS('SA36'!M:M,'SA36'!$O:$O,"N",'SA36'!$F:$F,SA34a!$A$27,'SA36'!$G:$G,SA34a!$A35)</f>
        <v>0</v>
      </c>
      <c r="L35" s="1523"/>
    </row>
    <row r="36" spans="1:15" ht="11.25" customHeight="1">
      <c r="A36" s="236" t="s">
        <v>1627</v>
      </c>
      <c r="B36" s="171">
        <v>7</v>
      </c>
      <c r="C36" s="1805">
        <v>0</v>
      </c>
      <c r="D36" s="1805">
        <v>0</v>
      </c>
      <c r="E36" s="1820">
        <f>SUMIFS('SA36'!I:I,'SA36'!$O:$O,"N",'SA36'!$F:$F,SA34a!$A$27,'SA36'!$G:$G,SA34a!$A36)</f>
        <v>0</v>
      </c>
      <c r="F36" s="1821">
        <v>0</v>
      </c>
      <c r="G36" s="1805">
        <f>SUMIFS('SA36'!J:J,'SA36'!$O:$O,"N",'SA36'!$F:$F,SA34a!$A$27,'SA36'!$G:$G,SA34a!$A36)</f>
        <v>0</v>
      </c>
      <c r="H36" s="1822">
        <f t="shared" si="7"/>
        <v>0</v>
      </c>
      <c r="I36" s="1821">
        <f>SUMIFS('SA36'!K:K,'SA36'!$O:$O,"N",'SA36'!$F:$F,SA34a!$A$27,'SA36'!$G:$G,SA34a!$A36)</f>
        <v>0</v>
      </c>
      <c r="J36" s="1805">
        <f>SUMIFS('SA36'!L:L,'SA36'!$O:$O,"N",'SA36'!$F:$F,SA34a!$A$27,'SA36'!$G:$G,SA34a!$A36)</f>
        <v>0</v>
      </c>
      <c r="K36" s="1820">
        <f>SUMIFS('SA36'!M:M,'SA36'!$O:$O,"N",'SA36'!$F:$F,SA34a!$A$27,'SA36'!$G:$G,SA34a!$A36)</f>
        <v>0</v>
      </c>
      <c r="L36" s="1523"/>
    </row>
    <row r="37" spans="1:15" ht="11.25" customHeight="1">
      <c r="A37" s="236" t="s">
        <v>1375</v>
      </c>
      <c r="B37" s="171"/>
      <c r="C37" s="1805">
        <v>0</v>
      </c>
      <c r="D37" s="1805">
        <v>0</v>
      </c>
      <c r="E37" s="1820">
        <f>SUMIFS('SA36'!I:I,'SA36'!$O:$O,"N",'SA36'!$F:$F,SA34a!$A$27,'SA36'!$G:$G,SA34a!$A37)</f>
        <v>0</v>
      </c>
      <c r="F37" s="1821">
        <v>0</v>
      </c>
      <c r="G37" s="1805">
        <f>SUMIFS('SA36'!J:J,'SA36'!$O:$O,"N",'SA36'!$F:$F,SA34a!$A$27,'SA36'!$G:$G,SA34a!$A37)</f>
        <v>0</v>
      </c>
      <c r="H37" s="1822">
        <f t="shared" si="7"/>
        <v>0</v>
      </c>
      <c r="I37" s="1821">
        <f>SUMIFS('SA36'!K:K,'SA36'!$O:$O,"N",'SA36'!$F:$F,SA34a!$A$27,'SA36'!$G:$G,SA34a!$A37)</f>
        <v>0</v>
      </c>
      <c r="J37" s="1805">
        <f>SUMIFS('SA36'!L:L,'SA36'!$O:$O,"N",'SA36'!$F:$F,SA34a!$A$27,'SA36'!$G:$G,SA34a!$A37)</f>
        <v>0</v>
      </c>
      <c r="K37" s="1820">
        <f>SUMIFS('SA36'!M:M,'SA36'!$O:$O,"N",'SA36'!$F:$F,SA34a!$A$27,'SA36'!$G:$G,SA34a!$A37)</f>
        <v>0</v>
      </c>
      <c r="L37" s="1523"/>
      <c r="O37" s="345"/>
    </row>
    <row r="38" spans="1:15" ht="11.25" customHeight="1">
      <c r="A38" s="236" t="s">
        <v>757</v>
      </c>
      <c r="B38" s="171"/>
      <c r="C38" s="1805">
        <v>0</v>
      </c>
      <c r="D38" s="1805">
        <v>0</v>
      </c>
      <c r="E38" s="1820">
        <f>SUMIFS('SA36'!I:I,'SA36'!$O:$O,"N",'SA36'!$F:$F,SA34a!$A$27,'SA36'!$G:$G,SA34a!$A38)</f>
        <v>0</v>
      </c>
      <c r="F38" s="1821">
        <v>0</v>
      </c>
      <c r="G38" s="1805">
        <f>SUMIFS('SA36'!J:J,'SA36'!$O:$O,"N",'SA36'!$F:$F,SA34a!$A$27,'SA36'!$G:$G,SA34a!$A38)</f>
        <v>0</v>
      </c>
      <c r="H38" s="1822">
        <f t="shared" si="7"/>
        <v>0</v>
      </c>
      <c r="I38" s="1821">
        <f>SUMIFS('SA36'!K:K,'SA36'!$O:$O,"N",'SA36'!$F:$F,SA34a!$A$27,'SA36'!$G:$G,SA34a!$A38)</f>
        <v>0</v>
      </c>
      <c r="J38" s="1805">
        <f>SUMIFS('SA36'!L:L,'SA36'!$O:$O,"N",'SA36'!$F:$F,SA34a!$A$27,'SA36'!$G:$G,SA34a!$A38)</f>
        <v>0</v>
      </c>
      <c r="K38" s="1820">
        <f>SUMIFS('SA36'!M:M,'SA36'!$O:$O,"N",'SA36'!$F:$F,SA34a!$A$27,'SA36'!$G:$G,SA34a!$A38)</f>
        <v>0</v>
      </c>
      <c r="L38" s="1523"/>
    </row>
    <row r="39" spans="1:15" ht="11.25" customHeight="1">
      <c r="A39" s="236" t="s">
        <v>526</v>
      </c>
      <c r="B39" s="171"/>
      <c r="C39" s="1805">
        <v>0</v>
      </c>
      <c r="D39" s="1805">
        <v>0</v>
      </c>
      <c r="E39" s="1820">
        <f>SUMIFS('SA36'!I:I,'SA36'!$O:$O,"N",'SA36'!$F:$F,SA34a!$A$27,'SA36'!$G:$G,SA34a!$A39)</f>
        <v>0</v>
      </c>
      <c r="F39" s="1821">
        <v>0</v>
      </c>
      <c r="G39" s="1805">
        <f>SUMIFS('SA36'!J:J,'SA36'!$O:$O,"N",'SA36'!$F:$F,SA34a!$A$27,'SA36'!$G:$G,SA34a!$A39)</f>
        <v>0</v>
      </c>
      <c r="H39" s="1822">
        <f t="shared" si="7"/>
        <v>0</v>
      </c>
      <c r="I39" s="1821">
        <f>SUMIFS('SA36'!K:K,'SA36'!$O:$O,"N",'SA36'!$F:$F,SA34a!$A$27,'SA36'!$G:$G,SA34a!$A39)</f>
        <v>0</v>
      </c>
      <c r="J39" s="1805">
        <f>SUMIFS('SA36'!L:L,'SA36'!$O:$O,"N",'SA36'!$F:$F,SA34a!$A$27,'SA36'!$G:$G,SA34a!$A39)</f>
        <v>0</v>
      </c>
      <c r="K39" s="1820">
        <f>SUMIFS('SA36'!M:M,'SA36'!$O:$O,"N",'SA36'!$F:$F,SA34a!$A$27,'SA36'!$G:$G,SA34a!$A39)</f>
        <v>0</v>
      </c>
      <c r="L39" s="1523"/>
    </row>
    <row r="40" spans="1:15" ht="11.25" customHeight="1">
      <c r="A40" s="236" t="s">
        <v>31</v>
      </c>
      <c r="B40" s="171">
        <v>8</v>
      </c>
      <c r="C40" s="1805">
        <v>0</v>
      </c>
      <c r="D40" s="1805">
        <v>0</v>
      </c>
      <c r="E40" s="1820">
        <f>SUMIFS('SA36'!I:I,'SA36'!$O:$O,"N",'SA36'!$F:$F,SA34a!$A$27,'SA36'!$G:$G,SA34a!$A40)</f>
        <v>0</v>
      </c>
      <c r="F40" s="1821">
        <v>0</v>
      </c>
      <c r="G40" s="1805">
        <f>SUMIFS('SA36'!J:J,'SA36'!$O:$O,"N",'SA36'!$F:$F,SA34a!$A$27,'SA36'!$G:$G,SA34a!$A40)</f>
        <v>0</v>
      </c>
      <c r="H40" s="1822">
        <f t="shared" si="7"/>
        <v>0</v>
      </c>
      <c r="I40" s="1821">
        <f>SUMIFS('SA36'!K:K,'SA36'!$O:$O,"N",'SA36'!$F:$F,SA34a!$A$27,'SA36'!$G:$G,SA34a!$A40)</f>
        <v>0</v>
      </c>
      <c r="J40" s="1805">
        <f>SUMIFS('SA36'!L:L,'SA36'!$O:$O,"N",'SA36'!$F:$F,SA34a!$A$27,'SA36'!$G:$G,SA34a!$A40)</f>
        <v>0</v>
      </c>
      <c r="K40" s="1820">
        <f>SUMIFS('SA36'!M:M,'SA36'!$O:$O,"N",'SA36'!$F:$F,SA34a!$A$27,'SA36'!$G:$G,SA34a!$A40)</f>
        <v>0</v>
      </c>
      <c r="L40" s="345"/>
    </row>
    <row r="41" spans="1:15" ht="11.25" customHeight="1">
      <c r="A41" s="236" t="s">
        <v>297</v>
      </c>
      <c r="B41" s="171"/>
      <c r="C41" s="1839">
        <v>0</v>
      </c>
      <c r="D41" s="1839">
        <v>0</v>
      </c>
      <c r="E41" s="1840">
        <f>SUMIFS('SA36'!I:I,'SA36'!$O:$O,"N",'SA36'!$F:$F,SA34a!$A$27,'SA36'!$G:$G,SA34a!$A41)</f>
        <v>0</v>
      </c>
      <c r="F41" s="1841">
        <v>0</v>
      </c>
      <c r="G41" s="1839">
        <f>SUMIFS('SA36'!J:J,'SA36'!$O:$O,"N",'SA36'!$F:$F,SA34a!$A$27,'SA36'!$G:$G,SA34a!$A41)</f>
        <v>0</v>
      </c>
      <c r="H41" s="1842">
        <f t="shared" si="7"/>
        <v>0</v>
      </c>
      <c r="I41" s="1841">
        <f>SUMIFS('SA36'!K:K,'SA36'!$O:$O,"N",'SA36'!$F:$F,SA34a!$A$27,'SA36'!$G:$G,SA34a!$A41)</f>
        <v>0</v>
      </c>
      <c r="J41" s="1839">
        <f>SUMIFS('SA36'!L:L,'SA36'!$O:$O,"N",'SA36'!$F:$F,SA34a!$A$27,'SA36'!$G:$G,SA34a!$A41)</f>
        <v>0</v>
      </c>
      <c r="K41" s="1840">
        <f>SUMIFS('SA36'!M:M,'SA36'!$O:$O,"N",'SA36'!$F:$F,SA34a!$A$27,'SA36'!$G:$G,SA34a!$A41)</f>
        <v>0</v>
      </c>
      <c r="L41" s="1523"/>
    </row>
    <row r="42" spans="1:15" ht="5.0999999999999996" customHeight="1">
      <c r="A42" s="259"/>
      <c r="B42" s="171"/>
      <c r="C42" s="189"/>
      <c r="D42" s="189"/>
      <c r="E42" s="190"/>
      <c r="F42" s="191"/>
      <c r="G42" s="189"/>
      <c r="H42" s="188"/>
      <c r="I42" s="191"/>
      <c r="J42" s="189"/>
      <c r="K42" s="190"/>
      <c r="L42" s="345"/>
    </row>
    <row r="43" spans="1:15" ht="17.25" customHeight="1">
      <c r="A43" s="235" t="s">
        <v>1027</v>
      </c>
      <c r="B43" s="171"/>
      <c r="C43" s="189">
        <f>SUM(C44:C45)</f>
        <v>0</v>
      </c>
      <c r="D43" s="189">
        <f t="shared" ref="D43:K43" si="8">SUM(D44:D45)</f>
        <v>0</v>
      </c>
      <c r="E43" s="190">
        <f t="shared" si="8"/>
        <v>0</v>
      </c>
      <c r="F43" s="191">
        <f t="shared" si="8"/>
        <v>0</v>
      </c>
      <c r="G43" s="189">
        <f t="shared" si="8"/>
        <v>0</v>
      </c>
      <c r="H43" s="188">
        <f t="shared" si="8"/>
        <v>0</v>
      </c>
      <c r="I43" s="191">
        <f t="shared" si="8"/>
        <v>0</v>
      </c>
      <c r="J43" s="189">
        <f t="shared" si="8"/>
        <v>0</v>
      </c>
      <c r="K43" s="190">
        <f t="shared" si="8"/>
        <v>0</v>
      </c>
      <c r="L43" s="345"/>
    </row>
    <row r="44" spans="1:15" ht="11.25" customHeight="1">
      <c r="A44" s="236" t="s">
        <v>1345</v>
      </c>
      <c r="B44" s="171"/>
      <c r="C44" s="1811">
        <v>0</v>
      </c>
      <c r="D44" s="1811">
        <v>0</v>
      </c>
      <c r="E44" s="2201">
        <f>SUMIFS('SA36'!I:I,'SA36'!$O:$O,"N",'SA36'!$F:$F,SA34a!$A$43,'SA36'!$G:$G,SA34a!$A44)</f>
        <v>0</v>
      </c>
      <c r="F44" s="2203">
        <v>0</v>
      </c>
      <c r="G44" s="1811">
        <f>SUMIFS('SA36'!J:J,'SA36'!$O:$O,"N",'SA36'!$F:$F,SA34a!$A$43,'SA36'!$G:$G,SA34a!$A44)</f>
        <v>0</v>
      </c>
      <c r="H44" s="2204">
        <f>G44</f>
        <v>0</v>
      </c>
      <c r="I44" s="2203">
        <f>SUMIFS('SA36'!K:K,'SA36'!$O:$O,"N",'SA36'!$F:$F,SA34a!$A$43,'SA36'!$G:$G,SA34a!$A44)</f>
        <v>0</v>
      </c>
      <c r="J44" s="1811">
        <f>SUMIFS('SA36'!L:L,'SA36'!$O:$O,"N",'SA36'!$F:$F,SA34a!$A$43,'SA36'!$G:$G,SA34a!$A44)</f>
        <v>0</v>
      </c>
      <c r="K44" s="2201">
        <f>SUMIFS('SA36'!M:M,'SA36'!$O:$O,"N",'SA36'!$F:$F,SA34a!$A$43,'SA36'!$G:$G,SA34a!$A44)</f>
        <v>0</v>
      </c>
      <c r="L44" s="345"/>
    </row>
    <row r="45" spans="1:15" ht="11.25" customHeight="1">
      <c r="A45" s="240" t="s">
        <v>297</v>
      </c>
      <c r="B45" s="171">
        <v>9</v>
      </c>
      <c r="C45" s="1833">
        <v>0</v>
      </c>
      <c r="D45" s="1833">
        <v>0</v>
      </c>
      <c r="E45" s="2205">
        <f>SUMIFS('SA36'!I:I,'SA36'!$O:$O,"N",'SA36'!$F:$F,SA34a!$A$43,'SA36'!$G:$G,SA34a!$A45)</f>
        <v>0</v>
      </c>
      <c r="F45" s="2206">
        <v>0</v>
      </c>
      <c r="G45" s="1833">
        <f>SUMIFS('SA36'!J:J,'SA36'!$O:$O,"N",'SA36'!$F:$F,SA34a!$A$43,'SA36'!$G:$G,SA34a!$A45)</f>
        <v>0</v>
      </c>
      <c r="H45" s="2207">
        <f>G45</f>
        <v>0</v>
      </c>
      <c r="I45" s="2206">
        <f>SUMIFS('SA36'!K:K,'SA36'!$O:$O,"N",'SA36'!$F:$F,SA34a!$A$43,'SA36'!$G:$G,SA34a!$A45)</f>
        <v>0</v>
      </c>
      <c r="J45" s="1833">
        <f>SUMIFS('SA36'!L:L,'SA36'!$O:$O,"N",'SA36'!$F:$F,SA34a!$A$43,'SA36'!$G:$G,SA34a!$A45)</f>
        <v>0</v>
      </c>
      <c r="K45" s="2205">
        <f>SUMIFS('SA36'!M:M,'SA36'!$O:$O,"N",'SA36'!$F:$F,SA34a!$A$43,'SA36'!$G:$G,SA34a!$A45)</f>
        <v>0</v>
      </c>
      <c r="L45" s="345"/>
    </row>
    <row r="46" spans="1:15" ht="5.0999999999999996" customHeight="1">
      <c r="A46" s="259"/>
      <c r="B46" s="171"/>
      <c r="C46" s="189"/>
      <c r="D46" s="189"/>
      <c r="E46" s="190"/>
      <c r="F46" s="191"/>
      <c r="G46" s="189"/>
      <c r="H46" s="188"/>
      <c r="I46" s="191"/>
      <c r="J46" s="189"/>
      <c r="K46" s="190"/>
      <c r="L46" s="345"/>
    </row>
    <row r="47" spans="1:15" ht="17.25" customHeight="1">
      <c r="A47" s="235" t="s">
        <v>1028</v>
      </c>
      <c r="B47" s="171"/>
      <c r="C47" s="204">
        <f>SUM(C48:C49)</f>
        <v>0</v>
      </c>
      <c r="D47" s="204">
        <f t="shared" ref="D47:K47" si="9">SUM(D48:D49)</f>
        <v>0</v>
      </c>
      <c r="E47" s="205">
        <f t="shared" si="9"/>
        <v>0</v>
      </c>
      <c r="F47" s="206">
        <f t="shared" si="9"/>
        <v>0</v>
      </c>
      <c r="G47" s="204">
        <f t="shared" si="9"/>
        <v>0</v>
      </c>
      <c r="H47" s="203">
        <f t="shared" si="9"/>
        <v>0</v>
      </c>
      <c r="I47" s="206">
        <f t="shared" si="9"/>
        <v>0</v>
      </c>
      <c r="J47" s="204">
        <f t="shared" si="9"/>
        <v>0</v>
      </c>
      <c r="K47" s="205">
        <f t="shared" si="9"/>
        <v>0</v>
      </c>
      <c r="L47" s="345"/>
    </row>
    <row r="48" spans="1:15" ht="11.25" customHeight="1">
      <c r="A48" s="236" t="s">
        <v>527</v>
      </c>
      <c r="B48" s="171"/>
      <c r="C48" s="1810">
        <v>0</v>
      </c>
      <c r="D48" s="1810">
        <v>0</v>
      </c>
      <c r="E48" s="2113">
        <f>SUMIFS('SA36'!I:I,'SA36'!$O:$O,"N",'SA36'!$F:$F,SA34a!$A$47,'SA36'!$G:$G,SA34a!$A48)</f>
        <v>0</v>
      </c>
      <c r="F48" s="2181">
        <v>0</v>
      </c>
      <c r="G48" s="1811">
        <f>SUMIFS('SA36'!J:J,'SA36'!$O:$O,"N",'SA36'!$F:$F,SA34a!$A$47,'SA36'!$G:$G,SA34a!$A48)</f>
        <v>0</v>
      </c>
      <c r="H48" s="2204">
        <f>G48</f>
        <v>0</v>
      </c>
      <c r="I48" s="2203">
        <f>SUMIFS('SA36'!K:K,'SA36'!$O:$O,"N",'SA36'!$F:$F,SA34a!$A$47,'SA36'!$G:$G,SA34a!$A48)</f>
        <v>0</v>
      </c>
      <c r="J48" s="1811">
        <f>SUMIFS('SA36'!L:L,'SA36'!$O:$O,"N",'SA36'!$F:$F,SA34a!$A$47,'SA36'!$G:$G,SA34a!$A48)</f>
        <v>0</v>
      </c>
      <c r="K48" s="2201">
        <f>SUMIFS('SA36'!M:M,'SA36'!$O:$O,"N",'SA36'!$F:$F,SA34a!$A$47,'SA36'!$G:$G,SA34a!$A48)</f>
        <v>0</v>
      </c>
      <c r="L48" s="1523"/>
    </row>
    <row r="49" spans="1:12" ht="11.25" customHeight="1">
      <c r="A49" s="236" t="s">
        <v>297</v>
      </c>
      <c r="B49" s="171"/>
      <c r="C49" s="1839">
        <v>0</v>
      </c>
      <c r="D49" s="1839">
        <v>0</v>
      </c>
      <c r="E49" s="1840">
        <f>SUMIFS('SA36'!I:I,'SA36'!$O:$O,"N",'SA36'!$F:$F,SA34a!$A$47,'SA36'!$G:$G,SA34a!$A49)</f>
        <v>0</v>
      </c>
      <c r="F49" s="1841">
        <v>0</v>
      </c>
      <c r="G49" s="1839">
        <f>SUMIFS('SA36'!J:J,'SA36'!$O:$O,"N",'SA36'!$F:$F,SA34a!$A$47,'SA36'!$G:$G,SA34a!$A49)</f>
        <v>0</v>
      </c>
      <c r="H49" s="1842">
        <f>G49</f>
        <v>0</v>
      </c>
      <c r="I49" s="1841">
        <f>SUMIFS('SA36'!K:K,'SA36'!$O:$O,"N",'SA36'!$F:$F,SA34a!$A$47,'SA36'!$G:$G,SA34a!$A49)</f>
        <v>0</v>
      </c>
      <c r="J49" s="1839">
        <f>SUMIFS('SA36'!L:L,'SA36'!$O:$O,"N",'SA36'!$F:$F,SA34a!$A$47,'SA36'!$G:$G,SA34a!$A49)</f>
        <v>0</v>
      </c>
      <c r="K49" s="1840">
        <f>SUMIFS('SA36'!M:M,'SA36'!$O:$O,"N",'SA36'!$F:$F,SA34a!$A$47,'SA36'!$G:$G,SA34a!$A49)</f>
        <v>0</v>
      </c>
      <c r="L49" s="345"/>
    </row>
    <row r="50" spans="1:12" ht="5.0999999999999996" customHeight="1">
      <c r="A50" s="259"/>
      <c r="B50" s="171"/>
      <c r="C50" s="189"/>
      <c r="D50" s="189"/>
      <c r="E50" s="190"/>
      <c r="F50" s="191"/>
      <c r="G50" s="189"/>
      <c r="H50" s="188"/>
      <c r="I50" s="191"/>
      <c r="J50" s="189"/>
      <c r="K50" s="190"/>
      <c r="L50" s="345"/>
    </row>
    <row r="51" spans="1:12" ht="17.25" customHeight="1">
      <c r="A51" s="235" t="s">
        <v>1029</v>
      </c>
      <c r="B51" s="171"/>
      <c r="C51" s="204">
        <f>SUM(C52:C63)</f>
        <v>0</v>
      </c>
      <c r="D51" s="204">
        <f t="shared" ref="D51:K51" si="10">SUM(D52:D63)</f>
        <v>0</v>
      </c>
      <c r="E51" s="205">
        <f t="shared" si="10"/>
        <v>0</v>
      </c>
      <c r="F51" s="206">
        <f t="shared" si="10"/>
        <v>0</v>
      </c>
      <c r="G51" s="204">
        <f t="shared" si="10"/>
        <v>0</v>
      </c>
      <c r="H51" s="203">
        <f t="shared" si="10"/>
        <v>0</v>
      </c>
      <c r="I51" s="206">
        <f t="shared" si="10"/>
        <v>0</v>
      </c>
      <c r="J51" s="204">
        <f t="shared" si="10"/>
        <v>0</v>
      </c>
      <c r="K51" s="205">
        <f t="shared" si="10"/>
        <v>0</v>
      </c>
      <c r="L51" s="345"/>
    </row>
    <row r="52" spans="1:12" ht="11.25" customHeight="1">
      <c r="A52" s="240" t="s">
        <v>661</v>
      </c>
      <c r="B52" s="171"/>
      <c r="C52" s="1810">
        <v>0</v>
      </c>
      <c r="D52" s="1810">
        <v>0</v>
      </c>
      <c r="E52" s="2113">
        <f>SUMIFS('SA36'!I:I,'SA36'!$O:$O,"N",'SA36'!$F:$F,SA34a!$A$51,'SA36'!$G:$G,SA34a!$A52)</f>
        <v>0</v>
      </c>
      <c r="F52" s="2181">
        <v>0</v>
      </c>
      <c r="G52" s="1810">
        <f>SUMIFS('SA36'!J:J,'SA36'!$O:$O,"N",'SA36'!$F:$F,SA34a!$A$51,'SA36'!$G:$G,SA34a!$A52)</f>
        <v>0</v>
      </c>
      <c r="H52" s="2202">
        <f>G52</f>
        <v>0</v>
      </c>
      <c r="I52" s="2181">
        <f>SUMIFS('SA36'!K:K,'SA36'!$O:$O,"N",'SA36'!$F:$F,SA34a!$A$51,'SA36'!$G:$G,SA34a!$A52)</f>
        <v>0</v>
      </c>
      <c r="J52" s="1810">
        <f>SUMIFS('SA36'!L:L,'SA36'!$O:$O,"N",'SA36'!$F:$F,SA34a!$A$51,'SA36'!$G:$G,SA34a!$A52)</f>
        <v>0</v>
      </c>
      <c r="K52" s="2113">
        <f>SUMIFS('SA36'!M:M,'SA36'!$O:$O,"N",'SA36'!$F:$F,SA34a!$A$51,'SA36'!$G:$G,SA34a!$A52)</f>
        <v>0</v>
      </c>
      <c r="L52" s="1523"/>
    </row>
    <row r="53" spans="1:12" ht="11.25" customHeight="1">
      <c r="A53" s="240" t="s">
        <v>32</v>
      </c>
      <c r="B53" s="171">
        <v>10</v>
      </c>
      <c r="C53" s="1805">
        <v>0</v>
      </c>
      <c r="D53" s="1805">
        <v>0</v>
      </c>
      <c r="E53" s="1820">
        <f>SUMIFS('SA36'!I:I,'SA36'!$O:$O,"N",'SA36'!$F:$F,SA34a!$A$51,'SA36'!$G:$G,SA34a!$A53)</f>
        <v>0</v>
      </c>
      <c r="F53" s="1821">
        <v>0</v>
      </c>
      <c r="G53" s="1805">
        <f>SUMIFS('SA36'!J:J,'SA36'!$O:$O,"N",'SA36'!$F:$F,SA34a!$A$51,'SA36'!$G:$G,SA34a!$A53)</f>
        <v>0</v>
      </c>
      <c r="H53" s="1822">
        <f t="shared" ref="H53:H63" si="11">G53</f>
        <v>0</v>
      </c>
      <c r="I53" s="1821">
        <f>SUMIFS('SA36'!K:K,'SA36'!$O:$O,"N",'SA36'!$F:$F,SA34a!$A$51,'SA36'!$G:$G,SA34a!$A53)</f>
        <v>0</v>
      </c>
      <c r="J53" s="1805">
        <f>SUMIFS('SA36'!L:L,'SA36'!$O:$O,"N",'SA36'!$F:$F,SA34a!$A$51,'SA36'!$G:$G,SA34a!$A53)</f>
        <v>0</v>
      </c>
      <c r="K53" s="1820">
        <f>SUMIFS('SA36'!M:M,'SA36'!$O:$O,"N",'SA36'!$F:$F,SA34a!$A$51,'SA36'!$G:$G,SA34a!$A53)</f>
        <v>0</v>
      </c>
      <c r="L53" s="345"/>
    </row>
    <row r="54" spans="1:12" ht="11.25" customHeight="1">
      <c r="A54" s="240" t="s">
        <v>1331</v>
      </c>
      <c r="B54" s="171"/>
      <c r="C54" s="1805">
        <v>0</v>
      </c>
      <c r="D54" s="1805">
        <v>0</v>
      </c>
      <c r="E54" s="1820">
        <f>SUMIFS('SA36'!I:I,'SA36'!$O:$O,"N",'SA36'!$F:$F,SA34a!$A$51,'SA36'!$G:$G,SA34a!$A54)</f>
        <v>0</v>
      </c>
      <c r="F54" s="1821">
        <v>0</v>
      </c>
      <c r="G54" s="1805">
        <f>SUMIFS('SA36'!J:J,'SA36'!$O:$O,"N",'SA36'!$F:$F,SA34a!$A$51,'SA36'!$G:$G,SA34a!$A54)</f>
        <v>0</v>
      </c>
      <c r="H54" s="1822">
        <f t="shared" si="11"/>
        <v>0</v>
      </c>
      <c r="I54" s="1821">
        <f>SUMIFS('SA36'!K:K,'SA36'!$O:$O,"N",'SA36'!$F:$F,SA34a!$A$51,'SA36'!$G:$G,SA34a!$A54)</f>
        <v>0</v>
      </c>
      <c r="J54" s="1805">
        <f>SUMIFS('SA36'!L:L,'SA36'!$O:$O,"N",'SA36'!$F:$F,SA34a!$A$51,'SA36'!$G:$G,SA34a!$A54)</f>
        <v>0</v>
      </c>
      <c r="K54" s="1820">
        <f>SUMIFS('SA36'!M:M,'SA36'!$O:$O,"N",'SA36'!$F:$F,SA34a!$A$51,'SA36'!$G:$G,SA34a!$A54)</f>
        <v>0</v>
      </c>
      <c r="L54" s="1523"/>
    </row>
    <row r="55" spans="1:12" ht="11.25" customHeight="1">
      <c r="A55" s="240" t="s">
        <v>662</v>
      </c>
      <c r="B55" s="171"/>
      <c r="C55" s="1805">
        <v>0</v>
      </c>
      <c r="D55" s="1805">
        <v>0</v>
      </c>
      <c r="E55" s="1820">
        <f>SUMIFS('SA36'!I:I,'SA36'!$O:$O,"N",'SA36'!$F:$F,SA34a!$A$51,'SA36'!$G:$G,SA34a!$A55)</f>
        <v>0</v>
      </c>
      <c r="F55" s="1821">
        <v>0</v>
      </c>
      <c r="G55" s="1805">
        <f>SUMIFS('SA36'!J:J,'SA36'!$O:$O,"N",'SA36'!$F:$F,SA34a!$A$51,'SA36'!$G:$G,SA34a!$A55)</f>
        <v>0</v>
      </c>
      <c r="H55" s="1822">
        <f t="shared" si="11"/>
        <v>0</v>
      </c>
      <c r="I55" s="1821">
        <f>SUMIFS('SA36'!K:K,'SA36'!$O:$O,"N",'SA36'!$F:$F,SA34a!$A$51,'SA36'!$G:$G,SA34a!$A55)</f>
        <v>0</v>
      </c>
      <c r="J55" s="1805">
        <f>SUMIFS('SA36'!L:L,'SA36'!$O:$O,"N",'SA36'!$F:$F,SA34a!$A$51,'SA36'!$G:$G,SA34a!$A55)</f>
        <v>0</v>
      </c>
      <c r="K55" s="1820">
        <f>SUMIFS('SA36'!M:M,'SA36'!$O:$O,"N",'SA36'!$F:$F,SA34a!$A$51,'SA36'!$G:$G,SA34a!$A55)</f>
        <v>0</v>
      </c>
      <c r="L55" s="1523"/>
    </row>
    <row r="56" spans="1:12" ht="11.25" customHeight="1">
      <c r="A56" s="240" t="s">
        <v>663</v>
      </c>
      <c r="B56" s="171"/>
      <c r="C56" s="1805">
        <v>0</v>
      </c>
      <c r="D56" s="1805">
        <v>0</v>
      </c>
      <c r="E56" s="1820">
        <f>SUMIFS('SA36'!I:I,'SA36'!$O:$O,"N",'SA36'!$F:$F,SA34a!$A$51,'SA36'!$G:$G,SA34a!$A56)</f>
        <v>0</v>
      </c>
      <c r="F56" s="1821">
        <v>0</v>
      </c>
      <c r="G56" s="1805">
        <f>SUMIFS('SA36'!J:J,'SA36'!$O:$O,"N",'SA36'!$F:$F,SA34a!$A$51,'SA36'!$G:$G,SA34a!$A56)</f>
        <v>0</v>
      </c>
      <c r="H56" s="1822">
        <f t="shared" si="11"/>
        <v>0</v>
      </c>
      <c r="I56" s="1821">
        <f>SUMIFS('SA36'!K:K,'SA36'!$O:$O,"N",'SA36'!$F:$F,SA34a!$A$51,'SA36'!$G:$G,SA34a!$A56)</f>
        <v>0</v>
      </c>
      <c r="J56" s="1805">
        <f>SUMIFS('SA36'!L:L,'SA36'!$O:$O,"N",'SA36'!$F:$F,SA34a!$A$51,'SA36'!$G:$G,SA34a!$A56)</f>
        <v>0</v>
      </c>
      <c r="K56" s="1820">
        <f>SUMIFS('SA36'!M:M,'SA36'!$O:$O,"N",'SA36'!$F:$F,SA34a!$A$51,'SA36'!$G:$G,SA34a!$A56)</f>
        <v>0</v>
      </c>
      <c r="L56" s="1523"/>
    </row>
    <row r="57" spans="1:12" ht="11.25" customHeight="1">
      <c r="A57" s="240" t="s">
        <v>1332</v>
      </c>
      <c r="B57" s="171"/>
      <c r="C57" s="1805">
        <v>0</v>
      </c>
      <c r="D57" s="1805">
        <v>0</v>
      </c>
      <c r="E57" s="1820">
        <f>SUMIFS('SA36'!I:I,'SA36'!$O:$O,"N",'SA36'!$F:$F,SA34a!$A$51,'SA36'!$G:$G,SA34a!$A57)</f>
        <v>0</v>
      </c>
      <c r="F57" s="1821">
        <v>0</v>
      </c>
      <c r="G57" s="1805">
        <f>SUMIFS('SA36'!J:J,'SA36'!$O:$O,"N",'SA36'!$F:$F,SA34a!$A$51,'SA36'!$G:$G,SA34a!$A57)</f>
        <v>0</v>
      </c>
      <c r="H57" s="1822">
        <f t="shared" si="11"/>
        <v>0</v>
      </c>
      <c r="I57" s="1821">
        <f>SUMIFS('SA36'!K:K,'SA36'!$O:$O,"N",'SA36'!$F:$F,SA34a!$A$51,'SA36'!$G:$G,SA34a!$A57)</f>
        <v>0</v>
      </c>
      <c r="J57" s="1805">
        <f>SUMIFS('SA36'!L:L,'SA36'!$O:$O,"N",'SA36'!$F:$F,SA34a!$A$51,'SA36'!$G:$G,SA34a!$A57)</f>
        <v>0</v>
      </c>
      <c r="K57" s="1820">
        <f>SUMIFS('SA36'!M:M,'SA36'!$O:$O,"N",'SA36'!$F:$F,SA34a!$A$51,'SA36'!$G:$G,SA34a!$A57)</f>
        <v>0</v>
      </c>
      <c r="L57" s="1523"/>
    </row>
    <row r="58" spans="1:12" ht="11.25" customHeight="1">
      <c r="A58" s="240" t="s">
        <v>1333</v>
      </c>
      <c r="B58" s="171"/>
      <c r="C58" s="1805">
        <v>0</v>
      </c>
      <c r="D58" s="1805">
        <v>0</v>
      </c>
      <c r="E58" s="1820">
        <f>SUMIFS('SA36'!I:I,'SA36'!$O:$O,"N",'SA36'!$F:$F,SA34a!$A$51,'SA36'!$G:$G,SA34a!$A58)</f>
        <v>0</v>
      </c>
      <c r="F58" s="1821">
        <v>0</v>
      </c>
      <c r="G58" s="1805">
        <f>SUMIFS('SA36'!J:J,'SA36'!$O:$O,"N",'SA36'!$F:$F,SA34a!$A$51,'SA36'!$G:$G,SA34a!$A58)</f>
        <v>0</v>
      </c>
      <c r="H58" s="1822">
        <f t="shared" si="11"/>
        <v>0</v>
      </c>
      <c r="I58" s="1821">
        <f>SUMIFS('SA36'!K:K,'SA36'!$O:$O,"N",'SA36'!$F:$F,SA34a!$A$51,'SA36'!$G:$G,SA34a!$A58)</f>
        <v>0</v>
      </c>
      <c r="J58" s="1805">
        <f>SUMIFS('SA36'!L:L,'SA36'!$O:$O,"N",'SA36'!$F:$F,SA34a!$A$51,'SA36'!$G:$G,SA34a!$A58)</f>
        <v>0</v>
      </c>
      <c r="K58" s="1820">
        <f>SUMIFS('SA36'!M:M,'SA36'!$O:$O,"N",'SA36'!$F:$F,SA34a!$A$51,'SA36'!$G:$G,SA34a!$A58)</f>
        <v>0</v>
      </c>
      <c r="L58" s="1522"/>
    </row>
    <row r="59" spans="1:12" ht="11.25" customHeight="1">
      <c r="A59" s="240" t="s">
        <v>1625</v>
      </c>
      <c r="B59" s="171"/>
      <c r="C59" s="1805">
        <v>0</v>
      </c>
      <c r="D59" s="1805">
        <v>0</v>
      </c>
      <c r="E59" s="1820">
        <f>SUMIFS('SA36'!I:I,'SA36'!$O:$O,"N",'SA36'!$F:$F,SA34a!$A$51,'SA36'!$G:$G,SA34a!$A59)</f>
        <v>0</v>
      </c>
      <c r="F59" s="1821">
        <v>0</v>
      </c>
      <c r="G59" s="1805">
        <f>SUMIFS('SA36'!J:J,'SA36'!$O:$O,"N",'SA36'!$F:$F,SA34a!$A$51,'SA36'!$G:$G,SA34a!$A59)</f>
        <v>0</v>
      </c>
      <c r="H59" s="1822">
        <f t="shared" si="11"/>
        <v>0</v>
      </c>
      <c r="I59" s="1821">
        <f>SUMIFS('SA36'!K:K,'SA36'!$O:$O,"N",'SA36'!$F:$F,SA34a!$A$51,'SA36'!$G:$G,SA34a!$A59)</f>
        <v>0</v>
      </c>
      <c r="J59" s="1805">
        <f>SUMIFS('SA36'!L:L,'SA36'!$O:$O,"N",'SA36'!$F:$F,SA34a!$A$51,'SA36'!$G:$G,SA34a!$A59)</f>
        <v>0</v>
      </c>
      <c r="K59" s="1820">
        <f>SUMIFS('SA36'!M:M,'SA36'!$O:$O,"N",'SA36'!$F:$F,SA34a!$A$51,'SA36'!$G:$G,SA34a!$A59)</f>
        <v>0</v>
      </c>
      <c r="L59" s="1523"/>
    </row>
    <row r="60" spans="1:12" ht="11.25" customHeight="1">
      <c r="A60" s="240" t="s">
        <v>330</v>
      </c>
      <c r="B60" s="171"/>
      <c r="C60" s="1805">
        <v>0</v>
      </c>
      <c r="D60" s="1805">
        <v>0</v>
      </c>
      <c r="E60" s="1820">
        <f>SUMIFS('SA36'!I:I,'SA36'!$O:$O,"N",'SA36'!$F:$F,SA34a!$A$51,'SA36'!$G:$G,SA34a!$A60)</f>
        <v>0</v>
      </c>
      <c r="F60" s="1821">
        <v>0</v>
      </c>
      <c r="G60" s="1805">
        <f>SUMIFS('SA36'!J:J,'SA36'!$O:$O,"N",'SA36'!$F:$F,SA34a!$A$51,'SA36'!$G:$G,SA34a!$A60)</f>
        <v>0</v>
      </c>
      <c r="H60" s="1822">
        <f t="shared" si="11"/>
        <v>0</v>
      </c>
      <c r="I60" s="1821">
        <f>SUMIFS('SA36'!K:K,'SA36'!$O:$O,"N",'SA36'!$F:$F,SA34a!$A$51,'SA36'!$G:$G,SA34a!$A60)</f>
        <v>0</v>
      </c>
      <c r="J60" s="1805">
        <f>SUMIFS('SA36'!L:L,'SA36'!$O:$O,"N",'SA36'!$F:$F,SA34a!$A$51,'SA36'!$G:$G,SA34a!$A60)</f>
        <v>0</v>
      </c>
      <c r="K60" s="1820">
        <f>SUMIFS('SA36'!M:M,'SA36'!$O:$O,"N",'SA36'!$F:$F,SA34a!$A$51,'SA36'!$G:$G,SA34a!$A60)</f>
        <v>0</v>
      </c>
      <c r="L60" s="1523"/>
    </row>
    <row r="61" spans="1:12" ht="11.25" customHeight="1">
      <c r="A61" s="240" t="s">
        <v>329</v>
      </c>
      <c r="B61" s="171"/>
      <c r="C61" s="1805">
        <v>0</v>
      </c>
      <c r="D61" s="1805">
        <v>0</v>
      </c>
      <c r="E61" s="1820">
        <f>SUMIFS('SA36'!I:I,'SA36'!$O:$O,"N",'SA36'!$F:$F,SA34a!$A$51,'SA36'!$G:$G,SA34a!$A61)</f>
        <v>0</v>
      </c>
      <c r="F61" s="1821">
        <v>0</v>
      </c>
      <c r="G61" s="1805">
        <f>SUMIFS('SA36'!J:J,'SA36'!$O:$O,"N",'SA36'!$F:$F,SA34a!$A$51,'SA36'!$G:$G,SA34a!$A61)</f>
        <v>0</v>
      </c>
      <c r="H61" s="1822">
        <f t="shared" si="11"/>
        <v>0</v>
      </c>
      <c r="I61" s="1821">
        <f>SUMIFS('SA36'!K:K,'SA36'!$O:$O,"N",'SA36'!$F:$F,SA34a!$A$51,'SA36'!$G:$G,SA34a!$A61)</f>
        <v>0</v>
      </c>
      <c r="J61" s="1805">
        <f>SUMIFS('SA36'!L:L,'SA36'!$O:$O,"N",'SA36'!$F:$F,SA34a!$A$51,'SA36'!$G:$G,SA34a!$A61)</f>
        <v>0</v>
      </c>
      <c r="K61" s="1820">
        <f>SUMIFS('SA36'!M:M,'SA36'!$O:$O,"N",'SA36'!$F:$F,SA34a!$A$51,'SA36'!$G:$G,SA34a!$A61)</f>
        <v>0</v>
      </c>
      <c r="L61" s="1523"/>
    </row>
    <row r="62" spans="1:12" ht="11.25" customHeight="1">
      <c r="A62" s="240" t="s">
        <v>664</v>
      </c>
      <c r="B62" s="171"/>
      <c r="C62" s="1805">
        <v>0</v>
      </c>
      <c r="D62" s="1805">
        <v>0</v>
      </c>
      <c r="E62" s="1820">
        <f>SUMIFS('SA36'!I:I,'SA36'!$O:$O,"N",'SA36'!$F:$F,SA34a!$A$51,'SA36'!$G:$G,SA34a!$A62)</f>
        <v>0</v>
      </c>
      <c r="F62" s="1821">
        <v>0</v>
      </c>
      <c r="G62" s="1805">
        <f>SUMIFS('SA36'!J:J,'SA36'!$O:$O,"N",'SA36'!$F:$F,SA34a!$A$51,'SA36'!$G:$G,SA34a!$A62)</f>
        <v>0</v>
      </c>
      <c r="H62" s="1822">
        <f t="shared" si="11"/>
        <v>0</v>
      </c>
      <c r="I62" s="1821">
        <f>SUMIFS('SA36'!K:K,'SA36'!$O:$O,"N",'SA36'!$F:$F,SA34a!$A$51,'SA36'!$G:$G,SA34a!$A62)</f>
        <v>0</v>
      </c>
      <c r="J62" s="1805">
        <f>SUMIFS('SA36'!L:L,'SA36'!$O:$O,"N",'SA36'!$F:$F,SA34a!$A$51,'SA36'!$G:$G,SA34a!$A62)</f>
        <v>0</v>
      </c>
      <c r="K62" s="1820">
        <f>SUMIFS('SA36'!M:M,'SA36'!$O:$O,"N",'SA36'!$F:$F,SA34a!$A$51,'SA36'!$G:$G,SA34a!$A62)</f>
        <v>0</v>
      </c>
      <c r="L62" s="1523"/>
    </row>
    <row r="63" spans="1:12" ht="11.25" customHeight="1">
      <c r="A63" s="236" t="s">
        <v>297</v>
      </c>
      <c r="B63" s="171"/>
      <c r="C63" s="1839">
        <v>0</v>
      </c>
      <c r="D63" s="1839">
        <v>0</v>
      </c>
      <c r="E63" s="1840">
        <f>SUMIFS('SA36'!I:I,'SA36'!$O:$O,"N",'SA36'!$F:$F,SA34a!$A$51,'SA36'!$G:$G,SA34a!$A63)</f>
        <v>0</v>
      </c>
      <c r="F63" s="1841">
        <v>0</v>
      </c>
      <c r="G63" s="1839">
        <f>SUMIFS('SA36'!J:J,'SA36'!$O:$O,"N",'SA36'!$F:$F,SA34a!$A$51,'SA36'!$G:$G,SA34a!$A63)</f>
        <v>0</v>
      </c>
      <c r="H63" s="1842">
        <f t="shared" si="11"/>
        <v>0</v>
      </c>
      <c r="I63" s="1841">
        <f>SUMIFS('SA36'!K:K,'SA36'!$O:$O,"N",'SA36'!$F:$F,SA34a!$A$51,'SA36'!$G:$G,SA34a!$A63)</f>
        <v>0</v>
      </c>
      <c r="J63" s="1839">
        <f>SUMIFS('SA36'!L:L,'SA36'!$O:$O,"N",'SA36'!$F:$F,SA34a!$A$51,'SA36'!$G:$G,SA34a!$A63)</f>
        <v>0</v>
      </c>
      <c r="K63" s="1840">
        <f>SUMIFS('SA36'!M:M,'SA36'!$O:$O,"N",'SA36'!$F:$F,SA34a!$A$51,'SA36'!$G:$G,SA34a!$A63)</f>
        <v>0</v>
      </c>
      <c r="L63" s="1523"/>
    </row>
    <row r="64" spans="1:12" ht="5.0999999999999996" customHeight="1">
      <c r="A64" s="829"/>
      <c r="B64" s="171"/>
      <c r="C64" s="189"/>
      <c r="D64" s="189"/>
      <c r="E64" s="190"/>
      <c r="F64" s="191"/>
      <c r="G64" s="189"/>
      <c r="H64" s="188"/>
      <c r="I64" s="191"/>
      <c r="J64" s="189"/>
      <c r="K64" s="190"/>
      <c r="L64" s="345"/>
    </row>
    <row r="65" spans="1:12" ht="13.5" customHeight="1">
      <c r="A65" s="235" t="s">
        <v>1644</v>
      </c>
      <c r="B65" s="171"/>
      <c r="C65" s="189">
        <f>SUM(C66:C67)</f>
        <v>0</v>
      </c>
      <c r="D65" s="189">
        <f t="shared" ref="D65:K65" si="12">SUM(D66:D67)</f>
        <v>0</v>
      </c>
      <c r="E65" s="190">
        <f t="shared" si="12"/>
        <v>0</v>
      </c>
      <c r="F65" s="191">
        <f t="shared" si="12"/>
        <v>0</v>
      </c>
      <c r="G65" s="189">
        <f t="shared" si="12"/>
        <v>0</v>
      </c>
      <c r="H65" s="188">
        <f t="shared" si="12"/>
        <v>0</v>
      </c>
      <c r="I65" s="191">
        <f t="shared" si="12"/>
        <v>0</v>
      </c>
      <c r="J65" s="189">
        <f t="shared" si="12"/>
        <v>0</v>
      </c>
      <c r="K65" s="190">
        <f t="shared" si="12"/>
        <v>0</v>
      </c>
      <c r="L65" s="345"/>
    </row>
    <row r="66" spans="1:12" ht="11.25" customHeight="1">
      <c r="A66" s="2166" t="s">
        <v>1346</v>
      </c>
      <c r="B66" s="171"/>
      <c r="C66" s="1810">
        <v>0</v>
      </c>
      <c r="D66" s="1810">
        <v>0</v>
      </c>
      <c r="E66" s="2113">
        <v>0</v>
      </c>
      <c r="F66" s="2181">
        <v>0</v>
      </c>
      <c r="G66" s="1810">
        <v>0</v>
      </c>
      <c r="H66" s="2202">
        <v>0</v>
      </c>
      <c r="I66" s="2181">
        <v>0</v>
      </c>
      <c r="J66" s="1810">
        <v>0</v>
      </c>
      <c r="K66" s="2113">
        <v>0</v>
      </c>
      <c r="L66" s="345"/>
    </row>
    <row r="67" spans="1:12" ht="11.25" customHeight="1">
      <c r="A67" s="2166"/>
      <c r="B67" s="171"/>
      <c r="C67" s="1839">
        <v>0</v>
      </c>
      <c r="D67" s="1839">
        <v>0</v>
      </c>
      <c r="E67" s="1840">
        <v>0</v>
      </c>
      <c r="F67" s="1841">
        <v>0</v>
      </c>
      <c r="G67" s="1839">
        <v>0</v>
      </c>
      <c r="H67" s="1842">
        <v>0</v>
      </c>
      <c r="I67" s="1841">
        <v>0</v>
      </c>
      <c r="J67" s="1839">
        <v>0</v>
      </c>
      <c r="K67" s="1840">
        <v>0</v>
      </c>
      <c r="L67" s="345"/>
    </row>
    <row r="68" spans="1:12" ht="5.0999999999999996" customHeight="1">
      <c r="A68" s="829"/>
      <c r="B68" s="171"/>
      <c r="C68" s="189"/>
      <c r="D68" s="189"/>
      <c r="E68" s="190"/>
      <c r="F68" s="191"/>
      <c r="G68" s="189"/>
      <c r="H68" s="188"/>
      <c r="I68" s="191"/>
      <c r="J68" s="189"/>
      <c r="K68" s="190"/>
      <c r="L68" s="345"/>
    </row>
    <row r="69" spans="1:12" ht="13.5" customHeight="1">
      <c r="A69" s="235" t="s">
        <v>135</v>
      </c>
      <c r="B69" s="171"/>
      <c r="C69" s="189">
        <f>SUM(C70:C71)</f>
        <v>0</v>
      </c>
      <c r="D69" s="189">
        <f t="shared" ref="D69:K69" si="13">SUM(D70:D71)</f>
        <v>0</v>
      </c>
      <c r="E69" s="190">
        <f t="shared" si="13"/>
        <v>0</v>
      </c>
      <c r="F69" s="191">
        <f t="shared" si="13"/>
        <v>0</v>
      </c>
      <c r="G69" s="189">
        <f t="shared" si="13"/>
        <v>0</v>
      </c>
      <c r="H69" s="188">
        <f t="shared" si="13"/>
        <v>0</v>
      </c>
      <c r="I69" s="191">
        <f t="shared" si="13"/>
        <v>0</v>
      </c>
      <c r="J69" s="189">
        <f t="shared" si="13"/>
        <v>0</v>
      </c>
      <c r="K69" s="190">
        <f t="shared" si="13"/>
        <v>0</v>
      </c>
      <c r="L69" s="345"/>
    </row>
    <row r="70" spans="1:12" ht="11.25" customHeight="1">
      <c r="A70" s="2166" t="s">
        <v>1346</v>
      </c>
      <c r="B70" s="171"/>
      <c r="C70" s="1810">
        <v>0</v>
      </c>
      <c r="D70" s="1810">
        <v>0</v>
      </c>
      <c r="E70" s="2113">
        <v>0</v>
      </c>
      <c r="F70" s="2181">
        <v>0</v>
      </c>
      <c r="G70" s="1810">
        <v>0</v>
      </c>
      <c r="H70" s="2202">
        <v>0</v>
      </c>
      <c r="I70" s="2181">
        <v>0</v>
      </c>
      <c r="J70" s="1810">
        <v>0</v>
      </c>
      <c r="K70" s="2113">
        <v>0</v>
      </c>
      <c r="L70" s="345"/>
    </row>
    <row r="71" spans="1:12" ht="11.25" customHeight="1">
      <c r="A71" s="2166"/>
      <c r="B71" s="171"/>
      <c r="C71" s="1839">
        <v>0</v>
      </c>
      <c r="D71" s="1839">
        <v>0</v>
      </c>
      <c r="E71" s="1840">
        <v>0</v>
      </c>
      <c r="F71" s="1841">
        <v>0</v>
      </c>
      <c r="G71" s="1839">
        <v>0</v>
      </c>
      <c r="H71" s="1842">
        <v>0</v>
      </c>
      <c r="I71" s="1841">
        <v>0</v>
      </c>
      <c r="J71" s="1839">
        <v>0</v>
      </c>
      <c r="K71" s="1840">
        <v>0</v>
      </c>
      <c r="L71" s="345"/>
    </row>
    <row r="72" spans="1:12" ht="5.0999999999999996" customHeight="1">
      <c r="A72" s="259"/>
      <c r="B72" s="171"/>
      <c r="C72" s="189"/>
      <c r="D72" s="189"/>
      <c r="E72" s="190"/>
      <c r="F72" s="191"/>
      <c r="G72" s="189"/>
      <c r="H72" s="188"/>
      <c r="I72" s="191"/>
      <c r="J72" s="189"/>
      <c r="K72" s="190"/>
      <c r="L72" s="345"/>
    </row>
    <row r="73" spans="1:12" ht="17.25" customHeight="1">
      <c r="A73" s="235" t="s">
        <v>941</v>
      </c>
      <c r="B73" s="171"/>
      <c r="C73" s="189">
        <f>SUM(C74:C75)</f>
        <v>0</v>
      </c>
      <c r="D73" s="189">
        <f t="shared" ref="D73:K73" si="14">SUM(D74:D75)</f>
        <v>0</v>
      </c>
      <c r="E73" s="190">
        <f t="shared" si="14"/>
        <v>0</v>
      </c>
      <c r="F73" s="191">
        <f t="shared" si="14"/>
        <v>0</v>
      </c>
      <c r="G73" s="189">
        <f t="shared" si="14"/>
        <v>0</v>
      </c>
      <c r="H73" s="188">
        <f t="shared" si="14"/>
        <v>0</v>
      </c>
      <c r="I73" s="191">
        <f t="shared" si="14"/>
        <v>0</v>
      </c>
      <c r="J73" s="189">
        <f t="shared" si="14"/>
        <v>0</v>
      </c>
      <c r="K73" s="190">
        <f t="shared" si="14"/>
        <v>0</v>
      </c>
      <c r="L73" s="345"/>
    </row>
    <row r="74" spans="1:12" ht="11.25" customHeight="1">
      <c r="A74" s="240" t="s">
        <v>1036</v>
      </c>
      <c r="B74" s="171"/>
      <c r="C74" s="1810">
        <v>0</v>
      </c>
      <c r="D74" s="1810">
        <v>0</v>
      </c>
      <c r="E74" s="2113">
        <v>0</v>
      </c>
      <c r="F74" s="2181">
        <v>0</v>
      </c>
      <c r="G74" s="1810">
        <v>0</v>
      </c>
      <c r="H74" s="2202">
        <v>0</v>
      </c>
      <c r="I74" s="2181">
        <v>0</v>
      </c>
      <c r="J74" s="1810">
        <v>0</v>
      </c>
      <c r="K74" s="2113">
        <v>0</v>
      </c>
      <c r="L74" s="345"/>
    </row>
    <row r="75" spans="1:12" ht="11.25" customHeight="1">
      <c r="A75" s="2139" t="s">
        <v>642</v>
      </c>
      <c r="B75" s="171"/>
      <c r="C75" s="1839">
        <v>0</v>
      </c>
      <c r="D75" s="1839">
        <v>0</v>
      </c>
      <c r="E75" s="1840">
        <v>0</v>
      </c>
      <c r="F75" s="1841">
        <v>0</v>
      </c>
      <c r="G75" s="1839">
        <v>0</v>
      </c>
      <c r="H75" s="1842">
        <v>0</v>
      </c>
      <c r="I75" s="1841">
        <v>0</v>
      </c>
      <c r="J75" s="1839">
        <v>0</v>
      </c>
      <c r="K75" s="1840">
        <v>0</v>
      </c>
      <c r="L75" s="345"/>
    </row>
    <row r="76" spans="1:12" ht="5.0999999999999996" customHeight="1">
      <c r="A76" s="259"/>
      <c r="B76" s="171"/>
      <c r="C76" s="204"/>
      <c r="D76" s="204"/>
      <c r="E76" s="205"/>
      <c r="F76" s="206"/>
      <c r="G76" s="204"/>
      <c r="H76" s="203"/>
      <c r="I76" s="206"/>
      <c r="J76" s="204"/>
      <c r="K76" s="205"/>
      <c r="L76" s="345"/>
    </row>
    <row r="77" spans="1:12">
      <c r="A77" s="267" t="s">
        <v>1306</v>
      </c>
      <c r="B77" s="211">
        <v>1</v>
      </c>
      <c r="C77" s="216">
        <f t="shared" ref="C77:K77" si="15">C6+C27+C43+C47+C51+C73+C65+C69</f>
        <v>0</v>
      </c>
      <c r="D77" s="216">
        <f t="shared" si="15"/>
        <v>0</v>
      </c>
      <c r="E77" s="214">
        <f t="shared" si="15"/>
        <v>0</v>
      </c>
      <c r="F77" s="215">
        <f t="shared" si="15"/>
        <v>0</v>
      </c>
      <c r="G77" s="216">
        <f t="shared" si="15"/>
        <v>0</v>
      </c>
      <c r="H77" s="217">
        <f t="shared" si="15"/>
        <v>0</v>
      </c>
      <c r="I77" s="215">
        <f t="shared" si="15"/>
        <v>0</v>
      </c>
      <c r="J77" s="216">
        <f t="shared" si="15"/>
        <v>0</v>
      </c>
      <c r="K77" s="214">
        <f t="shared" si="15"/>
        <v>0</v>
      </c>
      <c r="L77" s="345"/>
    </row>
    <row r="78" spans="1:12">
      <c r="A78" s="1525"/>
      <c r="B78" s="636"/>
      <c r="C78" s="203"/>
      <c r="D78" s="203"/>
      <c r="E78" s="203"/>
      <c r="F78" s="203"/>
      <c r="G78" s="203"/>
      <c r="H78" s="203"/>
      <c r="I78" s="203"/>
      <c r="J78" s="203"/>
      <c r="K78" s="203"/>
      <c r="L78" s="345"/>
    </row>
    <row r="79" spans="1:12">
      <c r="A79" s="1526" t="s">
        <v>32</v>
      </c>
      <c r="B79" s="1527"/>
      <c r="C79" s="1272">
        <f t="shared" ref="C79:K79" si="16">SUM(C80:C83)</f>
        <v>0</v>
      </c>
      <c r="D79" s="1268">
        <f t="shared" si="16"/>
        <v>0</v>
      </c>
      <c r="E79" s="1528">
        <f t="shared" si="16"/>
        <v>0</v>
      </c>
      <c r="F79" s="1272">
        <f t="shared" si="16"/>
        <v>0</v>
      </c>
      <c r="G79" s="1268">
        <f t="shared" si="16"/>
        <v>0</v>
      </c>
      <c r="H79" s="1528">
        <f t="shared" si="16"/>
        <v>0</v>
      </c>
      <c r="I79" s="1272">
        <f t="shared" si="16"/>
        <v>0</v>
      </c>
      <c r="J79" s="1268">
        <f t="shared" si="16"/>
        <v>0</v>
      </c>
      <c r="K79" s="1528">
        <f t="shared" si="16"/>
        <v>0</v>
      </c>
      <c r="L79" s="345"/>
    </row>
    <row r="80" spans="1:12">
      <c r="A80" s="179" t="s">
        <v>1386</v>
      </c>
      <c r="B80" s="1529"/>
      <c r="C80" s="1807">
        <v>0</v>
      </c>
      <c r="D80" s="1805">
        <v>0</v>
      </c>
      <c r="E80" s="1808">
        <v>0</v>
      </c>
      <c r="F80" s="1807">
        <v>0</v>
      </c>
      <c r="G80" s="1805">
        <v>0</v>
      </c>
      <c r="H80" s="1808">
        <v>0</v>
      </c>
      <c r="I80" s="1807">
        <v>0</v>
      </c>
      <c r="J80" s="1805">
        <v>0</v>
      </c>
      <c r="K80" s="1808">
        <v>0</v>
      </c>
      <c r="L80" s="345"/>
    </row>
    <row r="81" spans="1:12">
      <c r="A81" s="179" t="s">
        <v>1626</v>
      </c>
      <c r="B81" s="1529"/>
      <c r="C81" s="1807">
        <v>0</v>
      </c>
      <c r="D81" s="1805">
        <v>0</v>
      </c>
      <c r="E81" s="1808">
        <v>0</v>
      </c>
      <c r="F81" s="1807">
        <v>0</v>
      </c>
      <c r="G81" s="1805">
        <v>0</v>
      </c>
      <c r="H81" s="1808">
        <v>0</v>
      </c>
      <c r="I81" s="1807">
        <v>0</v>
      </c>
      <c r="J81" s="1805">
        <v>0</v>
      </c>
      <c r="K81" s="1808">
        <v>0</v>
      </c>
      <c r="L81" s="345"/>
    </row>
    <row r="82" spans="1:12">
      <c r="A82" s="179" t="s">
        <v>1833</v>
      </c>
      <c r="B82" s="1529"/>
      <c r="C82" s="1807">
        <v>0</v>
      </c>
      <c r="D82" s="1805">
        <v>0</v>
      </c>
      <c r="E82" s="1808">
        <v>0</v>
      </c>
      <c r="F82" s="1807">
        <v>0</v>
      </c>
      <c r="G82" s="1805">
        <v>0</v>
      </c>
      <c r="H82" s="1808">
        <v>0</v>
      </c>
      <c r="I82" s="1807">
        <v>0</v>
      </c>
      <c r="J82" s="1805">
        <v>0</v>
      </c>
      <c r="K82" s="1808">
        <v>0</v>
      </c>
      <c r="L82" s="345"/>
    </row>
    <row r="83" spans="1:12">
      <c r="A83" s="1285" t="s">
        <v>1834</v>
      </c>
      <c r="B83" s="1530"/>
      <c r="C83" s="1890">
        <v>0</v>
      </c>
      <c r="D83" s="1886">
        <v>0</v>
      </c>
      <c r="E83" s="2208">
        <v>0</v>
      </c>
      <c r="F83" s="1890">
        <v>0</v>
      </c>
      <c r="G83" s="1886">
        <v>0</v>
      </c>
      <c r="H83" s="2208">
        <v>0</v>
      </c>
      <c r="I83" s="1890">
        <v>0</v>
      </c>
      <c r="J83" s="1886">
        <v>0</v>
      </c>
      <c r="K83" s="2208">
        <v>0</v>
      </c>
      <c r="L83" s="345"/>
    </row>
    <row r="84" spans="1:12" s="693" customFormat="1" hidden="1">
      <c r="A84" s="1234" t="str">
        <f>head27a</f>
        <v>References</v>
      </c>
      <c r="B84" s="1033"/>
      <c r="C84" s="1037"/>
      <c r="D84" s="1037"/>
      <c r="E84" s="1037"/>
      <c r="F84" s="1037"/>
      <c r="G84" s="1037"/>
      <c r="H84" s="1037"/>
      <c r="I84" s="1037"/>
      <c r="J84" s="1037"/>
      <c r="K84" s="1037"/>
      <c r="L84" s="1524"/>
    </row>
    <row r="85" spans="1:12" s="693" customFormat="1" ht="11.25" hidden="1" customHeight="1">
      <c r="A85" s="1235" t="s">
        <v>1307</v>
      </c>
      <c r="B85" s="1033"/>
      <c r="C85" s="1036"/>
      <c r="D85" s="1036"/>
      <c r="E85" s="1037"/>
      <c r="F85" s="1037"/>
      <c r="G85" s="1037"/>
      <c r="H85" s="1037"/>
      <c r="I85" s="1037"/>
      <c r="J85" s="1037"/>
      <c r="K85" s="1037"/>
    </row>
    <row r="86" spans="1:12" s="693" customFormat="1" ht="11.25" hidden="1" customHeight="1">
      <c r="A86" s="1235" t="s">
        <v>327</v>
      </c>
      <c r="B86" s="1033"/>
      <c r="C86" s="1036"/>
      <c r="D86" s="1036"/>
      <c r="E86" s="1037"/>
      <c r="F86" s="1037"/>
      <c r="G86" s="1037"/>
      <c r="H86" s="1037"/>
      <c r="I86" s="1037"/>
      <c r="J86" s="1037"/>
      <c r="K86" s="1037"/>
    </row>
    <row r="87" spans="1:12" s="693" customFormat="1" ht="11.25" hidden="1" customHeight="1">
      <c r="A87" s="1235" t="s">
        <v>975</v>
      </c>
      <c r="B87" s="1033"/>
      <c r="C87" s="1036"/>
      <c r="D87" s="1036"/>
      <c r="E87" s="1037"/>
      <c r="F87" s="1037"/>
      <c r="G87" s="1037"/>
      <c r="H87" s="1037"/>
      <c r="I87" s="1037"/>
      <c r="J87" s="1037"/>
      <c r="K87" s="1037"/>
    </row>
    <row r="88" spans="1:12" s="693" customFormat="1" ht="11.25" hidden="1" customHeight="1">
      <c r="A88" s="1235" t="s">
        <v>331</v>
      </c>
      <c r="B88" s="1033"/>
      <c r="C88" s="1036"/>
      <c r="D88" s="1036"/>
      <c r="E88" s="1037"/>
      <c r="F88" s="1037"/>
      <c r="G88" s="1037"/>
      <c r="H88" s="1037"/>
      <c r="I88" s="1037"/>
      <c r="J88" s="1037"/>
      <c r="K88" s="1037"/>
    </row>
    <row r="89" spans="1:12" s="693" customFormat="1" ht="11.25" hidden="1" customHeight="1">
      <c r="A89" s="1477" t="s">
        <v>132</v>
      </c>
      <c r="B89" s="1033"/>
      <c r="C89" s="1036"/>
      <c r="D89" s="1036"/>
      <c r="E89" s="1037"/>
      <c r="F89" s="1037"/>
      <c r="G89" s="1037"/>
      <c r="H89" s="1037"/>
      <c r="I89" s="1037"/>
      <c r="J89" s="1037"/>
      <c r="K89" s="1037"/>
    </row>
    <row r="90" spans="1:12" s="693" customFormat="1" ht="11.25" hidden="1" customHeight="1">
      <c r="A90" s="1477" t="s">
        <v>1774</v>
      </c>
      <c r="B90" s="1033"/>
      <c r="C90" s="1036"/>
      <c r="D90" s="1036"/>
      <c r="E90" s="1037"/>
      <c r="F90" s="1037"/>
      <c r="G90" s="1037"/>
      <c r="H90" s="1037"/>
      <c r="I90" s="1037"/>
      <c r="J90" s="1037"/>
      <c r="K90" s="1037"/>
    </row>
    <row r="91" spans="1:12" s="693" customFormat="1" ht="11.25" hidden="1" customHeight="1">
      <c r="A91" s="1477" t="s">
        <v>33</v>
      </c>
      <c r="B91" s="1033"/>
      <c r="C91" s="1036"/>
      <c r="D91" s="1036"/>
      <c r="E91" s="1037"/>
      <c r="F91" s="1037"/>
      <c r="G91" s="1037"/>
      <c r="H91" s="1037"/>
      <c r="I91" s="1037"/>
      <c r="J91" s="1037"/>
      <c r="K91" s="1037"/>
    </row>
    <row r="92" spans="1:12" s="693" customFormat="1" ht="11.25" hidden="1" customHeight="1">
      <c r="A92" s="1477" t="s">
        <v>1434</v>
      </c>
      <c r="B92" s="1033"/>
      <c r="C92" s="1036"/>
      <c r="D92" s="1036"/>
      <c r="E92" s="1037"/>
      <c r="F92" s="1037"/>
      <c r="G92" s="1037"/>
      <c r="H92" s="1037"/>
      <c r="I92" s="1037"/>
      <c r="J92" s="1037"/>
      <c r="K92" s="1037"/>
    </row>
    <row r="93" spans="1:12" s="693" customFormat="1" ht="11.25" hidden="1" customHeight="1">
      <c r="A93" s="1477" t="s">
        <v>1435</v>
      </c>
      <c r="B93" s="1033"/>
      <c r="C93" s="1036"/>
      <c r="D93" s="1036"/>
      <c r="E93" s="1037"/>
      <c r="F93" s="1037"/>
      <c r="G93" s="1037"/>
      <c r="H93" s="1037"/>
      <c r="I93" s="1037"/>
      <c r="J93" s="1037"/>
      <c r="K93" s="1037"/>
    </row>
    <row r="94" spans="1:12" s="693" customFormat="1" ht="11.25" hidden="1" customHeight="1">
      <c r="A94" s="1477" t="s">
        <v>403</v>
      </c>
      <c r="B94" s="1033"/>
      <c r="C94" s="1036"/>
      <c r="D94" s="1036"/>
      <c r="E94" s="1037"/>
      <c r="F94" s="1037"/>
      <c r="G94" s="1037"/>
      <c r="H94" s="1037"/>
      <c r="I94" s="1037"/>
      <c r="J94" s="1037"/>
      <c r="K94" s="1037"/>
    </row>
    <row r="95" spans="1:12" s="693" customFormat="1" ht="11.25" hidden="1" customHeight="1">
      <c r="A95" s="1050"/>
      <c r="B95" s="1033"/>
      <c r="C95" s="1036"/>
      <c r="D95" s="1036"/>
      <c r="E95" s="1037"/>
      <c r="F95" s="1037"/>
      <c r="G95" s="1037"/>
      <c r="H95" s="1037"/>
      <c r="I95" s="1037"/>
      <c r="J95" s="1037"/>
      <c r="K95" s="1037"/>
    </row>
    <row r="96" spans="1:12" ht="11.25" hidden="1" customHeight="1">
      <c r="A96" s="232"/>
      <c r="B96" s="222"/>
      <c r="C96" s="226"/>
      <c r="D96" s="226"/>
      <c r="E96" s="227"/>
      <c r="F96" s="227"/>
      <c r="G96" s="227"/>
      <c r="H96" s="227"/>
      <c r="I96" s="227"/>
      <c r="J96" s="227"/>
      <c r="K96" s="227"/>
    </row>
    <row r="97" spans="1:11" ht="11.25" hidden="1" customHeight="1">
      <c r="A97" s="273" t="s">
        <v>300</v>
      </c>
      <c r="B97" s="229"/>
      <c r="C97" s="421">
        <f>C77-'A5-Capex'!C40+SA34b!C77</f>
        <v>0</v>
      </c>
      <c r="D97" s="421">
        <f>D77-'A5-Capex'!D40+SA34b!D77</f>
        <v>0</v>
      </c>
      <c r="E97" s="421">
        <f>E77-'A5-Capex'!E40+SA34b!E77</f>
        <v>0</v>
      </c>
      <c r="F97" s="421">
        <f>F77-'A5-Capex'!F40+SA34b!F77</f>
        <v>0</v>
      </c>
      <c r="G97" s="421">
        <f>G77-'A5-Capex'!G40+SA34b!G77</f>
        <v>0</v>
      </c>
      <c r="H97" s="421">
        <f>H77-'A5-Capex'!H40+SA34b!H77</f>
        <v>0</v>
      </c>
      <c r="I97" s="421">
        <f>I77-'A5-Capex'!J40+SA34b!I77</f>
        <v>-9488000</v>
      </c>
      <c r="J97" s="421">
        <f>J77-'A5-Capex'!K40+SA34b!J77</f>
        <v>0</v>
      </c>
      <c r="K97" s="421">
        <f>K77-'A5-Capex'!L40+SA34b!K77</f>
        <v>0</v>
      </c>
    </row>
    <row r="98" spans="1:11" ht="11.25" hidden="1" customHeight="1"/>
    <row r="99" spans="1:11" ht="11.25" hidden="1" customHeight="1"/>
    <row r="100" spans="1:11" ht="11.25" hidden="1" customHeight="1"/>
    <row r="101" spans="1:11" ht="11.25" hidden="1" customHeight="1"/>
    <row r="102" spans="1:11" ht="11.25" hidden="1" customHeight="1"/>
    <row r="103" spans="1:11" ht="11.25" hidden="1" customHeight="1"/>
    <row r="104" spans="1:11" ht="11.25" hidden="1" customHeight="1"/>
    <row r="105" spans="1:11" ht="11.25" customHeight="1"/>
    <row r="106" spans="1:11" ht="11.25" customHeight="1"/>
    <row r="107" spans="1:11" ht="11.25" customHeight="1"/>
    <row r="108" spans="1:11" ht="11.25" customHeight="1"/>
    <row r="109" spans="1:11" ht="11.25" customHeight="1"/>
    <row r="110" spans="1:11" ht="11.25" customHeight="1"/>
    <row r="111" spans="1:11" ht="11.25" customHeight="1"/>
    <row r="112" spans="1:11"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sheetData>
  <sheetProtection sheet="1" objects="1" scenarios="1"/>
  <mergeCells count="2">
    <mergeCell ref="F2:H2"/>
    <mergeCell ref="I2:K2"/>
  </mergeCells>
  <phoneticPr fontId="3" type="noConversion"/>
  <printOptions horizontalCentered="1"/>
  <pageMargins left="0" right="0" top="0.78740157480314965" bottom="0.59055118110236227" header="0.51181102362204722" footer="0.39370078740157483"/>
  <pageSetup paperSize="9" scale="76"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enableFormatConditionsCalculation="0">
    <tabColor indexed="42"/>
  </sheetPr>
  <dimension ref="A1:O132"/>
  <sheetViews>
    <sheetView showGridLines="0" workbookViewId="0">
      <pane xSplit="2" ySplit="3" topLeftCell="C4" activePane="bottomRight" state="frozen"/>
      <selection pane="topRight" activeCell="C1" sqref="C1"/>
      <selection pane="bottomLeft" activeCell="A4" sqref="A4"/>
      <selection pane="bottomRight" activeCell="H10" sqref="H10"/>
    </sheetView>
  </sheetViews>
  <sheetFormatPr defaultRowHeight="12.75"/>
  <cols>
    <col min="1" max="1" width="30.7109375" style="150" customWidth="1"/>
    <col min="2" max="2" width="3" style="233" hidden="1" customWidth="1"/>
    <col min="3" max="11" width="9.28515625" style="150" customWidth="1"/>
    <col min="12" max="12" width="9.7109375" style="150" customWidth="1"/>
    <col min="13" max="13" width="9.5703125" style="150" customWidth="1"/>
    <col min="14" max="14" width="9.85546875" style="150" customWidth="1"/>
    <col min="15" max="17" width="9.5703125" style="150" customWidth="1"/>
    <col min="18" max="18" width="9.85546875" style="150" customWidth="1"/>
    <col min="19" max="21" width="9.5703125" style="150" customWidth="1"/>
    <col min="22" max="23" width="9.85546875" style="150" customWidth="1"/>
    <col min="24" max="16384" width="9.140625" style="150"/>
  </cols>
  <sheetData>
    <row r="1" spans="1:12" ht="13.5" customHeight="1">
      <c r="A1" s="148" t="str">
        <f>muni&amp;" - "&amp;TableA34b</f>
        <v>NC071 Ubuntu - Supporting Table SA34b Capital expenditure on the renewal of existing assets by asset class</v>
      </c>
      <c r="B1" s="148"/>
      <c r="C1" s="148"/>
      <c r="D1" s="148"/>
      <c r="E1" s="148"/>
      <c r="F1" s="148"/>
      <c r="G1" s="148"/>
      <c r="H1" s="148"/>
      <c r="I1" s="148"/>
      <c r="J1" s="148"/>
      <c r="K1" s="148"/>
    </row>
    <row r="2" spans="1:12" ht="28.5" customHeight="1">
      <c r="A2" s="979" t="str">
        <f>desc</f>
        <v>Description</v>
      </c>
      <c r="B2" s="394" t="str">
        <f>head27</f>
        <v>Ref</v>
      </c>
      <c r="C2" s="151" t="str">
        <f>head1b</f>
        <v>2007/8</v>
      </c>
      <c r="D2" s="740" t="str">
        <f>head1A</f>
        <v>2008/9</v>
      </c>
      <c r="E2" s="147" t="str">
        <f>Head1</f>
        <v>2009/10</v>
      </c>
      <c r="F2" s="2772" t="str">
        <f>Head2</f>
        <v>Current Year 2010/11</v>
      </c>
      <c r="G2" s="2773"/>
      <c r="H2" s="2773"/>
      <c r="I2" s="2769" t="str">
        <f>Head3</f>
        <v>2011/12 Medium Term Revenue &amp; Expenditure Framework</v>
      </c>
      <c r="J2" s="2770"/>
      <c r="K2" s="2771"/>
    </row>
    <row r="3" spans="1:12" ht="25.5">
      <c r="A3" s="169" t="s">
        <v>697</v>
      </c>
      <c r="B3" s="980">
        <v>1</v>
      </c>
      <c r="C3" s="365" t="str">
        <f>Head5</f>
        <v>Audited Outcome</v>
      </c>
      <c r="D3" s="993" t="str">
        <f>Head5</f>
        <v>Audited Outcome</v>
      </c>
      <c r="E3" s="366" t="str">
        <f>Head5</f>
        <v>Audited Outcome</v>
      </c>
      <c r="F3" s="283" t="str">
        <f>Head6</f>
        <v>Original Budget</v>
      </c>
      <c r="G3" s="365" t="str">
        <f>Head7</f>
        <v>Adjusted Budget</v>
      </c>
      <c r="H3" s="364" t="str">
        <f>Head8</f>
        <v>Full Year Forecast</v>
      </c>
      <c r="I3" s="283" t="str">
        <f>Head9</f>
        <v>Budget Year 2011/12</v>
      </c>
      <c r="J3" s="365" t="str">
        <f>Head10</f>
        <v>Budget Year +1 2012/13</v>
      </c>
      <c r="K3" s="366" t="str">
        <f>Head11</f>
        <v>Budget Year +2 2013/14</v>
      </c>
    </row>
    <row r="4" spans="1:12" ht="11.25" customHeight="1">
      <c r="A4" s="846" t="s">
        <v>1302</v>
      </c>
      <c r="B4" s="733"/>
      <c r="C4" s="1090"/>
      <c r="D4" s="292"/>
      <c r="E4" s="295"/>
      <c r="F4" s="294"/>
      <c r="G4" s="292"/>
      <c r="H4" s="293"/>
      <c r="I4" s="294"/>
      <c r="J4" s="292"/>
      <c r="K4" s="295"/>
    </row>
    <row r="5" spans="1:12" ht="5.0999999999999996" customHeight="1">
      <c r="A5" s="235"/>
      <c r="B5" s="171"/>
      <c r="C5" s="296"/>
      <c r="D5" s="296"/>
      <c r="E5" s="299"/>
      <c r="F5" s="298"/>
      <c r="G5" s="296"/>
      <c r="H5" s="297"/>
      <c r="I5" s="298"/>
      <c r="J5" s="296"/>
      <c r="K5" s="299"/>
    </row>
    <row r="6" spans="1:12" ht="11.25" customHeight="1">
      <c r="A6" s="235" t="s">
        <v>1040</v>
      </c>
      <c r="B6" s="171"/>
      <c r="C6" s="369">
        <f>C7+C10+C14+C18+C21</f>
        <v>0</v>
      </c>
      <c r="D6" s="369">
        <f t="shared" ref="D6:K6" si="0">D7+D10+D14+D18+D21</f>
        <v>0</v>
      </c>
      <c r="E6" s="319">
        <f t="shared" si="0"/>
        <v>0</v>
      </c>
      <c r="F6" s="370">
        <f t="shared" si="0"/>
        <v>0</v>
      </c>
      <c r="G6" s="369">
        <f t="shared" si="0"/>
        <v>0</v>
      </c>
      <c r="H6" s="371">
        <f t="shared" si="0"/>
        <v>0</v>
      </c>
      <c r="I6" s="370">
        <f t="shared" si="0"/>
        <v>0</v>
      </c>
      <c r="J6" s="369">
        <f t="shared" si="0"/>
        <v>0</v>
      </c>
      <c r="K6" s="319">
        <f t="shared" si="0"/>
        <v>0</v>
      </c>
      <c r="L6" s="1522"/>
    </row>
    <row r="7" spans="1:12" s="1498" customFormat="1" ht="13.5">
      <c r="A7" s="236" t="s">
        <v>560</v>
      </c>
      <c r="B7" s="171"/>
      <c r="C7" s="1102">
        <f>SUM(C8:C9)</f>
        <v>0</v>
      </c>
      <c r="D7" s="1102">
        <f t="shared" ref="D7:K7" si="1">SUM(D8:D9)</f>
        <v>0</v>
      </c>
      <c r="E7" s="1351">
        <f t="shared" si="1"/>
        <v>0</v>
      </c>
      <c r="F7" s="1106">
        <f t="shared" si="1"/>
        <v>0</v>
      </c>
      <c r="G7" s="1102">
        <f t="shared" si="1"/>
        <v>0</v>
      </c>
      <c r="H7" s="1151">
        <f t="shared" si="1"/>
        <v>0</v>
      </c>
      <c r="I7" s="1352">
        <f t="shared" si="1"/>
        <v>0</v>
      </c>
      <c r="J7" s="1102">
        <f t="shared" si="1"/>
        <v>0</v>
      </c>
      <c r="K7" s="1151">
        <f t="shared" si="1"/>
        <v>0</v>
      </c>
      <c r="L7" s="345"/>
    </row>
    <row r="8" spans="1:12" s="1498" customFormat="1" ht="13.5">
      <c r="A8" s="1260" t="s">
        <v>561</v>
      </c>
      <c r="B8" s="171"/>
      <c r="C8" s="1805">
        <v>0</v>
      </c>
      <c r="D8" s="1805">
        <v>0</v>
      </c>
      <c r="E8" s="1820">
        <f>SUMIFS('SA36'!I:I,'SA36'!$O:$O,"R",'SA36'!$F:$F,SA34b!$A$7,'SA36'!$G:$G,SA34b!$A8)</f>
        <v>0</v>
      </c>
      <c r="F8" s="1821">
        <f>SUMIFS('SA36'!I:I,'SA36'!$O:$O,"R",'SA36'!$F:$F,SA34b!$A$7,'SA36'!$G:$G,SA34b!$A8)</f>
        <v>0</v>
      </c>
      <c r="G8" s="1805">
        <f>SUMIFS('SA36'!J:J,'SA36'!$O:$O,"R",'SA36'!$F:$F,SA34b!$A$7,'SA36'!$G:$G,SA34b!$A8)</f>
        <v>0</v>
      </c>
      <c r="H8" s="1822">
        <f>G8</f>
        <v>0</v>
      </c>
      <c r="I8" s="1821">
        <f>SUMIFS('SA36'!K:K,'SA36'!$O:$O,"R",'SA36'!$F:$F,SA34b!$A$7,'SA36'!$G:$G,SA34b!$A8)</f>
        <v>0</v>
      </c>
      <c r="J8" s="1805">
        <f>SUMIFS('SA36'!L:L,'SA36'!$O:$O,"R",'SA36'!$F:$F,SA34b!$A$7,'SA36'!$G:$G,SA34b!$A8)</f>
        <v>0</v>
      </c>
      <c r="K8" s="1820">
        <f>SUMIFS('SA36'!M:M,'SA36'!$O:$O,"R",'SA36'!$F:$F,SA34b!$A$7,'SA36'!$G:$G,SA34b!$A8)</f>
        <v>0</v>
      </c>
      <c r="L8" s="1522"/>
    </row>
    <row r="9" spans="1:12" s="1498" customFormat="1" ht="13.5">
      <c r="A9" s="1260" t="s">
        <v>562</v>
      </c>
      <c r="B9" s="171"/>
      <c r="C9" s="1805">
        <v>0</v>
      </c>
      <c r="D9" s="1805">
        <v>0</v>
      </c>
      <c r="E9" s="1820">
        <f>SUMIFS('SA36'!I:I,'SA36'!$O:$O,"R",'SA36'!$F:$F,SA34b!$A$7,'SA36'!$G:$G,SA34b!$A9)</f>
        <v>0</v>
      </c>
      <c r="F9" s="1821">
        <f>SUMIFS('SA36'!I:I,'SA36'!$O:$O,"R",'SA36'!$F:$F,SA34b!$A$7,'SA36'!$G:$G,SA34b!$A9)</f>
        <v>0</v>
      </c>
      <c r="G9" s="1805">
        <f>SUMIFS('SA36'!J:J,'SA36'!$O:$O,"R",'SA36'!$F:$F,SA34b!$A$7,'SA36'!$G:$G,SA34b!$A9)</f>
        <v>0</v>
      </c>
      <c r="H9" s="1822">
        <f>G9</f>
        <v>0</v>
      </c>
      <c r="I9" s="1821">
        <f>SUMIFS('SA36'!K:K,'SA36'!$O:$O,"R",'SA36'!$F:$F,SA34b!$A$7,'SA36'!$G:$G,SA34b!$A9)</f>
        <v>0</v>
      </c>
      <c r="J9" s="1805">
        <f>SUMIFS('SA36'!L:L,'SA36'!$O:$O,"R",'SA36'!$F:$F,SA34b!$A$7,'SA36'!$G:$G,SA34b!$A9)</f>
        <v>0</v>
      </c>
      <c r="K9" s="1820">
        <f>SUMIFS('SA36'!M:M,'SA36'!$O:$O,"R",'SA36'!$F:$F,SA34b!$A$7,'SA36'!$G:$G,SA34b!$A9)</f>
        <v>0</v>
      </c>
      <c r="L9" s="1523"/>
    </row>
    <row r="10" spans="1:12" s="1498" customFormat="1" ht="13.5">
      <c r="A10" s="236" t="s">
        <v>21</v>
      </c>
      <c r="B10" s="171"/>
      <c r="C10" s="1054">
        <f>SUM(C11:C13)</f>
        <v>0</v>
      </c>
      <c r="D10" s="1054">
        <f t="shared" ref="D10:K10" si="2">SUM(D11:D13)</f>
        <v>0</v>
      </c>
      <c r="E10" s="1353">
        <f t="shared" si="2"/>
        <v>0</v>
      </c>
      <c r="F10" s="1058">
        <f t="shared" si="2"/>
        <v>0</v>
      </c>
      <c r="G10" s="1054">
        <f t="shared" si="2"/>
        <v>0</v>
      </c>
      <c r="H10" s="1154">
        <f t="shared" si="2"/>
        <v>0</v>
      </c>
      <c r="I10" s="1354">
        <f t="shared" si="2"/>
        <v>0</v>
      </c>
      <c r="J10" s="1054">
        <f t="shared" si="2"/>
        <v>0</v>
      </c>
      <c r="K10" s="1154">
        <f t="shared" si="2"/>
        <v>0</v>
      </c>
      <c r="L10" s="1523"/>
    </row>
    <row r="11" spans="1:12" s="1498" customFormat="1" ht="13.5">
      <c r="A11" s="1260" t="s">
        <v>22</v>
      </c>
      <c r="B11" s="171"/>
      <c r="C11" s="1805">
        <v>0</v>
      </c>
      <c r="D11" s="1805">
        <v>0</v>
      </c>
      <c r="E11" s="1806">
        <v>0</v>
      </c>
      <c r="F11" s="1821">
        <f>SUMIFS('SA36'!I:I,'SA36'!$O:$O,"R",'SA36'!$F:$F,SA34b!$A$7,'SA36'!$G:$G,SA34b!$A11)</f>
        <v>0</v>
      </c>
      <c r="G11" s="1805">
        <f>SUMIFS('SA36'!J:J,'SA36'!$O:$O,"R",'SA36'!$F:$F,SA34b!$A$10,'SA36'!$G:$G,SA34b!$A11)</f>
        <v>0</v>
      </c>
      <c r="H11" s="1822">
        <f>G11</f>
        <v>0</v>
      </c>
      <c r="I11" s="1821">
        <f>SUMIFS('SA36'!K:K,'SA36'!$O:$O,"R",'SA36'!$F:$F,SA34b!$A$10,'SA36'!$G:$G,SA34b!$A11)</f>
        <v>0</v>
      </c>
      <c r="J11" s="1805">
        <f>SUMIFS('SA36'!L:L,'SA36'!$O:$O,"R",'SA36'!$F:$F,SA34b!$A$10,'SA36'!$G:$G,SA34b!$A11)</f>
        <v>0</v>
      </c>
      <c r="K11" s="1820">
        <f>SUMIFS('SA36'!M:M,'SA36'!$O:$O,"R",'SA36'!$F:$F,SA34b!$A$10,'SA36'!$G:$G,SA34b!$A11)</f>
        <v>0</v>
      </c>
      <c r="L11" s="1523"/>
    </row>
    <row r="12" spans="1:12" s="1498" customFormat="1" ht="13.5">
      <c r="A12" s="1260" t="s">
        <v>23</v>
      </c>
      <c r="B12" s="171"/>
      <c r="C12" s="1805">
        <v>0</v>
      </c>
      <c r="D12" s="1805">
        <v>0</v>
      </c>
      <c r="E12" s="1806">
        <f>SUMIFS('SA36'!I:I,'SA36'!$O:$O,"R",'SA36'!$F:$F,SA34b!$A$10,'SA36'!$G:$G,SA34b!$A12)</f>
        <v>0</v>
      </c>
      <c r="F12" s="1821">
        <f>SUMIFS('SA36'!I:I,'SA36'!$O:$O,"R",'SA36'!$F:$F,SA34b!$A$7,'SA36'!$G:$G,SA34b!$A12)</f>
        <v>0</v>
      </c>
      <c r="G12" s="1805">
        <f>SUMIFS('SA36'!J:J,'SA36'!$O:$O,"R",'SA36'!$F:$F,SA34b!$A$10,'SA36'!$G:$G,SA34b!$A12)</f>
        <v>0</v>
      </c>
      <c r="H12" s="1822">
        <f>G12</f>
        <v>0</v>
      </c>
      <c r="I12" s="1821">
        <f>SUMIFS('SA36'!K:K,'SA36'!$O:$O,"R",'SA36'!$F:$F,SA34b!$A$10,'SA36'!$G:$G,SA34b!$A12)</f>
        <v>0</v>
      </c>
      <c r="J12" s="1805">
        <f>SUMIFS('SA36'!L:L,'SA36'!$O:$O,"R",'SA36'!$F:$F,SA34b!$A$10,'SA36'!$G:$G,SA34b!$A12)</f>
        <v>0</v>
      </c>
      <c r="K12" s="1820">
        <f>SUMIFS('SA36'!M:M,'SA36'!$O:$O,"R",'SA36'!$F:$F,SA34b!$A$10,'SA36'!$G:$G,SA34b!$A12)</f>
        <v>0</v>
      </c>
      <c r="L12" s="1523"/>
    </row>
    <row r="13" spans="1:12" s="1498" customFormat="1" ht="13.5">
      <c r="A13" s="1260" t="s">
        <v>136</v>
      </c>
      <c r="B13" s="171"/>
      <c r="C13" s="1805">
        <v>0</v>
      </c>
      <c r="D13" s="1805">
        <v>0</v>
      </c>
      <c r="E13" s="1806">
        <v>0</v>
      </c>
      <c r="F13" s="1821">
        <f>SUMIFS('SA36'!I:I,'SA36'!$O:$O,"R",'SA36'!$F:$F,SA34b!$A$7,'SA36'!$G:$G,SA34b!$A13)</f>
        <v>0</v>
      </c>
      <c r="G13" s="1805">
        <f>SUMIFS('SA36'!J:J,'SA36'!$O:$O,"R",'SA36'!$F:$F,SA34b!$A$10,'SA36'!$G:$G,SA34b!$A13)</f>
        <v>0</v>
      </c>
      <c r="H13" s="1822">
        <f>G13</f>
        <v>0</v>
      </c>
      <c r="I13" s="1821">
        <f>SUMIFS('SA36'!K:K,'SA36'!$O:$O,"R",'SA36'!$F:$F,SA34b!$A$10,'SA36'!$G:$G,SA34b!$A13)</f>
        <v>0</v>
      </c>
      <c r="J13" s="1805">
        <f>SUMIFS('SA36'!L:L,'SA36'!$O:$O,"R",'SA36'!$F:$F,SA34b!$A$10,'SA36'!$G:$G,SA34b!$A13)</f>
        <v>0</v>
      </c>
      <c r="K13" s="1820">
        <f>SUMIFS('SA36'!M:M,'SA36'!$O:$O,"R",'SA36'!$F:$F,SA34b!$A$10,'SA36'!$G:$G,SA34b!$A13)</f>
        <v>0</v>
      </c>
      <c r="L13" s="1523"/>
    </row>
    <row r="14" spans="1:12" s="1498" customFormat="1" ht="13.5">
      <c r="A14" s="240" t="s">
        <v>24</v>
      </c>
      <c r="B14" s="324"/>
      <c r="C14" s="1054">
        <f>SUM(C15:C17)</f>
        <v>0</v>
      </c>
      <c r="D14" s="1054">
        <f t="shared" ref="D14:K14" si="3">SUM(D15:D17)</f>
        <v>0</v>
      </c>
      <c r="E14" s="1353">
        <f t="shared" si="3"/>
        <v>0</v>
      </c>
      <c r="F14" s="1058">
        <f t="shared" si="3"/>
        <v>0</v>
      </c>
      <c r="G14" s="1054">
        <f t="shared" si="3"/>
        <v>0</v>
      </c>
      <c r="H14" s="1154">
        <f t="shared" si="3"/>
        <v>0</v>
      </c>
      <c r="I14" s="1354">
        <f t="shared" si="3"/>
        <v>0</v>
      </c>
      <c r="J14" s="1054">
        <f t="shared" si="3"/>
        <v>0</v>
      </c>
      <c r="K14" s="1154">
        <f t="shared" si="3"/>
        <v>0</v>
      </c>
      <c r="L14" s="1523"/>
    </row>
    <row r="15" spans="1:12" s="1498" customFormat="1" ht="13.5">
      <c r="A15" s="1260" t="s">
        <v>25</v>
      </c>
      <c r="B15" s="171"/>
      <c r="C15" s="1805">
        <v>0</v>
      </c>
      <c r="D15" s="1805">
        <v>0</v>
      </c>
      <c r="E15" s="1806">
        <v>0</v>
      </c>
      <c r="F15" s="1821">
        <f>SUMIFS('SA36'!I:I,'SA36'!$O:$O,"R",'SA36'!$F:$F,SA34b!$A$7,'SA36'!$G:$G,SA34b!$A15)</f>
        <v>0</v>
      </c>
      <c r="G15" s="1805">
        <f>SUMIFS('SA36'!J:J,'SA36'!$O:$O,"R",'SA36'!$F:$F,SA34b!$A$14,'SA36'!$G:$G,SA34b!$A15)</f>
        <v>0</v>
      </c>
      <c r="H15" s="1822">
        <f>G15</f>
        <v>0</v>
      </c>
      <c r="I15" s="1821">
        <f>SUMIFS('SA36'!K:K,'SA36'!$O:$O,"R",'SA36'!$F:$F,SA34b!$A$14,'SA36'!$G:$G,SA34b!$A15)</f>
        <v>0</v>
      </c>
      <c r="J15" s="1805">
        <f>SUMIFS('SA36'!L:L,'SA36'!$O:$O,"R",'SA36'!$F:$F,SA34b!$A$14,'SA36'!$G:$G,SA34b!$A15)</f>
        <v>0</v>
      </c>
      <c r="K15" s="1820">
        <f>SUMIFS('SA36'!M:M,'SA36'!$O:$O,"R",'SA36'!$F:$F,SA34b!$A$14,'SA36'!$G:$G,SA34b!$A15)</f>
        <v>0</v>
      </c>
      <c r="L15" s="1523"/>
    </row>
    <row r="16" spans="1:12" s="1498" customFormat="1" ht="13.5">
      <c r="A16" s="1260" t="s">
        <v>26</v>
      </c>
      <c r="B16" s="171"/>
      <c r="C16" s="1805">
        <v>0</v>
      </c>
      <c r="D16" s="1805">
        <v>0</v>
      </c>
      <c r="E16" s="1806">
        <v>0</v>
      </c>
      <c r="F16" s="1821">
        <f>SUMIFS('SA36'!I:I,'SA36'!$O:$O,"R",'SA36'!$F:$F,SA34b!$A$7,'SA36'!$G:$G,SA34b!$A16)</f>
        <v>0</v>
      </c>
      <c r="G16" s="1805">
        <f>SUMIFS('SA36'!J:J,'SA36'!$O:$O,"R",'SA36'!$F:$F,SA34b!$A$14,'SA36'!$G:$G,SA34b!$A16)</f>
        <v>0</v>
      </c>
      <c r="H16" s="1822">
        <f>G16</f>
        <v>0</v>
      </c>
      <c r="I16" s="1821">
        <f>SUMIFS('SA36'!K:K,'SA36'!$O:$O,"R",'SA36'!$F:$F,SA34b!$A$14,'SA36'!$G:$G,SA34b!$A16)</f>
        <v>0</v>
      </c>
      <c r="J16" s="1805">
        <f>SUMIFS('SA36'!L:L,'SA36'!$O:$O,"R",'SA36'!$F:$F,SA34b!$A$14,'SA36'!$G:$G,SA34b!$A16)</f>
        <v>0</v>
      </c>
      <c r="K16" s="1820">
        <f>SUMIFS('SA36'!M:M,'SA36'!$O:$O,"R",'SA36'!$F:$F,SA34b!$A$14,'SA36'!$G:$G,SA34b!$A16)</f>
        <v>0</v>
      </c>
      <c r="L16" s="1523"/>
    </row>
    <row r="17" spans="1:12" s="1498" customFormat="1" ht="13.5">
      <c r="A17" s="1260" t="s">
        <v>27</v>
      </c>
      <c r="B17" s="171"/>
      <c r="C17" s="1805">
        <v>0</v>
      </c>
      <c r="D17" s="1805">
        <v>0</v>
      </c>
      <c r="E17" s="1806">
        <f>SUMIFS('SA36'!I:I,'SA36'!$O:$O,"R",'SA36'!$F:$F,SA34b!$A$14,'SA36'!$G:$G,SA34b!$A17)</f>
        <v>0</v>
      </c>
      <c r="F17" s="1821">
        <f>SUMIFS('SA36'!I:I,'SA36'!$O:$O,"R",'SA36'!$F:$F,SA34b!$A$7,'SA36'!$G:$G,SA34b!$A17)</f>
        <v>0</v>
      </c>
      <c r="G17" s="1805">
        <f>SUMIFS('SA36'!J:J,'SA36'!$O:$O,"R",'SA36'!$F:$F,SA34b!$A$14,'SA36'!$G:$G,SA34b!$A17)</f>
        <v>0</v>
      </c>
      <c r="H17" s="1822">
        <f>G17</f>
        <v>0</v>
      </c>
      <c r="I17" s="1821">
        <f>SUMIFS('SA36'!K:K,'SA36'!$O:$O,"R",'SA36'!$F:$F,SA34b!$A$14,'SA36'!$G:$G,SA34b!$A17)</f>
        <v>0</v>
      </c>
      <c r="J17" s="1805">
        <f>SUMIFS('SA36'!L:L,'SA36'!$O:$O,"R",'SA36'!$F:$F,SA34b!$A$14,'SA36'!$G:$G,SA34b!$A17)</f>
        <v>0</v>
      </c>
      <c r="K17" s="1820">
        <f>SUMIFS('SA36'!M:M,'SA36'!$O:$O,"R",'SA36'!$F:$F,SA34b!$A$14,'SA36'!$G:$G,SA34b!$A17)</f>
        <v>0</v>
      </c>
      <c r="L17" s="1523"/>
    </row>
    <row r="18" spans="1:12" s="1498" customFormat="1" ht="13.5">
      <c r="A18" s="240" t="s">
        <v>28</v>
      </c>
      <c r="B18" s="171"/>
      <c r="C18" s="1054">
        <f t="shared" ref="C18:K18" si="4">SUM(C19:C20)</f>
        <v>0</v>
      </c>
      <c r="D18" s="1054">
        <f t="shared" si="4"/>
        <v>0</v>
      </c>
      <c r="E18" s="1353">
        <f t="shared" si="4"/>
        <v>0</v>
      </c>
      <c r="F18" s="1058">
        <f t="shared" si="4"/>
        <v>0</v>
      </c>
      <c r="G18" s="1054">
        <f t="shared" si="4"/>
        <v>0</v>
      </c>
      <c r="H18" s="1154">
        <f t="shared" si="4"/>
        <v>0</v>
      </c>
      <c r="I18" s="1354">
        <f t="shared" si="4"/>
        <v>0</v>
      </c>
      <c r="J18" s="1054">
        <f t="shared" si="4"/>
        <v>0</v>
      </c>
      <c r="K18" s="1154">
        <f t="shared" si="4"/>
        <v>0</v>
      </c>
      <c r="L18" s="1523"/>
    </row>
    <row r="19" spans="1:12" s="1498" customFormat="1" ht="13.5">
      <c r="A19" s="1260" t="s">
        <v>27</v>
      </c>
      <c r="B19" s="171"/>
      <c r="C19" s="1805">
        <v>0</v>
      </c>
      <c r="D19" s="1805">
        <v>0</v>
      </c>
      <c r="E19" s="1806">
        <v>0</v>
      </c>
      <c r="F19" s="1821">
        <f>SUMIFS('SA36'!I:I,'SA36'!$O:$O,"R",'SA36'!$F:$F,SA34b!$A$7,'SA36'!$G:$G,SA34b!$A19)</f>
        <v>0</v>
      </c>
      <c r="G19" s="1805">
        <f>SUMIFS('SA36'!J:J,'SA36'!$O:$O,"R",'SA36'!$F:$F,SA34b!$A$18,'SA36'!$G:$G,SA34b!$A19)</f>
        <v>0</v>
      </c>
      <c r="H19" s="1822">
        <f>G19</f>
        <v>0</v>
      </c>
      <c r="I19" s="1821">
        <f>SUMIFS('SA36'!K:K,'SA36'!$O:$O,"R",'SA36'!$F:$F,SA34b!$A$18,'SA36'!$G:$G,SA34b!$A19)</f>
        <v>0</v>
      </c>
      <c r="J19" s="1805">
        <f>SUMIFS('SA36'!L:L,'SA36'!$O:$O,"R",'SA36'!$F:$F,SA34b!$A$18,'SA36'!$G:$G,SA34b!$A19)</f>
        <v>0</v>
      </c>
      <c r="K19" s="1820">
        <f>SUMIFS('SA36'!M:M,'SA36'!$O:$O,"R",'SA36'!$F:$F,SA34b!$A$18,'SA36'!$G:$G,SA34b!$A19)</f>
        <v>0</v>
      </c>
      <c r="L19" s="1523"/>
    </row>
    <row r="20" spans="1:12" s="1498" customFormat="1" ht="13.5">
      <c r="A20" s="1260" t="s">
        <v>29</v>
      </c>
      <c r="B20" s="171"/>
      <c r="C20" s="1805">
        <v>0</v>
      </c>
      <c r="D20" s="1805">
        <v>0</v>
      </c>
      <c r="E20" s="1806">
        <v>0</v>
      </c>
      <c r="F20" s="1821">
        <f>SUMIFS('SA36'!I:I,'SA36'!$O:$O,"R",'SA36'!$F:$F,SA34b!$A$7,'SA36'!$G:$G,SA34b!$A20)</f>
        <v>0</v>
      </c>
      <c r="G20" s="1805">
        <f>SUMIFS('SA36'!J:J,'SA36'!$O:$O,"R",'SA36'!$F:$F,SA34b!$A$18,'SA36'!$G:$G,SA34b!$A20)</f>
        <v>0</v>
      </c>
      <c r="H20" s="1822">
        <f>G20</f>
        <v>0</v>
      </c>
      <c r="I20" s="1821">
        <f>SUMIFS('SA36'!K:K,'SA36'!$O:$O,"R",'SA36'!$F:$F,SA34b!$A$18,'SA36'!$G:$G,SA34b!$A20)</f>
        <v>0</v>
      </c>
      <c r="J20" s="1805">
        <f>SUMIFS('SA36'!L:L,'SA36'!$O:$O,"R",'SA36'!$F:$F,SA34b!$A$18,'SA36'!$G:$G,SA34b!$A20)</f>
        <v>0</v>
      </c>
      <c r="K20" s="1820">
        <f>SUMIFS('SA36'!M:M,'SA36'!$O:$O,"R",'SA36'!$F:$F,SA34b!$A$18,'SA36'!$G:$G,SA34b!$A20)</f>
        <v>0</v>
      </c>
      <c r="L20" s="1523"/>
    </row>
    <row r="21" spans="1:12" s="1498" customFormat="1" ht="13.5">
      <c r="A21" s="236" t="s">
        <v>30</v>
      </c>
      <c r="B21" s="171"/>
      <c r="C21" s="1054">
        <f>SUM(C22:C25)</f>
        <v>0</v>
      </c>
      <c r="D21" s="1054">
        <f t="shared" ref="D21:K21" si="5">SUM(D22:D25)</f>
        <v>0</v>
      </c>
      <c r="E21" s="1054">
        <f t="shared" si="5"/>
        <v>0</v>
      </c>
      <c r="F21" s="1058">
        <f t="shared" si="5"/>
        <v>0</v>
      </c>
      <c r="G21" s="1054">
        <f t="shared" si="5"/>
        <v>0</v>
      </c>
      <c r="H21" s="1154">
        <f t="shared" si="5"/>
        <v>0</v>
      </c>
      <c r="I21" s="1354">
        <f t="shared" si="5"/>
        <v>0</v>
      </c>
      <c r="J21" s="1054">
        <f t="shared" si="5"/>
        <v>0</v>
      </c>
      <c r="K21" s="1154">
        <f t="shared" si="5"/>
        <v>0</v>
      </c>
      <c r="L21" s="1523"/>
    </row>
    <row r="22" spans="1:12" s="1498" customFormat="1" ht="13.5">
      <c r="A22" s="1260" t="s">
        <v>1152</v>
      </c>
      <c r="B22" s="171"/>
      <c r="C22" s="1805">
        <v>0</v>
      </c>
      <c r="D22" s="1805">
        <v>0</v>
      </c>
      <c r="E22" s="1806">
        <f>SUMIFS('SA36'!I:I,'SA36'!$O:$O,"R",'SA36'!$F:$F,SA34b!$A$21,'SA36'!$G:$G,SA34b!$A22)</f>
        <v>0</v>
      </c>
      <c r="F22" s="1821">
        <f>SUMIFS('SA36'!I:I,'SA36'!$O:$O,"R",'SA36'!$F:$F,SA34b!$A$7,'SA36'!$G:$G,SA34b!$A22)</f>
        <v>0</v>
      </c>
      <c r="G22" s="1805">
        <f>SUMIFS('SA36'!J:J,'SA36'!$O:$O,"R",'SA36'!$F:$F,SA34b!$A$21,'SA36'!$G:$G,SA34b!$A22)</f>
        <v>0</v>
      </c>
      <c r="H22" s="1822">
        <f>G22</f>
        <v>0</v>
      </c>
      <c r="I22" s="1821">
        <f>SUMIFS('SA36'!K:K,'SA36'!$O:$O,"R",'SA36'!$F:$F,SA34b!$A$21,'SA36'!$G:$G,SA34b!$A22)</f>
        <v>0</v>
      </c>
      <c r="J22" s="1805">
        <f>SUMIFS('SA36'!L:L,'SA36'!$O:$O,"R",'SA36'!$F:$F,SA34b!$A$21,'SA36'!$G:$G,SA34b!$A22)</f>
        <v>0</v>
      </c>
      <c r="K22" s="1820">
        <f>SUMIFS('SA36'!M:M,'SA36'!$O:$O,"R",'SA36'!$F:$F,SA34b!$A$21,'SA36'!$G:$G,SA34b!$A22)</f>
        <v>0</v>
      </c>
      <c r="L22" s="1522"/>
    </row>
    <row r="23" spans="1:12" s="1498" customFormat="1" ht="13.5">
      <c r="A23" s="1260" t="s">
        <v>328</v>
      </c>
      <c r="B23" s="171">
        <v>2</v>
      </c>
      <c r="C23" s="1805">
        <v>0</v>
      </c>
      <c r="D23" s="1805">
        <v>0</v>
      </c>
      <c r="E23" s="1806">
        <f>SUMIFS('SA36'!I:I,'SA36'!$O:$O,"R",'SA36'!$F:$F,SA34b!$A$21,'SA36'!$G:$G,SA34b!$A23)</f>
        <v>0</v>
      </c>
      <c r="F23" s="1821">
        <f>SUMIFS('SA36'!I:I,'SA36'!$O:$O,"R",'SA36'!$F:$F,SA34b!$A$7,'SA36'!$G:$G,SA34b!$A23)</f>
        <v>0</v>
      </c>
      <c r="G23" s="1805">
        <f>SUMIFS('SA36'!J:J,'SA36'!$O:$O,"R",'SA36'!$F:$F,SA34b!$A$21,'SA36'!$G:$G,SA34b!$A23)</f>
        <v>0</v>
      </c>
      <c r="H23" s="1822">
        <f>G23</f>
        <v>0</v>
      </c>
      <c r="I23" s="1821">
        <f>SUMIFS('SA36'!K:K,'SA36'!$O:$O,"R",'SA36'!$F:$F,SA34b!$A$21,'SA36'!$G:$G,SA34b!$A23)</f>
        <v>0</v>
      </c>
      <c r="J23" s="1805">
        <f>SUMIFS('SA36'!L:L,'SA36'!$O:$O,"R",'SA36'!$F:$F,SA34b!$A$21,'SA36'!$G:$G,SA34b!$A23)</f>
        <v>0</v>
      </c>
      <c r="K23" s="1820">
        <f>SUMIFS('SA36'!M:M,'SA36'!$O:$O,"R",'SA36'!$F:$F,SA34b!$A$21,'SA36'!$G:$G,SA34b!$A23)</f>
        <v>0</v>
      </c>
      <c r="L23" s="1523"/>
    </row>
    <row r="24" spans="1:12" s="1498" customFormat="1" ht="13.5">
      <c r="A24" s="1260" t="s">
        <v>137</v>
      </c>
      <c r="B24" s="171"/>
      <c r="C24" s="1805">
        <v>0</v>
      </c>
      <c r="D24" s="1805">
        <v>0</v>
      </c>
      <c r="E24" s="1806">
        <f>SUMIFS('SA36'!I:I,'SA36'!$O:$O,"R",'SA36'!$F:$F,SA34b!$A$21,'SA36'!$G:$G,SA34b!$A24)</f>
        <v>0</v>
      </c>
      <c r="F24" s="1821">
        <f>SUMIFS('SA36'!I:I,'SA36'!$O:$O,"R",'SA36'!$F:$F,SA34b!$A$7,'SA36'!$G:$G,SA34b!$A24)</f>
        <v>0</v>
      </c>
      <c r="G24" s="1805">
        <f>SUMIFS('SA36'!J:J,'SA36'!$O:$O,"R",'SA36'!$F:$F,SA34b!$A$21,'SA36'!$G:$G,SA34b!$A24)</f>
        <v>0</v>
      </c>
      <c r="H24" s="1822">
        <f>G24</f>
        <v>0</v>
      </c>
      <c r="I24" s="1821">
        <f>SUMIFS('SA36'!K:K,'SA36'!$O:$O,"R",'SA36'!$F:$F,SA34b!$A$21,'SA36'!$G:$G,SA34b!$A24)</f>
        <v>0</v>
      </c>
      <c r="J24" s="1805">
        <f>SUMIFS('SA36'!L:L,'SA36'!$O:$O,"R",'SA36'!$F:$F,SA34b!$A$21,'SA36'!$G:$G,SA34b!$A24)</f>
        <v>0</v>
      </c>
      <c r="K24" s="1820">
        <f>SUMIFS('SA36'!M:M,'SA36'!$O:$O,"R",'SA36'!$F:$F,SA34b!$A$21,'SA36'!$G:$G,SA34b!$A24)</f>
        <v>0</v>
      </c>
      <c r="L24" s="1523"/>
    </row>
    <row r="25" spans="1:12" s="1498" customFormat="1" ht="13.5">
      <c r="A25" s="1260" t="s">
        <v>297</v>
      </c>
      <c r="B25" s="171">
        <v>3</v>
      </c>
      <c r="C25" s="1805">
        <v>0</v>
      </c>
      <c r="D25" s="1805">
        <v>0</v>
      </c>
      <c r="E25" s="1806">
        <f>SUMIFS('SA36'!I:I,'SA36'!$O:$O,"R",'SA36'!$F:$F,SA34b!$A$21,'SA36'!$G:$G,SA34b!$A25)</f>
        <v>0</v>
      </c>
      <c r="F25" s="1821">
        <f>SUMIFS('SA36'!I:I,'SA36'!$O:$O,"R",'SA36'!$F:$F,SA34b!$A$7,'SA36'!$G:$G,SA34b!$A25)</f>
        <v>0</v>
      </c>
      <c r="G25" s="1805">
        <f>SUMIFS('SA36'!J:J,'SA36'!$O:$O,"R",'SA36'!$F:$F,SA34b!$A$21,'SA36'!$G:$G,SA34b!$A25)</f>
        <v>0</v>
      </c>
      <c r="H25" s="1822">
        <f>G25</f>
        <v>0</v>
      </c>
      <c r="I25" s="1821">
        <f>SUMIFS('SA36'!K:K,'SA36'!$O:$O,"R",'SA36'!$F:$F,SA34b!$A$21,'SA36'!$G:$G,SA34b!$A25)</f>
        <v>0</v>
      </c>
      <c r="J25" s="1805">
        <f>SUMIFS('SA36'!L:L,'SA36'!$O:$O,"R",'SA36'!$F:$F,SA34b!$A$21,'SA36'!$G:$G,SA34b!$A25)</f>
        <v>0</v>
      </c>
      <c r="K25" s="1820">
        <f>SUMIFS('SA36'!M:M,'SA36'!$O:$O,"R",'SA36'!$F:$F,SA34b!$A$21,'SA36'!$G:$G,SA34b!$A25)</f>
        <v>0</v>
      </c>
      <c r="L25" s="1523"/>
    </row>
    <row r="26" spans="1:12" ht="5.0999999999999996" customHeight="1">
      <c r="A26" s="259"/>
      <c r="B26" s="171"/>
      <c r="C26" s="189"/>
      <c r="D26" s="189"/>
      <c r="E26" s="190"/>
      <c r="F26" s="191"/>
      <c r="G26" s="189"/>
      <c r="H26" s="188"/>
      <c r="I26" s="191"/>
      <c r="J26" s="189"/>
      <c r="K26" s="190"/>
      <c r="L26" s="345"/>
    </row>
    <row r="27" spans="1:12" ht="17.25" customHeight="1">
      <c r="A27" s="235" t="s">
        <v>1676</v>
      </c>
      <c r="B27" s="171"/>
      <c r="C27" s="204">
        <f>SUM(C28:C41)</f>
        <v>0</v>
      </c>
      <c r="D27" s="204">
        <f t="shared" ref="D27:K27" si="6">SUM(D28:D41)</f>
        <v>0</v>
      </c>
      <c r="E27" s="205">
        <f t="shared" si="6"/>
        <v>0</v>
      </c>
      <c r="F27" s="206">
        <f t="shared" si="6"/>
        <v>0</v>
      </c>
      <c r="G27" s="204">
        <f t="shared" si="6"/>
        <v>0</v>
      </c>
      <c r="H27" s="203">
        <f t="shared" si="6"/>
        <v>0</v>
      </c>
      <c r="I27" s="206">
        <f t="shared" si="6"/>
        <v>0</v>
      </c>
      <c r="J27" s="204">
        <f t="shared" si="6"/>
        <v>0</v>
      </c>
      <c r="K27" s="205">
        <f t="shared" si="6"/>
        <v>0</v>
      </c>
      <c r="L27" s="345"/>
    </row>
    <row r="28" spans="1:12" ht="11.25" customHeight="1">
      <c r="A28" s="236" t="s">
        <v>2</v>
      </c>
      <c r="B28" s="171"/>
      <c r="C28" s="1810">
        <v>0</v>
      </c>
      <c r="D28" s="1810">
        <v>0</v>
      </c>
      <c r="E28" s="2113">
        <f>SUMIFS('SA36'!I:I,'SA36'!$O:$O,"R",'SA36'!$F:$F,SA34b!$A$27,'SA36'!$G:$G,SA34b!$A28)</f>
        <v>0</v>
      </c>
      <c r="F28" s="2181">
        <f>SUMIFS('SA36'!I:I,'SA36'!$O:$O,"R",'SA36'!$F:$F,SA34b!$A$7,'SA36'!$G:$G,SA34b!$A28)</f>
        <v>0</v>
      </c>
      <c r="G28" s="1810">
        <f>SUMIFS('SA36'!J:J,'SA36'!$O:$O,"R",'SA36'!$F:$F,SA34b!$A$27,'SA36'!$G:$G,SA34b!$A28)</f>
        <v>0</v>
      </c>
      <c r="H28" s="2202">
        <f>G28</f>
        <v>0</v>
      </c>
      <c r="I28" s="2181">
        <f>SUMIFS('SA36'!K:K,'SA36'!$O:$O,"R",'SA36'!$F:$F,SA34b!$A$27,'SA36'!$G:$G,SA34b!$A28)</f>
        <v>0</v>
      </c>
      <c r="J28" s="1810">
        <f>SUMIFS('SA36'!L:L,'SA36'!$O:$O,"R",'SA36'!$F:$F,SA34b!$A$27,'SA36'!$G:$G,SA34b!$A28)</f>
        <v>0</v>
      </c>
      <c r="K28" s="2113">
        <f>SUMIFS('SA36'!M:M,'SA36'!$O:$O,"R",'SA36'!$F:$F,SA34b!$A$27,'SA36'!$G:$G,SA34b!$A28)</f>
        <v>0</v>
      </c>
      <c r="L28" s="1523"/>
    </row>
    <row r="29" spans="1:12" ht="11.25" customHeight="1">
      <c r="A29" s="236" t="s">
        <v>2189</v>
      </c>
      <c r="B29" s="171"/>
      <c r="C29" s="1805">
        <v>0</v>
      </c>
      <c r="D29" s="1805">
        <v>0</v>
      </c>
      <c r="E29" s="1820">
        <f>SUMIFS('SA36'!I:I,'SA36'!$O:$O,"R",'SA36'!$F:$F,SA34b!$A$27,'SA36'!$G:$G,SA34b!$A29)</f>
        <v>0</v>
      </c>
      <c r="F29" s="1821">
        <f>SUMIFS('SA36'!I:I,'SA36'!$O:$O,"R",'SA36'!$F:$F,SA34b!$A$7,'SA36'!$G:$G,SA34b!$A29)</f>
        <v>0</v>
      </c>
      <c r="G29" s="1805">
        <f>SUMIFS('SA36'!J:J,'SA36'!$O:$O,"R",'SA36'!$F:$F,SA34b!$A$27,'SA36'!$G:$G,SA34b!$A29)</f>
        <v>0</v>
      </c>
      <c r="H29" s="1822">
        <f t="shared" ref="H29:H41" si="7">G29</f>
        <v>0</v>
      </c>
      <c r="I29" s="1821">
        <f>SUMIFS('SA36'!K:K,'SA36'!$O:$O,"R",'SA36'!$F:$F,SA34b!$A$27,'SA36'!$G:$G,SA34b!$A29)</f>
        <v>0</v>
      </c>
      <c r="J29" s="1805">
        <f>SUMIFS('SA36'!L:L,'SA36'!$O:$O,"R",'SA36'!$F:$F,SA34b!$A$27,'SA36'!$G:$G,SA34b!$A29)</f>
        <v>0</v>
      </c>
      <c r="K29" s="1820">
        <f>SUMIFS('SA36'!M:M,'SA36'!$O:$O,"R",'SA36'!$F:$F,SA34b!$A$27,'SA36'!$G:$G,SA34b!$A29)</f>
        <v>0</v>
      </c>
      <c r="L29" s="1523"/>
    </row>
    <row r="30" spans="1:12" ht="11.25" customHeight="1">
      <c r="A30" s="236" t="s">
        <v>528</v>
      </c>
      <c r="B30" s="171"/>
      <c r="C30" s="1805">
        <v>0</v>
      </c>
      <c r="D30" s="1805">
        <v>0</v>
      </c>
      <c r="E30" s="1820">
        <f>SUMIFS('SA36'!I:I,'SA36'!$O:$O,"R",'SA36'!$F:$F,SA34b!$A$27,'SA36'!$G:$G,SA34b!$A30)</f>
        <v>0</v>
      </c>
      <c r="F30" s="1821">
        <f>SUMIFS('SA36'!I:I,'SA36'!$O:$O,"R",'SA36'!$F:$F,SA34b!$A$7,'SA36'!$G:$G,SA34b!$A30)</f>
        <v>0</v>
      </c>
      <c r="G30" s="1805">
        <f>SUMIFS('SA36'!J:J,'SA36'!$O:$O,"R",'SA36'!$F:$F,SA34b!$A$27,'SA36'!$G:$G,SA34b!$A30)</f>
        <v>0</v>
      </c>
      <c r="H30" s="1822">
        <f t="shared" si="7"/>
        <v>0</v>
      </c>
      <c r="I30" s="1821">
        <f>SUMIFS('SA36'!K:K,'SA36'!$O:$O,"R",'SA36'!$F:$F,SA34b!$A$27,'SA36'!$G:$G,SA34b!$A30)</f>
        <v>0</v>
      </c>
      <c r="J30" s="1805">
        <f>SUMIFS('SA36'!L:L,'SA36'!$O:$O,"R",'SA36'!$F:$F,SA34b!$A$27,'SA36'!$G:$G,SA34b!$A30)</f>
        <v>0</v>
      </c>
      <c r="K30" s="1820">
        <f>SUMIFS('SA36'!M:M,'SA36'!$O:$O,"R",'SA36'!$F:$F,SA34b!$A$27,'SA36'!$G:$G,SA34b!$A30)</f>
        <v>0</v>
      </c>
      <c r="L30" s="1523"/>
    </row>
    <row r="31" spans="1:12" ht="11.25" customHeight="1">
      <c r="A31" s="236" t="s">
        <v>1</v>
      </c>
      <c r="B31" s="171"/>
      <c r="C31" s="1805">
        <v>0</v>
      </c>
      <c r="D31" s="1805">
        <v>0</v>
      </c>
      <c r="E31" s="1820">
        <f>SUMIFS('SA36'!I:I,'SA36'!$O:$O,"R",'SA36'!$F:$F,SA34b!$A$27,'SA36'!$G:$G,SA34b!$A31)</f>
        <v>0</v>
      </c>
      <c r="F31" s="1821">
        <f>SUMIFS('SA36'!I:I,'SA36'!$O:$O,"R",'SA36'!$F:$F,SA34b!$A$7,'SA36'!$G:$G,SA34b!$A31)</f>
        <v>0</v>
      </c>
      <c r="G31" s="1805">
        <f>SUMIFS('SA36'!J:J,'SA36'!$O:$O,"R",'SA36'!$F:$F,SA34b!$A$27,'SA36'!$G:$G,SA34b!$A31)</f>
        <v>0</v>
      </c>
      <c r="H31" s="1822">
        <f t="shared" si="7"/>
        <v>0</v>
      </c>
      <c r="I31" s="1821">
        <f>SUMIFS('SA36'!K:K,'SA36'!$O:$O,"R",'SA36'!$F:$F,SA34b!$A$27,'SA36'!$G:$G,SA34b!$A31)</f>
        <v>0</v>
      </c>
      <c r="J31" s="1805">
        <f>SUMIFS('SA36'!L:L,'SA36'!$O:$O,"R",'SA36'!$F:$F,SA34b!$A$27,'SA36'!$G:$G,SA34b!$A31)</f>
        <v>0</v>
      </c>
      <c r="K31" s="1820">
        <f>SUMIFS('SA36'!M:M,'SA36'!$O:$O,"R",'SA36'!$F:$F,SA34b!$A$27,'SA36'!$G:$G,SA34b!$A31)</f>
        <v>0</v>
      </c>
      <c r="L31" s="1523"/>
    </row>
    <row r="32" spans="1:12" ht="11.25" customHeight="1">
      <c r="A32" s="236" t="s">
        <v>347</v>
      </c>
      <c r="B32" s="171"/>
      <c r="C32" s="1805">
        <v>0</v>
      </c>
      <c r="D32" s="1805">
        <v>0</v>
      </c>
      <c r="E32" s="1820">
        <f>SUMIFS('SA36'!I:I,'SA36'!$O:$O,"R",'SA36'!$F:$F,SA34b!$A$27,'SA36'!$G:$G,SA34b!$A32)</f>
        <v>0</v>
      </c>
      <c r="F32" s="1821">
        <f>SUMIFS('SA36'!I:I,'SA36'!$O:$O,"R",'SA36'!$F:$F,SA34b!$A$7,'SA36'!$G:$G,SA34b!$A32)</f>
        <v>0</v>
      </c>
      <c r="G32" s="1805">
        <f>SUMIFS('SA36'!J:J,'SA36'!$O:$O,"R",'SA36'!$F:$F,SA34b!$A$27,'SA36'!$G:$G,SA34b!$A32)</f>
        <v>0</v>
      </c>
      <c r="H32" s="1822">
        <f t="shared" si="7"/>
        <v>0</v>
      </c>
      <c r="I32" s="1821">
        <f>SUMIFS('SA36'!K:K,'SA36'!$O:$O,"R",'SA36'!$F:$F,SA34b!$A$27,'SA36'!$G:$G,SA34b!$A32)</f>
        <v>0</v>
      </c>
      <c r="J32" s="1805">
        <f>SUMIFS('SA36'!L:L,'SA36'!$O:$O,"R",'SA36'!$F:$F,SA34b!$A$27,'SA36'!$G:$G,SA34b!$A32)</f>
        <v>0</v>
      </c>
      <c r="K32" s="1820">
        <f>SUMIFS('SA36'!M:M,'SA36'!$O:$O,"R",'SA36'!$F:$F,SA34b!$A$27,'SA36'!$G:$G,SA34b!$A32)</f>
        <v>0</v>
      </c>
      <c r="L32" s="1523"/>
    </row>
    <row r="33" spans="1:15" ht="11.25" customHeight="1">
      <c r="A33" s="236" t="s">
        <v>0</v>
      </c>
      <c r="B33" s="171"/>
      <c r="C33" s="1805">
        <v>0</v>
      </c>
      <c r="D33" s="1805">
        <v>0</v>
      </c>
      <c r="E33" s="1820">
        <f>SUMIFS('SA36'!I:I,'SA36'!$O:$O,"R",'SA36'!$F:$F,SA34b!$A$27,'SA36'!$G:$G,SA34b!$A33)</f>
        <v>0</v>
      </c>
      <c r="F33" s="1821">
        <f>SUMIFS('SA36'!I:I,'SA36'!$O:$O,"R",'SA36'!$F:$F,SA34b!$A$7,'SA36'!$G:$G,SA34b!$A33)</f>
        <v>0</v>
      </c>
      <c r="G33" s="1805">
        <f>SUMIFS('SA36'!J:J,'SA36'!$O:$O,"R",'SA36'!$F:$F,SA34b!$A$27,'SA36'!$G:$G,SA34b!$A33)</f>
        <v>0</v>
      </c>
      <c r="H33" s="1822">
        <f t="shared" si="7"/>
        <v>0</v>
      </c>
      <c r="I33" s="1821">
        <f>SUMIFS('SA36'!K:K,'SA36'!$O:$O,"R",'SA36'!$F:$F,SA34b!$A$27,'SA36'!$G:$G,SA34b!$A33)</f>
        <v>0</v>
      </c>
      <c r="J33" s="1805">
        <f>SUMIFS('SA36'!L:L,'SA36'!$O:$O,"R",'SA36'!$F:$F,SA34b!$A$27,'SA36'!$G:$G,SA34b!$A33)</f>
        <v>0</v>
      </c>
      <c r="K33" s="1820">
        <f>SUMIFS('SA36'!M:M,'SA36'!$O:$O,"R",'SA36'!$F:$F,SA34b!$A$27,'SA36'!$G:$G,SA34b!$A33)</f>
        <v>0</v>
      </c>
      <c r="L33" s="1523"/>
    </row>
    <row r="34" spans="1:15" ht="11.25" customHeight="1">
      <c r="A34" s="236" t="s">
        <v>1698</v>
      </c>
      <c r="B34" s="171"/>
      <c r="C34" s="1805">
        <v>0</v>
      </c>
      <c r="D34" s="1805">
        <v>0</v>
      </c>
      <c r="E34" s="1820">
        <f>SUMIFS('SA36'!I:I,'SA36'!$O:$O,"R",'SA36'!$F:$F,SA34b!$A$27,'SA36'!$G:$G,SA34b!$A34)</f>
        <v>0</v>
      </c>
      <c r="F34" s="1821">
        <f>SUMIFS('SA36'!I:I,'SA36'!$O:$O,"R",'SA36'!$F:$F,SA34b!$A$7,'SA36'!$G:$G,SA34b!$A34)</f>
        <v>0</v>
      </c>
      <c r="G34" s="1805">
        <f>SUMIFS('SA36'!J:J,'SA36'!$O:$O,"R",'SA36'!$F:$F,SA34b!$A$27,'SA36'!$G:$G,SA34b!$A34)</f>
        <v>0</v>
      </c>
      <c r="H34" s="1822">
        <f t="shared" si="7"/>
        <v>0</v>
      </c>
      <c r="I34" s="1821">
        <f>SUMIFS('SA36'!K:K,'SA36'!$O:$O,"R",'SA36'!$F:$F,SA34b!$A$27,'SA36'!$G:$G,SA34b!$A34)</f>
        <v>0</v>
      </c>
      <c r="J34" s="1805">
        <f>SUMIFS('SA36'!L:L,'SA36'!$O:$O,"R",'SA36'!$F:$F,SA34b!$A$27,'SA36'!$G:$G,SA34b!$A34)</f>
        <v>0</v>
      </c>
      <c r="K34" s="1820">
        <f>SUMIFS('SA36'!M:M,'SA36'!$O:$O,"R",'SA36'!$F:$F,SA34b!$A$27,'SA36'!$G:$G,SA34b!$A34)</f>
        <v>0</v>
      </c>
      <c r="L34" s="1523"/>
    </row>
    <row r="35" spans="1:15" ht="11.25" customHeight="1">
      <c r="A35" s="236" t="s">
        <v>1024</v>
      </c>
      <c r="B35" s="171"/>
      <c r="C35" s="1805">
        <v>0</v>
      </c>
      <c r="D35" s="1805">
        <v>0</v>
      </c>
      <c r="E35" s="1820">
        <f>SUMIFS('SA36'!I:I,'SA36'!$O:$O,"R",'SA36'!$F:$F,SA34b!$A$27,'SA36'!$G:$G,SA34b!$A35)</f>
        <v>0</v>
      </c>
      <c r="F35" s="1821">
        <f>SUMIFS('SA36'!I:I,'SA36'!$O:$O,"R",'SA36'!$F:$F,SA34b!$A$7,'SA36'!$G:$G,SA34b!$A35)</f>
        <v>0</v>
      </c>
      <c r="G35" s="1805">
        <f>SUMIFS('SA36'!J:J,'SA36'!$O:$O,"R",'SA36'!$F:$F,SA34b!$A$27,'SA36'!$G:$G,SA34b!$A35)</f>
        <v>0</v>
      </c>
      <c r="H35" s="1822">
        <f t="shared" si="7"/>
        <v>0</v>
      </c>
      <c r="I35" s="1821">
        <f>SUMIFS('SA36'!K:K,'SA36'!$O:$O,"R",'SA36'!$F:$F,SA34b!$A$27,'SA36'!$G:$G,SA34b!$A35)</f>
        <v>0</v>
      </c>
      <c r="J35" s="1805">
        <f>SUMIFS('SA36'!L:L,'SA36'!$O:$O,"R",'SA36'!$F:$F,SA34b!$A$27,'SA36'!$G:$G,SA34b!$A35)</f>
        <v>0</v>
      </c>
      <c r="K35" s="1820">
        <f>SUMIFS('SA36'!M:M,'SA36'!$O:$O,"R",'SA36'!$F:$F,SA34b!$A$27,'SA36'!$G:$G,SA34b!$A35)</f>
        <v>0</v>
      </c>
      <c r="L35" s="1523"/>
    </row>
    <row r="36" spans="1:15" ht="11.25" customHeight="1">
      <c r="A36" s="236" t="s">
        <v>1627</v>
      </c>
      <c r="B36" s="171">
        <v>7</v>
      </c>
      <c r="C36" s="1805">
        <v>0</v>
      </c>
      <c r="D36" s="1805">
        <v>0</v>
      </c>
      <c r="E36" s="1820">
        <f>SUMIFS('SA36'!I:I,'SA36'!$O:$O,"R",'SA36'!$F:$F,SA34b!$A$27,'SA36'!$G:$G,SA34b!$A36)</f>
        <v>0</v>
      </c>
      <c r="F36" s="1821">
        <f>SUMIFS('SA36'!I:I,'SA36'!$O:$O,"R",'SA36'!$F:$F,SA34b!$A$7,'SA36'!$G:$G,SA34b!$A36)</f>
        <v>0</v>
      </c>
      <c r="G36" s="1805">
        <f>SUMIFS('SA36'!J:J,'SA36'!$O:$O,"R",'SA36'!$F:$F,SA34b!$A$27,'SA36'!$G:$G,SA34b!$A36)</f>
        <v>0</v>
      </c>
      <c r="H36" s="1822">
        <f t="shared" si="7"/>
        <v>0</v>
      </c>
      <c r="I36" s="1821">
        <f>SUMIFS('SA36'!K:K,'SA36'!$O:$O,"R",'SA36'!$F:$F,SA34b!$A$27,'SA36'!$G:$G,SA34b!$A36)</f>
        <v>0</v>
      </c>
      <c r="J36" s="1805">
        <f>SUMIFS('SA36'!L:L,'SA36'!$O:$O,"R",'SA36'!$F:$F,SA34b!$A$27,'SA36'!$G:$G,SA34b!$A36)</f>
        <v>0</v>
      </c>
      <c r="K36" s="1820">
        <f>SUMIFS('SA36'!M:M,'SA36'!$O:$O,"R",'SA36'!$F:$F,SA34b!$A$27,'SA36'!$G:$G,SA34b!$A36)</f>
        <v>0</v>
      </c>
      <c r="L36" s="1523"/>
    </row>
    <row r="37" spans="1:15" ht="11.25" customHeight="1">
      <c r="A37" s="236" t="s">
        <v>1375</v>
      </c>
      <c r="B37" s="171"/>
      <c r="C37" s="1805">
        <v>0</v>
      </c>
      <c r="D37" s="1805">
        <v>0</v>
      </c>
      <c r="E37" s="1820">
        <f>SUMIFS('SA36'!I:I,'SA36'!$O:$O,"R",'SA36'!$F:$F,SA34b!$A$27,'SA36'!$G:$G,SA34b!$A37)</f>
        <v>0</v>
      </c>
      <c r="F37" s="1821">
        <f>SUMIFS('SA36'!I:I,'SA36'!$O:$O,"R",'SA36'!$F:$F,SA34b!$A$7,'SA36'!$G:$G,SA34b!$A37)</f>
        <v>0</v>
      </c>
      <c r="G37" s="1805">
        <f>SUMIFS('SA36'!J:J,'SA36'!$O:$O,"R",'SA36'!$F:$F,SA34b!$A$27,'SA36'!$G:$G,SA34b!$A37)</f>
        <v>0</v>
      </c>
      <c r="H37" s="1822">
        <f t="shared" si="7"/>
        <v>0</v>
      </c>
      <c r="I37" s="1821">
        <f>SUMIFS('SA36'!K:K,'SA36'!$O:$O,"R",'SA36'!$F:$F,SA34b!$A$27,'SA36'!$G:$G,SA34b!$A37)</f>
        <v>0</v>
      </c>
      <c r="J37" s="1805">
        <f>SUMIFS('SA36'!L:L,'SA36'!$O:$O,"R",'SA36'!$F:$F,SA34b!$A$27,'SA36'!$G:$G,SA34b!$A37)</f>
        <v>0</v>
      </c>
      <c r="K37" s="1820">
        <f>SUMIFS('SA36'!M:M,'SA36'!$O:$O,"R",'SA36'!$F:$F,SA34b!$A$27,'SA36'!$G:$G,SA34b!$A37)</f>
        <v>0</v>
      </c>
      <c r="L37" s="1523"/>
      <c r="O37" s="345"/>
    </row>
    <row r="38" spans="1:15" ht="11.25" customHeight="1">
      <c r="A38" s="236" t="s">
        <v>757</v>
      </c>
      <c r="B38" s="171"/>
      <c r="C38" s="1805">
        <v>0</v>
      </c>
      <c r="D38" s="1805">
        <v>0</v>
      </c>
      <c r="E38" s="1820">
        <f>SUMIFS('SA36'!I:I,'SA36'!$O:$O,"R",'SA36'!$F:$F,SA34b!$A$27,'SA36'!$G:$G,SA34b!$A38)</f>
        <v>0</v>
      </c>
      <c r="F38" s="1821">
        <f>SUMIFS('SA36'!I:I,'SA36'!$O:$O,"R",'SA36'!$F:$F,SA34b!$A$7,'SA36'!$G:$G,SA34b!$A38)</f>
        <v>0</v>
      </c>
      <c r="G38" s="1805">
        <f>SUMIFS('SA36'!J:J,'SA36'!$O:$O,"R",'SA36'!$F:$F,SA34b!$A$27,'SA36'!$G:$G,SA34b!$A38)</f>
        <v>0</v>
      </c>
      <c r="H38" s="1822">
        <f t="shared" si="7"/>
        <v>0</v>
      </c>
      <c r="I38" s="1821">
        <f>SUMIFS('SA36'!K:K,'SA36'!$O:$O,"R",'SA36'!$F:$F,SA34b!$A$27,'SA36'!$G:$G,SA34b!$A38)</f>
        <v>0</v>
      </c>
      <c r="J38" s="1805">
        <f>SUMIFS('SA36'!L:L,'SA36'!$O:$O,"R",'SA36'!$F:$F,SA34b!$A$27,'SA36'!$G:$G,SA34b!$A38)</f>
        <v>0</v>
      </c>
      <c r="K38" s="1820">
        <f>SUMIFS('SA36'!M:M,'SA36'!$O:$O,"R",'SA36'!$F:$F,SA34b!$A$27,'SA36'!$G:$G,SA34b!$A38)</f>
        <v>0</v>
      </c>
      <c r="L38" s="1523"/>
    </row>
    <row r="39" spans="1:15" ht="11.25" customHeight="1">
      <c r="A39" s="236" t="s">
        <v>526</v>
      </c>
      <c r="B39" s="171"/>
      <c r="C39" s="1805">
        <v>0</v>
      </c>
      <c r="D39" s="1805">
        <v>0</v>
      </c>
      <c r="E39" s="1820">
        <f>SUMIFS('SA36'!I:I,'SA36'!$O:$O,"R",'SA36'!$F:$F,SA34b!$A$27,'SA36'!$G:$G,SA34b!$A39)</f>
        <v>0</v>
      </c>
      <c r="F39" s="1821">
        <f>SUMIFS('SA36'!I:I,'SA36'!$O:$O,"R",'SA36'!$F:$F,SA34b!$A$7,'SA36'!$G:$G,SA34b!$A39)</f>
        <v>0</v>
      </c>
      <c r="G39" s="1805">
        <f>SUMIFS('SA36'!J:J,'SA36'!$O:$O,"R",'SA36'!$F:$F,SA34b!$A$27,'SA36'!$G:$G,SA34b!$A39)</f>
        <v>0</v>
      </c>
      <c r="H39" s="1822">
        <f t="shared" si="7"/>
        <v>0</v>
      </c>
      <c r="I39" s="1821">
        <f>SUMIFS('SA36'!K:K,'SA36'!$O:$O,"R",'SA36'!$F:$F,SA34b!$A$27,'SA36'!$G:$G,SA34b!$A39)</f>
        <v>0</v>
      </c>
      <c r="J39" s="1805">
        <f>SUMIFS('SA36'!L:L,'SA36'!$O:$O,"R",'SA36'!$F:$F,SA34b!$A$27,'SA36'!$G:$G,SA34b!$A39)</f>
        <v>0</v>
      </c>
      <c r="K39" s="1820">
        <f>SUMIFS('SA36'!M:M,'SA36'!$O:$O,"R",'SA36'!$F:$F,SA34b!$A$27,'SA36'!$G:$G,SA34b!$A39)</f>
        <v>0</v>
      </c>
      <c r="L39" s="1523"/>
    </row>
    <row r="40" spans="1:15" ht="11.25" customHeight="1">
      <c r="A40" s="236" t="s">
        <v>31</v>
      </c>
      <c r="B40" s="171">
        <v>8</v>
      </c>
      <c r="C40" s="1805">
        <v>0</v>
      </c>
      <c r="D40" s="1805">
        <v>0</v>
      </c>
      <c r="E40" s="1820">
        <f>SUMIFS('SA36'!I:I,'SA36'!$O:$O,"R",'SA36'!$F:$F,SA34b!$A$27,'SA36'!$G:$G,SA34b!$A40)</f>
        <v>0</v>
      </c>
      <c r="F40" s="1821">
        <f>SUMIFS('SA36'!I:I,'SA36'!$O:$O,"R",'SA36'!$F:$F,SA34b!$A$7,'SA36'!$G:$G,SA34b!$A40)</f>
        <v>0</v>
      </c>
      <c r="G40" s="1805">
        <f>SUMIFS('SA36'!J:J,'SA36'!$O:$O,"R",'SA36'!$F:$F,SA34b!$A$27,'SA36'!$G:$G,SA34b!$A40)</f>
        <v>0</v>
      </c>
      <c r="H40" s="1822">
        <f t="shared" si="7"/>
        <v>0</v>
      </c>
      <c r="I40" s="1821">
        <f>SUMIFS('SA36'!K:K,'SA36'!$O:$O,"R",'SA36'!$F:$F,SA34b!$A$27,'SA36'!$G:$G,SA34b!$A40)</f>
        <v>0</v>
      </c>
      <c r="J40" s="1805">
        <f>SUMIFS('SA36'!L:L,'SA36'!$O:$O,"R",'SA36'!$F:$F,SA34b!$A$27,'SA36'!$G:$G,SA34b!$A40)</f>
        <v>0</v>
      </c>
      <c r="K40" s="1820">
        <f>SUMIFS('SA36'!M:M,'SA36'!$O:$O,"R",'SA36'!$F:$F,SA34b!$A$27,'SA36'!$G:$G,SA34b!$A40)</f>
        <v>0</v>
      </c>
      <c r="L40" s="345"/>
    </row>
    <row r="41" spans="1:15" ht="11.25" customHeight="1">
      <c r="A41" s="236" t="s">
        <v>297</v>
      </c>
      <c r="B41" s="171"/>
      <c r="C41" s="1839">
        <v>0</v>
      </c>
      <c r="D41" s="1839">
        <v>0</v>
      </c>
      <c r="E41" s="1840">
        <f>SUMIFS('SA36'!I:I,'SA36'!$O:$O,"R",'SA36'!$F:$F,SA34b!$A$27,'SA36'!$G:$G,SA34b!$A41)</f>
        <v>0</v>
      </c>
      <c r="F41" s="1841">
        <f>SUMIFS('SA36'!I:I,'SA36'!$O:$O,"R",'SA36'!$F:$F,SA34b!$A$7,'SA36'!$G:$G,SA34b!$A41)</f>
        <v>0</v>
      </c>
      <c r="G41" s="1839">
        <f>SUMIFS('SA36'!J:J,'SA36'!$O:$O,"R",'SA36'!$F:$F,SA34b!$A$27,'SA36'!$G:$G,SA34b!$A41)</f>
        <v>0</v>
      </c>
      <c r="H41" s="1842">
        <f t="shared" si="7"/>
        <v>0</v>
      </c>
      <c r="I41" s="1841">
        <f>SUMIFS('SA36'!K:K,'SA36'!$O:$O,"R",'SA36'!$F:$F,SA34b!$A$27,'SA36'!$G:$G,SA34b!$A41)</f>
        <v>0</v>
      </c>
      <c r="J41" s="1839">
        <f>SUMIFS('SA36'!L:L,'SA36'!$O:$O,"R",'SA36'!$F:$F,SA34b!$A$27,'SA36'!$G:$G,SA34b!$A41)</f>
        <v>0</v>
      </c>
      <c r="K41" s="1840">
        <f>SUMIFS('SA36'!M:M,'SA36'!$O:$O,"R",'SA36'!$F:$F,SA34b!$A$27,'SA36'!$G:$G,SA34b!$A41)</f>
        <v>0</v>
      </c>
      <c r="L41" s="1523"/>
    </row>
    <row r="42" spans="1:15" ht="5.0999999999999996" customHeight="1">
      <c r="A42" s="259"/>
      <c r="B42" s="171"/>
      <c r="C42" s="189"/>
      <c r="D42" s="189"/>
      <c r="E42" s="190"/>
      <c r="F42" s="191"/>
      <c r="G42" s="189"/>
      <c r="H42" s="188"/>
      <c r="I42" s="191"/>
      <c r="J42" s="189"/>
      <c r="K42" s="190"/>
      <c r="L42" s="345"/>
    </row>
    <row r="43" spans="1:15" ht="17.25" customHeight="1">
      <c r="A43" s="235" t="s">
        <v>1027</v>
      </c>
      <c r="B43" s="171"/>
      <c r="C43" s="189">
        <f>SUM(C44:C45)</f>
        <v>0</v>
      </c>
      <c r="D43" s="189">
        <f t="shared" ref="D43:K43" si="8">SUM(D44:D45)</f>
        <v>0</v>
      </c>
      <c r="E43" s="190">
        <f t="shared" si="8"/>
        <v>0</v>
      </c>
      <c r="F43" s="191">
        <f t="shared" si="8"/>
        <v>0</v>
      </c>
      <c r="G43" s="189">
        <f t="shared" si="8"/>
        <v>0</v>
      </c>
      <c r="H43" s="188">
        <f t="shared" si="8"/>
        <v>0</v>
      </c>
      <c r="I43" s="191">
        <f t="shared" si="8"/>
        <v>0</v>
      </c>
      <c r="J43" s="189">
        <f t="shared" si="8"/>
        <v>0</v>
      </c>
      <c r="K43" s="190">
        <f t="shared" si="8"/>
        <v>0</v>
      </c>
      <c r="L43" s="345"/>
    </row>
    <row r="44" spans="1:15" ht="11.25" customHeight="1">
      <c r="A44" s="236" t="s">
        <v>1345</v>
      </c>
      <c r="B44" s="171"/>
      <c r="C44" s="1811">
        <v>0</v>
      </c>
      <c r="D44" s="1811">
        <v>0</v>
      </c>
      <c r="E44" s="2201">
        <f>SUMIFS('SA36'!I:I,'SA36'!$O:$O,"R",'SA36'!$F:$F,SA34b!$A$43,'SA36'!$G:$G,SA34b!$A44)</f>
        <v>0</v>
      </c>
      <c r="F44" s="2203">
        <f>SUMIFS('SA36'!I:I,'SA36'!$O:$O,"R",'SA36'!$F:$F,SA34b!$A$7,'SA36'!$G:$G,SA34b!$A44)</f>
        <v>0</v>
      </c>
      <c r="G44" s="1811">
        <f>SUMIFS('SA36'!J:J,'SA36'!$O:$O,"R",'SA36'!$F:$F,SA34b!$A$43,'SA36'!$G:$G,SA34b!$A44)</f>
        <v>0</v>
      </c>
      <c r="H44" s="2204">
        <f>G44</f>
        <v>0</v>
      </c>
      <c r="I44" s="2203">
        <f>SUMIFS('SA36'!K:K,'SA36'!$O:$O,"R",'SA36'!$F:$F,SA34b!$A$43,'SA36'!$G:$G,SA34b!$A44)</f>
        <v>0</v>
      </c>
      <c r="J44" s="1811">
        <f>SUMIFS('SA36'!L:L,'SA36'!$O:$O,"R",'SA36'!$F:$F,SA34b!$A$43,'SA36'!$G:$G,SA34b!$A44)</f>
        <v>0</v>
      </c>
      <c r="K44" s="2201">
        <f>SUMIFS('SA36'!M:M,'SA36'!$O:$O,"R",'SA36'!$F:$F,SA34b!$A$43,'SA36'!$G:$G,SA34b!$A44)</f>
        <v>0</v>
      </c>
      <c r="L44" s="345"/>
    </row>
    <row r="45" spans="1:15" ht="11.25" customHeight="1">
      <c r="A45" s="240" t="s">
        <v>297</v>
      </c>
      <c r="B45" s="171">
        <v>9</v>
      </c>
      <c r="C45" s="1833">
        <v>0</v>
      </c>
      <c r="D45" s="1833">
        <v>0</v>
      </c>
      <c r="E45" s="2205">
        <f>SUMIFS('SA36'!I:I,'SA36'!$O:$O,"R",'SA36'!$F:$F,SA34b!$A$43,'SA36'!$G:$G,SA34b!$A45)</f>
        <v>0</v>
      </c>
      <c r="F45" s="2206">
        <f>SUMIFS('SA36'!I:I,'SA36'!$O:$O,"R",'SA36'!$F:$F,SA34b!$A$7,'SA36'!$G:$G,SA34b!$A45)</f>
        <v>0</v>
      </c>
      <c r="G45" s="1833">
        <f>SUMIFS('SA36'!J:J,'SA36'!$O:$O,"R",'SA36'!$F:$F,SA34b!$A$43,'SA36'!$G:$G,SA34b!$A45)</f>
        <v>0</v>
      </c>
      <c r="H45" s="2207">
        <f>G45</f>
        <v>0</v>
      </c>
      <c r="I45" s="2206">
        <f>SUMIFS('SA36'!K:K,'SA36'!$O:$O,"R",'SA36'!$F:$F,SA34b!$A$43,'SA36'!$G:$G,SA34b!$A45)</f>
        <v>0</v>
      </c>
      <c r="J45" s="1833">
        <f>SUMIFS('SA36'!L:L,'SA36'!$O:$O,"R",'SA36'!$F:$F,SA34b!$A$43,'SA36'!$G:$G,SA34b!$A45)</f>
        <v>0</v>
      </c>
      <c r="K45" s="2205">
        <f>SUMIFS('SA36'!M:M,'SA36'!$O:$O,"R",'SA36'!$F:$F,SA34b!$A$43,'SA36'!$G:$G,SA34b!$A45)</f>
        <v>0</v>
      </c>
      <c r="L45" s="345"/>
    </row>
    <row r="46" spans="1:15" ht="5.0999999999999996" customHeight="1">
      <c r="A46" s="802"/>
      <c r="B46" s="171"/>
      <c r="C46" s="189"/>
      <c r="D46" s="189"/>
      <c r="E46" s="190"/>
      <c r="F46" s="191"/>
      <c r="G46" s="189"/>
      <c r="H46" s="188"/>
      <c r="I46" s="191"/>
      <c r="J46" s="189"/>
      <c r="K46" s="190"/>
      <c r="L46" s="345"/>
    </row>
    <row r="47" spans="1:15" ht="17.25" customHeight="1">
      <c r="A47" s="794" t="s">
        <v>1028</v>
      </c>
      <c r="B47" s="171"/>
      <c r="C47" s="204">
        <f>SUM(C48:C49)</f>
        <v>0</v>
      </c>
      <c r="D47" s="204">
        <f t="shared" ref="D47:K47" si="9">SUM(D48:D49)</f>
        <v>0</v>
      </c>
      <c r="E47" s="205">
        <f t="shared" si="9"/>
        <v>0</v>
      </c>
      <c r="F47" s="206">
        <f t="shared" si="9"/>
        <v>0</v>
      </c>
      <c r="G47" s="204">
        <f t="shared" si="9"/>
        <v>0</v>
      </c>
      <c r="H47" s="203">
        <f t="shared" si="9"/>
        <v>0</v>
      </c>
      <c r="I47" s="206">
        <f t="shared" si="9"/>
        <v>0</v>
      </c>
      <c r="J47" s="204">
        <f t="shared" si="9"/>
        <v>0</v>
      </c>
      <c r="K47" s="205">
        <f t="shared" si="9"/>
        <v>0</v>
      </c>
      <c r="L47" s="345"/>
    </row>
    <row r="48" spans="1:15" ht="11.25" customHeight="1">
      <c r="A48" s="240" t="s">
        <v>527</v>
      </c>
      <c r="B48" s="171"/>
      <c r="C48" s="1810">
        <v>0</v>
      </c>
      <c r="D48" s="1810">
        <v>0</v>
      </c>
      <c r="E48" s="2113">
        <f>SUMIFS('SA36'!I:I,'SA36'!$O:$O,"R",'SA36'!$F:$F,SA34b!$A$47,'SA36'!$G:$G,SA34b!$A48)</f>
        <v>0</v>
      </c>
      <c r="F48" s="2181">
        <f>SUMIFS('SA36'!I:I,'SA36'!$O:$O,"R",'SA36'!$F:$F,SA34b!$A$7,'SA36'!$G:$G,SA34b!$A48)</f>
        <v>0</v>
      </c>
      <c r="G48" s="1811">
        <f>SUMIFS('SA36'!J:J,'SA36'!$O:$O,"R",'SA36'!$F:$F,SA34b!$A$47,'SA36'!$G:$G,SA34b!$A48)</f>
        <v>0</v>
      </c>
      <c r="H48" s="2204">
        <f>G48</f>
        <v>0</v>
      </c>
      <c r="I48" s="2203">
        <f>SUMIFS('SA36'!K:K,'SA36'!$O:$O,"R",'SA36'!$F:$F,SA34b!$A$47,'SA36'!$G:$G,SA34b!$A48)</f>
        <v>0</v>
      </c>
      <c r="J48" s="1811">
        <f>SUMIFS('SA36'!L:L,'SA36'!$O:$O,"R",'SA36'!$F:$F,SA34b!$A$47,'SA36'!$G:$G,SA34b!$A48)</f>
        <v>0</v>
      </c>
      <c r="K48" s="2201">
        <f>SUMIFS('SA36'!M:M,'SA36'!$O:$O,"R",'SA36'!$F:$F,SA34b!$A$47,'SA36'!$G:$G,SA34b!$A48)</f>
        <v>0</v>
      </c>
      <c r="L48" s="1523"/>
    </row>
    <row r="49" spans="1:12" ht="11.25" customHeight="1">
      <c r="A49" s="240" t="s">
        <v>297</v>
      </c>
      <c r="B49" s="171"/>
      <c r="C49" s="1839">
        <v>0</v>
      </c>
      <c r="D49" s="1839">
        <v>0</v>
      </c>
      <c r="E49" s="1840">
        <f>SUMIFS('SA36'!I:I,'SA36'!$O:$O,"R",'SA36'!$F:$F,SA34b!$A$47,'SA36'!$G:$G,SA34b!$A49)</f>
        <v>0</v>
      </c>
      <c r="F49" s="1841">
        <f>SUMIFS('SA36'!I:I,'SA36'!$O:$O,"R",'SA36'!$F:$F,SA34b!$A$7,'SA36'!$G:$G,SA34b!$A49)</f>
        <v>0</v>
      </c>
      <c r="G49" s="1839">
        <f>SUMIFS('SA36'!J:J,'SA36'!$O:$O,"R",'SA36'!$F:$F,SA34b!$A$47,'SA36'!$G:$G,SA34b!$A49)</f>
        <v>0</v>
      </c>
      <c r="H49" s="1842">
        <f>G49</f>
        <v>0</v>
      </c>
      <c r="I49" s="1841">
        <f>SUMIFS('SA36'!K:K,'SA36'!$O:$O,"R",'SA36'!$F:$F,SA34b!$A$47,'SA36'!$G:$G,SA34b!$A49)</f>
        <v>0</v>
      </c>
      <c r="J49" s="1839">
        <f>SUMIFS('SA36'!L:L,'SA36'!$O:$O,"R",'SA36'!$F:$F,SA34b!$A$47,'SA36'!$G:$G,SA34b!$A49)</f>
        <v>0</v>
      </c>
      <c r="K49" s="1840">
        <f>SUMIFS('SA36'!M:M,'SA36'!$O:$O,"R",'SA36'!$F:$F,SA34b!$A$47,'SA36'!$G:$G,SA34b!$A49)</f>
        <v>0</v>
      </c>
      <c r="L49" s="345"/>
    </row>
    <row r="50" spans="1:12" ht="5.0999999999999996" customHeight="1">
      <c r="A50" s="802"/>
      <c r="B50" s="171"/>
      <c r="C50" s="189"/>
      <c r="D50" s="189"/>
      <c r="E50" s="190"/>
      <c r="F50" s="191"/>
      <c r="G50" s="189"/>
      <c r="H50" s="188"/>
      <c r="I50" s="191"/>
      <c r="J50" s="189"/>
      <c r="K50" s="190"/>
      <c r="L50" s="345"/>
    </row>
    <row r="51" spans="1:12" ht="17.25" customHeight="1">
      <c r="A51" s="794" t="s">
        <v>1029</v>
      </c>
      <c r="B51" s="171"/>
      <c r="C51" s="204">
        <f>SUM(C52:C63)</f>
        <v>0</v>
      </c>
      <c r="D51" s="204">
        <f t="shared" ref="D51:K51" si="10">SUM(D52:D63)</f>
        <v>0</v>
      </c>
      <c r="E51" s="205">
        <f t="shared" si="10"/>
        <v>0</v>
      </c>
      <c r="F51" s="206">
        <f t="shared" si="10"/>
        <v>0</v>
      </c>
      <c r="G51" s="204">
        <f t="shared" si="10"/>
        <v>0</v>
      </c>
      <c r="H51" s="203">
        <f t="shared" si="10"/>
        <v>0</v>
      </c>
      <c r="I51" s="206">
        <f t="shared" si="10"/>
        <v>0</v>
      </c>
      <c r="J51" s="204">
        <f t="shared" si="10"/>
        <v>0</v>
      </c>
      <c r="K51" s="205">
        <f t="shared" si="10"/>
        <v>0</v>
      </c>
      <c r="L51" s="345"/>
    </row>
    <row r="52" spans="1:12" ht="11.25" customHeight="1">
      <c r="A52" s="240" t="s">
        <v>661</v>
      </c>
      <c r="B52" s="171"/>
      <c r="C52" s="1810">
        <v>0</v>
      </c>
      <c r="D52" s="1810">
        <v>0</v>
      </c>
      <c r="E52" s="2113">
        <f>SUMIFS('SA36'!I:I,'SA36'!$O:$O,"R",'SA36'!$F:$F,SA34b!$A$51,'SA36'!$G:$G,SA34b!$A52)</f>
        <v>0</v>
      </c>
      <c r="F52" s="2181">
        <f>SUMIFS('SA36'!I:I,'SA36'!$O:$O,"R",'SA36'!$F:$F,SA34b!$A$7,'SA36'!$G:$G,SA34b!$A52)</f>
        <v>0</v>
      </c>
      <c r="G52" s="1810">
        <f>SUMIFS('SA36'!J:J,'SA36'!$O:$O,"R",'SA36'!$F:$F,SA34b!$A$51,'SA36'!$G:$G,SA34b!$A52)</f>
        <v>0</v>
      </c>
      <c r="H52" s="2202">
        <f>G52</f>
        <v>0</v>
      </c>
      <c r="I52" s="2181">
        <f>SUMIFS('SA36'!K:K,'SA36'!$O:$O,"R",'SA36'!$F:$F,SA34b!$A$51,'SA36'!$G:$G,SA34b!$A52)</f>
        <v>0</v>
      </c>
      <c r="J52" s="1810">
        <f>SUMIFS('SA36'!L:L,'SA36'!$O:$O,"R",'SA36'!$F:$F,SA34b!$A$51,'SA36'!$G:$G,SA34b!$A52)</f>
        <v>0</v>
      </c>
      <c r="K52" s="2113">
        <f>SUMIFS('SA36'!M:M,'SA36'!$O:$O,"R",'SA36'!$F:$F,SA34b!$A$51,'SA36'!$G:$G,SA34b!$A52)</f>
        <v>0</v>
      </c>
      <c r="L52" s="1523"/>
    </row>
    <row r="53" spans="1:12" ht="11.25" customHeight="1">
      <c r="A53" s="240" t="s">
        <v>32</v>
      </c>
      <c r="B53" s="171">
        <v>10</v>
      </c>
      <c r="C53" s="1805">
        <v>0</v>
      </c>
      <c r="D53" s="1805">
        <v>0</v>
      </c>
      <c r="E53" s="1820">
        <f>SUMIFS('SA36'!I:I,'SA36'!$O:$O,"R",'SA36'!$F:$F,SA34b!$A$51,'SA36'!$G:$G,SA34b!$A53)</f>
        <v>0</v>
      </c>
      <c r="F53" s="1821">
        <f>SUMIFS('SA36'!I:I,'SA36'!$O:$O,"R",'SA36'!$F:$F,SA34b!$A$7,'SA36'!$G:$G,SA34b!$A53)</f>
        <v>0</v>
      </c>
      <c r="G53" s="1805">
        <f>SUMIFS('SA36'!J:J,'SA36'!$O:$O,"R",'SA36'!$F:$F,SA34b!$A$51,'SA36'!$G:$G,SA34b!$A53)</f>
        <v>0</v>
      </c>
      <c r="H53" s="1822">
        <f t="shared" ref="H53:H63" si="11">G53</f>
        <v>0</v>
      </c>
      <c r="I53" s="1821">
        <f>SUMIFS('SA36'!K:K,'SA36'!$O:$O,"R",'SA36'!$F:$F,SA34b!$A$51,'SA36'!$G:$G,SA34b!$A53)</f>
        <v>0</v>
      </c>
      <c r="J53" s="1805">
        <f>SUMIFS('SA36'!L:L,'SA36'!$O:$O,"R",'SA36'!$F:$F,SA34b!$A$51,'SA36'!$G:$G,SA34b!$A53)</f>
        <v>0</v>
      </c>
      <c r="K53" s="1820">
        <f>SUMIFS('SA36'!M:M,'SA36'!$O:$O,"R",'SA36'!$F:$F,SA34b!$A$51,'SA36'!$G:$G,SA34b!$A53)</f>
        <v>0</v>
      </c>
      <c r="L53" s="345"/>
    </row>
    <row r="54" spans="1:12" ht="11.25" customHeight="1">
      <c r="A54" s="240" t="s">
        <v>1331</v>
      </c>
      <c r="B54" s="171"/>
      <c r="C54" s="1805">
        <v>0</v>
      </c>
      <c r="D54" s="1805">
        <v>0</v>
      </c>
      <c r="E54" s="1820">
        <f>SUMIFS('SA36'!I:I,'SA36'!$O:$O,"R",'SA36'!$F:$F,SA34b!$A$51,'SA36'!$G:$G,SA34b!$A54)</f>
        <v>0</v>
      </c>
      <c r="F54" s="1821">
        <f>SUMIFS('SA36'!I:I,'SA36'!$O:$O,"R",'SA36'!$F:$F,SA34b!$A$7,'SA36'!$G:$G,SA34b!$A54)</f>
        <v>0</v>
      </c>
      <c r="G54" s="1805">
        <f>SUMIFS('SA36'!J:J,'SA36'!$O:$O,"R",'SA36'!$F:$F,SA34b!$A$51,'SA36'!$G:$G,SA34b!$A54)</f>
        <v>0</v>
      </c>
      <c r="H54" s="1822">
        <f t="shared" si="11"/>
        <v>0</v>
      </c>
      <c r="I54" s="1821">
        <f>SUMIFS('SA36'!K:K,'SA36'!$O:$O,"R",'SA36'!$F:$F,SA34b!$A$51,'SA36'!$G:$G,SA34b!$A54)</f>
        <v>0</v>
      </c>
      <c r="J54" s="1805">
        <f>SUMIFS('SA36'!L:L,'SA36'!$O:$O,"R",'SA36'!$F:$F,SA34b!$A$51,'SA36'!$G:$G,SA34b!$A54)</f>
        <v>0</v>
      </c>
      <c r="K54" s="1820">
        <f>SUMIFS('SA36'!M:M,'SA36'!$O:$O,"R",'SA36'!$F:$F,SA34b!$A$51,'SA36'!$G:$G,SA34b!$A54)</f>
        <v>0</v>
      </c>
      <c r="L54" s="1523"/>
    </row>
    <row r="55" spans="1:12" ht="11.25" customHeight="1">
      <c r="A55" s="240" t="s">
        <v>662</v>
      </c>
      <c r="B55" s="171"/>
      <c r="C55" s="1805">
        <v>0</v>
      </c>
      <c r="D55" s="1805">
        <v>0</v>
      </c>
      <c r="E55" s="1820">
        <f>SUMIFS('SA36'!I:I,'SA36'!$O:$O,"R",'SA36'!$F:$F,SA34b!$A$51,'SA36'!$G:$G,SA34b!$A55)</f>
        <v>0</v>
      </c>
      <c r="F55" s="1821">
        <f>SUMIFS('SA36'!I:I,'SA36'!$O:$O,"R",'SA36'!$F:$F,SA34b!$A$7,'SA36'!$G:$G,SA34b!$A55)</f>
        <v>0</v>
      </c>
      <c r="G55" s="1805">
        <f>SUMIFS('SA36'!J:J,'SA36'!$O:$O,"R",'SA36'!$F:$F,SA34b!$A$51,'SA36'!$G:$G,SA34b!$A55)</f>
        <v>0</v>
      </c>
      <c r="H55" s="1822">
        <f t="shared" si="11"/>
        <v>0</v>
      </c>
      <c r="I55" s="1821">
        <f>SUMIFS('SA36'!K:K,'SA36'!$O:$O,"R",'SA36'!$F:$F,SA34b!$A$51,'SA36'!$G:$G,SA34b!$A55)</f>
        <v>0</v>
      </c>
      <c r="J55" s="1805">
        <f>SUMIFS('SA36'!L:L,'SA36'!$O:$O,"R",'SA36'!$F:$F,SA34b!$A$51,'SA36'!$G:$G,SA34b!$A55)</f>
        <v>0</v>
      </c>
      <c r="K55" s="1820">
        <f>SUMIFS('SA36'!M:M,'SA36'!$O:$O,"R",'SA36'!$F:$F,SA34b!$A$51,'SA36'!$G:$G,SA34b!$A55)</f>
        <v>0</v>
      </c>
      <c r="L55" s="1523"/>
    </row>
    <row r="56" spans="1:12" ht="11.25" customHeight="1">
      <c r="A56" s="240" t="s">
        <v>663</v>
      </c>
      <c r="B56" s="171"/>
      <c r="C56" s="1805">
        <v>0</v>
      </c>
      <c r="D56" s="1805">
        <v>0</v>
      </c>
      <c r="E56" s="1820">
        <f>SUMIFS('SA36'!I:I,'SA36'!$O:$O,"R",'SA36'!$F:$F,SA34b!$A$51,'SA36'!$G:$G,SA34b!$A56)</f>
        <v>0</v>
      </c>
      <c r="F56" s="1821">
        <f>SUMIFS('SA36'!I:I,'SA36'!$O:$O,"R",'SA36'!$F:$F,SA34b!$A$7,'SA36'!$G:$G,SA34b!$A56)</f>
        <v>0</v>
      </c>
      <c r="G56" s="1805">
        <f>SUMIFS('SA36'!J:J,'SA36'!$O:$O,"R",'SA36'!$F:$F,SA34b!$A$51,'SA36'!$G:$G,SA34b!$A56)</f>
        <v>0</v>
      </c>
      <c r="H56" s="1822">
        <f t="shared" si="11"/>
        <v>0</v>
      </c>
      <c r="I56" s="1821">
        <f>SUMIFS('SA36'!K:K,'SA36'!$O:$O,"R",'SA36'!$F:$F,SA34b!$A$51,'SA36'!$G:$G,SA34b!$A56)</f>
        <v>0</v>
      </c>
      <c r="J56" s="1805">
        <f>SUMIFS('SA36'!L:L,'SA36'!$O:$O,"R",'SA36'!$F:$F,SA34b!$A$51,'SA36'!$G:$G,SA34b!$A56)</f>
        <v>0</v>
      </c>
      <c r="K56" s="1820">
        <f>SUMIFS('SA36'!M:M,'SA36'!$O:$O,"R",'SA36'!$F:$F,SA34b!$A$51,'SA36'!$G:$G,SA34b!$A56)</f>
        <v>0</v>
      </c>
      <c r="L56" s="1523"/>
    </row>
    <row r="57" spans="1:12" ht="11.25" customHeight="1">
      <c r="A57" s="240" t="s">
        <v>1332</v>
      </c>
      <c r="B57" s="171"/>
      <c r="C57" s="1805">
        <v>0</v>
      </c>
      <c r="D57" s="1805">
        <v>0</v>
      </c>
      <c r="E57" s="1820">
        <f>SUMIFS('SA36'!I:I,'SA36'!$O:$O,"R",'SA36'!$F:$F,SA34b!$A$51,'SA36'!$G:$G,SA34b!$A57)</f>
        <v>0</v>
      </c>
      <c r="F57" s="1821">
        <f>SUMIFS('SA36'!I:I,'SA36'!$O:$O,"R",'SA36'!$F:$F,SA34b!$A$7,'SA36'!$G:$G,SA34b!$A57)</f>
        <v>0</v>
      </c>
      <c r="G57" s="1805">
        <f>SUMIFS('SA36'!J:J,'SA36'!$O:$O,"R",'SA36'!$F:$F,SA34b!$A$51,'SA36'!$G:$G,SA34b!$A57)</f>
        <v>0</v>
      </c>
      <c r="H57" s="1822">
        <f t="shared" si="11"/>
        <v>0</v>
      </c>
      <c r="I57" s="1821">
        <f>SUMIFS('SA36'!K:K,'SA36'!$O:$O,"R",'SA36'!$F:$F,SA34b!$A$51,'SA36'!$G:$G,SA34b!$A57)</f>
        <v>0</v>
      </c>
      <c r="J57" s="1805">
        <f>SUMIFS('SA36'!L:L,'SA36'!$O:$O,"R",'SA36'!$F:$F,SA34b!$A$51,'SA36'!$G:$G,SA34b!$A57)</f>
        <v>0</v>
      </c>
      <c r="K57" s="1820">
        <f>SUMIFS('SA36'!M:M,'SA36'!$O:$O,"R",'SA36'!$F:$F,SA34b!$A$51,'SA36'!$G:$G,SA34b!$A57)</f>
        <v>0</v>
      </c>
      <c r="L57" s="1523"/>
    </row>
    <row r="58" spans="1:12" ht="11.25" customHeight="1">
      <c r="A58" s="240" t="s">
        <v>1333</v>
      </c>
      <c r="B58" s="171"/>
      <c r="C58" s="1805">
        <v>0</v>
      </c>
      <c r="D58" s="1805">
        <v>0</v>
      </c>
      <c r="E58" s="1820">
        <f>SUMIFS('SA36'!I:I,'SA36'!$O:$O,"R",'SA36'!$F:$F,SA34b!$A$51,'SA36'!$G:$G,SA34b!$A58)</f>
        <v>0</v>
      </c>
      <c r="F58" s="1821">
        <f>SUMIFS('SA36'!I:I,'SA36'!$O:$O,"R",'SA36'!$F:$F,SA34b!$A$7,'SA36'!$G:$G,SA34b!$A58)</f>
        <v>0</v>
      </c>
      <c r="G58" s="1805">
        <f>SUMIFS('SA36'!J:J,'SA36'!$O:$O,"R",'SA36'!$F:$F,SA34b!$A$51,'SA36'!$G:$G,SA34b!$A58)</f>
        <v>0</v>
      </c>
      <c r="H58" s="1822">
        <f t="shared" si="11"/>
        <v>0</v>
      </c>
      <c r="I58" s="1821">
        <f>SUMIFS('SA36'!K:K,'SA36'!$O:$O,"R",'SA36'!$F:$F,SA34b!$A$51,'SA36'!$G:$G,SA34b!$A58)</f>
        <v>0</v>
      </c>
      <c r="J58" s="1805">
        <f>SUMIFS('SA36'!L:L,'SA36'!$O:$O,"R",'SA36'!$F:$F,SA34b!$A$51,'SA36'!$G:$G,SA34b!$A58)</f>
        <v>0</v>
      </c>
      <c r="K58" s="1820">
        <f>SUMIFS('SA36'!M:M,'SA36'!$O:$O,"R",'SA36'!$F:$F,SA34b!$A$51,'SA36'!$G:$G,SA34b!$A58)</f>
        <v>0</v>
      </c>
      <c r="L58" s="1522"/>
    </row>
    <row r="59" spans="1:12" ht="11.25" customHeight="1">
      <c r="A59" s="240" t="s">
        <v>1625</v>
      </c>
      <c r="B59" s="171"/>
      <c r="C59" s="1805">
        <v>0</v>
      </c>
      <c r="D59" s="1805">
        <v>0</v>
      </c>
      <c r="E59" s="1820">
        <f>SUMIFS('SA36'!I:I,'SA36'!$O:$O,"R",'SA36'!$F:$F,SA34b!$A$51,'SA36'!$G:$G,SA34b!$A59)</f>
        <v>0</v>
      </c>
      <c r="F59" s="1821">
        <f>SUMIFS('SA36'!I:I,'SA36'!$O:$O,"R",'SA36'!$F:$F,SA34b!$A$7,'SA36'!$G:$G,SA34b!$A59)</f>
        <v>0</v>
      </c>
      <c r="G59" s="1805">
        <f>SUMIFS('SA36'!J:J,'SA36'!$O:$O,"R",'SA36'!$F:$F,SA34b!$A$51,'SA36'!$G:$G,SA34b!$A59)</f>
        <v>0</v>
      </c>
      <c r="H59" s="1822">
        <f t="shared" si="11"/>
        <v>0</v>
      </c>
      <c r="I59" s="1821">
        <f>SUMIFS('SA36'!K:K,'SA36'!$O:$O,"R",'SA36'!$F:$F,SA34b!$A$51,'SA36'!$G:$G,SA34b!$A59)</f>
        <v>0</v>
      </c>
      <c r="J59" s="1805">
        <f>SUMIFS('SA36'!L:L,'SA36'!$O:$O,"R",'SA36'!$F:$F,SA34b!$A$51,'SA36'!$G:$G,SA34b!$A59)</f>
        <v>0</v>
      </c>
      <c r="K59" s="1820">
        <f>SUMIFS('SA36'!M:M,'SA36'!$O:$O,"R",'SA36'!$F:$F,SA34b!$A$51,'SA36'!$G:$G,SA34b!$A59)</f>
        <v>0</v>
      </c>
      <c r="L59" s="1523"/>
    </row>
    <row r="60" spans="1:12" ht="11.25" customHeight="1">
      <c r="A60" s="240" t="s">
        <v>330</v>
      </c>
      <c r="B60" s="171"/>
      <c r="C60" s="1805">
        <v>0</v>
      </c>
      <c r="D60" s="1805">
        <v>0</v>
      </c>
      <c r="E60" s="1820">
        <f>SUMIFS('SA36'!I:I,'SA36'!$O:$O,"R",'SA36'!$F:$F,SA34b!$A$51,'SA36'!$G:$G,SA34b!$A60)</f>
        <v>0</v>
      </c>
      <c r="F60" s="1821">
        <f>SUMIFS('SA36'!I:I,'SA36'!$O:$O,"R",'SA36'!$F:$F,SA34b!$A$7,'SA36'!$G:$G,SA34b!$A60)</f>
        <v>0</v>
      </c>
      <c r="G60" s="1805">
        <f>SUMIFS('SA36'!J:J,'SA36'!$O:$O,"R",'SA36'!$F:$F,SA34b!$A$51,'SA36'!$G:$G,SA34b!$A60)</f>
        <v>0</v>
      </c>
      <c r="H60" s="1822">
        <f t="shared" si="11"/>
        <v>0</v>
      </c>
      <c r="I60" s="1821">
        <f>SUMIFS('SA36'!K:K,'SA36'!$O:$O,"R",'SA36'!$F:$F,SA34b!$A$51,'SA36'!$G:$G,SA34b!$A60)</f>
        <v>0</v>
      </c>
      <c r="J60" s="1805">
        <f>SUMIFS('SA36'!L:L,'SA36'!$O:$O,"R",'SA36'!$F:$F,SA34b!$A$51,'SA36'!$G:$G,SA34b!$A60)</f>
        <v>0</v>
      </c>
      <c r="K60" s="1820">
        <f>SUMIFS('SA36'!M:M,'SA36'!$O:$O,"R",'SA36'!$F:$F,SA34b!$A$51,'SA36'!$G:$G,SA34b!$A60)</f>
        <v>0</v>
      </c>
      <c r="L60" s="1523"/>
    </row>
    <row r="61" spans="1:12" ht="11.25" customHeight="1">
      <c r="A61" s="240" t="s">
        <v>329</v>
      </c>
      <c r="B61" s="171"/>
      <c r="C61" s="1805">
        <v>0</v>
      </c>
      <c r="D61" s="1805">
        <v>0</v>
      </c>
      <c r="E61" s="1820">
        <f>SUMIFS('SA36'!I:I,'SA36'!$O:$O,"R",'SA36'!$F:$F,SA34b!$A$51,'SA36'!$G:$G,SA34b!$A61)</f>
        <v>0</v>
      </c>
      <c r="F61" s="1821">
        <f>SUMIFS('SA36'!I:I,'SA36'!$O:$O,"R",'SA36'!$F:$F,SA34b!$A$7,'SA36'!$G:$G,SA34b!$A61)</f>
        <v>0</v>
      </c>
      <c r="G61" s="1805">
        <f>SUMIFS('SA36'!J:J,'SA36'!$O:$O,"R",'SA36'!$F:$F,SA34b!$A$51,'SA36'!$G:$G,SA34b!$A61)</f>
        <v>0</v>
      </c>
      <c r="H61" s="1822">
        <f t="shared" si="11"/>
        <v>0</v>
      </c>
      <c r="I61" s="1821">
        <f>SUMIFS('SA36'!K:K,'SA36'!$O:$O,"R",'SA36'!$F:$F,SA34b!$A$51,'SA36'!$G:$G,SA34b!$A61)</f>
        <v>0</v>
      </c>
      <c r="J61" s="1805">
        <f>SUMIFS('SA36'!L:L,'SA36'!$O:$O,"R",'SA36'!$F:$F,SA34b!$A$51,'SA36'!$G:$G,SA34b!$A61)</f>
        <v>0</v>
      </c>
      <c r="K61" s="1820">
        <f>SUMIFS('SA36'!M:M,'SA36'!$O:$O,"R",'SA36'!$F:$F,SA34b!$A$51,'SA36'!$G:$G,SA34b!$A61)</f>
        <v>0</v>
      </c>
      <c r="L61" s="1523"/>
    </row>
    <row r="62" spans="1:12" ht="11.25" customHeight="1">
      <c r="A62" s="240" t="s">
        <v>664</v>
      </c>
      <c r="B62" s="171"/>
      <c r="C62" s="1805">
        <v>0</v>
      </c>
      <c r="D62" s="1805">
        <v>0</v>
      </c>
      <c r="E62" s="1820">
        <f>SUMIFS('SA36'!I:I,'SA36'!$O:$O,"R",'SA36'!$F:$F,SA34b!$A$51,'SA36'!$G:$G,SA34b!$A62)</f>
        <v>0</v>
      </c>
      <c r="F62" s="1821">
        <f>SUMIFS('SA36'!I:I,'SA36'!$O:$O,"R",'SA36'!$F:$F,SA34b!$A$7,'SA36'!$G:$G,SA34b!$A62)</f>
        <v>0</v>
      </c>
      <c r="G62" s="1805">
        <f>SUMIFS('SA36'!J:J,'SA36'!$O:$O,"R",'SA36'!$F:$F,SA34b!$A$51,'SA36'!$G:$G,SA34b!$A62)</f>
        <v>0</v>
      </c>
      <c r="H62" s="1822">
        <f t="shared" si="11"/>
        <v>0</v>
      </c>
      <c r="I62" s="1821">
        <f>SUMIFS('SA36'!K:K,'SA36'!$O:$O,"R",'SA36'!$F:$F,SA34b!$A$51,'SA36'!$G:$G,SA34b!$A62)</f>
        <v>0</v>
      </c>
      <c r="J62" s="1805">
        <f>SUMIFS('SA36'!L:L,'SA36'!$O:$O,"R",'SA36'!$F:$F,SA34b!$A$51,'SA36'!$G:$G,SA34b!$A62)</f>
        <v>0</v>
      </c>
      <c r="K62" s="1820">
        <f>SUMIFS('SA36'!M:M,'SA36'!$O:$O,"R",'SA36'!$F:$F,SA34b!$A$51,'SA36'!$G:$G,SA34b!$A62)</f>
        <v>0</v>
      </c>
      <c r="L62" s="1523"/>
    </row>
    <row r="63" spans="1:12" ht="11.25" customHeight="1">
      <c r="A63" s="236" t="s">
        <v>297</v>
      </c>
      <c r="B63" s="171"/>
      <c r="C63" s="1839">
        <v>0</v>
      </c>
      <c r="D63" s="1839">
        <v>0</v>
      </c>
      <c r="E63" s="1840">
        <f>SUMIFS('SA36'!I:I,'SA36'!$O:$O,"R",'SA36'!$F:$F,SA34b!$A$51,'SA36'!$G:$G,SA34b!$A63)</f>
        <v>0</v>
      </c>
      <c r="F63" s="1841">
        <f>SUMIFS('SA36'!I:I,'SA36'!$O:$O,"R",'SA36'!$F:$F,SA34b!$A$7,'SA36'!$G:$G,SA34b!$A63)</f>
        <v>0</v>
      </c>
      <c r="G63" s="1839">
        <f>SUMIFS('SA36'!J:J,'SA36'!$O:$O,"R",'SA36'!$F:$F,SA34b!$A$51,'SA36'!$G:$G,SA34b!$A63)</f>
        <v>0</v>
      </c>
      <c r="H63" s="1842">
        <f t="shared" si="11"/>
        <v>0</v>
      </c>
      <c r="I63" s="1841">
        <f>SUMIFS('SA36'!K:K,'SA36'!$O:$O,"R",'SA36'!$F:$F,SA34b!$A$51,'SA36'!$G:$G,SA34b!$A63)</f>
        <v>0</v>
      </c>
      <c r="J63" s="1839">
        <f>SUMIFS('SA36'!L:L,'SA36'!$O:$O,"R",'SA36'!$F:$F,SA34b!$A$51,'SA36'!$G:$G,SA34b!$A63)</f>
        <v>0</v>
      </c>
      <c r="K63" s="1840">
        <f>SUMIFS('SA36'!M:M,'SA36'!$O:$O,"R",'SA36'!$F:$F,SA34b!$A$51,'SA36'!$G:$G,SA34b!$A63)</f>
        <v>0</v>
      </c>
      <c r="L63" s="1523"/>
    </row>
    <row r="64" spans="1:12" ht="5.0999999999999996" customHeight="1">
      <c r="A64" s="829"/>
      <c r="B64" s="171"/>
      <c r="C64" s="189"/>
      <c r="D64" s="189"/>
      <c r="E64" s="190"/>
      <c r="F64" s="191"/>
      <c r="G64" s="189"/>
      <c r="H64" s="188"/>
      <c r="I64" s="191"/>
      <c r="J64" s="189"/>
      <c r="K64" s="190"/>
      <c r="L64" s="345"/>
    </row>
    <row r="65" spans="1:12" ht="13.5" customHeight="1">
      <c r="A65" s="235" t="s">
        <v>1644</v>
      </c>
      <c r="B65" s="171"/>
      <c r="C65" s="189">
        <f>SUM(C66:C67)</f>
        <v>0</v>
      </c>
      <c r="D65" s="189">
        <f t="shared" ref="D65:K65" si="12">SUM(D66:D67)</f>
        <v>0</v>
      </c>
      <c r="E65" s="190">
        <f t="shared" si="12"/>
        <v>0</v>
      </c>
      <c r="F65" s="191">
        <f t="shared" si="12"/>
        <v>0</v>
      </c>
      <c r="G65" s="189">
        <f t="shared" si="12"/>
        <v>0</v>
      </c>
      <c r="H65" s="188">
        <f t="shared" si="12"/>
        <v>0</v>
      </c>
      <c r="I65" s="191">
        <f t="shared" si="12"/>
        <v>0</v>
      </c>
      <c r="J65" s="189">
        <f t="shared" si="12"/>
        <v>0</v>
      </c>
      <c r="K65" s="190">
        <f t="shared" si="12"/>
        <v>0</v>
      </c>
      <c r="L65" s="345"/>
    </row>
    <row r="66" spans="1:12" ht="11.25" customHeight="1">
      <c r="A66" s="2166" t="s">
        <v>1346</v>
      </c>
      <c r="B66" s="171"/>
      <c r="C66" s="1810">
        <v>0</v>
      </c>
      <c r="D66" s="1810">
        <v>0</v>
      </c>
      <c r="E66" s="2113">
        <v>0</v>
      </c>
      <c r="F66" s="2181">
        <f>SUMIFS('SA36'!I:I,'SA36'!$O:$O,"R",'SA36'!$F:$F,SA34b!$A$7,'SA36'!$G:$G,SA34b!$A66)</f>
        <v>0</v>
      </c>
      <c r="G66" s="1810">
        <v>0</v>
      </c>
      <c r="H66" s="2202">
        <v>0</v>
      </c>
      <c r="I66" s="2181">
        <v>0</v>
      </c>
      <c r="J66" s="1810">
        <v>0</v>
      </c>
      <c r="K66" s="2113">
        <v>0</v>
      </c>
      <c r="L66" s="345"/>
    </row>
    <row r="67" spans="1:12" ht="11.25" customHeight="1">
      <c r="A67" s="2166"/>
      <c r="B67" s="171"/>
      <c r="C67" s="1839">
        <v>0</v>
      </c>
      <c r="D67" s="1839">
        <v>0</v>
      </c>
      <c r="E67" s="1840">
        <v>0</v>
      </c>
      <c r="F67" s="1841">
        <f>SUMIFS('SA36'!I:I,'SA36'!$O:$O,"R",'SA36'!$F:$F,SA34b!$A$7,'SA36'!$G:$G,SA34b!$A67)</f>
        <v>0</v>
      </c>
      <c r="G67" s="1839">
        <v>0</v>
      </c>
      <c r="H67" s="1842">
        <v>0</v>
      </c>
      <c r="I67" s="1841">
        <v>0</v>
      </c>
      <c r="J67" s="1839">
        <v>0</v>
      </c>
      <c r="K67" s="1840">
        <v>0</v>
      </c>
      <c r="L67" s="345"/>
    </row>
    <row r="68" spans="1:12" ht="5.0999999999999996" customHeight="1">
      <c r="A68" s="829"/>
      <c r="B68" s="171"/>
      <c r="C68" s="189"/>
      <c r="D68" s="189"/>
      <c r="E68" s="190"/>
      <c r="F68" s="191"/>
      <c r="G68" s="189"/>
      <c r="H68" s="188"/>
      <c r="I68" s="191"/>
      <c r="J68" s="189"/>
      <c r="K68" s="190"/>
      <c r="L68" s="345"/>
    </row>
    <row r="69" spans="1:12" ht="13.5" customHeight="1">
      <c r="A69" s="235" t="s">
        <v>135</v>
      </c>
      <c r="B69" s="171"/>
      <c r="C69" s="189">
        <f>SUM(C70:C71)</f>
        <v>0</v>
      </c>
      <c r="D69" s="189">
        <f t="shared" ref="D69:K69" si="13">SUM(D70:D71)</f>
        <v>0</v>
      </c>
      <c r="E69" s="190">
        <f t="shared" si="13"/>
        <v>0</v>
      </c>
      <c r="F69" s="191">
        <f t="shared" si="13"/>
        <v>0</v>
      </c>
      <c r="G69" s="189">
        <f t="shared" si="13"/>
        <v>0</v>
      </c>
      <c r="H69" s="188">
        <f t="shared" si="13"/>
        <v>0</v>
      </c>
      <c r="I69" s="191">
        <f t="shared" si="13"/>
        <v>0</v>
      </c>
      <c r="J69" s="189">
        <f t="shared" si="13"/>
        <v>0</v>
      </c>
      <c r="K69" s="190">
        <f t="shared" si="13"/>
        <v>0</v>
      </c>
      <c r="L69" s="345"/>
    </row>
    <row r="70" spans="1:12" ht="11.25" customHeight="1">
      <c r="A70" s="2166" t="s">
        <v>1346</v>
      </c>
      <c r="B70" s="171"/>
      <c r="C70" s="1810">
        <v>0</v>
      </c>
      <c r="D70" s="1810">
        <v>0</v>
      </c>
      <c r="E70" s="2113">
        <v>0</v>
      </c>
      <c r="F70" s="2181">
        <f>SUMIFS('SA36'!I:I,'SA36'!$O:$O,"R",'SA36'!$F:$F,SA34b!$A$7,'SA36'!$G:$G,SA34b!$A70)</f>
        <v>0</v>
      </c>
      <c r="G70" s="1810">
        <v>0</v>
      </c>
      <c r="H70" s="2202">
        <v>0</v>
      </c>
      <c r="I70" s="2181">
        <v>0</v>
      </c>
      <c r="J70" s="1810">
        <v>0</v>
      </c>
      <c r="K70" s="2113">
        <v>0</v>
      </c>
      <c r="L70" s="345"/>
    </row>
    <row r="71" spans="1:12" ht="11.25" customHeight="1">
      <c r="A71" s="2166"/>
      <c r="B71" s="171"/>
      <c r="C71" s="1839">
        <v>0</v>
      </c>
      <c r="D71" s="1839">
        <v>0</v>
      </c>
      <c r="E71" s="1840">
        <v>0</v>
      </c>
      <c r="F71" s="1841">
        <f>SUMIFS('SA36'!I:I,'SA36'!$O:$O,"R",'SA36'!$F:$F,SA34b!$A$7,'SA36'!$G:$G,SA34b!$A71)</f>
        <v>0</v>
      </c>
      <c r="G71" s="1839">
        <v>0</v>
      </c>
      <c r="H71" s="1842">
        <v>0</v>
      </c>
      <c r="I71" s="1841">
        <v>0</v>
      </c>
      <c r="J71" s="1839">
        <v>0</v>
      </c>
      <c r="K71" s="1840">
        <v>0</v>
      </c>
      <c r="L71" s="345"/>
    </row>
    <row r="72" spans="1:12" ht="5.0999999999999996" customHeight="1">
      <c r="A72" s="259"/>
      <c r="B72" s="171"/>
      <c r="C72" s="189"/>
      <c r="D72" s="189"/>
      <c r="E72" s="190"/>
      <c r="F72" s="191"/>
      <c r="G72" s="189"/>
      <c r="H72" s="188"/>
      <c r="I72" s="191"/>
      <c r="J72" s="189"/>
      <c r="K72" s="190"/>
      <c r="L72" s="345"/>
    </row>
    <row r="73" spans="1:12" ht="17.25" customHeight="1">
      <c r="A73" s="235" t="s">
        <v>941</v>
      </c>
      <c r="B73" s="171"/>
      <c r="C73" s="189">
        <f>SUM(C74:C75)</f>
        <v>0</v>
      </c>
      <c r="D73" s="189">
        <f t="shared" ref="D73:K73" si="14">SUM(D74:D75)</f>
        <v>0</v>
      </c>
      <c r="E73" s="190">
        <f t="shared" si="14"/>
        <v>0</v>
      </c>
      <c r="F73" s="191">
        <f t="shared" si="14"/>
        <v>0</v>
      </c>
      <c r="G73" s="189">
        <f t="shared" si="14"/>
        <v>0</v>
      </c>
      <c r="H73" s="188">
        <f t="shared" si="14"/>
        <v>0</v>
      </c>
      <c r="I73" s="191">
        <f t="shared" si="14"/>
        <v>0</v>
      </c>
      <c r="J73" s="189">
        <f t="shared" si="14"/>
        <v>0</v>
      </c>
      <c r="K73" s="190">
        <f t="shared" si="14"/>
        <v>0</v>
      </c>
      <c r="L73" s="345"/>
    </row>
    <row r="74" spans="1:12" ht="11.25" customHeight="1">
      <c r="A74" s="240" t="s">
        <v>1036</v>
      </c>
      <c r="B74" s="171"/>
      <c r="C74" s="1810">
        <v>0</v>
      </c>
      <c r="D74" s="1810">
        <v>0</v>
      </c>
      <c r="E74" s="2113">
        <v>0</v>
      </c>
      <c r="F74" s="2181">
        <f>SUMIFS('SA36'!I:I,'SA36'!$O:$O,"R",'SA36'!$F:$F,SA34b!$A$7,'SA36'!$G:$G,SA34b!$A74)</f>
        <v>0</v>
      </c>
      <c r="G74" s="1810">
        <v>0</v>
      </c>
      <c r="H74" s="2202">
        <v>0</v>
      </c>
      <c r="I74" s="2181">
        <v>0</v>
      </c>
      <c r="J74" s="1810">
        <v>0</v>
      </c>
      <c r="K74" s="2113">
        <v>0</v>
      </c>
      <c r="L74" s="345"/>
    </row>
    <row r="75" spans="1:12" ht="11.25" customHeight="1">
      <c r="A75" s="2139" t="s">
        <v>642</v>
      </c>
      <c r="B75" s="171"/>
      <c r="C75" s="1839">
        <v>0</v>
      </c>
      <c r="D75" s="1839">
        <v>0</v>
      </c>
      <c r="E75" s="1840">
        <v>0</v>
      </c>
      <c r="F75" s="1841">
        <f>SUMIFS('SA36'!I:I,'SA36'!$O:$O,"R",'SA36'!$F:$F,SA34b!$A$7,'SA36'!$G:$G,SA34b!$A75)</f>
        <v>0</v>
      </c>
      <c r="G75" s="1839">
        <v>0</v>
      </c>
      <c r="H75" s="1842">
        <v>0</v>
      </c>
      <c r="I75" s="1841">
        <v>0</v>
      </c>
      <c r="J75" s="1839">
        <v>0</v>
      </c>
      <c r="K75" s="1840">
        <v>0</v>
      </c>
      <c r="L75" s="345"/>
    </row>
    <row r="76" spans="1:12" ht="5.0999999999999996" customHeight="1">
      <c r="A76" s="259"/>
      <c r="B76" s="171"/>
      <c r="C76" s="204"/>
      <c r="D76" s="204"/>
      <c r="E76" s="205"/>
      <c r="F76" s="206"/>
      <c r="G76" s="204"/>
      <c r="H76" s="203"/>
      <c r="I76" s="206"/>
      <c r="J76" s="204"/>
      <c r="K76" s="205"/>
      <c r="L76" s="345"/>
    </row>
    <row r="77" spans="1:12">
      <c r="A77" s="267" t="s">
        <v>1303</v>
      </c>
      <c r="B77" s="211">
        <v>1</v>
      </c>
      <c r="C77" s="216">
        <f t="shared" ref="C77:K77" si="15">C6+C27+C43+C47+C51+C73+C65+C69</f>
        <v>0</v>
      </c>
      <c r="D77" s="216">
        <f t="shared" si="15"/>
        <v>0</v>
      </c>
      <c r="E77" s="214">
        <f t="shared" si="15"/>
        <v>0</v>
      </c>
      <c r="F77" s="215">
        <f t="shared" si="15"/>
        <v>0</v>
      </c>
      <c r="G77" s="216">
        <f t="shared" si="15"/>
        <v>0</v>
      </c>
      <c r="H77" s="217">
        <f t="shared" si="15"/>
        <v>0</v>
      </c>
      <c r="I77" s="215">
        <f t="shared" si="15"/>
        <v>0</v>
      </c>
      <c r="J77" s="216">
        <f t="shared" si="15"/>
        <v>0</v>
      </c>
      <c r="K77" s="214">
        <f t="shared" si="15"/>
        <v>0</v>
      </c>
      <c r="L77" s="345"/>
    </row>
    <row r="78" spans="1:12">
      <c r="A78" s="1525"/>
      <c r="B78" s="636"/>
      <c r="C78" s="203"/>
      <c r="D78" s="203"/>
      <c r="E78" s="203"/>
      <c r="F78" s="203"/>
      <c r="G78" s="203"/>
      <c r="H78" s="203"/>
      <c r="I78" s="203"/>
      <c r="J78" s="203"/>
      <c r="K78" s="203"/>
      <c r="L78" s="345"/>
    </row>
    <row r="79" spans="1:12">
      <c r="A79" s="1526" t="s">
        <v>32</v>
      </c>
      <c r="B79" s="1527"/>
      <c r="C79" s="1272">
        <f t="shared" ref="C79:K79" si="16">SUM(C80:C83)</f>
        <v>0</v>
      </c>
      <c r="D79" s="1268">
        <f t="shared" si="16"/>
        <v>0</v>
      </c>
      <c r="E79" s="1528">
        <f t="shared" si="16"/>
        <v>0</v>
      </c>
      <c r="F79" s="1272">
        <f t="shared" si="16"/>
        <v>0</v>
      </c>
      <c r="G79" s="1268">
        <f t="shared" si="16"/>
        <v>0</v>
      </c>
      <c r="H79" s="1528">
        <f t="shared" si="16"/>
        <v>0</v>
      </c>
      <c r="I79" s="1272">
        <f t="shared" si="16"/>
        <v>0</v>
      </c>
      <c r="J79" s="1268">
        <f t="shared" si="16"/>
        <v>0</v>
      </c>
      <c r="K79" s="1528">
        <f t="shared" si="16"/>
        <v>0</v>
      </c>
      <c r="L79" s="345"/>
    </row>
    <row r="80" spans="1:12">
      <c r="A80" s="179" t="s">
        <v>1386</v>
      </c>
      <c r="B80" s="1529"/>
      <c r="C80" s="1807"/>
      <c r="D80" s="1805"/>
      <c r="E80" s="1808"/>
      <c r="F80" s="1807"/>
      <c r="G80" s="1805"/>
      <c r="H80" s="1808"/>
      <c r="I80" s="1807"/>
      <c r="J80" s="1805"/>
      <c r="K80" s="1808"/>
      <c r="L80" s="345"/>
    </row>
    <row r="81" spans="1:12">
      <c r="A81" s="179" t="s">
        <v>1626</v>
      </c>
      <c r="B81" s="1529"/>
      <c r="C81" s="1807"/>
      <c r="D81" s="1805"/>
      <c r="E81" s="1808"/>
      <c r="F81" s="1807"/>
      <c r="G81" s="1805"/>
      <c r="H81" s="1808"/>
      <c r="I81" s="1807"/>
      <c r="J81" s="1805"/>
      <c r="K81" s="1808"/>
      <c r="L81" s="345"/>
    </row>
    <row r="82" spans="1:12">
      <c r="A82" s="179" t="s">
        <v>1833</v>
      </c>
      <c r="B82" s="1529"/>
      <c r="C82" s="1807"/>
      <c r="D82" s="1805"/>
      <c r="E82" s="1808"/>
      <c r="F82" s="1807"/>
      <c r="G82" s="1805"/>
      <c r="H82" s="1808"/>
      <c r="I82" s="1807"/>
      <c r="J82" s="1805"/>
      <c r="K82" s="1808"/>
      <c r="L82" s="345"/>
    </row>
    <row r="83" spans="1:12">
      <c r="A83" s="1285" t="s">
        <v>1834</v>
      </c>
      <c r="B83" s="1530"/>
      <c r="C83" s="1890"/>
      <c r="D83" s="1886"/>
      <c r="E83" s="2208"/>
      <c r="F83" s="1890"/>
      <c r="G83" s="1886"/>
      <c r="H83" s="2208"/>
      <c r="I83" s="1890"/>
      <c r="J83" s="1886"/>
      <c r="K83" s="2208"/>
      <c r="L83" s="345"/>
    </row>
    <row r="84" spans="1:12" s="693" customFormat="1" hidden="1">
      <c r="A84" s="1234" t="str">
        <f>head27a</f>
        <v>References</v>
      </c>
      <c r="B84" s="1033"/>
      <c r="C84" s="1037"/>
      <c r="D84" s="1037"/>
      <c r="E84" s="1037"/>
      <c r="F84" s="1037"/>
      <c r="G84" s="1037"/>
      <c r="H84" s="1037"/>
      <c r="I84" s="1037"/>
      <c r="J84" s="1037"/>
      <c r="K84" s="1037"/>
      <c r="L84" s="1524"/>
    </row>
    <row r="85" spans="1:12" s="693" customFormat="1" ht="11.25" hidden="1" customHeight="1">
      <c r="A85" s="1235" t="s">
        <v>1304</v>
      </c>
      <c r="B85" s="1033"/>
      <c r="C85" s="1036"/>
      <c r="D85" s="1036"/>
      <c r="E85" s="1037"/>
      <c r="F85" s="1037"/>
      <c r="G85" s="1037"/>
      <c r="H85" s="1037"/>
      <c r="I85" s="1037"/>
      <c r="J85" s="1037"/>
      <c r="K85" s="1037"/>
      <c r="L85" s="1077"/>
    </row>
    <row r="86" spans="1:12" s="693" customFormat="1" ht="11.25" hidden="1" customHeight="1">
      <c r="A86" s="1235" t="s">
        <v>327</v>
      </c>
      <c r="B86" s="1033"/>
      <c r="C86" s="1036"/>
      <c r="D86" s="1036"/>
      <c r="E86" s="1037"/>
      <c r="F86" s="1037"/>
      <c r="G86" s="1037"/>
      <c r="H86" s="1037"/>
      <c r="I86" s="1037"/>
      <c r="J86" s="1037"/>
      <c r="K86" s="1037"/>
    </row>
    <row r="87" spans="1:12" s="693" customFormat="1" ht="11.25" hidden="1" customHeight="1">
      <c r="A87" s="1235" t="s">
        <v>975</v>
      </c>
      <c r="B87" s="1033"/>
      <c r="C87" s="1036"/>
      <c r="D87" s="1036"/>
      <c r="E87" s="1037"/>
      <c r="F87" s="1037"/>
      <c r="G87" s="1037"/>
      <c r="H87" s="1037"/>
      <c r="I87" s="1037"/>
      <c r="J87" s="1037"/>
      <c r="K87" s="1037"/>
    </row>
    <row r="88" spans="1:12" s="693" customFormat="1" ht="11.25" hidden="1" customHeight="1">
      <c r="A88" s="1235" t="s">
        <v>331</v>
      </c>
      <c r="B88" s="1033"/>
      <c r="C88" s="1036"/>
      <c r="D88" s="1036"/>
      <c r="E88" s="1037"/>
      <c r="F88" s="1037"/>
      <c r="G88" s="1037"/>
      <c r="H88" s="1037"/>
      <c r="I88" s="1037"/>
      <c r="J88" s="1037"/>
      <c r="K88" s="1037"/>
    </row>
    <row r="89" spans="1:12" s="693" customFormat="1" ht="11.25" hidden="1" customHeight="1">
      <c r="A89" s="1235" t="s">
        <v>132</v>
      </c>
      <c r="B89" s="1033"/>
      <c r="C89" s="1036"/>
      <c r="D89" s="1036"/>
      <c r="E89" s="1037"/>
      <c r="F89" s="1037"/>
      <c r="G89" s="1037"/>
      <c r="H89" s="1037"/>
      <c r="I89" s="1037"/>
      <c r="J89" s="1037"/>
      <c r="K89" s="1037"/>
    </row>
    <row r="90" spans="1:12" s="693" customFormat="1" ht="11.25" hidden="1" customHeight="1">
      <c r="A90" s="1235" t="s">
        <v>1774</v>
      </c>
      <c r="B90" s="1033"/>
      <c r="C90" s="1036"/>
      <c r="D90" s="1036"/>
      <c r="E90" s="1037"/>
      <c r="F90" s="1037"/>
      <c r="G90" s="1037"/>
      <c r="H90" s="1037"/>
      <c r="I90" s="1037"/>
      <c r="J90" s="1037"/>
      <c r="K90" s="1037"/>
    </row>
    <row r="91" spans="1:12" s="693" customFormat="1" ht="11.25" hidden="1" customHeight="1">
      <c r="A91" s="1477" t="s">
        <v>33</v>
      </c>
      <c r="B91" s="1033"/>
      <c r="C91" s="1036"/>
      <c r="D91" s="1036"/>
      <c r="E91" s="1037"/>
      <c r="F91" s="1037"/>
      <c r="G91" s="1037"/>
      <c r="H91" s="1037"/>
      <c r="I91" s="1037"/>
      <c r="J91" s="1037"/>
      <c r="K91" s="1037"/>
    </row>
    <row r="92" spans="1:12" s="693" customFormat="1" ht="11.25" hidden="1" customHeight="1">
      <c r="A92" s="1477" t="s">
        <v>1434</v>
      </c>
      <c r="B92" s="1033"/>
      <c r="C92" s="1036"/>
      <c r="D92" s="1036"/>
      <c r="E92" s="1037"/>
      <c r="F92" s="1037"/>
      <c r="G92" s="1037"/>
      <c r="H92" s="1037"/>
      <c r="I92" s="1037"/>
      <c r="J92" s="1037"/>
      <c r="K92" s="1037"/>
    </row>
    <row r="93" spans="1:12" s="693" customFormat="1" ht="11.25" hidden="1" customHeight="1">
      <c r="A93" s="1477" t="s">
        <v>1435</v>
      </c>
      <c r="B93" s="1033"/>
      <c r="C93" s="1036"/>
      <c r="D93" s="1036"/>
      <c r="E93" s="1037"/>
      <c r="F93" s="1037"/>
      <c r="G93" s="1037"/>
      <c r="H93" s="1037"/>
      <c r="I93" s="1037"/>
      <c r="J93" s="1037"/>
      <c r="K93" s="1037"/>
    </row>
    <row r="94" spans="1:12" s="693" customFormat="1" ht="11.25" hidden="1" customHeight="1">
      <c r="A94" s="1477" t="s">
        <v>403</v>
      </c>
      <c r="B94" s="1033"/>
      <c r="C94" s="1036"/>
      <c r="D94" s="1036"/>
      <c r="E94" s="1037"/>
      <c r="F94" s="1037"/>
      <c r="G94" s="1037"/>
      <c r="H94" s="1037"/>
      <c r="I94" s="1037"/>
      <c r="J94" s="1037"/>
      <c r="K94" s="1037"/>
    </row>
    <row r="95" spans="1:12" s="693" customFormat="1" ht="11.25" hidden="1" customHeight="1">
      <c r="A95" s="1050"/>
      <c r="B95" s="1033"/>
      <c r="C95" s="1036"/>
      <c r="D95" s="1036"/>
      <c r="E95" s="1037"/>
      <c r="F95" s="1037"/>
      <c r="G95" s="1037"/>
      <c r="H95" s="1037"/>
      <c r="I95" s="1037"/>
      <c r="J95" s="1037"/>
      <c r="K95" s="1037"/>
    </row>
    <row r="96" spans="1:12" ht="11.25" hidden="1" customHeight="1">
      <c r="A96" s="232"/>
      <c r="B96" s="222"/>
      <c r="C96" s="226"/>
      <c r="D96" s="226"/>
      <c r="E96" s="227"/>
      <c r="F96" s="227"/>
      <c r="G96" s="227"/>
      <c r="H96" s="227"/>
      <c r="I96" s="227"/>
      <c r="J96" s="227"/>
      <c r="K96" s="227"/>
    </row>
    <row r="97" spans="1:11" ht="11.25" hidden="1" customHeight="1">
      <c r="A97" s="273" t="s">
        <v>300</v>
      </c>
      <c r="B97" s="229"/>
      <c r="C97" s="421">
        <f>C77-'A5-Capex'!C40+SA34a!C77</f>
        <v>0</v>
      </c>
      <c r="D97" s="421">
        <f>D77-'A5-Capex'!D40+SA34a!D77</f>
        <v>0</v>
      </c>
      <c r="E97" s="421">
        <f>E77-'A5-Capex'!E40+SA34a!E77</f>
        <v>0</v>
      </c>
      <c r="F97" s="421">
        <f>F77-'A5-Capex'!F40+SA34a!F77</f>
        <v>0</v>
      </c>
      <c r="G97" s="421">
        <f>G77-'A5-Capex'!G40+SA34a!G77</f>
        <v>0</v>
      </c>
      <c r="H97" s="421">
        <f>H77-'A5-Capex'!H40+SA34a!H77</f>
        <v>0</v>
      </c>
      <c r="I97" s="421">
        <f>I77-'A5-Capex'!J40+SA34a!I77</f>
        <v>-9488000</v>
      </c>
      <c r="J97" s="421">
        <f>J77-'A5-Capex'!K40+SA34a!J77</f>
        <v>0</v>
      </c>
      <c r="K97" s="421">
        <f>K77-'A5-Capex'!L40+SA34a!K77</f>
        <v>0</v>
      </c>
    </row>
    <row r="98" spans="1:11" ht="11.25" hidden="1" customHeight="1"/>
    <row r="99" spans="1:11" ht="11.25" hidden="1" customHeight="1"/>
    <row r="100" spans="1:11" ht="11.25" hidden="1" customHeight="1"/>
    <row r="101" spans="1:11" ht="11.25" hidden="1" customHeight="1"/>
    <row r="102" spans="1:11" ht="11.25" hidden="1" customHeight="1"/>
    <row r="103" spans="1:11" ht="11.25" hidden="1" customHeight="1"/>
    <row r="104" spans="1:11" ht="11.25" hidden="1" customHeight="1"/>
    <row r="105" spans="1:11" ht="11.25" customHeight="1"/>
    <row r="106" spans="1:11" ht="11.25" customHeight="1"/>
    <row r="107" spans="1:11" ht="11.25" customHeight="1"/>
    <row r="108" spans="1:11" ht="11.25" customHeight="1"/>
    <row r="109" spans="1:11" ht="11.25" customHeight="1"/>
    <row r="110" spans="1:11" ht="11.25" customHeight="1"/>
    <row r="111" spans="1:11" ht="11.25" customHeight="1"/>
    <row r="112" spans="1:11"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sheetData>
  <sheetProtection sheet="1" objects="1" scenarios="1"/>
  <mergeCells count="2">
    <mergeCell ref="F2:H2"/>
    <mergeCell ref="I2:K2"/>
  </mergeCells>
  <phoneticPr fontId="3" type="noConversion"/>
  <pageMargins left="0.75" right="0.75" top="1" bottom="1" header="0.5" footer="0.5"/>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enableFormatConditionsCalculation="0">
    <tabColor indexed="42"/>
  </sheetPr>
  <dimension ref="A1:O132"/>
  <sheetViews>
    <sheetView showGridLines="0" workbookViewId="0">
      <pane xSplit="2" ySplit="3" topLeftCell="C7" activePane="bottomRight" state="frozen"/>
      <selection pane="topRight" activeCell="C1" sqref="C1"/>
      <selection pane="bottomLeft" activeCell="A4" sqref="A4"/>
      <selection pane="bottomRight" activeCell="A9" sqref="A9"/>
    </sheetView>
  </sheetViews>
  <sheetFormatPr defaultRowHeight="12.75"/>
  <cols>
    <col min="1" max="1" width="30.7109375" style="150" customWidth="1"/>
    <col min="2" max="2" width="3" style="233" hidden="1" customWidth="1"/>
    <col min="3" max="11" width="9.28515625" style="150" customWidth="1"/>
    <col min="12" max="12" width="9.7109375" style="150" customWidth="1"/>
    <col min="13" max="13" width="9.5703125" style="150" customWidth="1"/>
    <col min="14" max="14" width="9.85546875" style="150" customWidth="1"/>
    <col min="15" max="17" width="9.5703125" style="150" customWidth="1"/>
    <col min="18" max="18" width="9.85546875" style="150" customWidth="1"/>
    <col min="19" max="21" width="9.5703125" style="150" customWidth="1"/>
    <col min="22" max="23" width="9.85546875" style="150" customWidth="1"/>
    <col min="24" max="16384" width="9.140625" style="150"/>
  </cols>
  <sheetData>
    <row r="1" spans="1:12" ht="13.5" customHeight="1">
      <c r="A1" s="148" t="str">
        <f>muni&amp;" - "&amp;TableA34c</f>
        <v>NC071 Ubuntu - Supporting Table SA34c Repairs and maintenance expenditure by asset class</v>
      </c>
      <c r="B1" s="148"/>
      <c r="C1" s="148"/>
      <c r="D1" s="148"/>
      <c r="E1" s="148"/>
      <c r="F1" s="148"/>
      <c r="G1" s="148"/>
      <c r="H1" s="148"/>
      <c r="I1" s="148"/>
      <c r="J1" s="148"/>
      <c r="K1" s="148"/>
    </row>
    <row r="2" spans="1:12" ht="28.5" customHeight="1">
      <c r="A2" s="979" t="str">
        <f>desc</f>
        <v>Description</v>
      </c>
      <c r="B2" s="394" t="str">
        <f>head27</f>
        <v>Ref</v>
      </c>
      <c r="C2" s="151" t="str">
        <f>head1b</f>
        <v>2007/8</v>
      </c>
      <c r="D2" s="740" t="str">
        <f>head1A</f>
        <v>2008/9</v>
      </c>
      <c r="E2" s="147" t="str">
        <f>Head1</f>
        <v>2009/10</v>
      </c>
      <c r="F2" s="2772" t="str">
        <f>Head2</f>
        <v>Current Year 2010/11</v>
      </c>
      <c r="G2" s="2773"/>
      <c r="H2" s="2773"/>
      <c r="I2" s="2769" t="str">
        <f>Head3</f>
        <v>2011/12 Medium Term Revenue &amp; Expenditure Framework</v>
      </c>
      <c r="J2" s="2770"/>
      <c r="K2" s="2771"/>
    </row>
    <row r="3" spans="1:12" ht="25.5">
      <c r="A3" s="169" t="s">
        <v>697</v>
      </c>
      <c r="B3" s="980">
        <v>1</v>
      </c>
      <c r="C3" s="365" t="str">
        <f>Head5</f>
        <v>Audited Outcome</v>
      </c>
      <c r="D3" s="993" t="str">
        <f>Head5</f>
        <v>Audited Outcome</v>
      </c>
      <c r="E3" s="366" t="str">
        <f>Head5</f>
        <v>Audited Outcome</v>
      </c>
      <c r="F3" s="283" t="str">
        <f>Head6</f>
        <v>Original Budget</v>
      </c>
      <c r="G3" s="365" t="str">
        <f>Head7</f>
        <v>Adjusted Budget</v>
      </c>
      <c r="H3" s="364" t="str">
        <f>Head8</f>
        <v>Full Year Forecast</v>
      </c>
      <c r="I3" s="283" t="str">
        <f>Head9</f>
        <v>Budget Year 2011/12</v>
      </c>
      <c r="J3" s="365" t="str">
        <f>Head10</f>
        <v>Budget Year +1 2012/13</v>
      </c>
      <c r="K3" s="366" t="str">
        <f>Head11</f>
        <v>Budget Year +2 2013/14</v>
      </c>
    </row>
    <row r="4" spans="1:12" ht="11.25" customHeight="1">
      <c r="A4" s="846" t="s">
        <v>1299</v>
      </c>
      <c r="B4" s="733"/>
      <c r="C4" s="1090"/>
      <c r="D4" s="292"/>
      <c r="E4" s="295"/>
      <c r="F4" s="294"/>
      <c r="G4" s="292"/>
      <c r="H4" s="293"/>
      <c r="I4" s="294"/>
      <c r="J4" s="292"/>
      <c r="K4" s="295"/>
      <c r="L4" s="345"/>
    </row>
    <row r="5" spans="1:12" ht="5.0999999999999996" customHeight="1">
      <c r="A5" s="235"/>
      <c r="B5" s="171"/>
      <c r="C5" s="296"/>
      <c r="D5" s="296"/>
      <c r="E5" s="299"/>
      <c r="F5" s="298"/>
      <c r="G5" s="296"/>
      <c r="H5" s="297"/>
      <c r="I5" s="298"/>
      <c r="J5" s="296"/>
      <c r="K5" s="299"/>
      <c r="L5" s="345"/>
    </row>
    <row r="6" spans="1:12" ht="11.25" customHeight="1">
      <c r="A6" s="235" t="s">
        <v>1040</v>
      </c>
      <c r="B6" s="171"/>
      <c r="C6" s="369">
        <f>C7+C10+C14+C18+C21</f>
        <v>0</v>
      </c>
      <c r="D6" s="369">
        <f t="shared" ref="D6:K6" si="0">D7+D10+D14+D18+D21</f>
        <v>0</v>
      </c>
      <c r="E6" s="319">
        <f t="shared" si="0"/>
        <v>0</v>
      </c>
      <c r="F6" s="370">
        <f t="shared" si="0"/>
        <v>0</v>
      </c>
      <c r="G6" s="369">
        <f t="shared" si="0"/>
        <v>0</v>
      </c>
      <c r="H6" s="371">
        <f t="shared" si="0"/>
        <v>0</v>
      </c>
      <c r="I6" s="370">
        <f t="shared" si="0"/>
        <v>0</v>
      </c>
      <c r="J6" s="369">
        <f t="shared" si="0"/>
        <v>0</v>
      </c>
      <c r="K6" s="319">
        <f t="shared" si="0"/>
        <v>0</v>
      </c>
      <c r="L6" s="1522"/>
    </row>
    <row r="7" spans="1:12" s="1498" customFormat="1" ht="13.5">
      <c r="A7" s="236" t="s">
        <v>560</v>
      </c>
      <c r="B7" s="171"/>
      <c r="C7" s="1102">
        <f>SUM(C8:C9)</f>
        <v>0</v>
      </c>
      <c r="D7" s="1102">
        <f t="shared" ref="D7:K7" si="1">SUM(D8:D9)</f>
        <v>0</v>
      </c>
      <c r="E7" s="1351">
        <f t="shared" si="1"/>
        <v>0</v>
      </c>
      <c r="F7" s="1106">
        <f t="shared" si="1"/>
        <v>0</v>
      </c>
      <c r="G7" s="1102">
        <f t="shared" si="1"/>
        <v>0</v>
      </c>
      <c r="H7" s="1151">
        <f t="shared" si="1"/>
        <v>0</v>
      </c>
      <c r="I7" s="1352">
        <f t="shared" si="1"/>
        <v>0</v>
      </c>
      <c r="J7" s="1102">
        <f t="shared" si="1"/>
        <v>0</v>
      </c>
      <c r="K7" s="1151">
        <f t="shared" si="1"/>
        <v>0</v>
      </c>
      <c r="L7" s="345"/>
    </row>
    <row r="8" spans="1:12" s="1498" customFormat="1" ht="13.5">
      <c r="A8" s="1260" t="s">
        <v>561</v>
      </c>
      <c r="B8" s="171"/>
      <c r="C8" s="1805">
        <f>SUMIF(TB!$M:$M,SA34c!$A8,TB!N:N)</f>
        <v>0</v>
      </c>
      <c r="D8" s="1805">
        <f>SUMIF(TB!$M:$M,SA34c!$A8,TB!O:O)</f>
        <v>0</v>
      </c>
      <c r="E8" s="1806">
        <f>SUMIF(TB!$M:$M,SA34c!$A8,TB!P:P)</f>
        <v>0</v>
      </c>
      <c r="F8" s="1807">
        <f>SUMIF(TB!$M:$M,SA34c!$A8,TB!Q:Q)</f>
        <v>0</v>
      </c>
      <c r="G8" s="1805">
        <f>SUMIF(TB!$M:$M,SA34c!$A8,TB!R:R)</f>
        <v>0</v>
      </c>
      <c r="H8" s="1808">
        <f>SUMIF(TB!$M:$M,SA34c!$A8,TB!S:S)</f>
        <v>0</v>
      </c>
      <c r="I8" s="1809">
        <f>SUMIF(TB!$M:$M,SA34c!$A8,TB!U:U)</f>
        <v>0</v>
      </c>
      <c r="J8" s="1805">
        <f>SUMIF(TB!$M:$M,SA34c!$A8,TB!V:V)</f>
        <v>0</v>
      </c>
      <c r="K8" s="1808">
        <f>SUMIF(TB!$M:$M,SA34c!$A8,TB!W:W)</f>
        <v>0</v>
      </c>
      <c r="L8" s="1522"/>
    </row>
    <row r="9" spans="1:12" s="1498" customFormat="1" ht="13.5">
      <c r="A9" s="1260" t="s">
        <v>562</v>
      </c>
      <c r="B9" s="171"/>
      <c r="C9" s="1805">
        <f>SUMIF(TB!$M:$M,SA34c!$A9,TB!N:N)</f>
        <v>0</v>
      </c>
      <c r="D9" s="1805">
        <f>SUMIF(TB!$M:$M,SA34c!$A9,TB!O:O)</f>
        <v>0</v>
      </c>
      <c r="E9" s="1806">
        <f>SUMIF(TB!$M:$M,SA34c!$A9,TB!P:P)</f>
        <v>0</v>
      </c>
      <c r="F9" s="1807">
        <f>SUMIF(TB!$M:$M,SA34c!$A9,TB!Q:Q)</f>
        <v>0</v>
      </c>
      <c r="G9" s="1805">
        <f>SUMIF(TB!$M:$M,SA34c!$A9,TB!R:R)</f>
        <v>0</v>
      </c>
      <c r="H9" s="1808">
        <f>SUMIF(TB!$M:$M,SA34c!$A9,TB!S:S)</f>
        <v>0</v>
      </c>
      <c r="I9" s="1809">
        <f>SUMIF(TB!$M:$M,SA34c!$A9,TB!U:U)</f>
        <v>0</v>
      </c>
      <c r="J9" s="1805">
        <f>SUMIF(TB!$M:$M,SA34c!$A9,TB!V:V)</f>
        <v>0</v>
      </c>
      <c r="K9" s="1808">
        <f>SUMIF(TB!$M:$M,SA34c!$A9,TB!W:W)</f>
        <v>0</v>
      </c>
      <c r="L9" s="1523"/>
    </row>
    <row r="10" spans="1:12" s="1498" customFormat="1" ht="13.5">
      <c r="A10" s="236" t="s">
        <v>21</v>
      </c>
      <c r="B10" s="171"/>
      <c r="C10" s="1054">
        <f>SUM(C11:C13)</f>
        <v>0</v>
      </c>
      <c r="D10" s="1054">
        <f t="shared" ref="D10:K10" si="2">SUM(D11:D13)</f>
        <v>0</v>
      </c>
      <c r="E10" s="1353">
        <f t="shared" si="2"/>
        <v>0</v>
      </c>
      <c r="F10" s="1058">
        <f t="shared" si="2"/>
        <v>0</v>
      </c>
      <c r="G10" s="1054">
        <f t="shared" si="2"/>
        <v>0</v>
      </c>
      <c r="H10" s="1154">
        <f t="shared" si="2"/>
        <v>0</v>
      </c>
      <c r="I10" s="1354">
        <f t="shared" si="2"/>
        <v>0</v>
      </c>
      <c r="J10" s="1054">
        <f t="shared" si="2"/>
        <v>0</v>
      </c>
      <c r="K10" s="1154">
        <f t="shared" si="2"/>
        <v>0</v>
      </c>
      <c r="L10" s="1523"/>
    </row>
    <row r="11" spans="1:12" s="1498" customFormat="1" ht="13.5">
      <c r="A11" s="1260" t="s">
        <v>22</v>
      </c>
      <c r="B11" s="171"/>
      <c r="C11" s="1805">
        <f>SUMIF(TB!$M:$M,SA34c!$A11,TB!N:N)</f>
        <v>0</v>
      </c>
      <c r="D11" s="1805">
        <f>SUMIF(TB!$M:$M,SA34c!$A11,TB!O:O)</f>
        <v>0</v>
      </c>
      <c r="E11" s="1806">
        <f>SUMIF(TB!$M:$M,SA34c!$A11,TB!P:P)</f>
        <v>0</v>
      </c>
      <c r="F11" s="1807">
        <f>SUMIF(TB!$M:$M,SA34c!$A11,TB!Q:Q)</f>
        <v>0</v>
      </c>
      <c r="G11" s="1805">
        <f>SUMIF(TB!$M:$M,SA34c!$A11,TB!R:R)</f>
        <v>0</v>
      </c>
      <c r="H11" s="1808">
        <f>SUMIF(TB!$M:$M,SA34c!$A11,TB!S:S)</f>
        <v>0</v>
      </c>
      <c r="I11" s="1809">
        <f>SUMIF(TB!$M:$M,SA34c!$A11,TB!U:U)</f>
        <v>0</v>
      </c>
      <c r="J11" s="1805">
        <f>SUMIF(TB!$M:$M,SA34c!$A11,TB!V:V)</f>
        <v>0</v>
      </c>
      <c r="K11" s="1808">
        <f>SUMIF(TB!$M:$M,SA34c!$A11,TB!W:W)</f>
        <v>0</v>
      </c>
      <c r="L11" s="1523"/>
    </row>
    <row r="12" spans="1:12" s="1498" customFormat="1" ht="13.5">
      <c r="A12" s="1260" t="s">
        <v>23</v>
      </c>
      <c r="B12" s="171"/>
      <c r="C12" s="1805">
        <f>SUMIF(TB!$M:$M,SA34c!$A12,TB!N:N)</f>
        <v>0</v>
      </c>
      <c r="D12" s="1805">
        <f>SUMIF(TB!$M:$M,SA34c!$A12,TB!O:O)</f>
        <v>0</v>
      </c>
      <c r="E12" s="1806">
        <f>SUMIF(TB!$M:$M,SA34c!$A12,TB!P:P)</f>
        <v>0</v>
      </c>
      <c r="F12" s="1807">
        <f>SUMIF(TB!$M:$M,SA34c!$A12,TB!Q:Q)</f>
        <v>0</v>
      </c>
      <c r="G12" s="1805">
        <f>SUMIF(TB!$M:$M,SA34c!$A12,TB!R:R)</f>
        <v>0</v>
      </c>
      <c r="H12" s="1808">
        <f>SUMIF(TB!$M:$M,SA34c!$A12,TB!S:S)</f>
        <v>0</v>
      </c>
      <c r="I12" s="1809">
        <f>SUMIF(TB!$M:$M,SA34c!$A12,TB!U:U)</f>
        <v>0</v>
      </c>
      <c r="J12" s="1805">
        <f>SUMIF(TB!$M:$M,SA34c!$A12,TB!V:V)</f>
        <v>0</v>
      </c>
      <c r="K12" s="1808">
        <f>SUMIF(TB!$M:$M,SA34c!$A12,TB!W:W)</f>
        <v>0</v>
      </c>
      <c r="L12" s="1523"/>
    </row>
    <row r="13" spans="1:12" s="1498" customFormat="1" ht="13.5">
      <c r="A13" s="1260" t="s">
        <v>136</v>
      </c>
      <c r="B13" s="171"/>
      <c r="C13" s="1805">
        <f>SUMIF(TB!$M:$M,SA34c!$A13,TB!N:N)</f>
        <v>0</v>
      </c>
      <c r="D13" s="1805">
        <f>SUMIF(TB!$M:$M,SA34c!$A13,TB!O:O)</f>
        <v>0</v>
      </c>
      <c r="E13" s="1806">
        <f>SUMIF(TB!$M:$M,SA34c!$A13,TB!P:P)</f>
        <v>0</v>
      </c>
      <c r="F13" s="1807">
        <f>SUMIF(TB!$M:$M,SA34c!$A13,TB!Q:Q)</f>
        <v>0</v>
      </c>
      <c r="G13" s="1805">
        <f>SUMIF(TB!$M:$M,SA34c!$A13,TB!R:R)</f>
        <v>0</v>
      </c>
      <c r="H13" s="1808">
        <f>SUMIF(TB!$M:$M,SA34c!$A13,TB!S:S)</f>
        <v>0</v>
      </c>
      <c r="I13" s="1809">
        <f>SUMIF(TB!$M:$M,SA34c!$A13,TB!U:U)</f>
        <v>0</v>
      </c>
      <c r="J13" s="1805">
        <f>SUMIF(TB!$M:$M,SA34c!$A13,TB!V:V)</f>
        <v>0</v>
      </c>
      <c r="K13" s="1808">
        <f>SUMIF(TB!$M:$M,SA34c!$A13,TB!W:W)</f>
        <v>0</v>
      </c>
      <c r="L13" s="1523"/>
    </row>
    <row r="14" spans="1:12" s="1498" customFormat="1" ht="13.5">
      <c r="A14" s="240" t="s">
        <v>24</v>
      </c>
      <c r="B14" s="324"/>
      <c r="C14" s="1054">
        <f>SUM(C15:C17)</f>
        <v>0</v>
      </c>
      <c r="D14" s="1054">
        <f t="shared" ref="D14:K14" si="3">SUM(D15:D17)</f>
        <v>0</v>
      </c>
      <c r="E14" s="1353">
        <f t="shared" si="3"/>
        <v>0</v>
      </c>
      <c r="F14" s="1058">
        <f t="shared" si="3"/>
        <v>0</v>
      </c>
      <c r="G14" s="1054">
        <f t="shared" si="3"/>
        <v>0</v>
      </c>
      <c r="H14" s="1154">
        <f t="shared" si="3"/>
        <v>0</v>
      </c>
      <c r="I14" s="1354">
        <f t="shared" si="3"/>
        <v>0</v>
      </c>
      <c r="J14" s="1054">
        <f t="shared" si="3"/>
        <v>0</v>
      </c>
      <c r="K14" s="1154">
        <f t="shared" si="3"/>
        <v>0</v>
      </c>
      <c r="L14" s="1523"/>
    </row>
    <row r="15" spans="1:12" s="1498" customFormat="1" ht="13.5">
      <c r="A15" s="1260" t="s">
        <v>25</v>
      </c>
      <c r="B15" s="171"/>
      <c r="C15" s="1805">
        <f>SUMIF(TB!$M:$M,SA34c!$A15,TB!N:N)</f>
        <v>0</v>
      </c>
      <c r="D15" s="1805">
        <f>SUMIF(TB!$M:$M,SA34c!$A15,TB!O:O)</f>
        <v>0</v>
      </c>
      <c r="E15" s="1806">
        <f>SUMIF(TB!$M:$M,SA34c!$A15,TB!P:P)</f>
        <v>0</v>
      </c>
      <c r="F15" s="1807">
        <f>SUMIF(TB!$M:$M,SA34c!$A15,TB!Q:Q)</f>
        <v>0</v>
      </c>
      <c r="G15" s="1805">
        <f>SUMIF(TB!$M:$M,SA34c!$A15,TB!R:R)</f>
        <v>0</v>
      </c>
      <c r="H15" s="1808">
        <f>SUMIF(TB!$M:$M,SA34c!$A15,TB!S:S)</f>
        <v>0</v>
      </c>
      <c r="I15" s="1809">
        <f>SUMIF(TB!$M:$M,SA34c!$A15,TB!U:U)</f>
        <v>0</v>
      </c>
      <c r="J15" s="1805">
        <f>SUMIF(TB!$M:$M,SA34c!$A15,TB!V:V)</f>
        <v>0</v>
      </c>
      <c r="K15" s="1808">
        <f>SUMIF(TB!$M:$M,SA34c!$A15,TB!W:W)</f>
        <v>0</v>
      </c>
      <c r="L15" s="1523"/>
    </row>
    <row r="16" spans="1:12" s="1498" customFormat="1" ht="13.5">
      <c r="A16" s="1260" t="s">
        <v>26</v>
      </c>
      <c r="B16" s="171"/>
      <c r="C16" s="1805">
        <f>SUMIF(TB!$M:$M,SA34c!$A16,TB!N:N)</f>
        <v>0</v>
      </c>
      <c r="D16" s="1805">
        <f>SUMIF(TB!$M:$M,SA34c!$A16,TB!O:O)</f>
        <v>0</v>
      </c>
      <c r="E16" s="1806">
        <f>SUMIF(TB!$M:$M,SA34c!$A16,TB!P:P)</f>
        <v>0</v>
      </c>
      <c r="F16" s="1807">
        <f>SUMIF(TB!$M:$M,SA34c!$A16,TB!Q:Q)</f>
        <v>0</v>
      </c>
      <c r="G16" s="1805">
        <f>SUMIF(TB!$M:$M,SA34c!$A16,TB!R:R)</f>
        <v>0</v>
      </c>
      <c r="H16" s="1808">
        <f>SUMIF(TB!$M:$M,SA34c!$A16,TB!S:S)</f>
        <v>0</v>
      </c>
      <c r="I16" s="1809">
        <f>SUMIF(TB!$M:$M,SA34c!$A16,TB!U:U)</f>
        <v>0</v>
      </c>
      <c r="J16" s="1805">
        <f>SUMIF(TB!$M:$M,SA34c!$A16,TB!V:V)</f>
        <v>0</v>
      </c>
      <c r="K16" s="1808">
        <f>SUMIF(TB!$M:$M,SA34c!$A16,TB!W:W)</f>
        <v>0</v>
      </c>
      <c r="L16" s="1523"/>
    </row>
    <row r="17" spans="1:12" s="1498" customFormat="1" ht="13.5">
      <c r="A17" s="1260" t="s">
        <v>2166</v>
      </c>
      <c r="B17" s="171"/>
      <c r="C17" s="1805">
        <f>SUMIF(TB!$M:$M,SA34c!$A17,TB!N:N)</f>
        <v>0</v>
      </c>
      <c r="D17" s="1805">
        <f>SUMIF(TB!$M:$M,SA34c!$A17,TB!O:O)</f>
        <v>0</v>
      </c>
      <c r="E17" s="1806">
        <f>SUMIF(TB!$M:$M,SA34c!$A17,TB!P:P)</f>
        <v>0</v>
      </c>
      <c r="F17" s="1807">
        <f>SUMIF(TB!$M:$M,SA34c!$A17,TB!Q:Q)</f>
        <v>0</v>
      </c>
      <c r="G17" s="1805">
        <f>SUMIF(TB!$M:$M,SA34c!$A17,TB!R:R)</f>
        <v>0</v>
      </c>
      <c r="H17" s="1808">
        <f>SUMIF(TB!$M:$M,SA34c!$A17,TB!S:S)</f>
        <v>0</v>
      </c>
      <c r="I17" s="1809">
        <f>SUMIF(TB!$M:$M,SA34c!$A17,TB!U:U)</f>
        <v>0</v>
      </c>
      <c r="J17" s="1805">
        <f>SUMIF(TB!$M:$M,SA34c!$A17,TB!V:V)</f>
        <v>0</v>
      </c>
      <c r="K17" s="1808">
        <f>SUMIF(TB!$M:$M,SA34c!$A17,TB!W:W)</f>
        <v>0</v>
      </c>
      <c r="L17" s="1523"/>
    </row>
    <row r="18" spans="1:12" s="1498" customFormat="1" ht="13.5">
      <c r="A18" s="240" t="s">
        <v>28</v>
      </c>
      <c r="B18" s="171"/>
      <c r="C18" s="1054">
        <f t="shared" ref="C18:K18" si="4">SUM(C19:C20)</f>
        <v>0</v>
      </c>
      <c r="D18" s="1054">
        <f t="shared" si="4"/>
        <v>0</v>
      </c>
      <c r="E18" s="1353">
        <f t="shared" si="4"/>
        <v>0</v>
      </c>
      <c r="F18" s="1058">
        <f t="shared" si="4"/>
        <v>0</v>
      </c>
      <c r="G18" s="1054">
        <f t="shared" si="4"/>
        <v>0</v>
      </c>
      <c r="H18" s="1154">
        <f t="shared" si="4"/>
        <v>0</v>
      </c>
      <c r="I18" s="1354">
        <f t="shared" si="4"/>
        <v>0</v>
      </c>
      <c r="J18" s="1054">
        <f t="shared" si="4"/>
        <v>0</v>
      </c>
      <c r="K18" s="1154">
        <f t="shared" si="4"/>
        <v>0</v>
      </c>
      <c r="L18" s="1523"/>
    </row>
    <row r="19" spans="1:12" s="1498" customFormat="1" ht="13.5">
      <c r="A19" s="1260" t="s">
        <v>2163</v>
      </c>
      <c r="B19" s="171"/>
      <c r="C19" s="1805">
        <f>SUMIF(TB!$M:$M,SA34c!$A19,TB!N:N)</f>
        <v>0</v>
      </c>
      <c r="D19" s="1805">
        <f>SUMIF(TB!$M:$M,SA34c!$A19,TB!O:O)</f>
        <v>0</v>
      </c>
      <c r="E19" s="1806">
        <f>SUMIF(TB!$M:$M,SA34c!$A19,TB!P:P)</f>
        <v>0</v>
      </c>
      <c r="F19" s="1807">
        <f>SUMIF(TB!$M:$M,SA34c!$A19,TB!Q:Q)</f>
        <v>0</v>
      </c>
      <c r="G19" s="1805">
        <f>SUMIF(TB!$M:$M,SA34c!$A19,TB!R:R)</f>
        <v>0</v>
      </c>
      <c r="H19" s="1808">
        <f>SUMIF(TB!$M:$M,SA34c!$A19,TB!S:S)</f>
        <v>0</v>
      </c>
      <c r="I19" s="1809">
        <f>SUMIF(TB!$M:$M,SA34c!$A19,TB!U:U)</f>
        <v>0</v>
      </c>
      <c r="J19" s="1805">
        <f>SUMIF(TB!$M:$M,SA34c!$A19,TB!V:V)</f>
        <v>0</v>
      </c>
      <c r="K19" s="1808">
        <f>SUMIF(TB!$M:$M,SA34c!$A19,TB!W:W)</f>
        <v>0</v>
      </c>
      <c r="L19" s="1523"/>
    </row>
    <row r="20" spans="1:12" s="1498" customFormat="1" ht="13.5">
      <c r="A20" s="1260" t="s">
        <v>29</v>
      </c>
      <c r="B20" s="171"/>
      <c r="C20" s="1805">
        <f>SUMIF(TB!$M:$M,SA34c!$A20,TB!N:N)</f>
        <v>0</v>
      </c>
      <c r="D20" s="1805">
        <f>SUMIF(TB!$M:$M,SA34c!$A20,TB!O:O)</f>
        <v>0</v>
      </c>
      <c r="E20" s="1806">
        <f>SUMIF(TB!$M:$M,SA34c!$A20,TB!P:P)</f>
        <v>0</v>
      </c>
      <c r="F20" s="1807">
        <f>SUMIF(TB!$M:$M,SA34c!$A20,TB!Q:Q)</f>
        <v>0</v>
      </c>
      <c r="G20" s="1805">
        <f>SUMIF(TB!$M:$M,SA34c!$A20,TB!R:R)</f>
        <v>0</v>
      </c>
      <c r="H20" s="1808">
        <f>SUMIF(TB!$M:$M,SA34c!$A20,TB!S:S)</f>
        <v>0</v>
      </c>
      <c r="I20" s="1809">
        <f>SUMIF(TB!$M:$M,SA34c!$A20,TB!U:U)</f>
        <v>0</v>
      </c>
      <c r="J20" s="1805">
        <f>SUMIF(TB!$M:$M,SA34c!$A20,TB!V:V)</f>
        <v>0</v>
      </c>
      <c r="K20" s="1808">
        <f>SUMIF(TB!$M:$M,SA34c!$A20,TB!W:W)</f>
        <v>0</v>
      </c>
      <c r="L20" s="1523"/>
    </row>
    <row r="21" spans="1:12" s="1498" customFormat="1" ht="13.5">
      <c r="A21" s="236" t="s">
        <v>30</v>
      </c>
      <c r="B21" s="171"/>
      <c r="C21" s="1054">
        <f>SUM(C22:C25)</f>
        <v>0</v>
      </c>
      <c r="D21" s="1054">
        <f t="shared" ref="D21:K21" si="5">SUM(D22:D25)</f>
        <v>0</v>
      </c>
      <c r="E21" s="1054">
        <f t="shared" si="5"/>
        <v>0</v>
      </c>
      <c r="F21" s="1058">
        <f t="shared" si="5"/>
        <v>0</v>
      </c>
      <c r="G21" s="1054">
        <f t="shared" si="5"/>
        <v>0</v>
      </c>
      <c r="H21" s="1154">
        <f t="shared" si="5"/>
        <v>0</v>
      </c>
      <c r="I21" s="1354">
        <f t="shared" si="5"/>
        <v>0</v>
      </c>
      <c r="J21" s="1054">
        <f t="shared" si="5"/>
        <v>0</v>
      </c>
      <c r="K21" s="1154">
        <f t="shared" si="5"/>
        <v>0</v>
      </c>
      <c r="L21" s="1523"/>
    </row>
    <row r="22" spans="1:12" s="1498" customFormat="1" ht="13.5">
      <c r="A22" s="1260" t="s">
        <v>1152</v>
      </c>
      <c r="B22" s="171"/>
      <c r="C22" s="1805">
        <f>SUMIF(TB!$M:$M,SA34c!$A22,TB!N:N)</f>
        <v>0</v>
      </c>
      <c r="D22" s="1805">
        <f>SUMIF(TB!$M:$M,SA34c!$A22,TB!O:O)</f>
        <v>0</v>
      </c>
      <c r="E22" s="1806">
        <f>SUMIF(TB!$M:$M,SA34c!$A22,TB!P:P)</f>
        <v>0</v>
      </c>
      <c r="F22" s="1807">
        <f>SUMIF(TB!$M:$M,SA34c!$A22,TB!Q:Q)</f>
        <v>0</v>
      </c>
      <c r="G22" s="1805">
        <f>SUMIF(TB!$M:$M,SA34c!$A22,TB!R:R)</f>
        <v>0</v>
      </c>
      <c r="H22" s="1808">
        <f>SUMIF(TB!$M:$M,SA34c!$A22,TB!S:S)</f>
        <v>0</v>
      </c>
      <c r="I22" s="1809">
        <f>SUMIF(TB!$M:$M,SA34c!$A22,TB!U:U)</f>
        <v>0</v>
      </c>
      <c r="J22" s="1805">
        <f>SUMIF(TB!$M:$M,SA34c!$A22,TB!V:V)</f>
        <v>0</v>
      </c>
      <c r="K22" s="1808">
        <f>SUMIF(TB!$M:$M,SA34c!$A22,TB!W:W)</f>
        <v>0</v>
      </c>
      <c r="L22" s="1522"/>
    </row>
    <row r="23" spans="1:12" s="1498" customFormat="1" ht="13.5">
      <c r="A23" s="1260" t="s">
        <v>328</v>
      </c>
      <c r="B23" s="171">
        <v>2</v>
      </c>
      <c r="C23" s="1805">
        <f>SUMIF(TB!$M:$M,SA34c!$A23,TB!N:N)</f>
        <v>0</v>
      </c>
      <c r="D23" s="1805">
        <f>SUMIF(TB!$M:$M,SA34c!$A23,TB!O:O)</f>
        <v>0</v>
      </c>
      <c r="E23" s="1806">
        <f>SUMIF(TB!$M:$M,SA34c!$A23,TB!P:P)</f>
        <v>0</v>
      </c>
      <c r="F23" s="1807">
        <f>SUMIF(TB!$M:$M,SA34c!$A23,TB!Q:Q)</f>
        <v>0</v>
      </c>
      <c r="G23" s="1805">
        <f>SUMIF(TB!$M:$M,SA34c!$A23,TB!R:R)</f>
        <v>0</v>
      </c>
      <c r="H23" s="1808">
        <f>SUMIF(TB!$M:$M,SA34c!$A23,TB!S:S)</f>
        <v>0</v>
      </c>
      <c r="I23" s="1809">
        <f>SUMIF(TB!$M:$M,SA34c!$A23,TB!U:U)</f>
        <v>0</v>
      </c>
      <c r="J23" s="1805">
        <f>SUMIF(TB!$M:$M,SA34c!$A23,TB!V:V)</f>
        <v>0</v>
      </c>
      <c r="K23" s="1808">
        <f>SUMIF(TB!$M:$M,SA34c!$A23,TB!W:W)</f>
        <v>0</v>
      </c>
      <c r="L23" s="1523"/>
    </row>
    <row r="24" spans="1:12" s="1498" customFormat="1" ht="13.5">
      <c r="A24" s="1260" t="s">
        <v>137</v>
      </c>
      <c r="B24" s="171"/>
      <c r="C24" s="1805">
        <f>SUMIF(TB!$M:$M,SA34c!$A24,TB!N:N)</f>
        <v>0</v>
      </c>
      <c r="D24" s="1805">
        <f>SUMIF(TB!$M:$M,SA34c!$A24,TB!O:O)</f>
        <v>0</v>
      </c>
      <c r="E24" s="1806">
        <f>SUMIF(TB!$M:$M,SA34c!$A24,TB!P:P)</f>
        <v>0</v>
      </c>
      <c r="F24" s="1807">
        <f>SUMIF(TB!$M:$M,SA34c!$A24,TB!Q:Q)</f>
        <v>0</v>
      </c>
      <c r="G24" s="1805">
        <f>SUMIF(TB!$M:$M,SA34c!$A24,TB!R:R)</f>
        <v>0</v>
      </c>
      <c r="H24" s="1808">
        <f>SUMIF(TB!$M:$M,SA34c!$A24,TB!S:S)</f>
        <v>0</v>
      </c>
      <c r="I24" s="1809">
        <f>SUMIF(TB!$M:$M,SA34c!$A24,TB!U:U)</f>
        <v>0</v>
      </c>
      <c r="J24" s="1805">
        <f>SUMIF(TB!$M:$M,SA34c!$A24,TB!V:V)</f>
        <v>0</v>
      </c>
      <c r="K24" s="1808">
        <f>SUMIF(TB!$M:$M,SA34c!$A24,TB!W:W)</f>
        <v>0</v>
      </c>
      <c r="L24" s="1523"/>
    </row>
    <row r="25" spans="1:12" s="1498" customFormat="1" ht="13.5">
      <c r="A25" s="1260" t="s">
        <v>297</v>
      </c>
      <c r="B25" s="171">
        <v>3</v>
      </c>
      <c r="C25" s="1805">
        <f>SUMIF(TB!$M:$M,SA34c!$A25,TB!N:N)</f>
        <v>0</v>
      </c>
      <c r="D25" s="1805">
        <f>SUMIF(TB!$M:$M,SA34c!$A25,TB!O:O)</f>
        <v>0</v>
      </c>
      <c r="E25" s="1806">
        <f>SUMIF(TB!$M:$M,SA34c!$A25,TB!P:P)</f>
        <v>0</v>
      </c>
      <c r="F25" s="1807">
        <f>SUMIF(TB!$M:$M,SA34c!$A25,TB!Q:Q)</f>
        <v>0</v>
      </c>
      <c r="G25" s="1805">
        <f>SUMIF(TB!$M:$M,SA34c!$A25,TB!R:R)</f>
        <v>0</v>
      </c>
      <c r="H25" s="1808">
        <f>SUMIF(TB!$M:$M,SA34c!$A25,TB!S:S)</f>
        <v>0</v>
      </c>
      <c r="I25" s="1809">
        <f>SUMIF(TB!$M:$M,SA34c!$A25,TB!U:U)</f>
        <v>0</v>
      </c>
      <c r="J25" s="1805">
        <f>SUMIF(TB!$M:$M,SA34c!$A25,TB!V:V)</f>
        <v>0</v>
      </c>
      <c r="K25" s="1808">
        <f>SUMIF(TB!$M:$M,SA34c!$A25,TB!W:W)</f>
        <v>0</v>
      </c>
      <c r="L25" s="1523"/>
    </row>
    <row r="26" spans="1:12" ht="5.0999999999999996" customHeight="1">
      <c r="A26" s="259"/>
      <c r="B26" s="171"/>
      <c r="C26" s="189"/>
      <c r="D26" s="189"/>
      <c r="E26" s="190"/>
      <c r="F26" s="191"/>
      <c r="G26" s="189"/>
      <c r="H26" s="188"/>
      <c r="I26" s="191"/>
      <c r="J26" s="189"/>
      <c r="K26" s="190"/>
      <c r="L26" s="345"/>
    </row>
    <row r="27" spans="1:12" ht="17.25" customHeight="1">
      <c r="A27" s="235" t="s">
        <v>1676</v>
      </c>
      <c r="B27" s="171"/>
      <c r="C27" s="204">
        <f>SUM(C28:C41)</f>
        <v>0</v>
      </c>
      <c r="D27" s="204">
        <f t="shared" ref="D27:K27" si="6">SUM(D28:D41)</f>
        <v>0</v>
      </c>
      <c r="E27" s="205">
        <f t="shared" si="6"/>
        <v>0</v>
      </c>
      <c r="F27" s="206">
        <f t="shared" si="6"/>
        <v>0</v>
      </c>
      <c r="G27" s="204">
        <f t="shared" si="6"/>
        <v>0</v>
      </c>
      <c r="H27" s="203">
        <f t="shared" si="6"/>
        <v>0</v>
      </c>
      <c r="I27" s="206">
        <f t="shared" si="6"/>
        <v>0</v>
      </c>
      <c r="J27" s="204">
        <f t="shared" si="6"/>
        <v>0</v>
      </c>
      <c r="K27" s="205">
        <f t="shared" si="6"/>
        <v>0</v>
      </c>
      <c r="L27" s="345"/>
    </row>
    <row r="28" spans="1:12" ht="11.25" customHeight="1">
      <c r="A28" s="236" t="s">
        <v>2</v>
      </c>
      <c r="B28" s="171"/>
      <c r="C28" s="1805">
        <f>SUMIF(TB!$M:$M,SA34c!$A28,TB!N:N)</f>
        <v>0</v>
      </c>
      <c r="D28" s="1805">
        <f>SUMIF(TB!$M:$M,SA34c!$A28,TB!O:O)</f>
        <v>0</v>
      </c>
      <c r="E28" s="1806">
        <f>SUMIF(TB!$M:$M,SA34c!$A28,TB!P:P)</f>
        <v>0</v>
      </c>
      <c r="F28" s="1807">
        <f>SUMIF(TB!$M:$M,SA34c!$A28,TB!Q:Q)</f>
        <v>0</v>
      </c>
      <c r="G28" s="1805">
        <f>SUMIF(TB!$M:$M,SA34c!$A28,TB!R:R)</f>
        <v>0</v>
      </c>
      <c r="H28" s="1808">
        <f>SUMIF(TB!$M:$M,SA34c!$A28,TB!S:S)</f>
        <v>0</v>
      </c>
      <c r="I28" s="1809">
        <f>SUMIF(TB!$M:$M,SA34c!$A28,TB!U:U)</f>
        <v>0</v>
      </c>
      <c r="J28" s="1805">
        <f>SUMIF(TB!$M:$M,SA34c!$A28,TB!V:V)</f>
        <v>0</v>
      </c>
      <c r="K28" s="1808">
        <f>SUMIF(TB!$M:$M,SA34c!$A28,TB!W:W)</f>
        <v>0</v>
      </c>
      <c r="L28" s="1523"/>
    </row>
    <row r="29" spans="1:12" ht="11.25" customHeight="1">
      <c r="A29" s="236" t="s">
        <v>1697</v>
      </c>
      <c r="B29" s="171"/>
      <c r="C29" s="1805">
        <f>SUMIF(TB!$M:$M,SA34c!$A29,TB!N:N)</f>
        <v>0</v>
      </c>
      <c r="D29" s="1805">
        <f>SUMIF(TB!$M:$M,SA34c!$A29,TB!O:O)</f>
        <v>0</v>
      </c>
      <c r="E29" s="1806">
        <f>SUMIF(TB!$M:$M,SA34c!$A29,TB!P:P)</f>
        <v>0</v>
      </c>
      <c r="F29" s="1807">
        <f>SUMIF(TB!$M:$M,SA34c!$A29,TB!Q:Q)</f>
        <v>0</v>
      </c>
      <c r="G29" s="1805">
        <f>SUMIF(TB!$M:$M,SA34c!$A29,TB!R:R)</f>
        <v>0</v>
      </c>
      <c r="H29" s="1808">
        <f>SUMIF(TB!$M:$M,SA34c!$A29,TB!S:S)</f>
        <v>0</v>
      </c>
      <c r="I29" s="1809">
        <f>SUMIF(TB!$M:$M,SA34c!$A29,TB!U:U)</f>
        <v>0</v>
      </c>
      <c r="J29" s="1805">
        <f>SUMIF(TB!$M:$M,SA34c!$A29,TB!V:V)</f>
        <v>0</v>
      </c>
      <c r="K29" s="1808">
        <f>SUMIF(TB!$M:$M,SA34c!$A29,TB!W:W)</f>
        <v>0</v>
      </c>
      <c r="L29" s="1523"/>
    </row>
    <row r="30" spans="1:12" ht="11.25" customHeight="1">
      <c r="A30" s="236" t="s">
        <v>528</v>
      </c>
      <c r="B30" s="171"/>
      <c r="C30" s="1805">
        <f>SUMIF(TB!$M:$M,SA34c!$A30,TB!N:N)</f>
        <v>0</v>
      </c>
      <c r="D30" s="1805">
        <f>SUMIF(TB!$M:$M,SA34c!$A30,TB!O:O)</f>
        <v>0</v>
      </c>
      <c r="E30" s="1806">
        <f>SUMIF(TB!$M:$M,SA34c!$A30,TB!P:P)</f>
        <v>0</v>
      </c>
      <c r="F30" s="1807">
        <f>SUMIF(TB!$M:$M,SA34c!$A30,TB!Q:Q)</f>
        <v>0</v>
      </c>
      <c r="G30" s="1805">
        <f>SUMIF(TB!$M:$M,SA34c!$A30,TB!R:R)</f>
        <v>0</v>
      </c>
      <c r="H30" s="1808">
        <f>SUMIF(TB!$M:$M,SA34c!$A30,TB!S:S)</f>
        <v>0</v>
      </c>
      <c r="I30" s="1809">
        <f>SUMIF(TB!$M:$M,SA34c!$A30,TB!U:U)</f>
        <v>0</v>
      </c>
      <c r="J30" s="1805">
        <f>SUMIF(TB!$M:$M,SA34c!$A30,TB!V:V)</f>
        <v>0</v>
      </c>
      <c r="K30" s="1808">
        <f>SUMIF(TB!$M:$M,SA34c!$A30,TB!W:W)</f>
        <v>0</v>
      </c>
      <c r="L30" s="1523"/>
    </row>
    <row r="31" spans="1:12" ht="11.25" customHeight="1">
      <c r="A31" s="236" t="s">
        <v>1</v>
      </c>
      <c r="B31" s="171"/>
      <c r="C31" s="1805">
        <f>SUMIF(TB!$M:$M,SA34c!$A31,TB!N:N)</f>
        <v>0</v>
      </c>
      <c r="D31" s="1805">
        <f>SUMIF(TB!$M:$M,SA34c!$A31,TB!O:O)</f>
        <v>0</v>
      </c>
      <c r="E31" s="1806">
        <f>SUMIF(TB!$M:$M,SA34c!$A31,TB!P:P)</f>
        <v>0</v>
      </c>
      <c r="F31" s="1807">
        <f>SUMIF(TB!$M:$M,SA34c!$A31,TB!Q:Q)</f>
        <v>0</v>
      </c>
      <c r="G31" s="1805">
        <f>SUMIF(TB!$M:$M,SA34c!$A31,TB!R:R)</f>
        <v>0</v>
      </c>
      <c r="H31" s="1808">
        <f>SUMIF(TB!$M:$M,SA34c!$A31,TB!S:S)</f>
        <v>0</v>
      </c>
      <c r="I31" s="1809">
        <f>SUMIF(TB!$M:$M,SA34c!$A31,TB!U:U)</f>
        <v>0</v>
      </c>
      <c r="J31" s="1805">
        <f>SUMIF(TB!$M:$M,SA34c!$A31,TB!V:V)</f>
        <v>0</v>
      </c>
      <c r="K31" s="1808">
        <f>SUMIF(TB!$M:$M,SA34c!$A31,TB!W:W)</f>
        <v>0</v>
      </c>
      <c r="L31" s="1523"/>
    </row>
    <row r="32" spans="1:12" ht="11.25" customHeight="1">
      <c r="A32" s="236" t="s">
        <v>347</v>
      </c>
      <c r="B32" s="171"/>
      <c r="C32" s="1805">
        <f>SUMIF(TB!$M:$M,SA34c!$A32,TB!N:N)</f>
        <v>0</v>
      </c>
      <c r="D32" s="1805">
        <f>SUMIF(TB!$M:$M,SA34c!$A32,TB!O:O)</f>
        <v>0</v>
      </c>
      <c r="E32" s="1806">
        <f>SUMIF(TB!$M:$M,SA34c!$A32,TB!P:P)</f>
        <v>0</v>
      </c>
      <c r="F32" s="1807">
        <f>SUMIF(TB!$M:$M,SA34c!$A32,TB!Q:Q)</f>
        <v>0</v>
      </c>
      <c r="G32" s="1805">
        <f>SUMIF(TB!$M:$M,SA34c!$A32,TB!R:R)</f>
        <v>0</v>
      </c>
      <c r="H32" s="1808">
        <f>SUMIF(TB!$M:$M,SA34c!$A32,TB!S:S)</f>
        <v>0</v>
      </c>
      <c r="I32" s="1809">
        <f>SUMIF(TB!$M:$M,SA34c!$A32,TB!U:U)</f>
        <v>0</v>
      </c>
      <c r="J32" s="1805">
        <f>SUMIF(TB!$M:$M,SA34c!$A32,TB!V:V)</f>
        <v>0</v>
      </c>
      <c r="K32" s="1808">
        <f>SUMIF(TB!$M:$M,SA34c!$A32,TB!W:W)</f>
        <v>0</v>
      </c>
      <c r="L32" s="1523"/>
    </row>
    <row r="33" spans="1:15" ht="11.25" customHeight="1">
      <c r="A33" s="236" t="s">
        <v>0</v>
      </c>
      <c r="B33" s="171"/>
      <c r="C33" s="1805">
        <f>SUMIF(TB!$M:$M,SA34c!$A33,TB!N:N)</f>
        <v>0</v>
      </c>
      <c r="D33" s="1805">
        <f>SUMIF(TB!$M:$M,SA34c!$A33,TB!O:O)</f>
        <v>0</v>
      </c>
      <c r="E33" s="1806">
        <f>SUMIF(TB!$M:$M,SA34c!$A33,TB!P:P)</f>
        <v>0</v>
      </c>
      <c r="F33" s="1807">
        <f>SUMIF(TB!$M:$M,SA34c!$A33,TB!Q:Q)</f>
        <v>0</v>
      </c>
      <c r="G33" s="1805">
        <f>SUMIF(TB!$M:$M,SA34c!$A33,TB!R:R)</f>
        <v>0</v>
      </c>
      <c r="H33" s="1808">
        <f>SUMIF(TB!$M:$M,SA34c!$A33,TB!S:S)</f>
        <v>0</v>
      </c>
      <c r="I33" s="1809">
        <f>SUMIF(TB!$M:$M,SA34c!$A33,TB!U:U)</f>
        <v>0</v>
      </c>
      <c r="J33" s="1805">
        <f>SUMIF(TB!$M:$M,SA34c!$A33,TB!V:V)</f>
        <v>0</v>
      </c>
      <c r="K33" s="1808">
        <f>SUMIF(TB!$M:$M,SA34c!$A33,TB!W:W)</f>
        <v>0</v>
      </c>
      <c r="L33" s="1523"/>
    </row>
    <row r="34" spans="1:15" ht="11.25" customHeight="1">
      <c r="A34" s="236" t="s">
        <v>1698</v>
      </c>
      <c r="B34" s="171"/>
      <c r="C34" s="1805">
        <f>SUMIF(TB!$M:$M,SA34c!$A34,TB!N:N)</f>
        <v>0</v>
      </c>
      <c r="D34" s="1805">
        <f>SUMIF(TB!$M:$M,SA34c!$A34,TB!O:O)</f>
        <v>0</v>
      </c>
      <c r="E34" s="1806">
        <f>SUMIF(TB!$M:$M,SA34c!$A34,TB!P:P)</f>
        <v>0</v>
      </c>
      <c r="F34" s="1807">
        <f>SUMIF(TB!$M:$M,SA34c!$A34,TB!Q:Q)</f>
        <v>0</v>
      </c>
      <c r="G34" s="1805">
        <f>SUMIF(TB!$M:$M,SA34c!$A34,TB!R:R)</f>
        <v>0</v>
      </c>
      <c r="H34" s="1808">
        <f>SUMIF(TB!$M:$M,SA34c!$A34,TB!S:S)</f>
        <v>0</v>
      </c>
      <c r="I34" s="1809">
        <f>SUMIF(TB!$M:$M,SA34c!$A34,TB!U:U)</f>
        <v>0</v>
      </c>
      <c r="J34" s="1805">
        <f>SUMIF(TB!$M:$M,SA34c!$A34,TB!V:V)</f>
        <v>0</v>
      </c>
      <c r="K34" s="1808">
        <f>SUMIF(TB!$M:$M,SA34c!$A34,TB!W:W)</f>
        <v>0</v>
      </c>
      <c r="L34" s="1523"/>
    </row>
    <row r="35" spans="1:15" ht="11.25" customHeight="1">
      <c r="A35" s="236" t="s">
        <v>1024</v>
      </c>
      <c r="B35" s="171"/>
      <c r="C35" s="1805">
        <f>SUMIF(TB!$M:$M,SA34c!$A35,TB!N:N)</f>
        <v>0</v>
      </c>
      <c r="D35" s="1805">
        <f>SUMIF(TB!$M:$M,SA34c!$A35,TB!O:O)</f>
        <v>0</v>
      </c>
      <c r="E35" s="1806">
        <f>SUMIF(TB!$M:$M,SA34c!$A35,TB!P:P)</f>
        <v>0</v>
      </c>
      <c r="F35" s="1807">
        <f>SUMIF(TB!$M:$M,SA34c!$A35,TB!Q:Q)</f>
        <v>0</v>
      </c>
      <c r="G35" s="1805">
        <f>SUMIF(TB!$M:$M,SA34c!$A35,TB!R:R)</f>
        <v>0</v>
      </c>
      <c r="H35" s="1808">
        <f>SUMIF(TB!$M:$M,SA34c!$A35,TB!S:S)</f>
        <v>0</v>
      </c>
      <c r="I35" s="1809">
        <f>SUMIF(TB!$M:$M,SA34c!$A35,TB!U:U)</f>
        <v>0</v>
      </c>
      <c r="J35" s="1805">
        <f>SUMIF(TB!$M:$M,SA34c!$A35,TB!V:V)</f>
        <v>0</v>
      </c>
      <c r="K35" s="1808">
        <f>SUMIF(TB!$M:$M,SA34c!$A35,TB!W:W)</f>
        <v>0</v>
      </c>
      <c r="L35" s="1523"/>
    </row>
    <row r="36" spans="1:15" ht="11.25" customHeight="1">
      <c r="A36" s="236" t="s">
        <v>1627</v>
      </c>
      <c r="B36" s="171">
        <v>7</v>
      </c>
      <c r="C36" s="1805">
        <f>SUMIF(TB!$M:$M,SA34c!$A36,TB!N:N)</f>
        <v>0</v>
      </c>
      <c r="D36" s="1805">
        <f>SUMIF(TB!$M:$M,SA34c!$A36,TB!O:O)</f>
        <v>0</v>
      </c>
      <c r="E36" s="1806">
        <f>SUMIF(TB!$M:$M,SA34c!$A36,TB!P:P)</f>
        <v>0</v>
      </c>
      <c r="F36" s="1807">
        <f>SUMIF(TB!$M:$M,SA34c!$A36,TB!Q:Q)</f>
        <v>0</v>
      </c>
      <c r="G36" s="1805">
        <f>SUMIF(TB!$M:$M,SA34c!$A36,TB!R:R)</f>
        <v>0</v>
      </c>
      <c r="H36" s="1808">
        <f>SUMIF(TB!$M:$M,SA34c!$A36,TB!S:S)</f>
        <v>0</v>
      </c>
      <c r="I36" s="1809">
        <f>SUMIF(TB!$M:$M,SA34c!$A36,TB!U:U)</f>
        <v>0</v>
      </c>
      <c r="J36" s="1805">
        <f>SUMIF(TB!$M:$M,SA34c!$A36,TB!V:V)</f>
        <v>0</v>
      </c>
      <c r="K36" s="1808">
        <f>SUMIF(TB!$M:$M,SA34c!$A36,TB!W:W)</f>
        <v>0</v>
      </c>
      <c r="L36" s="1523"/>
    </row>
    <row r="37" spans="1:15" ht="11.25" customHeight="1">
      <c r="A37" s="236" t="s">
        <v>1375</v>
      </c>
      <c r="B37" s="171"/>
      <c r="C37" s="1805">
        <f>SUMIF(TB!$M:$M,SA34c!$A37,TB!N:N)</f>
        <v>0</v>
      </c>
      <c r="D37" s="1805">
        <f>SUMIF(TB!$M:$M,SA34c!$A37,TB!O:O)</f>
        <v>0</v>
      </c>
      <c r="E37" s="1806">
        <f>SUMIF(TB!$M:$M,SA34c!$A37,TB!P:P)</f>
        <v>0</v>
      </c>
      <c r="F37" s="1807">
        <f>SUMIF(TB!$M:$M,SA34c!$A37,TB!Q:Q)</f>
        <v>0</v>
      </c>
      <c r="G37" s="1805">
        <f>SUMIF(TB!$M:$M,SA34c!$A37,TB!R:R)</f>
        <v>0</v>
      </c>
      <c r="H37" s="1808">
        <f>SUMIF(TB!$M:$M,SA34c!$A37,TB!S:S)</f>
        <v>0</v>
      </c>
      <c r="I37" s="1809">
        <f>SUMIF(TB!$M:$M,SA34c!$A37,TB!U:U)</f>
        <v>0</v>
      </c>
      <c r="J37" s="1805">
        <f>SUMIF(TB!$M:$M,SA34c!$A37,TB!V:V)</f>
        <v>0</v>
      </c>
      <c r="K37" s="1808">
        <f>SUMIF(TB!$M:$M,SA34c!$A37,TB!W:W)</f>
        <v>0</v>
      </c>
      <c r="L37" s="1523"/>
      <c r="O37" s="345"/>
    </row>
    <row r="38" spans="1:15" ht="11.25" customHeight="1">
      <c r="A38" s="236" t="s">
        <v>757</v>
      </c>
      <c r="B38" s="171"/>
      <c r="C38" s="1805">
        <f>SUMIF(TB!$M:$M,SA34c!$A38,TB!N:N)</f>
        <v>0</v>
      </c>
      <c r="D38" s="1805">
        <f>SUMIF(TB!$M:$M,SA34c!$A38,TB!O:O)</f>
        <v>0</v>
      </c>
      <c r="E38" s="1806">
        <f>SUMIF(TB!$M:$M,SA34c!$A38,TB!P:P)</f>
        <v>0</v>
      </c>
      <c r="F38" s="1807">
        <f>SUMIF(TB!$M:$M,SA34c!$A38,TB!Q:Q)</f>
        <v>0</v>
      </c>
      <c r="G38" s="1805">
        <f>SUMIF(TB!$M:$M,SA34c!$A38,TB!R:R)</f>
        <v>0</v>
      </c>
      <c r="H38" s="1808">
        <f>SUMIF(TB!$M:$M,SA34c!$A38,TB!S:S)</f>
        <v>0</v>
      </c>
      <c r="I38" s="1809">
        <f>SUMIF(TB!$M:$M,SA34c!$A38,TB!U:U)</f>
        <v>0</v>
      </c>
      <c r="J38" s="1805">
        <f>SUMIF(TB!$M:$M,SA34c!$A38,TB!V:V)</f>
        <v>0</v>
      </c>
      <c r="K38" s="1808">
        <f>SUMIF(TB!$M:$M,SA34c!$A38,TB!W:W)</f>
        <v>0</v>
      </c>
      <c r="L38" s="1523"/>
    </row>
    <row r="39" spans="1:15" ht="11.25" customHeight="1">
      <c r="A39" s="236" t="s">
        <v>526</v>
      </c>
      <c r="B39" s="171"/>
      <c r="C39" s="1805">
        <f>SUMIF(TB!$M:$M,SA34c!$A39,TB!N:N)</f>
        <v>0</v>
      </c>
      <c r="D39" s="1805">
        <f>SUMIF(TB!$M:$M,SA34c!$A39,TB!O:O)</f>
        <v>0</v>
      </c>
      <c r="E39" s="1806">
        <f>SUMIF(TB!$M:$M,SA34c!$A39,TB!P:P)</f>
        <v>0</v>
      </c>
      <c r="F39" s="1807">
        <f>SUMIF(TB!$M:$M,SA34c!$A39,TB!Q:Q)</f>
        <v>0</v>
      </c>
      <c r="G39" s="1805">
        <f>SUMIF(TB!$M:$M,SA34c!$A39,TB!R:R)</f>
        <v>0</v>
      </c>
      <c r="H39" s="1808">
        <f>SUMIF(TB!$M:$M,SA34c!$A39,TB!S:S)</f>
        <v>0</v>
      </c>
      <c r="I39" s="1809">
        <f>SUMIF(TB!$M:$M,SA34c!$A39,TB!U:U)</f>
        <v>0</v>
      </c>
      <c r="J39" s="1805">
        <f>SUMIF(TB!$M:$M,SA34c!$A39,TB!V:V)</f>
        <v>0</v>
      </c>
      <c r="K39" s="1808">
        <f>SUMIF(TB!$M:$M,SA34c!$A39,TB!W:W)</f>
        <v>0</v>
      </c>
      <c r="L39" s="1523"/>
    </row>
    <row r="40" spans="1:15" ht="11.25" customHeight="1">
      <c r="A40" s="236" t="s">
        <v>31</v>
      </c>
      <c r="B40" s="171">
        <v>8</v>
      </c>
      <c r="C40" s="1805">
        <f>SUMIF(TB!$M:$M,SA34c!$A40,TB!N:N)</f>
        <v>0</v>
      </c>
      <c r="D40" s="1805">
        <f>SUMIF(TB!$M:$M,SA34c!$A40,TB!O:O)</f>
        <v>0</v>
      </c>
      <c r="E40" s="1806">
        <f>SUMIF(TB!$M:$M,SA34c!$A40,TB!P:P)</f>
        <v>0</v>
      </c>
      <c r="F40" s="1807">
        <f>SUMIF(TB!$M:$M,SA34c!$A40,TB!Q:Q)</f>
        <v>0</v>
      </c>
      <c r="G40" s="1805">
        <f>SUMIF(TB!$M:$M,SA34c!$A40,TB!R:R)</f>
        <v>0</v>
      </c>
      <c r="H40" s="1808">
        <f>SUMIF(TB!$M:$M,SA34c!$A40,TB!S:S)</f>
        <v>0</v>
      </c>
      <c r="I40" s="1809">
        <f>SUMIF(TB!$M:$M,SA34c!$A40,TB!U:U)</f>
        <v>0</v>
      </c>
      <c r="J40" s="1805">
        <f>SUMIF(TB!$M:$M,SA34c!$A40,TB!V:V)</f>
        <v>0</v>
      </c>
      <c r="K40" s="1808">
        <f>SUMIF(TB!$M:$M,SA34c!$A40,TB!W:W)</f>
        <v>0</v>
      </c>
      <c r="L40" s="345"/>
    </row>
    <row r="41" spans="1:15" ht="11.25" customHeight="1">
      <c r="A41" s="236" t="s">
        <v>297</v>
      </c>
      <c r="B41" s="171"/>
      <c r="C41" s="1805">
        <f>SUMIF(TB!$M:$M,SA34c!$A41,TB!N:N)</f>
        <v>0</v>
      </c>
      <c r="D41" s="1805">
        <f>SUMIF(TB!$M:$M,SA34c!$A41,TB!O:O)</f>
        <v>0</v>
      </c>
      <c r="E41" s="1806">
        <f>SUMIF(TB!$M:$M,SA34c!$A41,TB!P:P)</f>
        <v>0</v>
      </c>
      <c r="F41" s="1807">
        <f>SUMIF(TB!$M:$M,SA34c!$A41,TB!Q:Q)</f>
        <v>0</v>
      </c>
      <c r="G41" s="1805">
        <f>SUMIF(TB!$M:$M,SA34c!$A41,TB!R:R)</f>
        <v>0</v>
      </c>
      <c r="H41" s="1808">
        <f>SUMIF(TB!$M:$M,SA34c!$A41,TB!S:S)</f>
        <v>0</v>
      </c>
      <c r="I41" s="1809">
        <f>SUMIF(TB!$M:$M,SA34c!$A41,TB!U:U)</f>
        <v>0</v>
      </c>
      <c r="J41" s="1805">
        <f>SUMIF(TB!$M:$M,SA34c!$A41,TB!V:V)</f>
        <v>0</v>
      </c>
      <c r="K41" s="1808">
        <f>SUMIF(TB!$M:$M,SA34c!$A41,TB!W:W)</f>
        <v>0</v>
      </c>
      <c r="L41" s="1523"/>
    </row>
    <row r="42" spans="1:15" ht="5.0999999999999996" customHeight="1">
      <c r="A42" s="259"/>
      <c r="B42" s="171"/>
      <c r="C42" s="189"/>
      <c r="D42" s="189"/>
      <c r="E42" s="190"/>
      <c r="F42" s="191"/>
      <c r="G42" s="189"/>
      <c r="H42" s="188"/>
      <c r="I42" s="191"/>
      <c r="J42" s="189"/>
      <c r="K42" s="190"/>
      <c r="L42" s="345"/>
    </row>
    <row r="43" spans="1:15" ht="17.25" customHeight="1">
      <c r="A43" s="235" t="s">
        <v>1027</v>
      </c>
      <c r="B43" s="171"/>
      <c r="C43" s="189">
        <f>SUM(C44:C45)</f>
        <v>0</v>
      </c>
      <c r="D43" s="189">
        <f t="shared" ref="D43:K43" si="7">SUM(D44:D45)</f>
        <v>0</v>
      </c>
      <c r="E43" s="190">
        <f t="shared" si="7"/>
        <v>0</v>
      </c>
      <c r="F43" s="191">
        <f t="shared" si="7"/>
        <v>0</v>
      </c>
      <c r="G43" s="189">
        <f t="shared" si="7"/>
        <v>0</v>
      </c>
      <c r="H43" s="188">
        <f t="shared" si="7"/>
        <v>0</v>
      </c>
      <c r="I43" s="191">
        <f t="shared" si="7"/>
        <v>0</v>
      </c>
      <c r="J43" s="189">
        <f t="shared" si="7"/>
        <v>0</v>
      </c>
      <c r="K43" s="190">
        <f t="shared" si="7"/>
        <v>0</v>
      </c>
      <c r="L43" s="345"/>
    </row>
    <row r="44" spans="1:15" ht="11.25" customHeight="1">
      <c r="A44" s="236" t="s">
        <v>1345</v>
      </c>
      <c r="B44" s="171"/>
      <c r="C44" s="1805">
        <f>SUMIF(TB!$M:$M,SA34c!$A44,TB!N:N)</f>
        <v>0</v>
      </c>
      <c r="D44" s="1805">
        <f>SUMIF(TB!$M:$M,SA34c!$A44,TB!O:O)</f>
        <v>0</v>
      </c>
      <c r="E44" s="1806">
        <f>SUMIF(TB!$M:$M,SA34c!$A44,TB!P:P)</f>
        <v>0</v>
      </c>
      <c r="F44" s="1807">
        <f>SUMIF(TB!$M:$M,SA34c!$A44,TB!Q:Q)</f>
        <v>0</v>
      </c>
      <c r="G44" s="1805">
        <f>SUMIF(TB!$M:$M,SA34c!$A44,TB!R:R)</f>
        <v>0</v>
      </c>
      <c r="H44" s="1808">
        <f>SUMIF(TB!$M:$M,SA34c!$A44,TB!S:S)</f>
        <v>0</v>
      </c>
      <c r="I44" s="1809">
        <f>SUMIF(TB!$M:$M,SA34c!$A44,TB!U:U)</f>
        <v>0</v>
      </c>
      <c r="J44" s="1805">
        <f>SUMIF(TB!$M:$M,SA34c!$A44,TB!V:V)</f>
        <v>0</v>
      </c>
      <c r="K44" s="1808">
        <f>SUMIF(TB!$M:$M,SA34c!$A44,TB!W:W)</f>
        <v>0</v>
      </c>
      <c r="L44" s="345"/>
    </row>
    <row r="45" spans="1:15" ht="11.25" customHeight="1">
      <c r="A45" s="240" t="s">
        <v>297</v>
      </c>
      <c r="B45" s="171">
        <v>9</v>
      </c>
      <c r="C45" s="1805">
        <f>SUMIF(TB!$M:$M,SA34c!$A45,TB!N:N)</f>
        <v>0</v>
      </c>
      <c r="D45" s="1805">
        <f>SUMIF(TB!$M:$M,SA34c!$A45,TB!O:O)</f>
        <v>0</v>
      </c>
      <c r="E45" s="1806">
        <f>SUMIF(TB!$M:$M,SA34c!$A45,TB!P:P)</f>
        <v>0</v>
      </c>
      <c r="F45" s="1807">
        <f>SUMIF(TB!$M:$M,SA34c!$A45,TB!Q:Q)</f>
        <v>0</v>
      </c>
      <c r="G45" s="1805">
        <f>SUMIF(TB!$M:$M,SA34c!$A45,TB!R:R)</f>
        <v>0</v>
      </c>
      <c r="H45" s="1808">
        <f>SUMIF(TB!$M:$M,SA34c!$A45,TB!S:S)</f>
        <v>0</v>
      </c>
      <c r="I45" s="1809">
        <f>SUMIF(TB!$M:$M,SA34c!$A45,TB!U:U)</f>
        <v>0</v>
      </c>
      <c r="J45" s="1805">
        <f>SUMIF(TB!$M:$M,SA34c!$A45,TB!V:V)</f>
        <v>0</v>
      </c>
      <c r="K45" s="1808">
        <f>SUMIF(TB!$M:$M,SA34c!$A45,TB!W:W)</f>
        <v>0</v>
      </c>
      <c r="L45" s="345"/>
    </row>
    <row r="46" spans="1:15" ht="5.0999999999999996" customHeight="1">
      <c r="A46" s="259"/>
      <c r="B46" s="171"/>
      <c r="C46" s="189"/>
      <c r="D46" s="189"/>
      <c r="E46" s="190"/>
      <c r="F46" s="191"/>
      <c r="G46" s="189"/>
      <c r="H46" s="188"/>
      <c r="I46" s="191"/>
      <c r="J46" s="189"/>
      <c r="K46" s="190"/>
      <c r="L46" s="345"/>
    </row>
    <row r="47" spans="1:15" ht="17.25" customHeight="1">
      <c r="A47" s="235" t="s">
        <v>1028</v>
      </c>
      <c r="B47" s="171"/>
      <c r="C47" s="204">
        <f>SUM(C48:C49)</f>
        <v>0</v>
      </c>
      <c r="D47" s="204">
        <f t="shared" ref="D47:K47" si="8">SUM(D48:D49)</f>
        <v>0</v>
      </c>
      <c r="E47" s="205">
        <f t="shared" si="8"/>
        <v>0</v>
      </c>
      <c r="F47" s="206">
        <f t="shared" si="8"/>
        <v>0</v>
      </c>
      <c r="G47" s="204">
        <f t="shared" si="8"/>
        <v>0</v>
      </c>
      <c r="H47" s="203">
        <f t="shared" si="8"/>
        <v>0</v>
      </c>
      <c r="I47" s="206">
        <f t="shared" si="8"/>
        <v>0</v>
      </c>
      <c r="J47" s="204">
        <f t="shared" si="8"/>
        <v>0</v>
      </c>
      <c r="K47" s="205">
        <f t="shared" si="8"/>
        <v>0</v>
      </c>
      <c r="L47" s="345"/>
    </row>
    <row r="48" spans="1:15" ht="11.25" customHeight="1">
      <c r="A48" s="236" t="s">
        <v>527</v>
      </c>
      <c r="B48" s="171"/>
      <c r="C48" s="1805">
        <f>SUMIF(TB!$M:$M,SA34c!$A48,TB!N:N)</f>
        <v>0</v>
      </c>
      <c r="D48" s="1805">
        <f>SUMIF(TB!$M:$M,SA34c!$A48,TB!O:O)</f>
        <v>0</v>
      </c>
      <c r="E48" s="1806">
        <f>SUMIF(TB!$M:$M,SA34c!$A48,TB!P:P)</f>
        <v>0</v>
      </c>
      <c r="F48" s="1807">
        <f>SUMIF(TB!$M:$M,SA34c!$A48,TB!Q:Q)</f>
        <v>0</v>
      </c>
      <c r="G48" s="1805">
        <f>SUMIF(TB!$M:$M,SA34c!$A48,TB!R:R)</f>
        <v>0</v>
      </c>
      <c r="H48" s="1808">
        <f>SUMIF(TB!$M:$M,SA34c!$A48,TB!S:S)</f>
        <v>0</v>
      </c>
      <c r="I48" s="1809">
        <f>SUMIF(TB!$M:$M,SA34c!$A48,TB!U:U)</f>
        <v>0</v>
      </c>
      <c r="J48" s="1805">
        <f>SUMIF(TB!$M:$M,SA34c!$A48,TB!V:V)</f>
        <v>0</v>
      </c>
      <c r="K48" s="1808">
        <f>SUMIF(TB!$M:$M,SA34c!$A48,TB!W:W)</f>
        <v>0</v>
      </c>
      <c r="L48" s="1523"/>
    </row>
    <row r="49" spans="1:12" ht="11.25" customHeight="1">
      <c r="A49" s="236" t="s">
        <v>297</v>
      </c>
      <c r="B49" s="171"/>
      <c r="C49" s="1805">
        <f>SUMIF(TB!$M:$M,SA34c!$A49,TB!N:N)</f>
        <v>0</v>
      </c>
      <c r="D49" s="1805">
        <f>SUMIF(TB!$M:$M,SA34c!$A49,TB!O:O)</f>
        <v>0</v>
      </c>
      <c r="E49" s="1806">
        <f>SUMIF(TB!$M:$M,SA34c!$A49,TB!P:P)</f>
        <v>0</v>
      </c>
      <c r="F49" s="1807">
        <f>SUMIF(TB!$M:$M,SA34c!$A49,TB!Q:Q)</f>
        <v>0</v>
      </c>
      <c r="G49" s="1805">
        <f>SUMIF(TB!$M:$M,SA34c!$A49,TB!R:R)</f>
        <v>0</v>
      </c>
      <c r="H49" s="1808">
        <f>SUMIF(TB!$M:$M,SA34c!$A49,TB!S:S)</f>
        <v>0</v>
      </c>
      <c r="I49" s="1809">
        <f>SUMIF(TB!$M:$M,SA34c!$A49,TB!U:U)</f>
        <v>0</v>
      </c>
      <c r="J49" s="1805">
        <f>SUMIF(TB!$M:$M,SA34c!$A49,TB!V:V)</f>
        <v>0</v>
      </c>
      <c r="K49" s="1808">
        <f>SUMIF(TB!$M:$M,SA34c!$A49,TB!W:W)</f>
        <v>0</v>
      </c>
      <c r="L49" s="345"/>
    </row>
    <row r="50" spans="1:12" ht="5.0999999999999996" customHeight="1">
      <c r="A50" s="259"/>
      <c r="B50" s="171"/>
      <c r="C50" s="189"/>
      <c r="D50" s="189"/>
      <c r="E50" s="190"/>
      <c r="F50" s="191"/>
      <c r="G50" s="189"/>
      <c r="H50" s="188"/>
      <c r="I50" s="191"/>
      <c r="J50" s="189"/>
      <c r="K50" s="190"/>
      <c r="L50" s="345"/>
    </row>
    <row r="51" spans="1:12" ht="17.25" customHeight="1">
      <c r="A51" s="235" t="s">
        <v>1029</v>
      </c>
      <c r="B51" s="171"/>
      <c r="C51" s="204">
        <f>SUM(C52:C63)</f>
        <v>0</v>
      </c>
      <c r="D51" s="204">
        <f t="shared" ref="D51:K51" si="9">SUM(D52:D63)</f>
        <v>0</v>
      </c>
      <c r="E51" s="205">
        <f t="shared" si="9"/>
        <v>0</v>
      </c>
      <c r="F51" s="206">
        <f t="shared" si="9"/>
        <v>0</v>
      </c>
      <c r="G51" s="204">
        <f t="shared" si="9"/>
        <v>0</v>
      </c>
      <c r="H51" s="203">
        <f t="shared" si="9"/>
        <v>0</v>
      </c>
      <c r="I51" s="206">
        <f t="shared" si="9"/>
        <v>0</v>
      </c>
      <c r="J51" s="204">
        <f t="shared" si="9"/>
        <v>0</v>
      </c>
      <c r="K51" s="205">
        <f t="shared" si="9"/>
        <v>0</v>
      </c>
      <c r="L51" s="345"/>
    </row>
    <row r="52" spans="1:12" ht="11.25" customHeight="1">
      <c r="A52" s="240" t="s">
        <v>661</v>
      </c>
      <c r="B52" s="171"/>
      <c r="C52" s="1805">
        <f>SUMIF(TB!$M:$M,SA34c!$A52,TB!N:N)</f>
        <v>0</v>
      </c>
      <c r="D52" s="1805">
        <f>SUMIF(TB!$M:$M,SA34c!$A52,TB!O:O)</f>
        <v>0</v>
      </c>
      <c r="E52" s="1806">
        <f>SUMIF(TB!$M:$M,SA34c!$A52,TB!P:P)</f>
        <v>0</v>
      </c>
      <c r="F52" s="1807">
        <f>SUMIF(TB!$M:$M,SA34c!$A52,TB!Q:Q)</f>
        <v>0</v>
      </c>
      <c r="G52" s="1805">
        <f>SUMIF(TB!$M:$M,SA34c!$A52,TB!R:R)</f>
        <v>0</v>
      </c>
      <c r="H52" s="1808">
        <f>SUMIF(TB!$M:$M,SA34c!$A52,TB!S:S)</f>
        <v>0</v>
      </c>
      <c r="I52" s="1809">
        <f>SUMIF(TB!$M:$M,SA34c!$A52,TB!U:U)</f>
        <v>0</v>
      </c>
      <c r="J52" s="1805">
        <f>SUMIF(TB!$M:$M,SA34c!$A52,TB!V:V)</f>
        <v>0</v>
      </c>
      <c r="K52" s="1808">
        <f>SUMIF(TB!$M:$M,SA34c!$A52,TB!W:W)</f>
        <v>0</v>
      </c>
      <c r="L52" s="1523"/>
    </row>
    <row r="53" spans="1:12" ht="11.25" customHeight="1">
      <c r="A53" s="240" t="s">
        <v>32</v>
      </c>
      <c r="B53" s="171">
        <v>10</v>
      </c>
      <c r="C53" s="1805">
        <f>SUMIF(TB!$M:$M,SA34c!$A53,TB!N:N)</f>
        <v>0</v>
      </c>
      <c r="D53" s="1805">
        <f>SUMIF(TB!$M:$M,SA34c!$A53,TB!O:O)</f>
        <v>0</v>
      </c>
      <c r="E53" s="1806">
        <f>SUMIF(TB!$M:$M,SA34c!$A53,TB!P:P)</f>
        <v>0</v>
      </c>
      <c r="F53" s="1807">
        <f>SUMIF(TB!$M:$M,SA34c!$A53,TB!Q:Q)</f>
        <v>0</v>
      </c>
      <c r="G53" s="1805">
        <f>SUMIF(TB!$M:$M,SA34c!$A53,TB!R:R)</f>
        <v>0</v>
      </c>
      <c r="H53" s="1808">
        <f>SUMIF(TB!$M:$M,SA34c!$A53,TB!S:S)</f>
        <v>0</v>
      </c>
      <c r="I53" s="1809">
        <f>SUMIF(TB!$M:$M,SA34c!$A53,TB!U:U)</f>
        <v>0</v>
      </c>
      <c r="J53" s="1805">
        <f>SUMIF(TB!$M:$M,SA34c!$A53,TB!V:V)</f>
        <v>0</v>
      </c>
      <c r="K53" s="1808">
        <f>SUMIF(TB!$M:$M,SA34c!$A53,TB!W:W)</f>
        <v>0</v>
      </c>
      <c r="L53" s="345"/>
    </row>
    <row r="54" spans="1:12" ht="11.25" customHeight="1">
      <c r="A54" s="240" t="s">
        <v>1331</v>
      </c>
      <c r="B54" s="171"/>
      <c r="C54" s="1805">
        <f>SUMIF(TB!$M:$M,SA34c!$A54,TB!N:N)</f>
        <v>0</v>
      </c>
      <c r="D54" s="1805">
        <f>SUMIF(TB!$M:$M,SA34c!$A54,TB!O:O)</f>
        <v>0</v>
      </c>
      <c r="E54" s="1806">
        <f>SUMIF(TB!$M:$M,SA34c!$A54,TB!P:P)</f>
        <v>0</v>
      </c>
      <c r="F54" s="1807">
        <f>SUMIF(TB!$M:$M,SA34c!$A54,TB!Q:Q)</f>
        <v>0</v>
      </c>
      <c r="G54" s="1805">
        <f>SUMIF(TB!$M:$M,SA34c!$A54,TB!R:R)</f>
        <v>0</v>
      </c>
      <c r="H54" s="1808">
        <f>SUMIF(TB!$M:$M,SA34c!$A54,TB!S:S)</f>
        <v>0</v>
      </c>
      <c r="I54" s="1809">
        <f>SUMIF(TB!$M:$M,SA34c!$A54,TB!U:U)</f>
        <v>0</v>
      </c>
      <c r="J54" s="1805">
        <f>SUMIF(TB!$M:$M,SA34c!$A54,TB!V:V)</f>
        <v>0</v>
      </c>
      <c r="K54" s="1808">
        <f>SUMIF(TB!$M:$M,SA34c!$A54,TB!W:W)</f>
        <v>0</v>
      </c>
      <c r="L54" s="1523"/>
    </row>
    <row r="55" spans="1:12" ht="11.25" customHeight="1">
      <c r="A55" s="240" t="s">
        <v>662</v>
      </c>
      <c r="B55" s="171"/>
      <c r="C55" s="1805">
        <f>SUMIF(TB!$M:$M,SA34c!$A55,TB!N:N)</f>
        <v>0</v>
      </c>
      <c r="D55" s="1805">
        <f>SUMIF(TB!$M:$M,SA34c!$A55,TB!O:O)</f>
        <v>0</v>
      </c>
      <c r="E55" s="1806">
        <f>SUMIF(TB!$M:$M,SA34c!$A55,TB!P:P)</f>
        <v>0</v>
      </c>
      <c r="F55" s="1807">
        <f>SUMIF(TB!$M:$M,SA34c!$A55,TB!Q:Q)</f>
        <v>0</v>
      </c>
      <c r="G55" s="1805">
        <f>SUMIF(TB!$M:$M,SA34c!$A55,TB!R:R)</f>
        <v>0</v>
      </c>
      <c r="H55" s="1808">
        <f>SUMIF(TB!$M:$M,SA34c!$A55,TB!S:S)</f>
        <v>0</v>
      </c>
      <c r="I55" s="1809">
        <f>SUMIF(TB!$M:$M,SA34c!$A55,TB!U:U)</f>
        <v>0</v>
      </c>
      <c r="J55" s="1805">
        <f>SUMIF(TB!$M:$M,SA34c!$A55,TB!V:V)</f>
        <v>0</v>
      </c>
      <c r="K55" s="1808">
        <f>SUMIF(TB!$M:$M,SA34c!$A55,TB!W:W)</f>
        <v>0</v>
      </c>
      <c r="L55" s="1523"/>
    </row>
    <row r="56" spans="1:12" ht="11.25" customHeight="1">
      <c r="A56" s="240" t="s">
        <v>663</v>
      </c>
      <c r="B56" s="171"/>
      <c r="C56" s="1805">
        <f>SUMIF(TB!$M:$M,SA34c!$A56,TB!N:N)</f>
        <v>0</v>
      </c>
      <c r="D56" s="1805">
        <f>SUMIF(TB!$M:$M,SA34c!$A56,TB!O:O)</f>
        <v>0</v>
      </c>
      <c r="E56" s="1806">
        <f>SUMIF(TB!$M:$M,SA34c!$A56,TB!P:P)</f>
        <v>0</v>
      </c>
      <c r="F56" s="1807">
        <f>SUMIF(TB!$M:$M,SA34c!$A56,TB!Q:Q)</f>
        <v>0</v>
      </c>
      <c r="G56" s="1805">
        <f>SUMIF(TB!$M:$M,SA34c!$A56,TB!R:R)</f>
        <v>0</v>
      </c>
      <c r="H56" s="1808">
        <f>SUMIF(TB!$M:$M,SA34c!$A56,TB!S:S)</f>
        <v>0</v>
      </c>
      <c r="I56" s="1809">
        <f>SUMIF(TB!$M:$M,SA34c!$A56,TB!U:U)</f>
        <v>0</v>
      </c>
      <c r="J56" s="1805">
        <f>SUMIF(TB!$M:$M,SA34c!$A56,TB!V:V)</f>
        <v>0</v>
      </c>
      <c r="K56" s="1808">
        <f>SUMIF(TB!$M:$M,SA34c!$A56,TB!W:W)</f>
        <v>0</v>
      </c>
      <c r="L56" s="1523"/>
    </row>
    <row r="57" spans="1:12" ht="11.25" customHeight="1">
      <c r="A57" s="240" t="s">
        <v>1332</v>
      </c>
      <c r="B57" s="171"/>
      <c r="C57" s="1805">
        <f>SUMIF(TB!$M:$M,SA34c!$A57,TB!N:N)</f>
        <v>0</v>
      </c>
      <c r="D57" s="1805">
        <f>SUMIF(TB!$M:$M,SA34c!$A57,TB!O:O)</f>
        <v>0</v>
      </c>
      <c r="E57" s="1806">
        <f>SUMIF(TB!$M:$M,SA34c!$A57,TB!P:P)</f>
        <v>0</v>
      </c>
      <c r="F57" s="1807">
        <f>SUMIF(TB!$M:$M,SA34c!$A57,TB!Q:Q)</f>
        <v>0</v>
      </c>
      <c r="G57" s="1805">
        <f>SUMIF(TB!$M:$M,SA34c!$A57,TB!R:R)</f>
        <v>0</v>
      </c>
      <c r="H57" s="1808">
        <f>SUMIF(TB!$M:$M,SA34c!$A57,TB!S:S)</f>
        <v>0</v>
      </c>
      <c r="I57" s="1809">
        <f>SUMIF(TB!$M:$M,SA34c!$A57,TB!U:U)</f>
        <v>0</v>
      </c>
      <c r="J57" s="1805">
        <f>SUMIF(TB!$M:$M,SA34c!$A57,TB!V:V)</f>
        <v>0</v>
      </c>
      <c r="K57" s="1808">
        <f>SUMIF(TB!$M:$M,SA34c!$A57,TB!W:W)</f>
        <v>0</v>
      </c>
      <c r="L57" s="1523"/>
    </row>
    <row r="58" spans="1:12" ht="11.25" customHeight="1">
      <c r="A58" s="240" t="s">
        <v>1333</v>
      </c>
      <c r="B58" s="171"/>
      <c r="C58" s="1805">
        <f>SUMIF(TB!$M:$M,SA34c!$A58,TB!N:N)</f>
        <v>0</v>
      </c>
      <c r="D58" s="1805">
        <f>SUMIF(TB!$M:$M,SA34c!$A58,TB!O:O)</f>
        <v>0</v>
      </c>
      <c r="E58" s="1806">
        <f>SUMIF(TB!$M:$M,SA34c!$A58,TB!P:P)</f>
        <v>0</v>
      </c>
      <c r="F58" s="1807">
        <f>SUMIF(TB!$M:$M,SA34c!$A58,TB!Q:Q)</f>
        <v>0</v>
      </c>
      <c r="G58" s="1805">
        <f>SUMIF(TB!$M:$M,SA34c!$A58,TB!R:R)</f>
        <v>0</v>
      </c>
      <c r="H58" s="1808">
        <f>SUMIF(TB!$M:$M,SA34c!$A58,TB!S:S)</f>
        <v>0</v>
      </c>
      <c r="I58" s="1809">
        <f>SUMIF(TB!$M:$M,SA34c!$A58,TB!U:U)</f>
        <v>0</v>
      </c>
      <c r="J58" s="1805">
        <f>SUMIF(TB!$M:$M,SA34c!$A58,TB!V:V)</f>
        <v>0</v>
      </c>
      <c r="K58" s="1808">
        <f>SUMIF(TB!$M:$M,SA34c!$A58,TB!W:W)</f>
        <v>0</v>
      </c>
      <c r="L58" s="1522"/>
    </row>
    <row r="59" spans="1:12" ht="11.25" customHeight="1">
      <c r="A59" s="240" t="s">
        <v>1625</v>
      </c>
      <c r="B59" s="171"/>
      <c r="C59" s="1805">
        <f>SUMIF(TB!$M:$M,SA34c!$A59,TB!N:N)</f>
        <v>0</v>
      </c>
      <c r="D59" s="1805">
        <f>SUMIF(TB!$M:$M,SA34c!$A59,TB!O:O)</f>
        <v>0</v>
      </c>
      <c r="E59" s="1806">
        <f>SUMIF(TB!$M:$M,SA34c!$A59,TB!P:P)</f>
        <v>0</v>
      </c>
      <c r="F59" s="1807">
        <f>SUMIF(TB!$M:$M,SA34c!$A59,TB!Q:Q)</f>
        <v>0</v>
      </c>
      <c r="G59" s="1805">
        <f>SUMIF(TB!$M:$M,SA34c!$A59,TB!R:R)</f>
        <v>0</v>
      </c>
      <c r="H59" s="1808">
        <f>SUMIF(TB!$M:$M,SA34c!$A59,TB!S:S)</f>
        <v>0</v>
      </c>
      <c r="I59" s="1809">
        <f>SUMIF(TB!$M:$M,SA34c!$A59,TB!U:U)</f>
        <v>0</v>
      </c>
      <c r="J59" s="1805">
        <f>SUMIF(TB!$M:$M,SA34c!$A59,TB!V:V)</f>
        <v>0</v>
      </c>
      <c r="K59" s="1808">
        <f>SUMIF(TB!$M:$M,SA34c!$A59,TB!W:W)</f>
        <v>0</v>
      </c>
      <c r="L59" s="1523"/>
    </row>
    <row r="60" spans="1:12" ht="11.25" customHeight="1">
      <c r="A60" s="240" t="s">
        <v>330</v>
      </c>
      <c r="B60" s="171"/>
      <c r="C60" s="1805">
        <f>SUMIF(TB!$M:$M,SA34c!$A60,TB!N:N)</f>
        <v>0</v>
      </c>
      <c r="D60" s="1805">
        <f>SUMIF(TB!$M:$M,SA34c!$A60,TB!O:O)</f>
        <v>0</v>
      </c>
      <c r="E60" s="1806">
        <f>SUMIF(TB!$M:$M,SA34c!$A60,TB!P:P)</f>
        <v>0</v>
      </c>
      <c r="F60" s="1807">
        <f>SUMIF(TB!$M:$M,SA34c!$A60,TB!Q:Q)</f>
        <v>0</v>
      </c>
      <c r="G60" s="1805">
        <f>SUMIF(TB!$M:$M,SA34c!$A60,TB!R:R)</f>
        <v>0</v>
      </c>
      <c r="H60" s="1808">
        <f>SUMIF(TB!$M:$M,SA34c!$A60,TB!S:S)</f>
        <v>0</v>
      </c>
      <c r="I60" s="1809">
        <f>SUMIF(TB!$M:$M,SA34c!$A60,TB!U:U)</f>
        <v>0</v>
      </c>
      <c r="J60" s="1805">
        <f>SUMIF(TB!$M:$M,SA34c!$A60,TB!V:V)</f>
        <v>0</v>
      </c>
      <c r="K60" s="1808">
        <f>SUMIF(TB!$M:$M,SA34c!$A60,TB!W:W)</f>
        <v>0</v>
      </c>
      <c r="L60" s="1523"/>
    </row>
    <row r="61" spans="1:12" ht="11.25" customHeight="1">
      <c r="A61" s="240" t="s">
        <v>329</v>
      </c>
      <c r="B61" s="171"/>
      <c r="C61" s="1805">
        <f>SUMIF(TB!$M:$M,SA34c!$A61,TB!N:N)</f>
        <v>0</v>
      </c>
      <c r="D61" s="1805">
        <f>SUMIF(TB!$M:$M,SA34c!$A61,TB!O:O)</f>
        <v>0</v>
      </c>
      <c r="E61" s="1806">
        <f>SUMIF(TB!$M:$M,SA34c!$A61,TB!P:P)</f>
        <v>0</v>
      </c>
      <c r="F61" s="1807">
        <f>SUMIF(TB!$M:$M,SA34c!$A61,TB!Q:Q)</f>
        <v>0</v>
      </c>
      <c r="G61" s="1805">
        <f>SUMIF(TB!$M:$M,SA34c!$A61,TB!R:R)</f>
        <v>0</v>
      </c>
      <c r="H61" s="1808">
        <f>SUMIF(TB!$M:$M,SA34c!$A61,TB!S:S)</f>
        <v>0</v>
      </c>
      <c r="I61" s="1809">
        <f>SUMIF(TB!$M:$M,SA34c!$A61,TB!U:U)</f>
        <v>0</v>
      </c>
      <c r="J61" s="1805">
        <f>SUMIF(TB!$M:$M,SA34c!$A61,TB!V:V)</f>
        <v>0</v>
      </c>
      <c r="K61" s="1808">
        <f>SUMIF(TB!$M:$M,SA34c!$A61,TB!W:W)</f>
        <v>0</v>
      </c>
      <c r="L61" s="1523"/>
    </row>
    <row r="62" spans="1:12" ht="11.25" customHeight="1">
      <c r="A62" s="240" t="s">
        <v>664</v>
      </c>
      <c r="B62" s="171"/>
      <c r="C62" s="1805">
        <f>SUMIF(TB!$M:$M,SA34c!$A62,TB!N:N)</f>
        <v>0</v>
      </c>
      <c r="D62" s="1805">
        <f>SUMIF(TB!$M:$M,SA34c!$A62,TB!O:O)</f>
        <v>0</v>
      </c>
      <c r="E62" s="1806">
        <f>SUMIF(TB!$M:$M,SA34c!$A62,TB!P:P)</f>
        <v>0</v>
      </c>
      <c r="F62" s="1807">
        <f>SUMIF(TB!$M:$M,SA34c!$A62,TB!Q:Q)</f>
        <v>0</v>
      </c>
      <c r="G62" s="1805">
        <f>SUMIF(TB!$M:$M,SA34c!$A62,TB!R:R)</f>
        <v>0</v>
      </c>
      <c r="H62" s="1808">
        <f>SUMIF(TB!$M:$M,SA34c!$A62,TB!S:S)</f>
        <v>0</v>
      </c>
      <c r="I62" s="1809">
        <f>SUMIF(TB!$M:$M,SA34c!$A62,TB!U:U)</f>
        <v>0</v>
      </c>
      <c r="J62" s="1805">
        <f>SUMIF(TB!$M:$M,SA34c!$A62,TB!V:V)</f>
        <v>0</v>
      </c>
      <c r="K62" s="1808">
        <f>SUMIF(TB!$M:$M,SA34c!$A62,TB!W:W)</f>
        <v>0</v>
      </c>
      <c r="L62" s="1523"/>
    </row>
    <row r="63" spans="1:12" ht="11.25" customHeight="1">
      <c r="A63" s="236" t="s">
        <v>2153</v>
      </c>
      <c r="B63" s="171"/>
      <c r="C63" s="1805">
        <f>SUMIF(TB!$M:$M,SA34c!$A63,TB!N:N)</f>
        <v>0</v>
      </c>
      <c r="D63" s="1805">
        <f>SUMIF(TB!$M:$M,SA34c!$A63,TB!O:O)</f>
        <v>0</v>
      </c>
      <c r="E63" s="1806">
        <f>SUMIF(TB!$M:$M,SA34c!$A63,TB!P:P)</f>
        <v>0</v>
      </c>
      <c r="F63" s="1807">
        <f>SUMIF(TB!$M:$M,SA34c!$A63,TB!Q:Q)</f>
        <v>0</v>
      </c>
      <c r="G63" s="1805">
        <f>SUMIF(TB!$M:$M,SA34c!$A63,TB!R:R)</f>
        <v>0</v>
      </c>
      <c r="H63" s="1808">
        <f>SUMIF(TB!$M:$M,SA34c!$A63,TB!S:S)</f>
        <v>0</v>
      </c>
      <c r="I63" s="1809">
        <f>SUMIF(TB!$M:$M,SA34c!$A63,TB!U:U)</f>
        <v>0</v>
      </c>
      <c r="J63" s="1805">
        <f>SUMIF(TB!$M:$M,SA34c!$A63,TB!V:V)</f>
        <v>0</v>
      </c>
      <c r="K63" s="1808">
        <f>SUMIF(TB!$M:$M,SA34c!$A63,TB!W:W)</f>
        <v>0</v>
      </c>
      <c r="L63" s="1523"/>
    </row>
    <row r="64" spans="1:12" ht="5.0999999999999996" customHeight="1">
      <c r="A64" s="829"/>
      <c r="B64" s="171"/>
      <c r="C64" s="189"/>
      <c r="D64" s="189"/>
      <c r="E64" s="190"/>
      <c r="F64" s="191"/>
      <c r="G64" s="189"/>
      <c r="H64" s="188"/>
      <c r="I64" s="191"/>
      <c r="J64" s="189"/>
      <c r="K64" s="190"/>
      <c r="L64" s="345"/>
    </row>
    <row r="65" spans="1:12" ht="13.5" customHeight="1">
      <c r="A65" s="235" t="s">
        <v>1644</v>
      </c>
      <c r="B65" s="171"/>
      <c r="C65" s="189">
        <f>SUM(C66:C67)</f>
        <v>0</v>
      </c>
      <c r="D65" s="189">
        <f t="shared" ref="D65:K65" si="10">SUM(D66:D67)</f>
        <v>0</v>
      </c>
      <c r="E65" s="190">
        <f t="shared" si="10"/>
        <v>0</v>
      </c>
      <c r="F65" s="191">
        <f t="shared" si="10"/>
        <v>0</v>
      </c>
      <c r="G65" s="189">
        <f t="shared" si="10"/>
        <v>0</v>
      </c>
      <c r="H65" s="188">
        <f t="shared" si="10"/>
        <v>0</v>
      </c>
      <c r="I65" s="191">
        <f t="shared" si="10"/>
        <v>0</v>
      </c>
      <c r="J65" s="189">
        <f t="shared" si="10"/>
        <v>0</v>
      </c>
      <c r="K65" s="190">
        <f t="shared" si="10"/>
        <v>0</v>
      </c>
      <c r="L65" s="345"/>
    </row>
    <row r="66" spans="1:12" ht="11.25" customHeight="1">
      <c r="A66" s="2166" t="s">
        <v>1346</v>
      </c>
      <c r="B66" s="171"/>
      <c r="C66" s="1810"/>
      <c r="D66" s="1810"/>
      <c r="E66" s="2113"/>
      <c r="F66" s="2181"/>
      <c r="G66" s="1810"/>
      <c r="H66" s="2202"/>
      <c r="I66" s="2181"/>
      <c r="J66" s="1810"/>
      <c r="K66" s="2113"/>
      <c r="L66" s="345"/>
    </row>
    <row r="67" spans="1:12" ht="11.25" customHeight="1">
      <c r="A67" s="2166"/>
      <c r="B67" s="171"/>
      <c r="C67" s="1839"/>
      <c r="D67" s="1839"/>
      <c r="E67" s="1840"/>
      <c r="F67" s="1841"/>
      <c r="G67" s="1839"/>
      <c r="H67" s="1842"/>
      <c r="I67" s="1841"/>
      <c r="J67" s="1839"/>
      <c r="K67" s="1840"/>
      <c r="L67" s="345"/>
    </row>
    <row r="68" spans="1:12" ht="5.0999999999999996" customHeight="1">
      <c r="A68" s="829"/>
      <c r="B68" s="171"/>
      <c r="C68" s="189"/>
      <c r="D68" s="189"/>
      <c r="E68" s="190"/>
      <c r="F68" s="191"/>
      <c r="G68" s="189"/>
      <c r="H68" s="188"/>
      <c r="I68" s="191"/>
      <c r="J68" s="189"/>
      <c r="K68" s="190"/>
      <c r="L68" s="345"/>
    </row>
    <row r="69" spans="1:12" ht="13.5" customHeight="1">
      <c r="A69" s="235" t="s">
        <v>135</v>
      </c>
      <c r="B69" s="171"/>
      <c r="C69" s="189">
        <f>SUM(C70:C71)</f>
        <v>0</v>
      </c>
      <c r="D69" s="189">
        <f t="shared" ref="D69:K69" si="11">SUM(D70:D71)</f>
        <v>0</v>
      </c>
      <c r="E69" s="190">
        <f t="shared" si="11"/>
        <v>0</v>
      </c>
      <c r="F69" s="191">
        <f t="shared" si="11"/>
        <v>0</v>
      </c>
      <c r="G69" s="189">
        <f t="shared" si="11"/>
        <v>0</v>
      </c>
      <c r="H69" s="188">
        <f t="shared" si="11"/>
        <v>0</v>
      </c>
      <c r="I69" s="191">
        <f t="shared" si="11"/>
        <v>0</v>
      </c>
      <c r="J69" s="189">
        <f t="shared" si="11"/>
        <v>0</v>
      </c>
      <c r="K69" s="190">
        <f t="shared" si="11"/>
        <v>0</v>
      </c>
      <c r="L69" s="345"/>
    </row>
    <row r="70" spans="1:12" ht="11.25" customHeight="1">
      <c r="A70" s="2166" t="s">
        <v>1346</v>
      </c>
      <c r="B70" s="171"/>
      <c r="C70" s="1810"/>
      <c r="D70" s="1810"/>
      <c r="E70" s="2113"/>
      <c r="F70" s="2181"/>
      <c r="G70" s="1810"/>
      <c r="H70" s="2202"/>
      <c r="I70" s="2181"/>
      <c r="J70" s="1810"/>
      <c r="K70" s="2113"/>
      <c r="L70" s="345"/>
    </row>
    <row r="71" spans="1:12" ht="11.25" customHeight="1">
      <c r="A71" s="2166"/>
      <c r="B71" s="171"/>
      <c r="C71" s="1839"/>
      <c r="D71" s="1839"/>
      <c r="E71" s="1840"/>
      <c r="F71" s="1841"/>
      <c r="G71" s="1839"/>
      <c r="H71" s="1842"/>
      <c r="I71" s="1841"/>
      <c r="J71" s="1839"/>
      <c r="K71" s="1840"/>
      <c r="L71" s="345"/>
    </row>
    <row r="72" spans="1:12" ht="5.0999999999999996" customHeight="1">
      <c r="A72" s="259"/>
      <c r="B72" s="171"/>
      <c r="C72" s="189"/>
      <c r="D72" s="189"/>
      <c r="E72" s="190"/>
      <c r="F72" s="191"/>
      <c r="G72" s="189"/>
      <c r="H72" s="188"/>
      <c r="I72" s="191"/>
      <c r="J72" s="189"/>
      <c r="K72" s="190"/>
      <c r="L72" s="345"/>
    </row>
    <row r="73" spans="1:12" ht="17.25" customHeight="1">
      <c r="A73" s="235" t="s">
        <v>941</v>
      </c>
      <c r="B73" s="171"/>
      <c r="C73" s="189">
        <f>SUM(C74:C75)</f>
        <v>0</v>
      </c>
      <c r="D73" s="189">
        <f t="shared" ref="D73:K73" si="12">SUM(D74:D75)</f>
        <v>0</v>
      </c>
      <c r="E73" s="190">
        <f t="shared" si="12"/>
        <v>0</v>
      </c>
      <c r="F73" s="191">
        <f t="shared" si="12"/>
        <v>0</v>
      </c>
      <c r="G73" s="189">
        <f t="shared" si="12"/>
        <v>0</v>
      </c>
      <c r="H73" s="188">
        <f t="shared" si="12"/>
        <v>0</v>
      </c>
      <c r="I73" s="191">
        <f t="shared" si="12"/>
        <v>0</v>
      </c>
      <c r="J73" s="189">
        <f t="shared" si="12"/>
        <v>0</v>
      </c>
      <c r="K73" s="190">
        <f t="shared" si="12"/>
        <v>0</v>
      </c>
      <c r="L73" s="345"/>
    </row>
    <row r="74" spans="1:12" ht="11.25" customHeight="1">
      <c r="A74" s="240" t="s">
        <v>1036</v>
      </c>
      <c r="B74" s="171"/>
      <c r="C74" s="1805">
        <f>SUMIF(TB!$M:$M,SA34c!$A74,TB!N:N)</f>
        <v>0</v>
      </c>
      <c r="D74" s="1805">
        <f>SUMIF(TB!$M:$M,SA34c!$A74,TB!O:O)</f>
        <v>0</v>
      </c>
      <c r="E74" s="1806">
        <f>SUMIF(TB!$M:$M,SA34c!$A74,TB!P:P)</f>
        <v>0</v>
      </c>
      <c r="F74" s="1807">
        <f>SUMIF(TB!$M:$M,SA34c!$A74,TB!Q:Q)</f>
        <v>0</v>
      </c>
      <c r="G74" s="1805">
        <f>SUMIF(TB!$M:$M,SA34c!$A74,TB!R:R)</f>
        <v>0</v>
      </c>
      <c r="H74" s="1808">
        <f>SUMIF(TB!$M:$M,SA34c!$A74,TB!S:S)</f>
        <v>0</v>
      </c>
      <c r="I74" s="1809">
        <f>SUMIF(TB!$M:$M,SA34c!$A74,TB!U:U)</f>
        <v>0</v>
      </c>
      <c r="J74" s="1805">
        <f>SUMIF(TB!$M:$M,SA34c!$A74,TB!V:V)</f>
        <v>0</v>
      </c>
      <c r="K74" s="1808">
        <f>SUMIF(TB!$M:$M,SA34c!$A74,TB!W:W)</f>
        <v>0</v>
      </c>
      <c r="L74" s="345"/>
    </row>
    <row r="75" spans="1:12" ht="11.25" customHeight="1">
      <c r="A75" s="2139" t="s">
        <v>642</v>
      </c>
      <c r="B75" s="171"/>
      <c r="C75" s="1839"/>
      <c r="D75" s="1839"/>
      <c r="E75" s="1840"/>
      <c r="F75" s="1841"/>
      <c r="G75" s="1839"/>
      <c r="H75" s="1842"/>
      <c r="I75" s="1841"/>
      <c r="J75" s="1839"/>
      <c r="K75" s="1840"/>
      <c r="L75" s="345"/>
    </row>
    <row r="76" spans="1:12" ht="5.0999999999999996" customHeight="1">
      <c r="A76" s="259"/>
      <c r="B76" s="171"/>
      <c r="C76" s="204"/>
      <c r="D76" s="204"/>
      <c r="E76" s="205"/>
      <c r="F76" s="206"/>
      <c r="G76" s="204"/>
      <c r="H76" s="203"/>
      <c r="I76" s="206"/>
      <c r="J76" s="204"/>
      <c r="K76" s="205"/>
      <c r="L76" s="345"/>
    </row>
    <row r="77" spans="1:12">
      <c r="A77" s="267" t="s">
        <v>1300</v>
      </c>
      <c r="B77" s="211">
        <v>1</v>
      </c>
      <c r="C77" s="216">
        <f t="shared" ref="C77:K77" si="13">C6+C27+C43+C47+C51+C73+C65+C69</f>
        <v>0</v>
      </c>
      <c r="D77" s="216">
        <f t="shared" si="13"/>
        <v>0</v>
      </c>
      <c r="E77" s="214">
        <f t="shared" si="13"/>
        <v>0</v>
      </c>
      <c r="F77" s="215">
        <f t="shared" si="13"/>
        <v>0</v>
      </c>
      <c r="G77" s="216">
        <f t="shared" si="13"/>
        <v>0</v>
      </c>
      <c r="H77" s="217">
        <f t="shared" si="13"/>
        <v>0</v>
      </c>
      <c r="I77" s="215">
        <f t="shared" si="13"/>
        <v>0</v>
      </c>
      <c r="J77" s="216">
        <f t="shared" si="13"/>
        <v>0</v>
      </c>
      <c r="K77" s="214">
        <f t="shared" si="13"/>
        <v>0</v>
      </c>
      <c r="L77" s="345"/>
    </row>
    <row r="78" spans="1:12">
      <c r="A78" s="1525"/>
      <c r="B78" s="636"/>
      <c r="C78" s="203"/>
      <c r="D78" s="203"/>
      <c r="E78" s="203"/>
      <c r="F78" s="203"/>
      <c r="G78" s="203"/>
      <c r="H78" s="203"/>
      <c r="I78" s="203"/>
      <c r="J78" s="203"/>
      <c r="K78" s="203"/>
      <c r="L78" s="345"/>
    </row>
    <row r="79" spans="1:12">
      <c r="A79" s="1526" t="s">
        <v>32</v>
      </c>
      <c r="B79" s="1527"/>
      <c r="C79" s="1272">
        <f t="shared" ref="C79:K79" si="14">SUM(C80:C83)</f>
        <v>0</v>
      </c>
      <c r="D79" s="1268">
        <f t="shared" si="14"/>
        <v>0</v>
      </c>
      <c r="E79" s="1528">
        <f t="shared" si="14"/>
        <v>0</v>
      </c>
      <c r="F79" s="1272">
        <f t="shared" si="14"/>
        <v>0</v>
      </c>
      <c r="G79" s="1268">
        <f t="shared" si="14"/>
        <v>0</v>
      </c>
      <c r="H79" s="1528">
        <f t="shared" si="14"/>
        <v>0</v>
      </c>
      <c r="I79" s="1272">
        <f t="shared" si="14"/>
        <v>0</v>
      </c>
      <c r="J79" s="1268">
        <f t="shared" si="14"/>
        <v>0</v>
      </c>
      <c r="K79" s="1528">
        <f t="shared" si="14"/>
        <v>0</v>
      </c>
      <c r="L79" s="345"/>
    </row>
    <row r="80" spans="1:12">
      <c r="A80" s="179" t="s">
        <v>1386</v>
      </c>
      <c r="B80" s="1529"/>
      <c r="C80" s="1807">
        <v>0</v>
      </c>
      <c r="D80" s="1805">
        <v>0</v>
      </c>
      <c r="E80" s="1808">
        <v>0</v>
      </c>
      <c r="F80" s="1807">
        <v>0</v>
      </c>
      <c r="G80" s="1805">
        <v>0</v>
      </c>
      <c r="H80" s="1808">
        <v>0</v>
      </c>
      <c r="I80" s="1807">
        <v>0</v>
      </c>
      <c r="J80" s="1805">
        <v>0</v>
      </c>
      <c r="K80" s="1808">
        <v>0</v>
      </c>
      <c r="L80" s="345"/>
    </row>
    <row r="81" spans="1:12">
      <c r="A81" s="179" t="s">
        <v>1626</v>
      </c>
      <c r="B81" s="1529"/>
      <c r="C81" s="1807">
        <v>0</v>
      </c>
      <c r="D81" s="1805">
        <v>0</v>
      </c>
      <c r="E81" s="1808">
        <v>0</v>
      </c>
      <c r="F81" s="1807">
        <v>0</v>
      </c>
      <c r="G81" s="1805">
        <v>0</v>
      </c>
      <c r="H81" s="1808">
        <v>0</v>
      </c>
      <c r="I81" s="1807">
        <v>0</v>
      </c>
      <c r="J81" s="1805">
        <v>0</v>
      </c>
      <c r="K81" s="1808">
        <v>0</v>
      </c>
      <c r="L81" s="345"/>
    </row>
    <row r="82" spans="1:12">
      <c r="A82" s="179" t="s">
        <v>1833</v>
      </c>
      <c r="B82" s="1529"/>
      <c r="C82" s="1807">
        <v>0</v>
      </c>
      <c r="D82" s="1805">
        <v>0</v>
      </c>
      <c r="E82" s="1808">
        <v>0</v>
      </c>
      <c r="F82" s="1807">
        <v>0</v>
      </c>
      <c r="G82" s="1805">
        <v>0</v>
      </c>
      <c r="H82" s="1808">
        <v>0</v>
      </c>
      <c r="I82" s="1807">
        <v>0</v>
      </c>
      <c r="J82" s="1805">
        <v>0</v>
      </c>
      <c r="K82" s="1808">
        <v>0</v>
      </c>
      <c r="L82" s="345"/>
    </row>
    <row r="83" spans="1:12">
      <c r="A83" s="1285" t="s">
        <v>1834</v>
      </c>
      <c r="B83" s="1530"/>
      <c r="C83" s="1890">
        <v>0</v>
      </c>
      <c r="D83" s="1886">
        <v>0</v>
      </c>
      <c r="E83" s="2208">
        <v>0</v>
      </c>
      <c r="F83" s="1890">
        <v>0</v>
      </c>
      <c r="G83" s="1886">
        <v>0</v>
      </c>
      <c r="H83" s="2208">
        <v>0</v>
      </c>
      <c r="I83" s="1890">
        <v>0</v>
      </c>
      <c r="J83" s="1886">
        <v>0</v>
      </c>
      <c r="K83" s="2208">
        <v>0</v>
      </c>
      <c r="L83" s="345"/>
    </row>
    <row r="84" spans="1:12" s="693" customFormat="1" hidden="1">
      <c r="A84" s="1234" t="str">
        <f>head27a</f>
        <v>References</v>
      </c>
      <c r="B84" s="1033"/>
      <c r="C84" s="1037"/>
      <c r="D84" s="1037"/>
      <c r="E84" s="1037"/>
      <c r="F84" s="1037"/>
      <c r="G84" s="1037"/>
      <c r="H84" s="1037"/>
      <c r="I84" s="1037"/>
      <c r="J84" s="1037"/>
      <c r="K84" s="1037"/>
      <c r="L84" s="1524"/>
    </row>
    <row r="85" spans="1:12" s="693" customFormat="1" ht="11.25" hidden="1" customHeight="1">
      <c r="A85" s="1235" t="s">
        <v>1301</v>
      </c>
      <c r="B85" s="1033"/>
      <c r="C85" s="1036"/>
      <c r="D85" s="1036"/>
      <c r="E85" s="1037"/>
      <c r="F85" s="1037"/>
      <c r="G85" s="1037"/>
      <c r="H85" s="1037"/>
      <c r="I85" s="1037"/>
      <c r="J85" s="1037"/>
      <c r="K85" s="1037"/>
    </row>
    <row r="86" spans="1:12" s="693" customFormat="1" ht="11.25" hidden="1" customHeight="1">
      <c r="A86" s="1235" t="s">
        <v>327</v>
      </c>
      <c r="B86" s="1033"/>
      <c r="C86" s="1036"/>
      <c r="D86" s="1036"/>
      <c r="E86" s="1037"/>
      <c r="F86" s="1037"/>
      <c r="G86" s="1037"/>
      <c r="H86" s="1037"/>
      <c r="I86" s="1037"/>
      <c r="J86" s="1037"/>
      <c r="K86" s="1037"/>
    </row>
    <row r="87" spans="1:12" s="693" customFormat="1" ht="11.25" hidden="1" customHeight="1">
      <c r="A87" s="1235" t="s">
        <v>975</v>
      </c>
      <c r="B87" s="1033"/>
      <c r="C87" s="1036"/>
      <c r="D87" s="1036"/>
      <c r="E87" s="1037"/>
      <c r="F87" s="1037"/>
      <c r="G87" s="1037"/>
      <c r="H87" s="1037"/>
      <c r="I87" s="1037"/>
      <c r="J87" s="1037"/>
      <c r="K87" s="1037"/>
    </row>
    <row r="88" spans="1:12" s="693" customFormat="1" ht="11.25" hidden="1" customHeight="1">
      <c r="A88" s="1235" t="s">
        <v>331</v>
      </c>
      <c r="B88" s="1033"/>
      <c r="C88" s="1036"/>
      <c r="D88" s="1036"/>
      <c r="E88" s="1037"/>
      <c r="F88" s="1037"/>
      <c r="G88" s="1037"/>
      <c r="H88" s="1037"/>
      <c r="I88" s="1037"/>
      <c r="J88" s="1037"/>
      <c r="K88" s="1037"/>
    </row>
    <row r="89" spans="1:12" s="693" customFormat="1" ht="11.25" hidden="1" customHeight="1">
      <c r="A89" s="1235" t="s">
        <v>132</v>
      </c>
      <c r="B89" s="1033"/>
      <c r="C89" s="1036"/>
      <c r="D89" s="1036"/>
      <c r="E89" s="1037"/>
      <c r="F89" s="1037"/>
      <c r="G89" s="1037"/>
      <c r="H89" s="1037"/>
      <c r="I89" s="1037"/>
      <c r="J89" s="1037"/>
      <c r="K89" s="1037"/>
    </row>
    <row r="90" spans="1:12" s="693" customFormat="1" ht="11.25" hidden="1" customHeight="1">
      <c r="A90" s="1235" t="s">
        <v>1774</v>
      </c>
      <c r="B90" s="1033"/>
      <c r="C90" s="1036"/>
      <c r="D90" s="1036"/>
      <c r="E90" s="1037"/>
      <c r="F90" s="1037"/>
      <c r="G90" s="1037"/>
      <c r="H90" s="1037"/>
      <c r="I90" s="1037"/>
      <c r="J90" s="1037"/>
      <c r="K90" s="1037"/>
    </row>
    <row r="91" spans="1:12" s="693" customFormat="1" ht="11.25" hidden="1" customHeight="1">
      <c r="A91" s="1477" t="s">
        <v>33</v>
      </c>
      <c r="B91" s="1033"/>
      <c r="C91" s="1036"/>
      <c r="D91" s="1036"/>
      <c r="E91" s="1037"/>
      <c r="F91" s="1037"/>
      <c r="G91" s="1037"/>
      <c r="H91" s="1037"/>
      <c r="I91" s="1037"/>
      <c r="J91" s="1037"/>
      <c r="K91" s="1037"/>
    </row>
    <row r="92" spans="1:12" s="693" customFormat="1" ht="11.25" hidden="1" customHeight="1">
      <c r="A92" s="1477" t="s">
        <v>1434</v>
      </c>
      <c r="B92" s="1033"/>
      <c r="C92" s="1036"/>
      <c r="D92" s="1036"/>
      <c r="E92" s="1037"/>
      <c r="F92" s="1037"/>
      <c r="G92" s="1037"/>
      <c r="H92" s="1037"/>
      <c r="I92" s="1037"/>
      <c r="J92" s="1037"/>
      <c r="K92" s="1037"/>
    </row>
    <row r="93" spans="1:12" s="693" customFormat="1" ht="11.25" hidden="1" customHeight="1">
      <c r="A93" s="1477" t="s">
        <v>1435</v>
      </c>
      <c r="B93" s="1033"/>
      <c r="C93" s="1036"/>
      <c r="D93" s="1036"/>
      <c r="E93" s="1037"/>
      <c r="F93" s="1037"/>
      <c r="G93" s="1037"/>
      <c r="H93" s="1037"/>
      <c r="I93" s="1037"/>
      <c r="J93" s="1037"/>
      <c r="K93" s="1037"/>
    </row>
    <row r="94" spans="1:12" s="693" customFormat="1" ht="11.25" hidden="1" customHeight="1">
      <c r="A94" s="1477" t="s">
        <v>403</v>
      </c>
      <c r="B94" s="1033"/>
      <c r="C94" s="1036"/>
      <c r="D94" s="1036"/>
      <c r="E94" s="1037"/>
      <c r="F94" s="1037"/>
      <c r="G94" s="1037"/>
      <c r="H94" s="1037"/>
      <c r="I94" s="1037"/>
      <c r="J94" s="1037"/>
      <c r="K94" s="1037"/>
    </row>
    <row r="95" spans="1:12" s="693" customFormat="1" ht="11.25" hidden="1" customHeight="1">
      <c r="A95" s="1050"/>
      <c r="B95" s="1033"/>
      <c r="C95" s="1036"/>
      <c r="D95" s="1036"/>
      <c r="E95" s="1037"/>
      <c r="F95" s="1037"/>
      <c r="G95" s="1037"/>
      <c r="H95" s="1037"/>
      <c r="I95" s="1037"/>
      <c r="J95" s="1037"/>
      <c r="K95" s="1037"/>
    </row>
    <row r="96" spans="1:12" ht="11.25" hidden="1" customHeight="1">
      <c r="A96" s="232"/>
      <c r="B96" s="222"/>
      <c r="C96" s="226"/>
      <c r="D96" s="226"/>
      <c r="E96" s="227"/>
      <c r="F96" s="227"/>
      <c r="G96" s="227"/>
      <c r="H96" s="227"/>
      <c r="I96" s="227"/>
      <c r="J96" s="227"/>
      <c r="K96" s="227"/>
    </row>
    <row r="97" spans="1:11" ht="11.25" hidden="1" customHeight="1">
      <c r="A97" s="273" t="s">
        <v>300</v>
      </c>
      <c r="B97" s="229"/>
      <c r="C97" s="421">
        <f>C77-'SA1'!C117</f>
        <v>0</v>
      </c>
      <c r="D97" s="421">
        <f>D77-'SA1'!D117</f>
        <v>0</v>
      </c>
      <c r="E97" s="421">
        <f>E77-'SA1'!E117</f>
        <v>0</v>
      </c>
      <c r="F97" s="421">
        <f>F77-'SA1'!F117</f>
        <v>0</v>
      </c>
      <c r="G97" s="421">
        <f>G77-'SA1'!G117</f>
        <v>0</v>
      </c>
      <c r="H97" s="421">
        <f>H77-'SA1'!H117</f>
        <v>0</v>
      </c>
      <c r="I97" s="421">
        <f>I77-'SA1'!J117</f>
        <v>0</v>
      </c>
      <c r="J97" s="421">
        <f>J77-'SA1'!K117</f>
        <v>0</v>
      </c>
      <c r="K97" s="421">
        <f>K77-'SA1'!L117</f>
        <v>0</v>
      </c>
    </row>
    <row r="98" spans="1:11" ht="11.25" hidden="1" customHeight="1"/>
    <row r="99" spans="1:11" ht="11.25" hidden="1" customHeight="1"/>
    <row r="100" spans="1:11" ht="11.25" hidden="1" customHeight="1"/>
    <row r="101" spans="1:11" ht="11.25" hidden="1" customHeight="1"/>
    <row r="102" spans="1:11" ht="11.25" hidden="1" customHeight="1"/>
    <row r="103" spans="1:11" ht="11.25" hidden="1" customHeight="1"/>
    <row r="104" spans="1:11" ht="11.25" hidden="1" customHeight="1"/>
    <row r="105" spans="1:11" ht="11.25" customHeight="1"/>
    <row r="106" spans="1:11" ht="11.25" customHeight="1"/>
    <row r="107" spans="1:11" ht="11.25" customHeight="1"/>
    <row r="108" spans="1:11" ht="11.25" customHeight="1"/>
    <row r="109" spans="1:11" ht="11.25" customHeight="1"/>
    <row r="110" spans="1:11" ht="11.25" customHeight="1"/>
    <row r="111" spans="1:11" ht="11.25" customHeight="1"/>
    <row r="112" spans="1:11"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sheetData>
  <sheetProtection sheet="1" objects="1" scenarios="1"/>
  <mergeCells count="2">
    <mergeCell ref="F2:H2"/>
    <mergeCell ref="I2:K2"/>
  </mergeCells>
  <phoneticPr fontId="3" type="noConversion"/>
  <pageMargins left="0.75" right="0.75" top="1" bottom="1" header="0.5" footer="0.5"/>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enableFormatConditionsCalculation="0">
    <tabColor indexed="42"/>
    <pageSetUpPr fitToPage="1"/>
  </sheetPr>
  <dimension ref="A1:O147"/>
  <sheetViews>
    <sheetView showGridLines="0" workbookViewId="0">
      <pane xSplit="2" ySplit="3" topLeftCell="C4" activePane="bottomRight" state="frozen"/>
      <selection activeCell="O37" sqref="A1:IV65536"/>
      <selection pane="topRight" activeCell="O37" sqref="A1:IV65536"/>
      <selection pane="bottomLeft" activeCell="O37" sqref="A1:IV65536"/>
      <selection pane="bottomRight" activeCell="A4" sqref="A4"/>
    </sheetView>
  </sheetViews>
  <sheetFormatPr defaultRowHeight="12.75"/>
  <cols>
    <col min="1" max="1" width="30.7109375" style="150" customWidth="1"/>
    <col min="2" max="2" width="3" style="233" hidden="1" customWidth="1"/>
    <col min="3" max="9" width="9.28515625" style="150" customWidth="1"/>
    <col min="10" max="10" width="9.5703125" style="150" customWidth="1"/>
    <col min="11" max="11" width="9.85546875" style="150" customWidth="1"/>
    <col min="12" max="14" width="9.5703125" style="150" customWidth="1"/>
    <col min="15" max="15" width="9.85546875" style="150" customWidth="1"/>
    <col min="16" max="18" width="9.5703125" style="150" customWidth="1"/>
    <col min="19" max="20" width="9.85546875" style="150" customWidth="1"/>
    <col min="21" max="16384" width="9.140625" style="150"/>
  </cols>
  <sheetData>
    <row r="1" spans="1:10" ht="13.5" customHeight="1">
      <c r="A1" s="920" t="str">
        <f>muni&amp;" - "&amp;TableA35</f>
        <v>NC071 Ubuntu - Supporting Table SA35 Future financial implications of the capital budget</v>
      </c>
      <c r="B1" s="920"/>
      <c r="C1" s="920"/>
      <c r="D1" s="920"/>
      <c r="E1" s="920"/>
      <c r="F1" s="920"/>
      <c r="G1" s="920"/>
      <c r="H1" s="920"/>
      <c r="I1" s="920"/>
    </row>
    <row r="2" spans="1:10" ht="33.75" customHeight="1">
      <c r="A2" s="979" t="str">
        <f>Vdesc</f>
        <v>Vote Description</v>
      </c>
      <c r="B2" s="394" t="str">
        <f>head27</f>
        <v>Ref</v>
      </c>
      <c r="C2" s="2818" t="str">
        <f>Head3</f>
        <v>2011/12 Medium Term Revenue &amp; Expenditure Framework</v>
      </c>
      <c r="D2" s="2770"/>
      <c r="E2" s="2770"/>
      <c r="F2" s="2807" t="s">
        <v>937</v>
      </c>
      <c r="G2" s="2825"/>
      <c r="H2" s="2825"/>
      <c r="I2" s="2826"/>
    </row>
    <row r="3" spans="1:10" ht="25.5">
      <c r="A3" s="169" t="s">
        <v>697</v>
      </c>
      <c r="B3" s="984"/>
      <c r="C3" s="981" t="str">
        <f>Head9</f>
        <v>Budget Year 2011/12</v>
      </c>
      <c r="D3" s="365" t="str">
        <f>Head10</f>
        <v>Budget Year +1 2012/13</v>
      </c>
      <c r="E3" s="364" t="str">
        <f>Head11</f>
        <v>Budget Year +2 2013/14</v>
      </c>
      <c r="F3" s="999" t="str">
        <f>Head12</f>
        <v>Forecast 2014/15</v>
      </c>
      <c r="G3" s="1000" t="str">
        <f>Head13</f>
        <v>Forecast 2015/16</v>
      </c>
      <c r="H3" s="1000" t="str">
        <f>Head14</f>
        <v>Forecast 2016/17</v>
      </c>
      <c r="I3" s="1001" t="str">
        <f>Head48</f>
        <v>Present value</v>
      </c>
    </row>
    <row r="4" spans="1:10">
      <c r="A4" s="235" t="s">
        <v>1612</v>
      </c>
      <c r="B4" s="733">
        <v>1</v>
      </c>
      <c r="C4" s="921"/>
      <c r="D4" s="921"/>
      <c r="E4" s="922"/>
      <c r="F4" s="294"/>
      <c r="G4" s="292"/>
      <c r="H4" s="292"/>
      <c r="I4" s="295"/>
      <c r="J4" s="345"/>
    </row>
    <row r="5" spans="1:10" ht="11.25" customHeight="1">
      <c r="A5" s="1177" t="str">
        <f>'A5-Capex'!A6</f>
        <v>Vote1 - Executive and Council</v>
      </c>
      <c r="B5" s="171"/>
      <c r="C5" s="1440">
        <f>'A5-Capex'!J6+'A5-Capex'!J24</f>
        <v>888000</v>
      </c>
      <c r="D5" s="1440">
        <f>'A5-Capex'!K6+'A5-Capex'!K24</f>
        <v>0</v>
      </c>
      <c r="E5" s="1441">
        <f>'A5-Capex'!L6+'A5-Capex'!L24</f>
        <v>0</v>
      </c>
      <c r="F5" s="1814">
        <v>0</v>
      </c>
      <c r="G5" s="1812">
        <v>0</v>
      </c>
      <c r="H5" s="1812">
        <v>0</v>
      </c>
      <c r="I5" s="1813">
        <v>0</v>
      </c>
      <c r="J5" s="345"/>
    </row>
    <row r="6" spans="1:10" ht="11.25" customHeight="1">
      <c r="A6" s="1177" t="str">
        <f>'A5-Capex'!A7</f>
        <v>Vote2 - Budget and Treasury Office</v>
      </c>
      <c r="B6" s="171"/>
      <c r="C6" s="1440">
        <f>'A5-Capex'!J7+'A5-Capex'!J25</f>
        <v>0</v>
      </c>
      <c r="D6" s="1440">
        <f>'A5-Capex'!K7+'A5-Capex'!K25</f>
        <v>0</v>
      </c>
      <c r="E6" s="1441">
        <f>'A5-Capex'!L7+'A5-Capex'!L25</f>
        <v>0</v>
      </c>
      <c r="F6" s="1814">
        <v>0</v>
      </c>
      <c r="G6" s="1812">
        <v>0</v>
      </c>
      <c r="H6" s="1812">
        <v>0</v>
      </c>
      <c r="I6" s="1813">
        <v>0</v>
      </c>
      <c r="J6" s="345"/>
    </row>
    <row r="7" spans="1:10" ht="11.25" customHeight="1">
      <c r="A7" s="1177" t="str">
        <f>'A5-Capex'!A8</f>
        <v>Vote3 - Corporate Services</v>
      </c>
      <c r="B7" s="171"/>
      <c r="C7" s="1440">
        <f>'A5-Capex'!J8+'A5-Capex'!J26</f>
        <v>0</v>
      </c>
      <c r="D7" s="1440">
        <f>'A5-Capex'!K8+'A5-Capex'!K26</f>
        <v>0</v>
      </c>
      <c r="E7" s="1441">
        <f>'A5-Capex'!L8+'A5-Capex'!L26</f>
        <v>0</v>
      </c>
      <c r="F7" s="1814">
        <v>0</v>
      </c>
      <c r="G7" s="1812">
        <v>0</v>
      </c>
      <c r="H7" s="1812">
        <v>0</v>
      </c>
      <c r="I7" s="1813">
        <v>0</v>
      </c>
      <c r="J7" s="345"/>
    </row>
    <row r="8" spans="1:10" ht="11.25" customHeight="1">
      <c r="A8" s="1177" t="str">
        <f>'A5-Capex'!A9</f>
        <v>Vote4 - Community and Social Services</v>
      </c>
      <c r="B8" s="171"/>
      <c r="C8" s="1440">
        <f>'A5-Capex'!J9+'A5-Capex'!J27</f>
        <v>300000</v>
      </c>
      <c r="D8" s="1440">
        <f>'A5-Capex'!K9+'A5-Capex'!K27</f>
        <v>0</v>
      </c>
      <c r="E8" s="1441">
        <f>'A5-Capex'!L9+'A5-Capex'!L27</f>
        <v>0</v>
      </c>
      <c r="F8" s="1814">
        <v>0</v>
      </c>
      <c r="G8" s="1812">
        <v>0</v>
      </c>
      <c r="H8" s="1812">
        <v>0</v>
      </c>
      <c r="I8" s="1813">
        <v>0</v>
      </c>
      <c r="J8" s="345"/>
    </row>
    <row r="9" spans="1:10" ht="11.25" customHeight="1">
      <c r="A9" s="1177" t="str">
        <f>'A5-Capex'!A10</f>
        <v>Vote5 - Sport and Recreation</v>
      </c>
      <c r="B9" s="171"/>
      <c r="C9" s="1440">
        <f>'A5-Capex'!J10+'A5-Capex'!J28</f>
        <v>0</v>
      </c>
      <c r="D9" s="1440">
        <f>'A5-Capex'!K10+'A5-Capex'!K28</f>
        <v>0</v>
      </c>
      <c r="E9" s="1441">
        <f>'A5-Capex'!L10+'A5-Capex'!L28</f>
        <v>0</v>
      </c>
      <c r="F9" s="1814">
        <v>0</v>
      </c>
      <c r="G9" s="1812">
        <v>0</v>
      </c>
      <c r="H9" s="1812">
        <v>0</v>
      </c>
      <c r="I9" s="1813">
        <v>0</v>
      </c>
      <c r="J9" s="345"/>
    </row>
    <row r="10" spans="1:10" ht="11.25" customHeight="1">
      <c r="A10" s="1177" t="str">
        <f>'A5-Capex'!A11</f>
        <v>Vote6 - Public Safety</v>
      </c>
      <c r="B10" s="171"/>
      <c r="C10" s="1440">
        <f>'A5-Capex'!J11+'A5-Capex'!J29</f>
        <v>0</v>
      </c>
      <c r="D10" s="1440">
        <f>'A5-Capex'!K11+'A5-Capex'!K29</f>
        <v>0</v>
      </c>
      <c r="E10" s="1441">
        <f>'A5-Capex'!L11+'A5-Capex'!L29</f>
        <v>0</v>
      </c>
      <c r="F10" s="1814">
        <v>0</v>
      </c>
      <c r="G10" s="1812">
        <v>0</v>
      </c>
      <c r="H10" s="1812">
        <v>0</v>
      </c>
      <c r="I10" s="1813">
        <v>0</v>
      </c>
      <c r="J10" s="345"/>
    </row>
    <row r="11" spans="1:10" ht="11.25" customHeight="1">
      <c r="A11" s="1177" t="str">
        <f>'A5-Capex'!A12</f>
        <v>Vote7 - Road Transport</v>
      </c>
      <c r="B11" s="171"/>
      <c r="C11" s="1440">
        <f>'A5-Capex'!J12+'A5-Capex'!J30</f>
        <v>5150000</v>
      </c>
      <c r="D11" s="1440">
        <f>'A5-Capex'!K12+'A5-Capex'!K30</f>
        <v>0</v>
      </c>
      <c r="E11" s="1441">
        <f>'A5-Capex'!L12+'A5-Capex'!L30</f>
        <v>0</v>
      </c>
      <c r="F11" s="1814">
        <v>0</v>
      </c>
      <c r="G11" s="1812">
        <v>0</v>
      </c>
      <c r="H11" s="1812">
        <v>0</v>
      </c>
      <c r="I11" s="1813">
        <v>0</v>
      </c>
      <c r="J11" s="345"/>
    </row>
    <row r="12" spans="1:10" ht="11.25" customHeight="1">
      <c r="A12" s="1177" t="str">
        <f>'A5-Capex'!A13</f>
        <v>Vote8 - Electricity</v>
      </c>
      <c r="B12" s="171"/>
      <c r="C12" s="1440">
        <f>'A5-Capex'!J13+'A5-Capex'!J31</f>
        <v>0</v>
      </c>
      <c r="D12" s="1440">
        <f>'A5-Capex'!K13+'A5-Capex'!K31</f>
        <v>0</v>
      </c>
      <c r="E12" s="1441">
        <f>'A5-Capex'!L13+'A5-Capex'!L31</f>
        <v>0</v>
      </c>
      <c r="F12" s="1814">
        <v>0</v>
      </c>
      <c r="G12" s="1812">
        <v>0</v>
      </c>
      <c r="H12" s="1812">
        <v>0</v>
      </c>
      <c r="I12" s="1813">
        <v>0</v>
      </c>
      <c r="J12" s="345"/>
    </row>
    <row r="13" spans="1:10" ht="11.25" customHeight="1">
      <c r="A13" s="1177" t="str">
        <f>'A5-Capex'!A14</f>
        <v>Vote9 - Water</v>
      </c>
      <c r="B13" s="171"/>
      <c r="C13" s="1440">
        <f>'A5-Capex'!J14+'A5-Capex'!J32</f>
        <v>200000</v>
      </c>
      <c r="D13" s="1440">
        <f>'A5-Capex'!K14+'A5-Capex'!K32</f>
        <v>0</v>
      </c>
      <c r="E13" s="1441">
        <f>'A5-Capex'!L14+'A5-Capex'!L32</f>
        <v>0</v>
      </c>
      <c r="F13" s="1814">
        <v>0</v>
      </c>
      <c r="G13" s="1812">
        <v>0</v>
      </c>
      <c r="H13" s="1812">
        <v>0</v>
      </c>
      <c r="I13" s="1813">
        <v>0</v>
      </c>
      <c r="J13" s="345"/>
    </row>
    <row r="14" spans="1:10" ht="11.25" customHeight="1">
      <c r="A14" s="1177" t="str">
        <f>'A5-Capex'!A15</f>
        <v>Vote10 - Waste Water Management</v>
      </c>
      <c r="B14" s="171"/>
      <c r="C14" s="1440">
        <f>'A5-Capex'!J15+'A5-Capex'!J33</f>
        <v>2950000</v>
      </c>
      <c r="D14" s="1440">
        <f>'A5-Capex'!K15+'A5-Capex'!K33</f>
        <v>0</v>
      </c>
      <c r="E14" s="1441">
        <f>'A5-Capex'!L15+'A5-Capex'!L33</f>
        <v>0</v>
      </c>
      <c r="F14" s="1814">
        <v>0</v>
      </c>
      <c r="G14" s="1812">
        <v>0</v>
      </c>
      <c r="H14" s="1812">
        <v>0</v>
      </c>
      <c r="I14" s="1813">
        <v>0</v>
      </c>
      <c r="J14" s="345"/>
    </row>
    <row r="15" spans="1:10" ht="11.25" customHeight="1">
      <c r="A15" s="1177" t="str">
        <f>'A5-Capex'!A16</f>
        <v>Vote11 - Waste Management</v>
      </c>
      <c r="B15" s="171"/>
      <c r="C15" s="1440">
        <f>'A5-Capex'!J16+'A5-Capex'!J34</f>
        <v>0</v>
      </c>
      <c r="D15" s="1440">
        <f>'A5-Capex'!K16+'A5-Capex'!K34</f>
        <v>0</v>
      </c>
      <c r="E15" s="1441">
        <f>'A5-Capex'!L16+'A5-Capex'!L34</f>
        <v>0</v>
      </c>
      <c r="F15" s="1814">
        <v>0</v>
      </c>
      <c r="G15" s="1812">
        <v>0</v>
      </c>
      <c r="H15" s="1812">
        <v>0</v>
      </c>
      <c r="I15" s="1813">
        <v>0</v>
      </c>
      <c r="J15" s="345"/>
    </row>
    <row r="16" spans="1:10" ht="11.25" customHeight="1">
      <c r="A16" s="1177" t="str">
        <f>'A5-Capex'!A17</f>
        <v>Vote12 - Environmental Protection</v>
      </c>
      <c r="B16" s="171"/>
      <c r="C16" s="1440">
        <f>'A5-Capex'!J17+'A5-Capex'!J35</f>
        <v>0</v>
      </c>
      <c r="D16" s="1440">
        <f>'A5-Capex'!K17+'A5-Capex'!K35</f>
        <v>0</v>
      </c>
      <c r="E16" s="1441">
        <f>'A5-Capex'!L17+'A5-Capex'!L35</f>
        <v>0</v>
      </c>
      <c r="F16" s="1814">
        <v>0</v>
      </c>
      <c r="G16" s="1812">
        <v>0</v>
      </c>
      <c r="H16" s="1812">
        <v>0</v>
      </c>
      <c r="I16" s="1813">
        <v>0</v>
      </c>
      <c r="J16" s="345"/>
    </row>
    <row r="17" spans="1:10" ht="11.25" customHeight="1">
      <c r="A17" s="1177" t="str">
        <f>'A5-Capex'!A18</f>
        <v>Vote13 - Other</v>
      </c>
      <c r="B17" s="171"/>
      <c r="C17" s="1440">
        <f>'A5-Capex'!J18+'A5-Capex'!J36</f>
        <v>0</v>
      </c>
      <c r="D17" s="1440">
        <f>'A5-Capex'!K18+'A5-Capex'!K36</f>
        <v>0</v>
      </c>
      <c r="E17" s="1441">
        <f>'A5-Capex'!L18+'A5-Capex'!L36</f>
        <v>0</v>
      </c>
      <c r="F17" s="1814">
        <v>0</v>
      </c>
      <c r="G17" s="1812">
        <v>0</v>
      </c>
      <c r="H17" s="1812">
        <v>0</v>
      </c>
      <c r="I17" s="1813">
        <v>0</v>
      </c>
      <c r="J17" s="345"/>
    </row>
    <row r="18" spans="1:10" ht="11.25" customHeight="1">
      <c r="A18" s="1177" t="str">
        <f>'A5-Capex'!A19</f>
        <v>Vote14 - Example 14</v>
      </c>
      <c r="B18" s="171"/>
      <c r="C18" s="1440">
        <f>'A5-Capex'!J19+'A5-Capex'!J37</f>
        <v>0</v>
      </c>
      <c r="D18" s="1440">
        <f>'A5-Capex'!K19+'A5-Capex'!K37</f>
        <v>0</v>
      </c>
      <c r="E18" s="1441">
        <f>'A5-Capex'!L19+'A5-Capex'!L37</f>
        <v>0</v>
      </c>
      <c r="F18" s="1814">
        <v>0</v>
      </c>
      <c r="G18" s="1812">
        <v>0</v>
      </c>
      <c r="H18" s="1812">
        <v>0</v>
      </c>
      <c r="I18" s="1813">
        <v>0</v>
      </c>
      <c r="J18" s="345"/>
    </row>
    <row r="19" spans="1:10" ht="11.25" customHeight="1">
      <c r="A19" s="1177" t="str">
        <f>'A5-Capex'!A20</f>
        <v>Vote15 - Example 15</v>
      </c>
      <c r="B19" s="171"/>
      <c r="C19" s="1440">
        <f>'A5-Capex'!J20+'A5-Capex'!J38</f>
        <v>0</v>
      </c>
      <c r="D19" s="1440">
        <f>'A5-Capex'!K20+'A5-Capex'!K38</f>
        <v>0</v>
      </c>
      <c r="E19" s="1441">
        <f>'A5-Capex'!L20+'A5-Capex'!L38</f>
        <v>0</v>
      </c>
      <c r="F19" s="1814">
        <v>0</v>
      </c>
      <c r="G19" s="1812">
        <v>0</v>
      </c>
      <c r="H19" s="1812">
        <v>0</v>
      </c>
      <c r="I19" s="1813">
        <v>0</v>
      </c>
      <c r="J19" s="345"/>
    </row>
    <row r="20" spans="1:10" ht="11.25" customHeight="1">
      <c r="A20" s="2166" t="s">
        <v>1585</v>
      </c>
      <c r="B20" s="171"/>
      <c r="C20" s="1812"/>
      <c r="D20" s="1812"/>
      <c r="E20" s="1815"/>
      <c r="F20" s="1814"/>
      <c r="G20" s="1812"/>
      <c r="H20" s="1812"/>
      <c r="I20" s="1813"/>
      <c r="J20" s="345"/>
    </row>
    <row r="21" spans="1:10" ht="11.25" customHeight="1">
      <c r="A21" s="1259" t="s">
        <v>38</v>
      </c>
      <c r="B21" s="171"/>
      <c r="C21" s="1303">
        <f>SUM(C5:C20)</f>
        <v>9488000</v>
      </c>
      <c r="D21" s="1303">
        <f t="shared" ref="D21:I21" si="0">SUM(D5:D20)</f>
        <v>0</v>
      </c>
      <c r="E21" s="1304">
        <f t="shared" si="0"/>
        <v>0</v>
      </c>
      <c r="F21" s="1302">
        <f t="shared" si="0"/>
        <v>0</v>
      </c>
      <c r="G21" s="1303">
        <f t="shared" si="0"/>
        <v>0</v>
      </c>
      <c r="H21" s="1303">
        <f t="shared" si="0"/>
        <v>0</v>
      </c>
      <c r="I21" s="1301">
        <f t="shared" si="0"/>
        <v>0</v>
      </c>
      <c r="J21" s="345"/>
    </row>
    <row r="22" spans="1:10" ht="4.5" customHeight="1">
      <c r="A22" s="259"/>
      <c r="B22" s="171"/>
      <c r="C22" s="927"/>
      <c r="D22" s="927"/>
      <c r="E22" s="928"/>
      <c r="F22" s="929"/>
      <c r="G22" s="927"/>
      <c r="H22" s="927"/>
      <c r="I22" s="930"/>
      <c r="J22" s="345"/>
    </row>
    <row r="23" spans="1:10" ht="11.25" customHeight="1">
      <c r="A23" s="235" t="s">
        <v>938</v>
      </c>
      <c r="B23" s="171">
        <v>2</v>
      </c>
      <c r="C23" s="923"/>
      <c r="D23" s="923"/>
      <c r="E23" s="924"/>
      <c r="F23" s="925"/>
      <c r="G23" s="923"/>
      <c r="H23" s="923"/>
      <c r="I23" s="926"/>
      <c r="J23" s="345"/>
    </row>
    <row r="24" spans="1:10" ht="11.25" customHeight="1">
      <c r="A24" s="1177" t="str">
        <f>A5</f>
        <v>Vote1 - Executive and Council</v>
      </c>
      <c r="B24" s="171"/>
      <c r="C24" s="1812">
        <v>0</v>
      </c>
      <c r="D24" s="1812">
        <v>0</v>
      </c>
      <c r="E24" s="1815">
        <v>0</v>
      </c>
      <c r="F24" s="1814">
        <v>0</v>
      </c>
      <c r="G24" s="1812">
        <v>0</v>
      </c>
      <c r="H24" s="1812">
        <v>0</v>
      </c>
      <c r="I24" s="1813">
        <v>0</v>
      </c>
      <c r="J24" s="345"/>
    </row>
    <row r="25" spans="1:10" ht="11.25" customHeight="1">
      <c r="A25" s="1177" t="str">
        <f t="shared" ref="A25:A38" si="1">A6</f>
        <v>Vote2 - Budget and Treasury Office</v>
      </c>
      <c r="B25" s="171"/>
      <c r="C25" s="1812">
        <v>0</v>
      </c>
      <c r="D25" s="1812">
        <v>0</v>
      </c>
      <c r="E25" s="1815">
        <v>0</v>
      </c>
      <c r="F25" s="1814">
        <v>0</v>
      </c>
      <c r="G25" s="1812">
        <v>0</v>
      </c>
      <c r="H25" s="1812">
        <v>0</v>
      </c>
      <c r="I25" s="1813">
        <v>0</v>
      </c>
      <c r="J25" s="345"/>
    </row>
    <row r="26" spans="1:10" ht="11.25" customHeight="1">
      <c r="A26" s="1177" t="str">
        <f t="shared" si="1"/>
        <v>Vote3 - Corporate Services</v>
      </c>
      <c r="B26" s="171"/>
      <c r="C26" s="1812">
        <v>0</v>
      </c>
      <c r="D26" s="1812">
        <v>0</v>
      </c>
      <c r="E26" s="1815">
        <v>0</v>
      </c>
      <c r="F26" s="1814">
        <v>0</v>
      </c>
      <c r="G26" s="1812">
        <v>0</v>
      </c>
      <c r="H26" s="1812">
        <v>0</v>
      </c>
      <c r="I26" s="1813">
        <v>0</v>
      </c>
      <c r="J26" s="345"/>
    </row>
    <row r="27" spans="1:10" ht="11.25" customHeight="1">
      <c r="A27" s="1177" t="str">
        <f t="shared" si="1"/>
        <v>Vote4 - Community and Social Services</v>
      </c>
      <c r="B27" s="171"/>
      <c r="C27" s="1812">
        <v>0</v>
      </c>
      <c r="D27" s="1812">
        <v>0</v>
      </c>
      <c r="E27" s="1815">
        <v>0</v>
      </c>
      <c r="F27" s="1814">
        <v>0</v>
      </c>
      <c r="G27" s="1812">
        <v>0</v>
      </c>
      <c r="H27" s="1812">
        <v>0</v>
      </c>
      <c r="I27" s="1813">
        <v>0</v>
      </c>
      <c r="J27" s="345"/>
    </row>
    <row r="28" spans="1:10" ht="11.25" customHeight="1">
      <c r="A28" s="1177" t="str">
        <f t="shared" si="1"/>
        <v>Vote5 - Sport and Recreation</v>
      </c>
      <c r="B28" s="171"/>
      <c r="C28" s="1812">
        <v>0</v>
      </c>
      <c r="D28" s="1812">
        <v>0</v>
      </c>
      <c r="E28" s="1815">
        <v>0</v>
      </c>
      <c r="F28" s="1814">
        <v>0</v>
      </c>
      <c r="G28" s="1812">
        <v>0</v>
      </c>
      <c r="H28" s="1812">
        <v>0</v>
      </c>
      <c r="I28" s="1813">
        <v>0</v>
      </c>
      <c r="J28" s="345"/>
    </row>
    <row r="29" spans="1:10" ht="11.25" customHeight="1">
      <c r="A29" s="1177" t="str">
        <f t="shared" si="1"/>
        <v>Vote6 - Public Safety</v>
      </c>
      <c r="B29" s="171"/>
      <c r="C29" s="1812">
        <v>0</v>
      </c>
      <c r="D29" s="1812">
        <v>0</v>
      </c>
      <c r="E29" s="1815">
        <v>0</v>
      </c>
      <c r="F29" s="1814">
        <v>0</v>
      </c>
      <c r="G29" s="1812">
        <v>0</v>
      </c>
      <c r="H29" s="1812">
        <v>0</v>
      </c>
      <c r="I29" s="1813">
        <v>0</v>
      </c>
      <c r="J29" s="345"/>
    </row>
    <row r="30" spans="1:10" ht="11.25" customHeight="1">
      <c r="A30" s="1177" t="str">
        <f t="shared" si="1"/>
        <v>Vote7 - Road Transport</v>
      </c>
      <c r="B30" s="171"/>
      <c r="C30" s="1812">
        <v>0</v>
      </c>
      <c r="D30" s="1812">
        <v>0</v>
      </c>
      <c r="E30" s="1815">
        <v>0</v>
      </c>
      <c r="F30" s="1814">
        <v>0</v>
      </c>
      <c r="G30" s="1812">
        <v>0</v>
      </c>
      <c r="H30" s="1812">
        <v>0</v>
      </c>
      <c r="I30" s="1813">
        <v>0</v>
      </c>
      <c r="J30" s="345"/>
    </row>
    <row r="31" spans="1:10" ht="11.25" customHeight="1">
      <c r="A31" s="1177" t="str">
        <f t="shared" si="1"/>
        <v>Vote8 - Electricity</v>
      </c>
      <c r="B31" s="171"/>
      <c r="C31" s="1812">
        <v>0</v>
      </c>
      <c r="D31" s="1812">
        <v>0</v>
      </c>
      <c r="E31" s="1815">
        <v>0</v>
      </c>
      <c r="F31" s="1814">
        <v>0</v>
      </c>
      <c r="G31" s="1812">
        <v>0</v>
      </c>
      <c r="H31" s="1812">
        <v>0</v>
      </c>
      <c r="I31" s="1813">
        <v>0</v>
      </c>
      <c r="J31" s="345"/>
    </row>
    <row r="32" spans="1:10" ht="11.25" customHeight="1">
      <c r="A32" s="1177" t="str">
        <f t="shared" si="1"/>
        <v>Vote9 - Water</v>
      </c>
      <c r="B32" s="171"/>
      <c r="C32" s="1812">
        <v>0</v>
      </c>
      <c r="D32" s="1812">
        <v>0</v>
      </c>
      <c r="E32" s="1815">
        <v>0</v>
      </c>
      <c r="F32" s="1814">
        <v>0</v>
      </c>
      <c r="G32" s="1812">
        <v>0</v>
      </c>
      <c r="H32" s="1812">
        <v>0</v>
      </c>
      <c r="I32" s="1813">
        <v>0</v>
      </c>
      <c r="J32" s="345"/>
    </row>
    <row r="33" spans="1:15" ht="11.25" customHeight="1">
      <c r="A33" s="1177" t="str">
        <f t="shared" si="1"/>
        <v>Vote10 - Waste Water Management</v>
      </c>
      <c r="B33" s="171"/>
      <c r="C33" s="1812">
        <v>0</v>
      </c>
      <c r="D33" s="1812">
        <v>0</v>
      </c>
      <c r="E33" s="1815">
        <v>0</v>
      </c>
      <c r="F33" s="1814">
        <v>0</v>
      </c>
      <c r="G33" s="1812">
        <v>0</v>
      </c>
      <c r="H33" s="1812">
        <v>0</v>
      </c>
      <c r="I33" s="1813">
        <v>0</v>
      </c>
      <c r="J33" s="345"/>
    </row>
    <row r="34" spans="1:15" ht="11.25" customHeight="1">
      <c r="A34" s="1177" t="str">
        <f t="shared" si="1"/>
        <v>Vote11 - Waste Management</v>
      </c>
      <c r="B34" s="171"/>
      <c r="C34" s="1812">
        <v>0</v>
      </c>
      <c r="D34" s="1812">
        <v>0</v>
      </c>
      <c r="E34" s="1815">
        <v>0</v>
      </c>
      <c r="F34" s="1814">
        <v>0</v>
      </c>
      <c r="G34" s="1812">
        <v>0</v>
      </c>
      <c r="H34" s="1812">
        <v>0</v>
      </c>
      <c r="I34" s="1813">
        <v>0</v>
      </c>
      <c r="J34" s="345"/>
    </row>
    <row r="35" spans="1:15" ht="11.25" customHeight="1">
      <c r="A35" s="1177" t="str">
        <f t="shared" si="1"/>
        <v>Vote12 - Environmental Protection</v>
      </c>
      <c r="B35" s="171"/>
      <c r="C35" s="1812">
        <v>0</v>
      </c>
      <c r="D35" s="1812">
        <v>0</v>
      </c>
      <c r="E35" s="1815">
        <v>0</v>
      </c>
      <c r="F35" s="1814">
        <v>0</v>
      </c>
      <c r="G35" s="1812">
        <v>0</v>
      </c>
      <c r="H35" s="1812">
        <v>0</v>
      </c>
      <c r="I35" s="1813">
        <v>0</v>
      </c>
      <c r="J35" s="345"/>
    </row>
    <row r="36" spans="1:15" ht="11.25" customHeight="1">
      <c r="A36" s="1177" t="str">
        <f t="shared" si="1"/>
        <v>Vote13 - Other</v>
      </c>
      <c r="B36" s="171"/>
      <c r="C36" s="1812">
        <v>0</v>
      </c>
      <c r="D36" s="1812">
        <v>0</v>
      </c>
      <c r="E36" s="1815">
        <v>0</v>
      </c>
      <c r="F36" s="1814">
        <v>0</v>
      </c>
      <c r="G36" s="1812">
        <v>0</v>
      </c>
      <c r="H36" s="1812">
        <v>0</v>
      </c>
      <c r="I36" s="1813">
        <v>0</v>
      </c>
      <c r="J36" s="345"/>
    </row>
    <row r="37" spans="1:15" ht="11.25" customHeight="1">
      <c r="A37" s="1177" t="str">
        <f t="shared" si="1"/>
        <v>Vote14 - Example 14</v>
      </c>
      <c r="B37" s="171"/>
      <c r="C37" s="1812">
        <v>0</v>
      </c>
      <c r="D37" s="1812">
        <v>0</v>
      </c>
      <c r="E37" s="1815">
        <v>0</v>
      </c>
      <c r="F37" s="1814">
        <v>0</v>
      </c>
      <c r="G37" s="1812">
        <v>0</v>
      </c>
      <c r="H37" s="1812">
        <v>0</v>
      </c>
      <c r="I37" s="1813">
        <v>0</v>
      </c>
      <c r="J37" s="345"/>
      <c r="O37" s="345"/>
    </row>
    <row r="38" spans="1:15" ht="11.25" customHeight="1">
      <c r="A38" s="1177" t="str">
        <f t="shared" si="1"/>
        <v>Vote15 - Example 15</v>
      </c>
      <c r="B38" s="171"/>
      <c r="C38" s="1812">
        <v>0</v>
      </c>
      <c r="D38" s="1812">
        <v>0</v>
      </c>
      <c r="E38" s="1815">
        <v>0</v>
      </c>
      <c r="F38" s="1814">
        <v>0</v>
      </c>
      <c r="G38" s="1812">
        <v>0</v>
      </c>
      <c r="H38" s="1812">
        <v>0</v>
      </c>
      <c r="I38" s="1813">
        <v>0</v>
      </c>
      <c r="J38" s="345"/>
    </row>
    <row r="39" spans="1:15" ht="11.25" customHeight="1">
      <c r="A39" s="2166" t="s">
        <v>1585</v>
      </c>
      <c r="B39" s="171"/>
      <c r="C39" s="1812">
        <v>0</v>
      </c>
      <c r="D39" s="1812">
        <v>0</v>
      </c>
      <c r="E39" s="1815">
        <v>0</v>
      </c>
      <c r="F39" s="1814">
        <v>0</v>
      </c>
      <c r="G39" s="1812">
        <v>0</v>
      </c>
      <c r="H39" s="1812">
        <v>0</v>
      </c>
      <c r="I39" s="1813">
        <v>0</v>
      </c>
      <c r="J39" s="345"/>
    </row>
    <row r="40" spans="1:15">
      <c r="A40" s="251" t="s">
        <v>14</v>
      </c>
      <c r="B40" s="171"/>
      <c r="C40" s="1442">
        <f>SUM(C24:C39)</f>
        <v>0</v>
      </c>
      <c r="D40" s="1442">
        <f t="shared" ref="D40:I40" si="2">SUM(D24:D39)</f>
        <v>0</v>
      </c>
      <c r="E40" s="1443">
        <f t="shared" si="2"/>
        <v>0</v>
      </c>
      <c r="F40" s="1444">
        <f t="shared" si="2"/>
        <v>0</v>
      </c>
      <c r="G40" s="1442">
        <f t="shared" si="2"/>
        <v>0</v>
      </c>
      <c r="H40" s="1442">
        <f t="shared" si="2"/>
        <v>0</v>
      </c>
      <c r="I40" s="1445">
        <f t="shared" si="2"/>
        <v>0</v>
      </c>
      <c r="J40" s="345"/>
    </row>
    <row r="41" spans="1:15" ht="4.5" customHeight="1">
      <c r="A41" s="259"/>
      <c r="B41" s="171"/>
      <c r="C41" s="923"/>
      <c r="D41" s="923"/>
      <c r="E41" s="924"/>
      <c r="F41" s="925"/>
      <c r="G41" s="923"/>
      <c r="H41" s="923"/>
      <c r="I41" s="926"/>
      <c r="J41" s="345"/>
    </row>
    <row r="42" spans="1:15" ht="11.25" customHeight="1">
      <c r="A42" s="235" t="s">
        <v>939</v>
      </c>
      <c r="B42" s="171">
        <v>3</v>
      </c>
      <c r="C42" s="923"/>
      <c r="D42" s="923"/>
      <c r="E42" s="924"/>
      <c r="F42" s="925"/>
      <c r="G42" s="923"/>
      <c r="H42" s="923"/>
      <c r="I42" s="926"/>
      <c r="J42" s="345"/>
    </row>
    <row r="43" spans="1:15" ht="11.25" customHeight="1">
      <c r="A43" s="1177" t="str">
        <f>'A4-FinPerf RE'!A5</f>
        <v>Property rates</v>
      </c>
      <c r="B43" s="171"/>
      <c r="C43" s="1812">
        <v>0</v>
      </c>
      <c r="D43" s="1812">
        <v>0</v>
      </c>
      <c r="E43" s="1815">
        <v>0</v>
      </c>
      <c r="F43" s="1814">
        <v>0</v>
      </c>
      <c r="G43" s="1812">
        <v>0</v>
      </c>
      <c r="H43" s="1812">
        <v>0</v>
      </c>
      <c r="I43" s="1813">
        <v>0</v>
      </c>
      <c r="J43" s="345"/>
    </row>
    <row r="44" spans="1:15" ht="11.25" customHeight="1">
      <c r="A44" s="1177" t="str">
        <f>'A4-FinPerf RE'!A6</f>
        <v>Property rates - penalties &amp; collection charges</v>
      </c>
      <c r="B44" s="171"/>
      <c r="C44" s="1812">
        <v>0</v>
      </c>
      <c r="D44" s="1812">
        <v>0</v>
      </c>
      <c r="E44" s="1815">
        <v>0</v>
      </c>
      <c r="F44" s="1814">
        <v>0</v>
      </c>
      <c r="G44" s="1812">
        <v>0</v>
      </c>
      <c r="H44" s="1812">
        <v>0</v>
      </c>
      <c r="I44" s="1813">
        <v>0</v>
      </c>
      <c r="J44" s="345"/>
    </row>
    <row r="45" spans="1:15" ht="11.25" customHeight="1">
      <c r="A45" s="1177" t="str">
        <f>'A4-FinPerf RE'!A7</f>
        <v>Service charges - electricity revenue</v>
      </c>
      <c r="B45" s="171"/>
      <c r="C45" s="1812">
        <v>0</v>
      </c>
      <c r="D45" s="1812">
        <v>0</v>
      </c>
      <c r="E45" s="1815">
        <v>0</v>
      </c>
      <c r="F45" s="1814">
        <v>0</v>
      </c>
      <c r="G45" s="1812">
        <v>0</v>
      </c>
      <c r="H45" s="1812">
        <v>0</v>
      </c>
      <c r="I45" s="1813">
        <v>0</v>
      </c>
      <c r="J45" s="345"/>
    </row>
    <row r="46" spans="1:15" ht="11.25" customHeight="1">
      <c r="A46" s="1177" t="str">
        <f>'A4-FinPerf RE'!A8</f>
        <v>Service charges - water revenue</v>
      </c>
      <c r="B46" s="171"/>
      <c r="C46" s="1812">
        <v>0</v>
      </c>
      <c r="D46" s="1812">
        <v>0</v>
      </c>
      <c r="E46" s="1815">
        <v>0</v>
      </c>
      <c r="F46" s="1814">
        <v>0</v>
      </c>
      <c r="G46" s="1812">
        <v>0</v>
      </c>
      <c r="H46" s="1812">
        <v>0</v>
      </c>
      <c r="I46" s="1813">
        <v>0</v>
      </c>
      <c r="J46" s="345"/>
    </row>
    <row r="47" spans="1:15" ht="11.25" customHeight="1">
      <c r="A47" s="1177" t="str">
        <f>'A4-FinPerf RE'!A9</f>
        <v>Service charges - sanitation revenue</v>
      </c>
      <c r="B47" s="171"/>
      <c r="C47" s="1812">
        <v>0</v>
      </c>
      <c r="D47" s="1812">
        <v>0</v>
      </c>
      <c r="E47" s="1815">
        <v>0</v>
      </c>
      <c r="F47" s="1814">
        <v>0</v>
      </c>
      <c r="G47" s="1812">
        <v>0</v>
      </c>
      <c r="H47" s="1812">
        <v>0</v>
      </c>
      <c r="I47" s="1813">
        <v>0</v>
      </c>
      <c r="J47" s="345"/>
    </row>
    <row r="48" spans="1:15" ht="11.25" customHeight="1">
      <c r="A48" s="1177" t="str">
        <f>'A4-FinPerf RE'!A10</f>
        <v>Service charges - refuse revenue</v>
      </c>
      <c r="B48" s="171"/>
      <c r="C48" s="1812">
        <v>0</v>
      </c>
      <c r="D48" s="1812">
        <v>0</v>
      </c>
      <c r="E48" s="1815">
        <v>0</v>
      </c>
      <c r="F48" s="1814">
        <v>0</v>
      </c>
      <c r="G48" s="1812">
        <v>0</v>
      </c>
      <c r="H48" s="1812">
        <v>0</v>
      </c>
      <c r="I48" s="1813">
        <v>0</v>
      </c>
      <c r="J48" s="345"/>
    </row>
    <row r="49" spans="1:10" ht="11.25" customHeight="1">
      <c r="A49" s="1177" t="str">
        <f>'A4-FinPerf RE'!A11</f>
        <v>Service charges - other</v>
      </c>
      <c r="B49" s="171"/>
      <c r="C49" s="1812">
        <v>0</v>
      </c>
      <c r="D49" s="1812">
        <v>0</v>
      </c>
      <c r="E49" s="1815">
        <v>0</v>
      </c>
      <c r="F49" s="1814">
        <v>0</v>
      </c>
      <c r="G49" s="1812">
        <v>0</v>
      </c>
      <c r="H49" s="1812">
        <v>0</v>
      </c>
      <c r="I49" s="1813">
        <v>0</v>
      </c>
      <c r="J49" s="345"/>
    </row>
    <row r="50" spans="1:10" ht="11.25" customHeight="1">
      <c r="A50" s="1177" t="str">
        <f>'A4-FinPerf RE'!A12</f>
        <v>Rental of facilities and equipment</v>
      </c>
      <c r="B50" s="171"/>
      <c r="C50" s="1812">
        <v>0</v>
      </c>
      <c r="D50" s="1812">
        <v>0</v>
      </c>
      <c r="E50" s="1815">
        <v>0</v>
      </c>
      <c r="F50" s="1814">
        <v>0</v>
      </c>
      <c r="G50" s="1812">
        <v>0</v>
      </c>
      <c r="H50" s="1812">
        <v>0</v>
      </c>
      <c r="I50" s="1813">
        <v>0</v>
      </c>
      <c r="J50" s="345"/>
    </row>
    <row r="51" spans="1:10" ht="11.25" customHeight="1">
      <c r="A51" s="2166" t="s">
        <v>304</v>
      </c>
      <c r="B51" s="171"/>
      <c r="C51" s="1812">
        <v>0</v>
      </c>
      <c r="D51" s="1812">
        <v>0</v>
      </c>
      <c r="E51" s="1815">
        <v>0</v>
      </c>
      <c r="F51" s="1814">
        <v>0</v>
      </c>
      <c r="G51" s="1812">
        <v>0</v>
      </c>
      <c r="H51" s="1812">
        <v>0</v>
      </c>
      <c r="I51" s="1813">
        <v>0</v>
      </c>
      <c r="J51" s="345"/>
    </row>
    <row r="52" spans="1:10" ht="11.25" customHeight="1">
      <c r="A52" s="2166" t="s">
        <v>1585</v>
      </c>
      <c r="B52" s="171"/>
      <c r="C52" s="1812">
        <v>0</v>
      </c>
      <c r="D52" s="1812">
        <v>0</v>
      </c>
      <c r="E52" s="1815">
        <v>0</v>
      </c>
      <c r="F52" s="1814">
        <v>0</v>
      </c>
      <c r="G52" s="1812">
        <v>0</v>
      </c>
      <c r="H52" s="1812">
        <v>0</v>
      </c>
      <c r="I52" s="1813">
        <v>0</v>
      </c>
      <c r="J52" s="345"/>
    </row>
    <row r="53" spans="1:10">
      <c r="A53" s="251" t="s">
        <v>123</v>
      </c>
      <c r="B53" s="171"/>
      <c r="C53" s="1442">
        <f>SUM(C43:C52)</f>
        <v>0</v>
      </c>
      <c r="D53" s="1442">
        <f t="shared" ref="D53:I53" si="3">SUM(D43:D52)</f>
        <v>0</v>
      </c>
      <c r="E53" s="1443">
        <f t="shared" si="3"/>
        <v>0</v>
      </c>
      <c r="F53" s="1444">
        <f t="shared" si="3"/>
        <v>0</v>
      </c>
      <c r="G53" s="1442">
        <f t="shared" si="3"/>
        <v>0</v>
      </c>
      <c r="H53" s="1442">
        <f t="shared" si="3"/>
        <v>0</v>
      </c>
      <c r="I53" s="1445">
        <f t="shared" si="3"/>
        <v>0</v>
      </c>
      <c r="J53" s="345"/>
    </row>
    <row r="54" spans="1:10">
      <c r="A54" s="267" t="s">
        <v>940</v>
      </c>
      <c r="B54" s="211"/>
      <c r="C54" s="213">
        <f t="shared" ref="C54:I54" si="4">C21+C40-C53</f>
        <v>9488000</v>
      </c>
      <c r="D54" s="213">
        <f t="shared" si="4"/>
        <v>0</v>
      </c>
      <c r="E54" s="212">
        <f t="shared" si="4"/>
        <v>0</v>
      </c>
      <c r="F54" s="327">
        <f t="shared" si="4"/>
        <v>0</v>
      </c>
      <c r="G54" s="213">
        <f t="shared" si="4"/>
        <v>0</v>
      </c>
      <c r="H54" s="213">
        <f t="shared" si="4"/>
        <v>0</v>
      </c>
      <c r="I54" s="326">
        <f t="shared" si="4"/>
        <v>0</v>
      </c>
      <c r="J54" s="345"/>
    </row>
    <row r="55" spans="1:10" s="693" customFormat="1" ht="11.25" hidden="1" customHeight="1">
      <c r="A55" s="1234" t="str">
        <f>head27a</f>
        <v>References</v>
      </c>
      <c r="B55" s="1073"/>
      <c r="C55" s="1069"/>
      <c r="D55" s="1069"/>
      <c r="E55" s="1069"/>
      <c r="F55" s="1069"/>
      <c r="G55" s="1069"/>
      <c r="H55" s="1069"/>
      <c r="I55" s="1069"/>
    </row>
    <row r="56" spans="1:10" s="693" customFormat="1" ht="11.25" hidden="1" customHeight="1">
      <c r="A56" s="1235" t="s">
        <v>19</v>
      </c>
      <c r="B56" s="1069"/>
      <c r="C56" s="1069"/>
      <c r="D56" s="1069"/>
      <c r="E56" s="1069"/>
      <c r="F56" s="1069"/>
      <c r="G56" s="1069"/>
      <c r="H56" s="1069"/>
      <c r="I56" s="1069"/>
    </row>
    <row r="57" spans="1:10" s="693" customFormat="1" ht="11.25" hidden="1" customHeight="1">
      <c r="A57" s="1235" t="s">
        <v>20</v>
      </c>
      <c r="B57" s="1069"/>
      <c r="C57" s="1069"/>
      <c r="D57" s="1069"/>
      <c r="E57" s="1069"/>
      <c r="F57" s="1069"/>
      <c r="G57" s="1069"/>
      <c r="H57" s="1069"/>
      <c r="I57" s="1069"/>
    </row>
    <row r="58" spans="1:10" s="693" customFormat="1" ht="11.25" hidden="1" customHeight="1">
      <c r="A58" s="1355" t="s">
        <v>1584</v>
      </c>
      <c r="B58" s="1079"/>
      <c r="C58" s="1079"/>
      <c r="D58" s="1079"/>
      <c r="E58" s="1079"/>
      <c r="F58" s="1079"/>
      <c r="G58" s="1079"/>
      <c r="H58" s="1079"/>
      <c r="I58" s="1079"/>
    </row>
    <row r="59" spans="1:10" ht="11.25" hidden="1" customHeight="1">
      <c r="B59" s="150"/>
    </row>
    <row r="60" spans="1:10" hidden="1">
      <c r="A60" s="411" t="s">
        <v>1624</v>
      </c>
      <c r="B60" s="150"/>
      <c r="C60" s="791">
        <f>C21-('A5-Capex'!J21+'A5-Capex'!J39)</f>
        <v>0</v>
      </c>
      <c r="D60" s="791">
        <f>D21-('A5-Capex'!K21+'A5-Capex'!K39)</f>
        <v>0</v>
      </c>
      <c r="E60" s="791">
        <f>E21-('A5-Capex'!L21+'A5-Capex'!L39)</f>
        <v>0</v>
      </c>
      <c r="F60" s="345"/>
    </row>
    <row r="61" spans="1:10" ht="11.25" hidden="1" customHeight="1">
      <c r="B61" s="150"/>
    </row>
    <row r="62" spans="1:10" ht="11.25" hidden="1" customHeight="1">
      <c r="B62" s="150"/>
    </row>
    <row r="63" spans="1:10" ht="11.25" hidden="1" customHeight="1">
      <c r="B63" s="150"/>
    </row>
    <row r="64" spans="1:10" ht="11.25" hidden="1" customHeight="1">
      <c r="B64" s="150"/>
    </row>
    <row r="65" spans="2:2" ht="11.25" hidden="1" customHeight="1">
      <c r="B65" s="150"/>
    </row>
    <row r="66" spans="2:2" ht="11.25" hidden="1" customHeight="1">
      <c r="B66" s="150"/>
    </row>
    <row r="67" spans="2:2" ht="11.25" hidden="1" customHeight="1">
      <c r="B67" s="150"/>
    </row>
    <row r="68" spans="2:2" ht="11.25" hidden="1" customHeight="1">
      <c r="B68" s="150"/>
    </row>
    <row r="69" spans="2:2" ht="11.25" hidden="1" customHeight="1">
      <c r="B69" s="150"/>
    </row>
    <row r="70" spans="2:2" ht="11.25" hidden="1" customHeight="1">
      <c r="B70" s="150"/>
    </row>
    <row r="71" spans="2:2" ht="11.25" hidden="1" customHeight="1">
      <c r="B71" s="150"/>
    </row>
    <row r="72" spans="2:2" ht="11.25" hidden="1" customHeight="1">
      <c r="B72" s="150"/>
    </row>
    <row r="73" spans="2:2" ht="11.25" hidden="1" customHeight="1">
      <c r="B73" s="150"/>
    </row>
    <row r="74" spans="2:2" ht="11.25" hidden="1" customHeight="1">
      <c r="B74" s="150"/>
    </row>
    <row r="75" spans="2:2" ht="11.25" hidden="1" customHeight="1">
      <c r="B75" s="150"/>
    </row>
    <row r="76" spans="2:2" ht="11.25" customHeight="1">
      <c r="B76" s="150"/>
    </row>
    <row r="77" spans="2:2" ht="11.25" customHeight="1">
      <c r="B77" s="150"/>
    </row>
    <row r="78" spans="2:2">
      <c r="B78" s="150"/>
    </row>
    <row r="79" spans="2:2" ht="11.25" customHeight="1">
      <c r="B79" s="150"/>
    </row>
    <row r="80" spans="2:2" ht="11.25" customHeight="1">
      <c r="B80" s="150"/>
    </row>
    <row r="81" spans="2:9" ht="11.25" customHeight="1">
      <c r="B81" s="150"/>
    </row>
    <row r="82" spans="2:9" ht="11.25" customHeight="1">
      <c r="B82" s="150"/>
    </row>
    <row r="83" spans="2:9" ht="11.25" customHeight="1">
      <c r="B83" s="150"/>
    </row>
    <row r="84" spans="2:9" ht="11.25" customHeight="1">
      <c r="B84" s="150"/>
    </row>
    <row r="85" spans="2:9" ht="6" customHeight="1">
      <c r="B85" s="150"/>
    </row>
    <row r="86" spans="2:9" ht="11.25" customHeight="1">
      <c r="B86" s="150"/>
    </row>
    <row r="87" spans="2:9" ht="11.25" customHeight="1">
      <c r="B87" s="150"/>
    </row>
    <row r="88" spans="2:9" ht="11.25" customHeight="1">
      <c r="B88" s="150"/>
    </row>
    <row r="89" spans="2:9" ht="11.25" customHeight="1">
      <c r="B89" s="150"/>
    </row>
    <row r="90" spans="2:9" ht="11.25" customHeight="1">
      <c r="B90" s="150"/>
    </row>
    <row r="91" spans="2:9" ht="11.25" customHeight="1">
      <c r="B91" s="150"/>
    </row>
    <row r="92" spans="2:9" ht="11.25" customHeight="1">
      <c r="B92" s="150"/>
    </row>
    <row r="93" spans="2:9" ht="11.25" customHeight="1">
      <c r="B93" s="150"/>
    </row>
    <row r="94" spans="2:9" ht="11.25" customHeight="1">
      <c r="B94" s="150"/>
    </row>
    <row r="95" spans="2:9" ht="11.25" customHeight="1">
      <c r="B95" s="150"/>
    </row>
    <row r="96" spans="2:9" ht="11.25" customHeight="1">
      <c r="B96" s="150"/>
      <c r="I96" s="308"/>
    </row>
    <row r="97" spans="1:8" ht="11.25" customHeight="1">
      <c r="B97" s="150"/>
    </row>
    <row r="98" spans="1:8" ht="11.25" customHeight="1">
      <c r="B98" s="150"/>
    </row>
    <row r="99" spans="1:8" ht="11.25" customHeight="1">
      <c r="B99" s="150"/>
    </row>
    <row r="100" spans="1:8">
      <c r="B100" s="150"/>
    </row>
    <row r="101" spans="1:8">
      <c r="B101" s="150"/>
    </row>
    <row r="102" spans="1:8" ht="11.25" customHeight="1">
      <c r="B102" s="150"/>
    </row>
    <row r="103" spans="1:8">
      <c r="B103" s="150"/>
    </row>
    <row r="104" spans="1:8">
      <c r="B104" s="150"/>
    </row>
    <row r="105" spans="1:8">
      <c r="B105" s="150"/>
    </row>
    <row r="106" spans="1:8">
      <c r="B106" s="150"/>
    </row>
    <row r="107" spans="1:8" ht="11.25" customHeight="1">
      <c r="B107" s="150"/>
    </row>
    <row r="108" spans="1:8" s="309" customFormat="1" ht="11.25" customHeight="1">
      <c r="A108" s="150"/>
      <c r="B108" s="150"/>
      <c r="C108" s="150"/>
      <c r="D108" s="150"/>
      <c r="E108" s="150"/>
      <c r="F108" s="150"/>
      <c r="G108" s="150"/>
      <c r="H108" s="150"/>
    </row>
    <row r="109" spans="1:8" ht="11.25" customHeight="1">
      <c r="B109" s="150"/>
    </row>
    <row r="110" spans="1:8" ht="11.25" customHeight="1">
      <c r="B110" s="150"/>
    </row>
    <row r="111" spans="1:8" ht="11.25" customHeight="1">
      <c r="B111" s="150"/>
    </row>
    <row r="112" spans="1:8" ht="11.25" customHeight="1">
      <c r="B112" s="150"/>
    </row>
    <row r="113" spans="2:2" ht="11.25" customHeight="1">
      <c r="B113" s="150"/>
    </row>
    <row r="114" spans="2:2" ht="11.25" customHeight="1">
      <c r="B114" s="150"/>
    </row>
    <row r="115" spans="2:2" ht="11.25" customHeight="1">
      <c r="B115" s="150"/>
    </row>
    <row r="116" spans="2:2" ht="11.25" customHeight="1">
      <c r="B116" s="150"/>
    </row>
    <row r="117" spans="2:2" ht="11.25" customHeight="1">
      <c r="B117" s="150"/>
    </row>
    <row r="118" spans="2:2" ht="11.25" customHeight="1">
      <c r="B118" s="150"/>
    </row>
    <row r="119" spans="2:2" ht="11.25" customHeight="1">
      <c r="B119" s="150"/>
    </row>
    <row r="120" spans="2:2" ht="11.25" customHeight="1">
      <c r="B120" s="150"/>
    </row>
    <row r="121" spans="2:2" ht="11.25" customHeight="1">
      <c r="B121" s="150"/>
    </row>
    <row r="122" spans="2:2" ht="11.25" customHeight="1">
      <c r="B122" s="150"/>
    </row>
    <row r="123" spans="2:2" ht="11.25" customHeight="1">
      <c r="B123" s="150"/>
    </row>
    <row r="124" spans="2:2" ht="11.25" customHeight="1"/>
    <row r="125" spans="2:2" ht="11.25" customHeight="1"/>
    <row r="126" spans="2:2" ht="11.25" customHeight="1"/>
    <row r="127" spans="2:2" ht="11.25" customHeight="1"/>
    <row r="128" spans="2:2"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sheetData>
  <sheetProtection sheet="1" objects="1" scenarios="1"/>
  <mergeCells count="2">
    <mergeCell ref="F2:I2"/>
    <mergeCell ref="C2:E2"/>
  </mergeCells>
  <phoneticPr fontId="3" type="noConversion"/>
  <printOptions horizontalCentered="1"/>
  <pageMargins left="0" right="0" top="0.78740157480314965" bottom="0.59055118110236227" header="0.51181102362204722" footer="0.39370078740157483"/>
  <pageSetup paperSize="9"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enableFormatConditionsCalculation="0">
    <tabColor indexed="42"/>
    <pageSetUpPr fitToPage="1"/>
  </sheetPr>
  <dimension ref="A1:AE350"/>
  <sheetViews>
    <sheetView showGridLines="0" workbookViewId="0">
      <pane xSplit="3" ySplit="3" topLeftCell="D4" activePane="bottomRight" state="frozen"/>
      <selection activeCell="O37" sqref="A1:IV65536"/>
      <selection pane="topRight" activeCell="O37" sqref="A1:IV65536"/>
      <selection pane="bottomLeft" activeCell="O37" sqref="A1:IV65536"/>
      <selection pane="bottomRight" activeCell="A10" sqref="A10"/>
    </sheetView>
  </sheetViews>
  <sheetFormatPr defaultRowHeight="12.75"/>
  <cols>
    <col min="1" max="1" width="23.5703125" style="150" customWidth="1"/>
    <col min="2" max="2" width="3" style="233" hidden="1" customWidth="1"/>
    <col min="3" max="3" width="23.5703125" style="150" customWidth="1"/>
    <col min="4" max="4" width="6.5703125" style="150" bestFit="1" customWidth="1"/>
    <col min="5" max="5" width="4.42578125" style="150" customWidth="1"/>
    <col min="6" max="7" width="23.5703125" style="150" customWidth="1"/>
    <col min="8" max="13" width="9.28515625" style="150" customWidth="1"/>
    <col min="14" max="14" width="12.140625" style="150" customWidth="1"/>
    <col min="15" max="15" width="9.28515625" style="150" customWidth="1"/>
    <col min="16" max="16" width="9.85546875" style="150" customWidth="1"/>
    <col min="17" max="17" width="9.5703125" style="150" customWidth="1"/>
    <col min="18" max="18" width="9.85546875" style="150" customWidth="1"/>
    <col min="19" max="21" width="9.5703125" style="150" customWidth="1"/>
    <col min="22" max="22" width="9.85546875" style="150" customWidth="1"/>
    <col min="23" max="25" width="9.5703125" style="150" customWidth="1"/>
    <col min="26" max="27" width="9.85546875" style="150" customWidth="1"/>
    <col min="28" max="29" width="9.5703125" style="150" bestFit="1" customWidth="1"/>
    <col min="30" max="16384" width="9.140625" style="150"/>
  </cols>
  <sheetData>
    <row r="1" spans="1:31" ht="13.5" customHeight="1">
      <c r="A1" s="148" t="str">
        <f>muni&amp;" - "&amp;TableA36</f>
        <v>NC071 Ubuntu - Supporting Table SA36 Detailed capital budget</v>
      </c>
      <c r="B1" s="148"/>
      <c r="C1" s="148"/>
      <c r="D1" s="148"/>
      <c r="E1" s="148"/>
      <c r="F1" s="148"/>
      <c r="G1" s="148"/>
      <c r="H1" s="148"/>
      <c r="I1" s="148"/>
      <c r="J1" s="148"/>
      <c r="K1" s="148"/>
      <c r="L1" s="148"/>
      <c r="M1" s="148"/>
      <c r="N1" s="148"/>
      <c r="O1" s="148"/>
    </row>
    <row r="2" spans="1:31" ht="33.75" customHeight="1">
      <c r="A2" s="979" t="s">
        <v>1030</v>
      </c>
      <c r="B2" s="394" t="str">
        <f>head27</f>
        <v>Ref</v>
      </c>
      <c r="C2" s="2814" t="s">
        <v>1132</v>
      </c>
      <c r="D2" s="2814" t="s">
        <v>1464</v>
      </c>
      <c r="E2" s="2814" t="s">
        <v>1004</v>
      </c>
      <c r="F2" s="2814" t="s">
        <v>1001</v>
      </c>
      <c r="G2" s="2812" t="s">
        <v>1002</v>
      </c>
      <c r="H2" s="2827" t="s">
        <v>1133</v>
      </c>
      <c r="I2" s="2814" t="s">
        <v>1468</v>
      </c>
      <c r="J2" s="2812"/>
      <c r="K2" s="2769" t="str">
        <f>Head3</f>
        <v>2011/12 Medium Term Revenue &amp; Expenditure Framework</v>
      </c>
      <c r="L2" s="2770"/>
      <c r="M2" s="2771"/>
      <c r="N2" s="2825" t="s">
        <v>1466</v>
      </c>
      <c r="O2" s="2826"/>
    </row>
    <row r="3" spans="1:31" ht="50.25" customHeight="1">
      <c r="A3" s="169" t="s">
        <v>697</v>
      </c>
      <c r="B3" s="357">
        <v>5</v>
      </c>
      <c r="C3" s="2815"/>
      <c r="D3" s="2815" t="s">
        <v>1915</v>
      </c>
      <c r="E3" s="2815"/>
      <c r="F3" s="2815"/>
      <c r="G3" s="2813"/>
      <c r="H3" s="2828"/>
      <c r="I3" s="913" t="str">
        <f>Head5&amp;"    "&amp;Head1</f>
        <v>Audited Outcome    2009/10</v>
      </c>
      <c r="J3" s="914" t="str">
        <f>Head2 &amp; "        "&amp;Head8</f>
        <v>Current Year 2010/11        Full Year Forecast</v>
      </c>
      <c r="K3" s="283" t="str">
        <f>Head9</f>
        <v>Budget Year 2011/12</v>
      </c>
      <c r="L3" s="365" t="str">
        <f>Head10</f>
        <v>Budget Year +1 2012/13</v>
      </c>
      <c r="M3" s="366" t="str">
        <f>Head11</f>
        <v>Budget Year +2 2013/14</v>
      </c>
      <c r="N3" s="1002" t="s">
        <v>1467</v>
      </c>
      <c r="O3" s="914" t="s">
        <v>1465</v>
      </c>
    </row>
    <row r="4" spans="1:31">
      <c r="A4" s="931" t="s">
        <v>1586</v>
      </c>
      <c r="B4" s="932"/>
      <c r="C4" s="933"/>
      <c r="D4" s="934"/>
      <c r="E4" s="934"/>
      <c r="F4" s="935"/>
      <c r="G4" s="936"/>
      <c r="H4" s="315"/>
      <c r="I4" s="292"/>
      <c r="J4" s="293"/>
      <c r="K4" s="294"/>
      <c r="L4" s="292"/>
      <c r="M4" s="295"/>
      <c r="N4" s="937"/>
      <c r="O4" s="938"/>
    </row>
    <row r="5" spans="1:31" s="693" customFormat="1">
      <c r="A5" s="1356" t="s">
        <v>1131</v>
      </c>
      <c r="B5" s="1080"/>
      <c r="C5" s="1081"/>
      <c r="D5" s="1082"/>
      <c r="E5" s="1082"/>
      <c r="F5" s="1357" t="s">
        <v>1031</v>
      </c>
      <c r="G5" s="1358" t="s">
        <v>1031</v>
      </c>
      <c r="H5" s="1083"/>
      <c r="I5" s="1084"/>
      <c r="J5" s="1085"/>
      <c r="K5" s="1086"/>
      <c r="L5" s="1084"/>
      <c r="M5" s="1087"/>
      <c r="N5" s="1088"/>
      <c r="O5" s="1089"/>
    </row>
    <row r="6" spans="1:31" ht="5.0999999999999996" customHeight="1">
      <c r="A6" s="943"/>
      <c r="B6" s="324"/>
      <c r="C6" s="580"/>
      <c r="D6" s="939"/>
      <c r="E6" s="939"/>
      <c r="F6" s="940"/>
      <c r="G6" s="941"/>
      <c r="H6" s="192"/>
      <c r="I6" s="189"/>
      <c r="J6" s="188"/>
      <c r="K6" s="191"/>
      <c r="L6" s="189"/>
      <c r="M6" s="190"/>
      <c r="N6" s="637"/>
      <c r="O6" s="944"/>
      <c r="AD6" s="336"/>
    </row>
    <row r="7" spans="1:31">
      <c r="A7" s="2166"/>
      <c r="B7" s="2056"/>
      <c r="C7" s="2069"/>
      <c r="D7" s="2176"/>
      <c r="E7" s="2176"/>
      <c r="F7" s="2209"/>
      <c r="G7" s="2210"/>
      <c r="H7" s="1807"/>
      <c r="I7" s="1805"/>
      <c r="J7" s="1822"/>
      <c r="K7" s="1821"/>
      <c r="L7" s="1805"/>
      <c r="M7" s="1820"/>
      <c r="N7" s="2211"/>
      <c r="O7" s="2212"/>
      <c r="AD7" s="336"/>
      <c r="AE7" s="336"/>
    </row>
    <row r="8" spans="1:31">
      <c r="A8" s="2166"/>
      <c r="B8" s="2056"/>
      <c r="C8" s="2069"/>
      <c r="D8" s="2176"/>
      <c r="E8" s="2176"/>
      <c r="F8" s="2209"/>
      <c r="G8" s="2210"/>
      <c r="H8" s="1807"/>
      <c r="I8" s="1805"/>
      <c r="J8" s="1822"/>
      <c r="K8" s="1821"/>
      <c r="L8" s="1805"/>
      <c r="M8" s="1820"/>
      <c r="N8" s="2211"/>
      <c r="O8" s="2212"/>
      <c r="AD8" s="336"/>
      <c r="AE8" s="336"/>
    </row>
    <row r="9" spans="1:31">
      <c r="A9" s="2166"/>
      <c r="B9" s="2056"/>
      <c r="C9" s="2069"/>
      <c r="D9" s="2176"/>
      <c r="E9" s="2176"/>
      <c r="F9" s="2209"/>
      <c r="G9" s="2210"/>
      <c r="H9" s="1807"/>
      <c r="I9" s="1805"/>
      <c r="J9" s="1822"/>
      <c r="K9" s="1821"/>
      <c r="L9" s="1805"/>
      <c r="M9" s="1820"/>
      <c r="N9" s="2211"/>
      <c r="O9" s="2212"/>
      <c r="AD9" s="336"/>
      <c r="AE9" s="336"/>
    </row>
    <row r="10" spans="1:31">
      <c r="A10" s="2166"/>
      <c r="B10" s="2056"/>
      <c r="C10" s="2069"/>
      <c r="D10" s="2176"/>
      <c r="E10" s="2176"/>
      <c r="F10" s="2209"/>
      <c r="G10" s="2210"/>
      <c r="H10" s="1807"/>
      <c r="I10" s="1805"/>
      <c r="J10" s="1822"/>
      <c r="K10" s="1821"/>
      <c r="L10" s="1805"/>
      <c r="M10" s="1820"/>
      <c r="N10" s="2211"/>
      <c r="O10" s="2212"/>
      <c r="AD10" s="336"/>
      <c r="AE10" s="336"/>
    </row>
    <row r="11" spans="1:31">
      <c r="A11" s="2166"/>
      <c r="B11" s="2056"/>
      <c r="C11" s="2069"/>
      <c r="D11" s="2176"/>
      <c r="E11" s="2176"/>
      <c r="F11" s="2209"/>
      <c r="G11" s="2210"/>
      <c r="H11" s="1807"/>
      <c r="I11" s="1805"/>
      <c r="J11" s="1822"/>
      <c r="K11" s="1821"/>
      <c r="L11" s="1805"/>
      <c r="M11" s="1820"/>
      <c r="N11" s="2211"/>
      <c r="O11" s="2212"/>
      <c r="AD11" s="336"/>
      <c r="AE11" s="336"/>
    </row>
    <row r="12" spans="1:31">
      <c r="A12" s="2166"/>
      <c r="B12" s="2056"/>
      <c r="C12" s="2069"/>
      <c r="D12" s="2176"/>
      <c r="E12" s="2176"/>
      <c r="F12" s="2209"/>
      <c r="G12" s="2210"/>
      <c r="H12" s="1807"/>
      <c r="I12" s="1805"/>
      <c r="J12" s="1822"/>
      <c r="K12" s="1821"/>
      <c r="L12" s="1805"/>
      <c r="M12" s="1820"/>
      <c r="N12" s="2211"/>
      <c r="O12" s="2212"/>
      <c r="AD12" s="336"/>
      <c r="AE12" s="336"/>
    </row>
    <row r="13" spans="1:31">
      <c r="A13" s="2166"/>
      <c r="B13" s="2056"/>
      <c r="C13" s="2069"/>
      <c r="D13" s="2176"/>
      <c r="E13" s="2176"/>
      <c r="F13" s="2209"/>
      <c r="G13" s="2210"/>
      <c r="H13" s="1807"/>
      <c r="I13" s="1805"/>
      <c r="J13" s="1822"/>
      <c r="K13" s="1821"/>
      <c r="L13" s="1805"/>
      <c r="M13" s="1820"/>
      <c r="N13" s="2211"/>
      <c r="O13" s="2212"/>
      <c r="AD13" s="336"/>
      <c r="AE13" s="336"/>
    </row>
    <row r="14" spans="1:31">
      <c r="A14" s="2166"/>
      <c r="B14" s="2056"/>
      <c r="C14" s="2069"/>
      <c r="D14" s="2176"/>
      <c r="E14" s="2176"/>
      <c r="F14" s="2209"/>
      <c r="G14" s="2210"/>
      <c r="H14" s="1807"/>
      <c r="I14" s="1805"/>
      <c r="J14" s="1822"/>
      <c r="K14" s="1821"/>
      <c r="L14" s="1805"/>
      <c r="M14" s="1820"/>
      <c r="N14" s="2211"/>
      <c r="O14" s="2212"/>
      <c r="AD14" s="336"/>
      <c r="AE14" s="336"/>
    </row>
    <row r="15" spans="1:31">
      <c r="A15" s="2166"/>
      <c r="B15" s="2056"/>
      <c r="C15" s="2069"/>
      <c r="D15" s="2176"/>
      <c r="E15" s="2176"/>
      <c r="F15" s="2209"/>
      <c r="G15" s="2210"/>
      <c r="H15" s="1807"/>
      <c r="I15" s="1805"/>
      <c r="J15" s="1822"/>
      <c r="K15" s="1821"/>
      <c r="L15" s="1805"/>
      <c r="M15" s="1820"/>
      <c r="N15" s="2211"/>
      <c r="O15" s="2212"/>
      <c r="AD15" s="336"/>
      <c r="AE15" s="336"/>
    </row>
    <row r="16" spans="1:31">
      <c r="A16" s="2166"/>
      <c r="B16" s="2056"/>
      <c r="C16" s="2069"/>
      <c r="D16" s="2176"/>
      <c r="E16" s="2176"/>
      <c r="F16" s="2209"/>
      <c r="G16" s="2210"/>
      <c r="H16" s="1807"/>
      <c r="I16" s="1805"/>
      <c r="J16" s="1822"/>
      <c r="K16" s="1821"/>
      <c r="L16" s="1805"/>
      <c r="M16" s="1820"/>
      <c r="N16" s="2211"/>
      <c r="O16" s="2212"/>
      <c r="AD16" s="336"/>
      <c r="AE16" s="336"/>
    </row>
    <row r="17" spans="1:31">
      <c r="A17" s="2166"/>
      <c r="B17" s="2056"/>
      <c r="C17" s="2069"/>
      <c r="D17" s="2176"/>
      <c r="E17" s="2176"/>
      <c r="F17" s="2209"/>
      <c r="G17" s="2210"/>
      <c r="H17" s="1807"/>
      <c r="I17" s="1805"/>
      <c r="J17" s="1822"/>
      <c r="K17" s="1821"/>
      <c r="L17" s="1805"/>
      <c r="M17" s="1820"/>
      <c r="N17" s="2211"/>
      <c r="O17" s="2212"/>
      <c r="AD17" s="336"/>
      <c r="AE17" s="336"/>
    </row>
    <row r="18" spans="1:31">
      <c r="A18" s="2166"/>
      <c r="B18" s="2056"/>
      <c r="C18" s="2069"/>
      <c r="D18" s="2176"/>
      <c r="E18" s="2176"/>
      <c r="F18" s="2209"/>
      <c r="G18" s="2210"/>
      <c r="H18" s="1807"/>
      <c r="I18" s="1805"/>
      <c r="J18" s="1822"/>
      <c r="K18" s="1821"/>
      <c r="L18" s="1805"/>
      <c r="M18" s="1820"/>
      <c r="N18" s="2211"/>
      <c r="O18" s="2212"/>
      <c r="AD18" s="336"/>
      <c r="AE18" s="336"/>
    </row>
    <row r="19" spans="1:31">
      <c r="A19" s="2166"/>
      <c r="B19" s="2056"/>
      <c r="C19" s="2069"/>
      <c r="D19" s="2176"/>
      <c r="E19" s="2176"/>
      <c r="F19" s="2209"/>
      <c r="G19" s="2210"/>
      <c r="H19" s="1807"/>
      <c r="I19" s="1805"/>
      <c r="J19" s="1822"/>
      <c r="K19" s="1821"/>
      <c r="L19" s="1805"/>
      <c r="M19" s="1820"/>
      <c r="N19" s="2211"/>
      <c r="O19" s="2212"/>
      <c r="AD19" s="336"/>
      <c r="AE19" s="336"/>
    </row>
    <row r="20" spans="1:31">
      <c r="A20" s="2166"/>
      <c r="B20" s="2056"/>
      <c r="C20" s="2069"/>
      <c r="D20" s="2176"/>
      <c r="E20" s="2176"/>
      <c r="F20" s="2209"/>
      <c r="G20" s="2210"/>
      <c r="H20" s="1807"/>
      <c r="I20" s="1805"/>
      <c r="J20" s="1822"/>
      <c r="K20" s="1821"/>
      <c r="L20" s="1805"/>
      <c r="M20" s="1820"/>
      <c r="N20" s="2211"/>
      <c r="O20" s="2212"/>
      <c r="AD20" s="336"/>
      <c r="AE20" s="336"/>
    </row>
    <row r="21" spans="1:31">
      <c r="A21" s="2166"/>
      <c r="B21" s="2056"/>
      <c r="C21" s="2069"/>
      <c r="D21" s="2176"/>
      <c r="E21" s="2176"/>
      <c r="F21" s="2209"/>
      <c r="G21" s="2210"/>
      <c r="H21" s="1807"/>
      <c r="I21" s="1805"/>
      <c r="J21" s="1822"/>
      <c r="K21" s="1821"/>
      <c r="L21" s="1805"/>
      <c r="M21" s="1820"/>
      <c r="N21" s="2211"/>
      <c r="O21" s="2212"/>
      <c r="AD21" s="336"/>
      <c r="AE21" s="336"/>
    </row>
    <row r="22" spans="1:31">
      <c r="A22" s="2166"/>
      <c r="B22" s="2056"/>
      <c r="C22" s="2069"/>
      <c r="D22" s="2176"/>
      <c r="E22" s="2176"/>
      <c r="F22" s="2209"/>
      <c r="G22" s="2210"/>
      <c r="H22" s="1807"/>
      <c r="I22" s="1805"/>
      <c r="J22" s="1822"/>
      <c r="K22" s="1821"/>
      <c r="L22" s="1805"/>
      <c r="M22" s="1820"/>
      <c r="N22" s="2211"/>
      <c r="O22" s="2212"/>
      <c r="T22" s="336"/>
      <c r="AD22" s="336"/>
      <c r="AE22" s="336"/>
    </row>
    <row r="23" spans="1:31">
      <c r="A23" s="2166"/>
      <c r="B23" s="2056"/>
      <c r="C23" s="2069"/>
      <c r="D23" s="2176"/>
      <c r="E23" s="2176"/>
      <c r="F23" s="2209"/>
      <c r="G23" s="2210"/>
      <c r="H23" s="1807"/>
      <c r="I23" s="1805"/>
      <c r="J23" s="1822"/>
      <c r="K23" s="1821"/>
      <c r="L23" s="1805"/>
      <c r="M23" s="1820"/>
      <c r="N23" s="2211"/>
      <c r="O23" s="2212"/>
      <c r="T23" s="336"/>
      <c r="AD23" s="336"/>
      <c r="AE23" s="336"/>
    </row>
    <row r="24" spans="1:31">
      <c r="A24" s="2166"/>
      <c r="B24" s="2056"/>
      <c r="C24" s="2069"/>
      <c r="D24" s="2176"/>
      <c r="E24" s="2176"/>
      <c r="F24" s="2209"/>
      <c r="G24" s="2210"/>
      <c r="H24" s="1807"/>
      <c r="I24" s="1805"/>
      <c r="J24" s="1822"/>
      <c r="K24" s="1821"/>
      <c r="L24" s="1805"/>
      <c r="M24" s="1820"/>
      <c r="N24" s="2211"/>
      <c r="O24" s="2212"/>
      <c r="S24" s="336"/>
      <c r="AD24" s="336"/>
      <c r="AE24" s="336"/>
    </row>
    <row r="25" spans="1:31">
      <c r="A25" s="2166"/>
      <c r="B25" s="2056"/>
      <c r="C25" s="2069"/>
      <c r="D25" s="2176"/>
      <c r="E25" s="2176"/>
      <c r="F25" s="2209"/>
      <c r="G25" s="2210"/>
      <c r="H25" s="1807"/>
      <c r="I25" s="1805"/>
      <c r="J25" s="1822"/>
      <c r="K25" s="1821"/>
      <c r="L25" s="1805"/>
      <c r="M25" s="1820"/>
      <c r="N25" s="2211"/>
      <c r="O25" s="2212"/>
      <c r="T25" s="336"/>
      <c r="AD25" s="336"/>
      <c r="AE25" s="336"/>
    </row>
    <row r="26" spans="1:31">
      <c r="A26" s="2166"/>
      <c r="B26" s="2056"/>
      <c r="C26" s="2069"/>
      <c r="D26" s="2176"/>
      <c r="E26" s="2176"/>
      <c r="F26" s="2209"/>
      <c r="G26" s="2210"/>
      <c r="H26" s="1807"/>
      <c r="I26" s="1805"/>
      <c r="J26" s="1822"/>
      <c r="K26" s="1821"/>
      <c r="L26" s="1805"/>
      <c r="M26" s="1820"/>
      <c r="N26" s="2211"/>
      <c r="O26" s="2212"/>
      <c r="T26" s="336"/>
      <c r="AD26" s="336"/>
      <c r="AE26" s="336"/>
    </row>
    <row r="27" spans="1:31">
      <c r="A27" s="2166"/>
      <c r="B27" s="2056"/>
      <c r="C27" s="2069"/>
      <c r="D27" s="2176"/>
      <c r="E27" s="2176"/>
      <c r="F27" s="2209"/>
      <c r="G27" s="2210"/>
      <c r="H27" s="1807"/>
      <c r="I27" s="1805"/>
      <c r="J27" s="1822"/>
      <c r="K27" s="1821"/>
      <c r="L27" s="1805"/>
      <c r="M27" s="1820"/>
      <c r="N27" s="2211"/>
      <c r="O27" s="2212"/>
      <c r="W27" s="336"/>
      <c r="AD27" s="336"/>
      <c r="AE27" s="336"/>
    </row>
    <row r="28" spans="1:31">
      <c r="A28" s="2166"/>
      <c r="B28" s="2056"/>
      <c r="C28" s="2069"/>
      <c r="D28" s="2176"/>
      <c r="E28" s="2176"/>
      <c r="F28" s="2209"/>
      <c r="G28" s="2210"/>
      <c r="H28" s="1807"/>
      <c r="I28" s="1805"/>
      <c r="J28" s="1822"/>
      <c r="K28" s="1821"/>
      <c r="L28" s="1805"/>
      <c r="M28" s="1820"/>
      <c r="N28" s="2211"/>
      <c r="O28" s="2212"/>
      <c r="U28" s="336"/>
      <c r="AD28" s="336"/>
      <c r="AE28" s="336"/>
    </row>
    <row r="29" spans="1:31">
      <c r="A29" s="2166"/>
      <c r="B29" s="2056"/>
      <c r="C29" s="2069"/>
      <c r="D29" s="2176"/>
      <c r="E29" s="2176"/>
      <c r="F29" s="2209"/>
      <c r="G29" s="2210"/>
      <c r="H29" s="1807"/>
      <c r="I29" s="1805"/>
      <c r="J29" s="1822"/>
      <c r="K29" s="1821"/>
      <c r="L29" s="1805"/>
      <c r="M29" s="1820"/>
      <c r="N29" s="2211"/>
      <c r="O29" s="2212"/>
      <c r="U29" s="336"/>
      <c r="AD29" s="336"/>
      <c r="AE29" s="336"/>
    </row>
    <row r="30" spans="1:31">
      <c r="A30" s="2166"/>
      <c r="B30" s="2056"/>
      <c r="C30" s="2069"/>
      <c r="D30" s="2176"/>
      <c r="E30" s="2176"/>
      <c r="F30" s="2209"/>
      <c r="G30" s="2210"/>
      <c r="H30" s="1807"/>
      <c r="I30" s="1805"/>
      <c r="J30" s="1822"/>
      <c r="K30" s="1821"/>
      <c r="L30" s="1805"/>
      <c r="M30" s="1820"/>
      <c r="N30" s="2211"/>
      <c r="O30" s="2212"/>
      <c r="V30" s="336"/>
      <c r="AD30" s="336"/>
      <c r="AE30" s="336"/>
    </row>
    <row r="31" spans="1:31">
      <c r="A31" s="2166"/>
      <c r="B31" s="2056"/>
      <c r="C31" s="2069"/>
      <c r="D31" s="2176"/>
      <c r="E31" s="2176"/>
      <c r="F31" s="2209"/>
      <c r="G31" s="2210"/>
      <c r="H31" s="1807"/>
      <c r="I31" s="1805"/>
      <c r="J31" s="1822"/>
      <c r="K31" s="1821"/>
      <c r="L31" s="1805"/>
      <c r="M31" s="1820"/>
      <c r="N31" s="2211"/>
      <c r="O31" s="2212"/>
      <c r="W31" s="336"/>
      <c r="AD31" s="336"/>
      <c r="AE31" s="336"/>
    </row>
    <row r="32" spans="1:31">
      <c r="A32" s="2166"/>
      <c r="B32" s="2056"/>
      <c r="C32" s="2069"/>
      <c r="D32" s="2176"/>
      <c r="E32" s="2176"/>
      <c r="F32" s="2209"/>
      <c r="G32" s="2210"/>
      <c r="H32" s="1807"/>
      <c r="I32" s="1805"/>
      <c r="J32" s="1822"/>
      <c r="K32" s="1821"/>
      <c r="L32" s="1805"/>
      <c r="M32" s="1820"/>
      <c r="N32" s="2211"/>
      <c r="O32" s="2212"/>
      <c r="AD32" s="336"/>
      <c r="AE32" s="336"/>
    </row>
    <row r="33" spans="1:31">
      <c r="A33" s="2166"/>
      <c r="B33" s="2056"/>
      <c r="C33" s="2069"/>
      <c r="D33" s="2176"/>
      <c r="E33" s="2176"/>
      <c r="F33" s="2209"/>
      <c r="G33" s="2210"/>
      <c r="H33" s="1807"/>
      <c r="I33" s="1805"/>
      <c r="J33" s="1822"/>
      <c r="K33" s="1821"/>
      <c r="L33" s="1805"/>
      <c r="M33" s="1820"/>
      <c r="N33" s="2211"/>
      <c r="O33" s="2212"/>
      <c r="AD33" s="336"/>
      <c r="AE33" s="336"/>
    </row>
    <row r="34" spans="1:31">
      <c r="A34" s="2166"/>
      <c r="B34" s="2056"/>
      <c r="C34" s="2069"/>
      <c r="D34" s="2176"/>
      <c r="E34" s="2176"/>
      <c r="F34" s="2209"/>
      <c r="G34" s="2210"/>
      <c r="H34" s="1807"/>
      <c r="I34" s="1805"/>
      <c r="J34" s="1822"/>
      <c r="K34" s="1821"/>
      <c r="L34" s="1805"/>
      <c r="M34" s="1820"/>
      <c r="N34" s="2211"/>
      <c r="O34" s="2212"/>
      <c r="S34" s="1772"/>
      <c r="T34" s="1772"/>
      <c r="U34" s="1772"/>
      <c r="V34" s="1772"/>
      <c r="W34" s="1772"/>
      <c r="X34" s="1772"/>
      <c r="Y34" s="1772"/>
      <c r="Z34" s="1772"/>
      <c r="AA34" s="1772"/>
      <c r="AB34" s="1772"/>
      <c r="AC34" s="1772"/>
      <c r="AD34" s="336"/>
      <c r="AE34" s="336"/>
    </row>
    <row r="35" spans="1:31">
      <c r="A35" s="2166"/>
      <c r="B35" s="2056"/>
      <c r="C35" s="2069"/>
      <c r="D35" s="2176"/>
      <c r="E35" s="2176"/>
      <c r="F35" s="2209"/>
      <c r="G35" s="2210"/>
      <c r="H35" s="1807"/>
      <c r="I35" s="1805"/>
      <c r="J35" s="1822"/>
      <c r="K35" s="1821"/>
      <c r="L35" s="1805"/>
      <c r="M35" s="1820"/>
      <c r="N35" s="2211"/>
      <c r="O35" s="2212"/>
      <c r="S35" s="1772"/>
      <c r="T35" s="1772"/>
      <c r="U35" s="1772"/>
      <c r="V35" s="1772"/>
      <c r="W35" s="1772"/>
      <c r="X35" s="1772"/>
      <c r="Y35" s="1772"/>
      <c r="Z35" s="1772"/>
      <c r="AA35" s="1772"/>
      <c r="AB35" s="1772"/>
      <c r="AC35" s="1772"/>
      <c r="AD35" s="336"/>
      <c r="AE35" s="336"/>
    </row>
    <row r="36" spans="1:31">
      <c r="A36" s="2166"/>
      <c r="B36" s="2056"/>
      <c r="C36" s="2069"/>
      <c r="D36" s="2176"/>
      <c r="E36" s="2176"/>
      <c r="F36" s="2209"/>
      <c r="G36" s="2210"/>
      <c r="H36" s="1807"/>
      <c r="I36" s="1805"/>
      <c r="J36" s="1822"/>
      <c r="K36" s="1821"/>
      <c r="L36" s="1805"/>
      <c r="M36" s="1820"/>
      <c r="N36" s="2211"/>
      <c r="O36" s="2212"/>
      <c r="AD36" s="336"/>
      <c r="AE36" s="336"/>
    </row>
    <row r="37" spans="1:31">
      <c r="A37" s="2166"/>
      <c r="B37" s="2056"/>
      <c r="C37" s="2069"/>
      <c r="D37" s="2176"/>
      <c r="E37" s="2176"/>
      <c r="F37" s="2209"/>
      <c r="G37" s="2210"/>
      <c r="H37" s="1807"/>
      <c r="I37" s="1805"/>
      <c r="J37" s="1822"/>
      <c r="K37" s="1821"/>
      <c r="L37" s="1805"/>
      <c r="M37" s="1820"/>
      <c r="N37" s="2211"/>
      <c r="O37" s="2212"/>
      <c r="AD37" s="336"/>
      <c r="AE37" s="336"/>
    </row>
    <row r="38" spans="1:31">
      <c r="A38" s="2166"/>
      <c r="B38" s="2056"/>
      <c r="C38" s="2069"/>
      <c r="D38" s="2176"/>
      <c r="E38" s="2176"/>
      <c r="F38" s="2209"/>
      <c r="G38" s="2210"/>
      <c r="H38" s="1807"/>
      <c r="I38" s="1805"/>
      <c r="J38" s="1822"/>
      <c r="K38" s="1821"/>
      <c r="L38" s="1805"/>
      <c r="M38" s="1820"/>
      <c r="N38" s="2211"/>
      <c r="O38" s="2212"/>
      <c r="AD38" s="336"/>
      <c r="AE38" s="336"/>
    </row>
    <row r="39" spans="1:31">
      <c r="A39" s="2166"/>
      <c r="B39" s="2056"/>
      <c r="C39" s="2069"/>
      <c r="D39" s="2176"/>
      <c r="E39" s="2176"/>
      <c r="F39" s="2209"/>
      <c r="G39" s="2210"/>
      <c r="H39" s="1807"/>
      <c r="I39" s="1805"/>
      <c r="J39" s="1822"/>
      <c r="K39" s="1821"/>
      <c r="L39" s="1805"/>
      <c r="M39" s="1820"/>
      <c r="N39" s="2211"/>
      <c r="O39" s="2212"/>
      <c r="AD39" s="336"/>
      <c r="AE39" s="336"/>
    </row>
    <row r="40" spans="1:31">
      <c r="A40" s="2166"/>
      <c r="B40" s="2056"/>
      <c r="C40" s="2069"/>
      <c r="D40" s="2176"/>
      <c r="E40" s="2176"/>
      <c r="F40" s="2209"/>
      <c r="G40" s="2210"/>
      <c r="H40" s="1807"/>
      <c r="I40" s="1805"/>
      <c r="J40" s="1822"/>
      <c r="K40" s="1821"/>
      <c r="L40" s="1805"/>
      <c r="M40" s="1820"/>
      <c r="N40" s="2211"/>
      <c r="O40" s="2212"/>
      <c r="Y40" s="336"/>
      <c r="Z40" s="336"/>
      <c r="AD40" s="336"/>
      <c r="AE40" s="336"/>
    </row>
    <row r="41" spans="1:31">
      <c r="A41" s="2166"/>
      <c r="B41" s="2056"/>
      <c r="C41" s="2069"/>
      <c r="D41" s="2176"/>
      <c r="E41" s="2176"/>
      <c r="F41" s="2209"/>
      <c r="G41" s="2210"/>
      <c r="H41" s="1807"/>
      <c r="I41" s="1805"/>
      <c r="J41" s="1822"/>
      <c r="K41" s="1821"/>
      <c r="L41" s="1805"/>
      <c r="M41" s="1820"/>
      <c r="N41" s="2211"/>
      <c r="O41" s="2212"/>
      <c r="AD41" s="336"/>
      <c r="AE41" s="336"/>
    </row>
    <row r="42" spans="1:31">
      <c r="A42" s="2166"/>
      <c r="B42" s="2056"/>
      <c r="C42" s="2069"/>
      <c r="D42" s="2176"/>
      <c r="E42" s="2176"/>
      <c r="F42" s="2209"/>
      <c r="G42" s="2210"/>
      <c r="H42" s="1807"/>
      <c r="I42" s="1805"/>
      <c r="J42" s="1822"/>
      <c r="K42" s="1821"/>
      <c r="L42" s="1805"/>
      <c r="M42" s="1820"/>
      <c r="N42" s="2211"/>
      <c r="O42" s="2212"/>
      <c r="AD42" s="336"/>
      <c r="AE42" s="336"/>
    </row>
    <row r="43" spans="1:31">
      <c r="A43" s="2166"/>
      <c r="B43" s="2056"/>
      <c r="C43" s="2069"/>
      <c r="D43" s="2176"/>
      <c r="E43" s="2176"/>
      <c r="F43" s="2209"/>
      <c r="G43" s="2210"/>
      <c r="H43" s="1807"/>
      <c r="I43" s="1805"/>
      <c r="J43" s="1822"/>
      <c r="K43" s="1821"/>
      <c r="L43" s="1805"/>
      <c r="M43" s="1820"/>
      <c r="N43" s="2211"/>
      <c r="O43" s="2212"/>
      <c r="AD43" s="336"/>
      <c r="AE43" s="336"/>
    </row>
    <row r="44" spans="1:31">
      <c r="A44" s="2166"/>
      <c r="B44" s="2056"/>
      <c r="C44" s="2069"/>
      <c r="D44" s="2176"/>
      <c r="E44" s="2176"/>
      <c r="F44" s="2209"/>
      <c r="G44" s="2210"/>
      <c r="H44" s="1807"/>
      <c r="I44" s="1805"/>
      <c r="J44" s="1822"/>
      <c r="K44" s="1821"/>
      <c r="L44" s="1805"/>
      <c r="M44" s="1820"/>
      <c r="N44" s="2211"/>
      <c r="O44" s="2212"/>
      <c r="T44" s="336"/>
      <c r="AD44" s="336"/>
      <c r="AE44" s="336"/>
    </row>
    <row r="45" spans="1:31">
      <c r="A45" s="2166"/>
      <c r="B45" s="2056"/>
      <c r="C45" s="2069"/>
      <c r="D45" s="2176"/>
      <c r="E45" s="2176"/>
      <c r="F45" s="2209"/>
      <c r="G45" s="2210"/>
      <c r="H45" s="1807"/>
      <c r="I45" s="1805"/>
      <c r="J45" s="1822"/>
      <c r="K45" s="1821"/>
      <c r="L45" s="1805"/>
      <c r="M45" s="1820"/>
      <c r="N45" s="2211"/>
      <c r="O45" s="2212"/>
      <c r="AD45" s="336"/>
      <c r="AE45" s="336"/>
    </row>
    <row r="46" spans="1:31">
      <c r="A46" s="2166"/>
      <c r="B46" s="2056"/>
      <c r="C46" s="2069"/>
      <c r="D46" s="2176"/>
      <c r="E46" s="2176"/>
      <c r="F46" s="2209"/>
      <c r="G46" s="2210"/>
      <c r="H46" s="1807"/>
      <c r="I46" s="1805"/>
      <c r="J46" s="1822"/>
      <c r="K46" s="1821"/>
      <c r="L46" s="1805"/>
      <c r="M46" s="1820"/>
      <c r="N46" s="2211"/>
      <c r="O46" s="2212"/>
      <c r="U46" s="336"/>
      <c r="V46" s="336"/>
      <c r="AD46" s="336"/>
      <c r="AE46" s="336"/>
    </row>
    <row r="47" spans="1:31">
      <c r="A47" s="2166"/>
      <c r="B47" s="2056"/>
      <c r="C47" s="2069"/>
      <c r="D47" s="2176"/>
      <c r="E47" s="2176"/>
      <c r="F47" s="2209"/>
      <c r="G47" s="2210"/>
      <c r="H47" s="1807"/>
      <c r="I47" s="1805"/>
      <c r="J47" s="1822"/>
      <c r="K47" s="1821"/>
      <c r="L47" s="1805"/>
      <c r="M47" s="1820"/>
      <c r="N47" s="2211"/>
      <c r="O47" s="2212"/>
      <c r="AD47" s="336"/>
      <c r="AE47" s="336"/>
    </row>
    <row r="48" spans="1:31">
      <c r="A48" s="2166"/>
      <c r="B48" s="2056"/>
      <c r="C48" s="2069"/>
      <c r="D48" s="2176"/>
      <c r="E48" s="2176"/>
      <c r="F48" s="2209"/>
      <c r="G48" s="2210"/>
      <c r="H48" s="1807"/>
      <c r="I48" s="1805"/>
      <c r="J48" s="1822"/>
      <c r="K48" s="1821"/>
      <c r="L48" s="1805"/>
      <c r="M48" s="1820"/>
      <c r="N48" s="2211"/>
      <c r="O48" s="2212"/>
      <c r="W48" s="336"/>
      <c r="X48" s="336"/>
      <c r="AD48" s="336"/>
      <c r="AE48" s="336"/>
    </row>
    <row r="49" spans="1:31">
      <c r="A49" s="2166"/>
      <c r="B49" s="2056"/>
      <c r="C49" s="2069"/>
      <c r="D49" s="2176"/>
      <c r="E49" s="2176"/>
      <c r="F49" s="2209"/>
      <c r="G49" s="2210"/>
      <c r="H49" s="1807"/>
      <c r="I49" s="1805"/>
      <c r="J49" s="1822"/>
      <c r="K49" s="1821"/>
      <c r="L49" s="1805"/>
      <c r="M49" s="1820"/>
      <c r="N49" s="2211"/>
      <c r="O49" s="2212"/>
      <c r="AD49" s="336"/>
      <c r="AE49" s="336"/>
    </row>
    <row r="50" spans="1:31">
      <c r="A50" s="2166"/>
      <c r="B50" s="2056"/>
      <c r="C50" s="2069"/>
      <c r="D50" s="2176"/>
      <c r="E50" s="2176"/>
      <c r="F50" s="2209"/>
      <c r="G50" s="2210"/>
      <c r="H50" s="1807"/>
      <c r="I50" s="1805"/>
      <c r="J50" s="1822"/>
      <c r="K50" s="1821"/>
      <c r="L50" s="1805"/>
      <c r="M50" s="1820"/>
      <c r="N50" s="2211"/>
      <c r="O50" s="2212"/>
      <c r="AD50" s="336"/>
      <c r="AE50" s="336"/>
    </row>
    <row r="51" spans="1:31">
      <c r="A51" s="2166"/>
      <c r="B51" s="2056"/>
      <c r="C51" s="2069"/>
      <c r="D51" s="2176"/>
      <c r="E51" s="2176"/>
      <c r="F51" s="2209"/>
      <c r="G51" s="2210"/>
      <c r="H51" s="1807"/>
      <c r="I51" s="1805"/>
      <c r="J51" s="1822"/>
      <c r="K51" s="1821"/>
      <c r="L51" s="1805"/>
      <c r="M51" s="1820"/>
      <c r="N51" s="2211"/>
      <c r="O51" s="2212"/>
      <c r="AD51" s="336"/>
      <c r="AE51" s="336"/>
    </row>
    <row r="52" spans="1:31">
      <c r="A52" s="2166"/>
      <c r="B52" s="2056"/>
      <c r="C52" s="2069"/>
      <c r="D52" s="2176"/>
      <c r="E52" s="2176"/>
      <c r="F52" s="2209"/>
      <c r="G52" s="2210"/>
      <c r="H52" s="1807"/>
      <c r="I52" s="1805"/>
      <c r="J52" s="1822"/>
      <c r="K52" s="1821"/>
      <c r="L52" s="1805"/>
      <c r="M52" s="1820"/>
      <c r="N52" s="2211"/>
      <c r="O52" s="2212"/>
      <c r="AD52" s="336"/>
      <c r="AE52" s="336"/>
    </row>
    <row r="53" spans="1:31">
      <c r="A53" s="2166"/>
      <c r="B53" s="2056"/>
      <c r="C53" s="2069"/>
      <c r="D53" s="2176"/>
      <c r="E53" s="2176"/>
      <c r="F53" s="2209"/>
      <c r="G53" s="2210"/>
      <c r="H53" s="1807"/>
      <c r="I53" s="1805"/>
      <c r="J53" s="1822"/>
      <c r="K53" s="1821"/>
      <c r="L53" s="1805"/>
      <c r="M53" s="1820"/>
      <c r="N53" s="2211"/>
      <c r="O53" s="2212"/>
      <c r="AD53" s="336"/>
      <c r="AE53" s="336"/>
    </row>
    <row r="54" spans="1:31">
      <c r="A54" s="2166"/>
      <c r="B54" s="2056"/>
      <c r="C54" s="2069"/>
      <c r="D54" s="2176"/>
      <c r="E54" s="2176"/>
      <c r="F54" s="2209"/>
      <c r="G54" s="2210"/>
      <c r="H54" s="1807"/>
      <c r="I54" s="1805"/>
      <c r="J54" s="1822"/>
      <c r="K54" s="1821"/>
      <c r="L54" s="1805"/>
      <c r="M54" s="1820"/>
      <c r="N54" s="2211"/>
      <c r="O54" s="2212"/>
      <c r="AD54" s="336"/>
      <c r="AE54" s="336"/>
    </row>
    <row r="55" spans="1:31">
      <c r="A55" s="2166"/>
      <c r="B55" s="2056"/>
      <c r="C55" s="2069"/>
      <c r="D55" s="2176"/>
      <c r="E55" s="2176"/>
      <c r="F55" s="2209"/>
      <c r="G55" s="2210"/>
      <c r="H55" s="1807"/>
      <c r="I55" s="1805"/>
      <c r="J55" s="1822"/>
      <c r="K55" s="1821"/>
      <c r="L55" s="1805"/>
      <c r="M55" s="1820"/>
      <c r="N55" s="2211"/>
      <c r="O55" s="2212"/>
      <c r="AD55" s="336"/>
      <c r="AE55" s="336"/>
    </row>
    <row r="56" spans="1:31">
      <c r="A56" s="2166"/>
      <c r="B56" s="2056"/>
      <c r="C56" s="2069"/>
      <c r="D56" s="2176"/>
      <c r="E56" s="2176"/>
      <c r="F56" s="2209"/>
      <c r="G56" s="2210"/>
      <c r="H56" s="1807"/>
      <c r="I56" s="1805"/>
      <c r="J56" s="1822"/>
      <c r="K56" s="1821"/>
      <c r="L56" s="1805"/>
      <c r="M56" s="1820"/>
      <c r="N56" s="2211"/>
      <c r="O56" s="2212"/>
      <c r="AD56" s="336"/>
      <c r="AE56" s="336"/>
    </row>
    <row r="57" spans="1:31">
      <c r="A57" s="2166"/>
      <c r="B57" s="2056"/>
      <c r="C57" s="2069"/>
      <c r="D57" s="2176"/>
      <c r="E57" s="2176"/>
      <c r="F57" s="2209"/>
      <c r="G57" s="2210"/>
      <c r="H57" s="1807"/>
      <c r="I57" s="1805"/>
      <c r="J57" s="1822"/>
      <c r="K57" s="1821"/>
      <c r="L57" s="1805"/>
      <c r="M57" s="1820"/>
      <c r="N57" s="2211"/>
      <c r="O57" s="2212"/>
      <c r="AD57" s="336"/>
      <c r="AE57" s="336"/>
    </row>
    <row r="58" spans="1:31">
      <c r="A58" s="2166"/>
      <c r="B58" s="2056"/>
      <c r="C58" s="2069"/>
      <c r="D58" s="2176"/>
      <c r="E58" s="2176"/>
      <c r="F58" s="2209"/>
      <c r="G58" s="2210"/>
      <c r="H58" s="1807"/>
      <c r="I58" s="1805"/>
      <c r="J58" s="1822"/>
      <c r="K58" s="1821"/>
      <c r="L58" s="1805"/>
      <c r="M58" s="1820"/>
      <c r="N58" s="2211"/>
      <c r="O58" s="2212"/>
      <c r="Y58" s="336"/>
      <c r="Z58" s="336"/>
      <c r="AA58" s="336"/>
      <c r="AD58" s="336"/>
      <c r="AE58" s="336"/>
    </row>
    <row r="59" spans="1:31">
      <c r="A59" s="2166"/>
      <c r="B59" s="2056"/>
      <c r="C59" s="2069"/>
      <c r="D59" s="2176"/>
      <c r="E59" s="2176"/>
      <c r="F59" s="2209"/>
      <c r="G59" s="2210"/>
      <c r="H59" s="1807"/>
      <c r="I59" s="1805"/>
      <c r="J59" s="1822"/>
      <c r="K59" s="1821"/>
      <c r="L59" s="1805"/>
      <c r="M59" s="1820"/>
      <c r="N59" s="2211"/>
      <c r="O59" s="2212"/>
      <c r="AD59" s="336"/>
      <c r="AE59" s="336"/>
    </row>
    <row r="60" spans="1:31">
      <c r="A60" s="2166"/>
      <c r="B60" s="2056"/>
      <c r="C60" s="2069"/>
      <c r="D60" s="2176"/>
      <c r="E60" s="2176"/>
      <c r="F60" s="2209"/>
      <c r="G60" s="2210"/>
      <c r="H60" s="1807"/>
      <c r="I60" s="1805"/>
      <c r="J60" s="1822"/>
      <c r="K60" s="1821"/>
      <c r="L60" s="1805"/>
      <c r="M60" s="1820"/>
      <c r="N60" s="2211"/>
      <c r="O60" s="2212"/>
      <c r="AD60" s="336"/>
      <c r="AE60" s="336"/>
    </row>
    <row r="61" spans="1:31">
      <c r="A61" s="2166"/>
      <c r="B61" s="2056"/>
      <c r="C61" s="2069"/>
      <c r="D61" s="2176"/>
      <c r="E61" s="2176"/>
      <c r="F61" s="2209"/>
      <c r="G61" s="2210"/>
      <c r="H61" s="1807"/>
      <c r="I61" s="1805"/>
      <c r="J61" s="1822"/>
      <c r="K61" s="1821"/>
      <c r="L61" s="1805"/>
      <c r="M61" s="1820"/>
      <c r="N61" s="2211"/>
      <c r="O61" s="2212"/>
      <c r="S61" s="336"/>
      <c r="AD61" s="336"/>
      <c r="AE61" s="336"/>
    </row>
    <row r="62" spans="1:31">
      <c r="A62" s="2166"/>
      <c r="B62" s="2056"/>
      <c r="C62" s="2069"/>
      <c r="D62" s="2176"/>
      <c r="E62" s="2176"/>
      <c r="F62" s="2209"/>
      <c r="G62" s="2210"/>
      <c r="H62" s="1807"/>
      <c r="I62" s="1805"/>
      <c r="J62" s="1822"/>
      <c r="K62" s="1821"/>
      <c r="L62" s="1805"/>
      <c r="M62" s="1820"/>
      <c r="N62" s="2211"/>
      <c r="O62" s="2212"/>
      <c r="T62" s="336"/>
      <c r="AD62" s="336"/>
      <c r="AE62" s="336"/>
    </row>
    <row r="63" spans="1:31">
      <c r="A63" s="2166"/>
      <c r="B63" s="2056"/>
      <c r="C63" s="2069"/>
      <c r="D63" s="2176"/>
      <c r="E63" s="2176"/>
      <c r="F63" s="2209"/>
      <c r="G63" s="2210"/>
      <c r="H63" s="1807"/>
      <c r="I63" s="1805"/>
      <c r="J63" s="1822"/>
      <c r="K63" s="1821"/>
      <c r="L63" s="1805"/>
      <c r="M63" s="1820"/>
      <c r="N63" s="2211"/>
      <c r="O63" s="2212"/>
      <c r="T63" s="336"/>
      <c r="AD63" s="336"/>
      <c r="AE63" s="336"/>
    </row>
    <row r="64" spans="1:31">
      <c r="A64" s="2166"/>
      <c r="B64" s="2056"/>
      <c r="C64" s="2069"/>
      <c r="D64" s="2176"/>
      <c r="E64" s="2176"/>
      <c r="F64" s="2209"/>
      <c r="G64" s="2210"/>
      <c r="H64" s="1807"/>
      <c r="I64" s="1805"/>
      <c r="J64" s="1822"/>
      <c r="K64" s="1821"/>
      <c r="L64" s="1805"/>
      <c r="M64" s="1820"/>
      <c r="N64" s="2211"/>
      <c r="O64" s="2212"/>
      <c r="T64" s="336"/>
      <c r="AD64" s="336"/>
      <c r="AE64" s="336"/>
    </row>
    <row r="65" spans="1:31">
      <c r="A65" s="2166"/>
      <c r="B65" s="2056"/>
      <c r="C65" s="2069"/>
      <c r="D65" s="2176"/>
      <c r="E65" s="2176"/>
      <c r="F65" s="2209"/>
      <c r="G65" s="2210"/>
      <c r="H65" s="1807"/>
      <c r="I65" s="1805"/>
      <c r="J65" s="1822"/>
      <c r="K65" s="1821"/>
      <c r="L65" s="1805"/>
      <c r="M65" s="1820"/>
      <c r="N65" s="2211"/>
      <c r="O65" s="2212"/>
      <c r="T65" s="336"/>
      <c r="AD65" s="336"/>
      <c r="AE65" s="336"/>
    </row>
    <row r="66" spans="1:31">
      <c r="A66" s="2166"/>
      <c r="B66" s="2056"/>
      <c r="C66" s="2069"/>
      <c r="D66" s="2176"/>
      <c r="E66" s="2176"/>
      <c r="F66" s="2209"/>
      <c r="G66" s="2210"/>
      <c r="H66" s="1807"/>
      <c r="I66" s="1805"/>
      <c r="J66" s="1822"/>
      <c r="K66" s="1821"/>
      <c r="L66" s="1805"/>
      <c r="M66" s="1820"/>
      <c r="N66" s="2211"/>
      <c r="O66" s="2212"/>
      <c r="T66" s="336"/>
      <c r="AD66" s="336"/>
      <c r="AE66" s="336"/>
    </row>
    <row r="67" spans="1:31">
      <c r="A67" s="2166"/>
      <c r="B67" s="2056"/>
      <c r="C67" s="2069"/>
      <c r="D67" s="2176"/>
      <c r="E67" s="2176"/>
      <c r="F67" s="2209"/>
      <c r="G67" s="2210"/>
      <c r="H67" s="1807"/>
      <c r="I67" s="1805"/>
      <c r="J67" s="1822"/>
      <c r="K67" s="1821"/>
      <c r="L67" s="1805"/>
      <c r="M67" s="1820"/>
      <c r="N67" s="2211"/>
      <c r="O67" s="2212"/>
      <c r="T67" s="336"/>
      <c r="AD67" s="336"/>
      <c r="AE67" s="336"/>
    </row>
    <row r="68" spans="1:31">
      <c r="A68" s="2166"/>
      <c r="B68" s="2056"/>
      <c r="C68" s="2069"/>
      <c r="D68" s="2176"/>
      <c r="E68" s="2176"/>
      <c r="F68" s="2209"/>
      <c r="G68" s="2210"/>
      <c r="H68" s="1807"/>
      <c r="I68" s="1805"/>
      <c r="J68" s="1822"/>
      <c r="K68" s="1821"/>
      <c r="L68" s="1805"/>
      <c r="M68" s="1820"/>
      <c r="N68" s="2211"/>
      <c r="O68" s="2212"/>
      <c r="T68" s="336"/>
      <c r="AD68" s="336"/>
      <c r="AE68" s="336"/>
    </row>
    <row r="69" spans="1:31">
      <c r="A69" s="2166"/>
      <c r="B69" s="2056"/>
      <c r="C69" s="2069"/>
      <c r="D69" s="2176"/>
      <c r="E69" s="2176"/>
      <c r="F69" s="2209"/>
      <c r="G69" s="2210"/>
      <c r="H69" s="1807"/>
      <c r="I69" s="1805"/>
      <c r="J69" s="1822"/>
      <c r="K69" s="1821"/>
      <c r="L69" s="1805"/>
      <c r="M69" s="1820"/>
      <c r="N69" s="2211"/>
      <c r="O69" s="2212"/>
      <c r="T69" s="336"/>
      <c r="AD69" s="336"/>
      <c r="AE69" s="336"/>
    </row>
    <row r="70" spans="1:31">
      <c r="A70" s="2166"/>
      <c r="B70" s="2056"/>
      <c r="C70" s="2069"/>
      <c r="D70" s="2176"/>
      <c r="E70" s="2176"/>
      <c r="F70" s="2209"/>
      <c r="G70" s="2210"/>
      <c r="H70" s="1807"/>
      <c r="I70" s="1805"/>
      <c r="J70" s="1822"/>
      <c r="K70" s="1821"/>
      <c r="L70" s="1805"/>
      <c r="M70" s="1820"/>
      <c r="N70" s="2211"/>
      <c r="O70" s="2212"/>
      <c r="AD70" s="336"/>
      <c r="AE70" s="336"/>
    </row>
    <row r="71" spans="1:31">
      <c r="A71" s="2166"/>
      <c r="B71" s="2056"/>
      <c r="C71" s="2069"/>
      <c r="D71" s="2176"/>
      <c r="E71" s="2176"/>
      <c r="F71" s="2209"/>
      <c r="G71" s="2210"/>
      <c r="H71" s="1807"/>
      <c r="I71" s="1805"/>
      <c r="J71" s="1822"/>
      <c r="K71" s="1821"/>
      <c r="L71" s="1805"/>
      <c r="M71" s="1820"/>
      <c r="N71" s="2211"/>
      <c r="O71" s="2212"/>
      <c r="X71" s="336"/>
      <c r="AD71" s="336"/>
      <c r="AE71" s="336"/>
    </row>
    <row r="72" spans="1:31">
      <c r="A72" s="2166"/>
      <c r="B72" s="2056"/>
      <c r="C72" s="2069"/>
      <c r="D72" s="2176"/>
      <c r="E72" s="2176"/>
      <c r="F72" s="2209"/>
      <c r="G72" s="2210"/>
      <c r="H72" s="1807"/>
      <c r="I72" s="1805"/>
      <c r="J72" s="1822"/>
      <c r="K72" s="1821"/>
      <c r="L72" s="1805"/>
      <c r="M72" s="1820"/>
      <c r="N72" s="2211"/>
      <c r="O72" s="2212"/>
      <c r="AD72" s="336"/>
      <c r="AE72" s="336"/>
    </row>
    <row r="73" spans="1:31">
      <c r="A73" s="2166"/>
      <c r="B73" s="2056"/>
      <c r="C73" s="2069"/>
      <c r="D73" s="2176"/>
      <c r="E73" s="2176"/>
      <c r="F73" s="2209"/>
      <c r="G73" s="2210"/>
      <c r="H73" s="1807"/>
      <c r="I73" s="1805"/>
      <c r="J73" s="1822"/>
      <c r="K73" s="1821"/>
      <c r="L73" s="1805"/>
      <c r="M73" s="1820"/>
      <c r="N73" s="2211"/>
      <c r="O73" s="2212"/>
      <c r="AD73" s="336"/>
      <c r="AE73" s="336"/>
    </row>
    <row r="74" spans="1:31">
      <c r="A74" s="2166"/>
      <c r="B74" s="2056"/>
      <c r="C74" s="2069"/>
      <c r="D74" s="2176"/>
      <c r="E74" s="2176"/>
      <c r="F74" s="2209"/>
      <c r="G74" s="2210"/>
      <c r="H74" s="1807"/>
      <c r="I74" s="1805"/>
      <c r="J74" s="1822"/>
      <c r="K74" s="1821"/>
      <c r="L74" s="1805"/>
      <c r="M74" s="1820"/>
      <c r="N74" s="2211"/>
      <c r="O74" s="2212"/>
      <c r="AD74" s="336"/>
      <c r="AE74" s="336"/>
    </row>
    <row r="75" spans="1:31">
      <c r="A75" s="2166"/>
      <c r="B75" s="2056"/>
      <c r="C75" s="2069"/>
      <c r="D75" s="2176"/>
      <c r="E75" s="2176"/>
      <c r="F75" s="2209"/>
      <c r="G75" s="2210"/>
      <c r="H75" s="1807"/>
      <c r="I75" s="1805"/>
      <c r="J75" s="1822"/>
      <c r="K75" s="1821"/>
      <c r="L75" s="1805"/>
      <c r="M75" s="1820"/>
      <c r="N75" s="2211"/>
      <c r="O75" s="2212"/>
      <c r="X75" s="336"/>
      <c r="Y75" s="336"/>
      <c r="AD75" s="336"/>
      <c r="AE75" s="336"/>
    </row>
    <row r="76" spans="1:31">
      <c r="A76" s="2166"/>
      <c r="B76" s="2056"/>
      <c r="C76" s="2069"/>
      <c r="D76" s="2176"/>
      <c r="E76" s="2176"/>
      <c r="F76" s="2209"/>
      <c r="G76" s="2210"/>
      <c r="H76" s="1807"/>
      <c r="I76" s="1805"/>
      <c r="J76" s="1822"/>
      <c r="K76" s="1821"/>
      <c r="L76" s="1805"/>
      <c r="M76" s="1820"/>
      <c r="N76" s="2211"/>
      <c r="O76" s="2212"/>
      <c r="AD76" s="336"/>
      <c r="AE76" s="336"/>
    </row>
    <row r="77" spans="1:31">
      <c r="A77" s="2166"/>
      <c r="B77" s="2056"/>
      <c r="C77" s="2069"/>
      <c r="D77" s="2176"/>
      <c r="E77" s="2176"/>
      <c r="F77" s="2209"/>
      <c r="G77" s="2210"/>
      <c r="H77" s="1807"/>
      <c r="I77" s="1805"/>
      <c r="J77" s="1822"/>
      <c r="K77" s="1821"/>
      <c r="L77" s="1805"/>
      <c r="M77" s="1820"/>
      <c r="N77" s="2211"/>
      <c r="O77" s="2212"/>
      <c r="AD77" s="336"/>
      <c r="AE77" s="336"/>
    </row>
    <row r="78" spans="1:31">
      <c r="A78" s="2166"/>
      <c r="B78" s="2056"/>
      <c r="C78" s="2069"/>
      <c r="D78" s="2176"/>
      <c r="E78" s="2176"/>
      <c r="F78" s="2209"/>
      <c r="G78" s="2210"/>
      <c r="H78" s="1807"/>
      <c r="I78" s="1805"/>
      <c r="J78" s="1822"/>
      <c r="K78" s="1821"/>
      <c r="L78" s="1805"/>
      <c r="M78" s="1820"/>
      <c r="N78" s="2211"/>
      <c r="O78" s="2212"/>
      <c r="S78" s="1772"/>
      <c r="T78" s="1772"/>
      <c r="U78" s="1772"/>
      <c r="V78" s="1772"/>
      <c r="W78" s="1772"/>
      <c r="X78" s="1772"/>
      <c r="Y78" s="1772"/>
      <c r="Z78" s="1772"/>
      <c r="AA78" s="1772"/>
      <c r="AB78" s="1772"/>
      <c r="AC78" s="1772"/>
      <c r="AD78" s="336"/>
      <c r="AE78" s="336"/>
    </row>
    <row r="79" spans="1:31">
      <c r="A79" s="2166"/>
      <c r="B79" s="2056"/>
      <c r="C79" s="2069"/>
      <c r="D79" s="2176"/>
      <c r="E79" s="2176"/>
      <c r="F79" s="2209"/>
      <c r="G79" s="2210"/>
      <c r="H79" s="1807"/>
      <c r="I79" s="1805"/>
      <c r="J79" s="1822"/>
      <c r="K79" s="1821"/>
      <c r="L79" s="1805"/>
      <c r="M79" s="1820"/>
      <c r="N79" s="2211"/>
      <c r="O79" s="2212"/>
      <c r="V79" s="336"/>
      <c r="W79" s="336"/>
      <c r="X79" s="336"/>
      <c r="AD79" s="336"/>
      <c r="AE79" s="336"/>
    </row>
    <row r="80" spans="1:31">
      <c r="A80" s="2166"/>
      <c r="B80" s="2056"/>
      <c r="C80" s="2069"/>
      <c r="D80" s="2176"/>
      <c r="E80" s="2176"/>
      <c r="F80" s="2209"/>
      <c r="G80" s="2210"/>
      <c r="H80" s="1807"/>
      <c r="I80" s="1805"/>
      <c r="J80" s="1822"/>
      <c r="K80" s="1821"/>
      <c r="L80" s="1805"/>
      <c r="M80" s="1820"/>
      <c r="N80" s="2211"/>
      <c r="O80" s="2212"/>
      <c r="W80" s="336"/>
      <c r="AD80" s="336"/>
      <c r="AE80" s="336"/>
    </row>
    <row r="81" spans="1:31">
      <c r="A81" s="2166"/>
      <c r="B81" s="2056"/>
      <c r="C81" s="2069"/>
      <c r="D81" s="2176"/>
      <c r="E81" s="2176"/>
      <c r="F81" s="2209"/>
      <c r="G81" s="2210"/>
      <c r="H81" s="1807"/>
      <c r="I81" s="1805"/>
      <c r="J81" s="1822"/>
      <c r="K81" s="1821"/>
      <c r="L81" s="1805"/>
      <c r="M81" s="1820"/>
      <c r="N81" s="2211"/>
      <c r="O81" s="2212"/>
      <c r="T81" s="336"/>
      <c r="AD81" s="336"/>
      <c r="AE81" s="336"/>
    </row>
    <row r="82" spans="1:31">
      <c r="A82" s="2166"/>
      <c r="B82" s="2056"/>
      <c r="C82" s="2069"/>
      <c r="D82" s="2176"/>
      <c r="E82" s="2176"/>
      <c r="F82" s="2209"/>
      <c r="G82" s="2210"/>
      <c r="H82" s="1807"/>
      <c r="I82" s="1805"/>
      <c r="J82" s="1822"/>
      <c r="K82" s="1821"/>
      <c r="L82" s="1805"/>
      <c r="M82" s="1820"/>
      <c r="N82" s="2211"/>
      <c r="O82" s="2212"/>
      <c r="Y82" s="336"/>
      <c r="Z82" s="336"/>
      <c r="AD82" s="336"/>
      <c r="AE82" s="336"/>
    </row>
    <row r="83" spans="1:31">
      <c r="A83" s="2166"/>
      <c r="B83" s="2056"/>
      <c r="C83" s="2069"/>
      <c r="D83" s="2176"/>
      <c r="E83" s="2176"/>
      <c r="F83" s="2209"/>
      <c r="G83" s="2210"/>
      <c r="H83" s="1807"/>
      <c r="I83" s="1805"/>
      <c r="J83" s="1822"/>
      <c r="K83" s="1821"/>
      <c r="L83" s="1805"/>
      <c r="M83" s="1820"/>
      <c r="N83" s="2211"/>
      <c r="O83" s="2212"/>
      <c r="AD83" s="336"/>
      <c r="AE83" s="336"/>
    </row>
    <row r="84" spans="1:31">
      <c r="A84" s="2166"/>
      <c r="B84" s="2056"/>
      <c r="C84" s="2069"/>
      <c r="D84" s="2176"/>
      <c r="E84" s="2176"/>
      <c r="F84" s="2209"/>
      <c r="G84" s="2210"/>
      <c r="H84" s="1807"/>
      <c r="I84" s="1805"/>
      <c r="J84" s="1822"/>
      <c r="K84" s="1821"/>
      <c r="L84" s="1805"/>
      <c r="M84" s="1820"/>
      <c r="N84" s="2211"/>
      <c r="O84" s="2212"/>
      <c r="AD84" s="336"/>
      <c r="AE84" s="336"/>
    </row>
    <row r="85" spans="1:31">
      <c r="A85" s="2166"/>
      <c r="B85" s="2056"/>
      <c r="C85" s="2069"/>
      <c r="D85" s="2176"/>
      <c r="E85" s="2176"/>
      <c r="F85" s="2209"/>
      <c r="G85" s="2210"/>
      <c r="H85" s="1807"/>
      <c r="I85" s="1805"/>
      <c r="J85" s="1822"/>
      <c r="K85" s="1821"/>
      <c r="L85" s="1805"/>
      <c r="M85" s="1820"/>
      <c r="N85" s="2211"/>
      <c r="O85" s="2212"/>
      <c r="AD85" s="336"/>
      <c r="AE85" s="336"/>
    </row>
    <row r="86" spans="1:31">
      <c r="A86" s="2166"/>
      <c r="B86" s="2056"/>
      <c r="C86" s="2069"/>
      <c r="D86" s="2176"/>
      <c r="E86" s="2176"/>
      <c r="F86" s="2209"/>
      <c r="G86" s="2210"/>
      <c r="H86" s="1807"/>
      <c r="I86" s="1805"/>
      <c r="J86" s="1822"/>
      <c r="K86" s="1821"/>
      <c r="L86" s="1805"/>
      <c r="M86" s="1820"/>
      <c r="N86" s="2211"/>
      <c r="O86" s="2212"/>
      <c r="AD86" s="336"/>
      <c r="AE86" s="336"/>
    </row>
    <row r="87" spans="1:31">
      <c r="A87" s="2166"/>
      <c r="B87" s="2056"/>
      <c r="C87" s="2069"/>
      <c r="D87" s="2176"/>
      <c r="E87" s="2176"/>
      <c r="F87" s="2209"/>
      <c r="G87" s="2210"/>
      <c r="H87" s="1807"/>
      <c r="I87" s="1805"/>
      <c r="J87" s="1822"/>
      <c r="K87" s="1821"/>
      <c r="L87" s="1805"/>
      <c r="M87" s="1820"/>
      <c r="N87" s="2211"/>
      <c r="O87" s="2212"/>
      <c r="AD87" s="336"/>
      <c r="AE87" s="336"/>
    </row>
    <row r="88" spans="1:31">
      <c r="A88" s="2166"/>
      <c r="B88" s="2056"/>
      <c r="C88" s="2069"/>
      <c r="D88" s="2176"/>
      <c r="E88" s="2176"/>
      <c r="F88" s="2209"/>
      <c r="G88" s="2210"/>
      <c r="H88" s="1807"/>
      <c r="I88" s="1805"/>
      <c r="J88" s="1822"/>
      <c r="K88" s="1821"/>
      <c r="L88" s="1805"/>
      <c r="M88" s="1820"/>
      <c r="N88" s="2211"/>
      <c r="O88" s="2212"/>
      <c r="AD88" s="336"/>
      <c r="AE88" s="336"/>
    </row>
    <row r="89" spans="1:31">
      <c r="A89" s="2166"/>
      <c r="B89" s="2056"/>
      <c r="C89" s="2069"/>
      <c r="D89" s="2176"/>
      <c r="E89" s="2176"/>
      <c r="F89" s="2209"/>
      <c r="G89" s="2210"/>
      <c r="H89" s="1807"/>
      <c r="I89" s="1805"/>
      <c r="J89" s="1822"/>
      <c r="K89" s="1821"/>
      <c r="L89" s="1805"/>
      <c r="M89" s="1820"/>
      <c r="N89" s="2211"/>
      <c r="O89" s="2212"/>
      <c r="AD89" s="336"/>
      <c r="AE89" s="336"/>
    </row>
    <row r="90" spans="1:31">
      <c r="A90" s="2166"/>
      <c r="B90" s="2056"/>
      <c r="C90" s="2069"/>
      <c r="D90" s="2176"/>
      <c r="E90" s="2176"/>
      <c r="F90" s="2209"/>
      <c r="G90" s="2210"/>
      <c r="H90" s="1807"/>
      <c r="I90" s="1805"/>
      <c r="J90" s="1822"/>
      <c r="K90" s="1821"/>
      <c r="L90" s="1805"/>
      <c r="M90" s="1820"/>
      <c r="N90" s="2211"/>
      <c r="O90" s="2212"/>
      <c r="Y90" s="336"/>
      <c r="Z90" s="336"/>
      <c r="AD90" s="336"/>
      <c r="AE90" s="336"/>
    </row>
    <row r="91" spans="1:31">
      <c r="A91" s="2166"/>
      <c r="B91" s="2056"/>
      <c r="C91" s="2069"/>
      <c r="D91" s="2176"/>
      <c r="E91" s="2176"/>
      <c r="F91" s="2209"/>
      <c r="G91" s="2210"/>
      <c r="H91" s="1807"/>
      <c r="I91" s="1805"/>
      <c r="J91" s="1822"/>
      <c r="K91" s="1821"/>
      <c r="L91" s="1805"/>
      <c r="M91" s="1820"/>
      <c r="N91" s="2211"/>
      <c r="O91" s="2212"/>
      <c r="Z91" s="336"/>
      <c r="AA91" s="336"/>
      <c r="AB91" s="336"/>
      <c r="AC91" s="336"/>
      <c r="AD91" s="336"/>
      <c r="AE91" s="336"/>
    </row>
    <row r="92" spans="1:31">
      <c r="A92" s="2166"/>
      <c r="B92" s="2056"/>
      <c r="C92" s="2069"/>
      <c r="D92" s="2176"/>
      <c r="E92" s="2176"/>
      <c r="F92" s="2209"/>
      <c r="G92" s="2210"/>
      <c r="H92" s="1807"/>
      <c r="I92" s="1805"/>
      <c r="J92" s="1822"/>
      <c r="K92" s="1821"/>
      <c r="L92" s="1805"/>
      <c r="M92" s="1820"/>
      <c r="N92" s="2211"/>
      <c r="O92" s="2212"/>
      <c r="AD92" s="336"/>
      <c r="AE92" s="336"/>
    </row>
    <row r="93" spans="1:31">
      <c r="A93" s="2166"/>
      <c r="B93" s="2056"/>
      <c r="C93" s="2069"/>
      <c r="D93" s="2176"/>
      <c r="E93" s="2176"/>
      <c r="F93" s="2209"/>
      <c r="G93" s="2210"/>
      <c r="H93" s="1807"/>
      <c r="I93" s="1805"/>
      <c r="J93" s="1822"/>
      <c r="K93" s="1821"/>
      <c r="L93" s="1805"/>
      <c r="M93" s="1820"/>
      <c r="N93" s="2211"/>
      <c r="O93" s="2212"/>
      <c r="AD93" s="336"/>
      <c r="AE93" s="336"/>
    </row>
    <row r="94" spans="1:31">
      <c r="A94" s="2166"/>
      <c r="B94" s="2056"/>
      <c r="C94" s="2069"/>
      <c r="D94" s="2176"/>
      <c r="E94" s="2176"/>
      <c r="F94" s="2209"/>
      <c r="G94" s="2210"/>
      <c r="H94" s="1807"/>
      <c r="I94" s="1805"/>
      <c r="J94" s="1822"/>
      <c r="K94" s="1821"/>
      <c r="L94" s="1805"/>
      <c r="M94" s="1820"/>
      <c r="N94" s="2211"/>
      <c r="O94" s="2212"/>
      <c r="AD94" s="336"/>
      <c r="AE94" s="336"/>
    </row>
    <row r="95" spans="1:31">
      <c r="A95" s="2166"/>
      <c r="B95" s="2056"/>
      <c r="C95" s="2069"/>
      <c r="D95" s="2176"/>
      <c r="E95" s="2176"/>
      <c r="F95" s="2209"/>
      <c r="G95" s="2210"/>
      <c r="H95" s="1807"/>
      <c r="I95" s="1805"/>
      <c r="J95" s="1822"/>
      <c r="K95" s="1821"/>
      <c r="L95" s="1805"/>
      <c r="M95" s="1820"/>
      <c r="N95" s="2211"/>
      <c r="O95" s="2212"/>
      <c r="AD95" s="336"/>
      <c r="AE95" s="336"/>
    </row>
    <row r="96" spans="1:31">
      <c r="A96" s="2166"/>
      <c r="B96" s="2056"/>
      <c r="C96" s="2069"/>
      <c r="D96" s="2176"/>
      <c r="E96" s="2176"/>
      <c r="F96" s="2209"/>
      <c r="G96" s="2210"/>
      <c r="H96" s="1807"/>
      <c r="I96" s="1805"/>
      <c r="J96" s="1822"/>
      <c r="K96" s="1821"/>
      <c r="L96" s="1805"/>
      <c r="M96" s="1820"/>
      <c r="N96" s="2211"/>
      <c r="O96" s="2212"/>
      <c r="AD96" s="336"/>
      <c r="AE96" s="336"/>
    </row>
    <row r="97" spans="1:31">
      <c r="A97" s="2166"/>
      <c r="B97" s="2056"/>
      <c r="C97" s="2069"/>
      <c r="D97" s="2176"/>
      <c r="E97" s="2176"/>
      <c r="F97" s="2209"/>
      <c r="G97" s="2210"/>
      <c r="H97" s="1807"/>
      <c r="I97" s="1805"/>
      <c r="J97" s="1822"/>
      <c r="K97" s="1821"/>
      <c r="L97" s="1805"/>
      <c r="M97" s="1820"/>
      <c r="N97" s="2211"/>
      <c r="O97" s="2212"/>
      <c r="AD97" s="336"/>
      <c r="AE97" s="336"/>
    </row>
    <row r="98" spans="1:31">
      <c r="A98" s="2166"/>
      <c r="B98" s="2056"/>
      <c r="C98" s="2069"/>
      <c r="D98" s="2176"/>
      <c r="E98" s="2176"/>
      <c r="F98" s="2209"/>
      <c r="G98" s="2210"/>
      <c r="H98" s="1807"/>
      <c r="I98" s="1805"/>
      <c r="J98" s="1822"/>
      <c r="K98" s="1821"/>
      <c r="L98" s="1805"/>
      <c r="M98" s="1820"/>
      <c r="N98" s="2211"/>
      <c r="O98" s="2212"/>
      <c r="AD98" s="336"/>
      <c r="AE98" s="336"/>
    </row>
    <row r="99" spans="1:31">
      <c r="A99" s="2166"/>
      <c r="B99" s="2056"/>
      <c r="C99" s="2069"/>
      <c r="D99" s="2176"/>
      <c r="E99" s="2176"/>
      <c r="F99" s="2209"/>
      <c r="G99" s="2210"/>
      <c r="H99" s="1807"/>
      <c r="I99" s="1805"/>
      <c r="J99" s="1822"/>
      <c r="K99" s="1821"/>
      <c r="L99" s="1805"/>
      <c r="M99" s="1820"/>
      <c r="N99" s="2211"/>
      <c r="O99" s="2212"/>
      <c r="AD99" s="336"/>
      <c r="AE99" s="336"/>
    </row>
    <row r="100" spans="1:31">
      <c r="A100" s="2166"/>
      <c r="B100" s="2056"/>
      <c r="C100" s="2069"/>
      <c r="D100" s="2176"/>
      <c r="E100" s="2176"/>
      <c r="F100" s="2209"/>
      <c r="G100" s="2210"/>
      <c r="H100" s="1807"/>
      <c r="I100" s="1805"/>
      <c r="J100" s="1822"/>
      <c r="K100" s="1821"/>
      <c r="L100" s="1805"/>
      <c r="M100" s="1820"/>
      <c r="N100" s="2211"/>
      <c r="O100" s="2212"/>
      <c r="AD100" s="336"/>
      <c r="AE100" s="336"/>
    </row>
    <row r="101" spans="1:31">
      <c r="A101" s="2166"/>
      <c r="B101" s="2056"/>
      <c r="C101" s="2069"/>
      <c r="D101" s="2176"/>
      <c r="E101" s="2176"/>
      <c r="F101" s="2209"/>
      <c r="G101" s="2210"/>
      <c r="H101" s="1807"/>
      <c r="I101" s="1805"/>
      <c r="J101" s="1822"/>
      <c r="K101" s="1821"/>
      <c r="L101" s="1805"/>
      <c r="M101" s="1820"/>
      <c r="N101" s="2211"/>
      <c r="O101" s="2212"/>
      <c r="AD101" s="336"/>
      <c r="AE101" s="336"/>
    </row>
    <row r="102" spans="1:31">
      <c r="A102" s="2166"/>
      <c r="B102" s="2056"/>
      <c r="C102" s="2069"/>
      <c r="D102" s="2176"/>
      <c r="E102" s="2176"/>
      <c r="F102" s="2209"/>
      <c r="G102" s="2210"/>
      <c r="H102" s="1807"/>
      <c r="I102" s="1805"/>
      <c r="J102" s="1822"/>
      <c r="K102" s="1821"/>
      <c r="L102" s="1805"/>
      <c r="M102" s="1820"/>
      <c r="N102" s="2211"/>
      <c r="O102" s="2212"/>
      <c r="AD102" s="336"/>
      <c r="AE102" s="336"/>
    </row>
    <row r="103" spans="1:31">
      <c r="A103" s="2166"/>
      <c r="B103" s="2056"/>
      <c r="C103" s="2069"/>
      <c r="D103" s="2176"/>
      <c r="E103" s="2176"/>
      <c r="F103" s="2209"/>
      <c r="G103" s="2210"/>
      <c r="H103" s="1807"/>
      <c r="I103" s="1805"/>
      <c r="J103" s="1822"/>
      <c r="K103" s="1821"/>
      <c r="L103" s="1805"/>
      <c r="M103" s="1820"/>
      <c r="N103" s="2211"/>
      <c r="O103" s="2212"/>
      <c r="AD103" s="336"/>
      <c r="AE103" s="336"/>
    </row>
    <row r="104" spans="1:31">
      <c r="A104" s="2166"/>
      <c r="B104" s="2056"/>
      <c r="C104" s="2069"/>
      <c r="D104" s="2176"/>
      <c r="E104" s="2176"/>
      <c r="F104" s="2209"/>
      <c r="G104" s="2210"/>
      <c r="H104" s="1807"/>
      <c r="I104" s="1805"/>
      <c r="J104" s="1822"/>
      <c r="K104" s="1821"/>
      <c r="L104" s="1805"/>
      <c r="M104" s="1820"/>
      <c r="N104" s="2211"/>
      <c r="O104" s="2212"/>
      <c r="Y104" s="336"/>
      <c r="Z104" s="336"/>
      <c r="AA104" s="336"/>
      <c r="AB104" s="336"/>
      <c r="AC104" s="336"/>
      <c r="AD104" s="336"/>
      <c r="AE104" s="336"/>
    </row>
    <row r="105" spans="1:31">
      <c r="A105" s="2166"/>
      <c r="B105" s="2056"/>
      <c r="C105" s="2069"/>
      <c r="D105" s="2176"/>
      <c r="E105" s="2176"/>
      <c r="F105" s="2209"/>
      <c r="G105" s="2210"/>
      <c r="H105" s="1807"/>
      <c r="I105" s="1805"/>
      <c r="J105" s="1822"/>
      <c r="K105" s="1821"/>
      <c r="L105" s="1805"/>
      <c r="M105" s="1820"/>
      <c r="N105" s="2211"/>
      <c r="O105" s="2212"/>
      <c r="AD105" s="336"/>
      <c r="AE105" s="336"/>
    </row>
    <row r="106" spans="1:31">
      <c r="A106" s="2166"/>
      <c r="B106" s="2056"/>
      <c r="C106" s="2069"/>
      <c r="D106" s="2176"/>
      <c r="E106" s="2176"/>
      <c r="F106" s="2209"/>
      <c r="G106" s="2210"/>
      <c r="H106" s="1807"/>
      <c r="I106" s="1805"/>
      <c r="J106" s="1822"/>
      <c r="K106" s="1821"/>
      <c r="L106" s="1805"/>
      <c r="M106" s="1820"/>
      <c r="N106" s="2211"/>
      <c r="O106" s="2212"/>
      <c r="AD106" s="336"/>
      <c r="AE106" s="336"/>
    </row>
    <row r="107" spans="1:31">
      <c r="A107" s="2166"/>
      <c r="B107" s="2056"/>
      <c r="C107" s="2069"/>
      <c r="D107" s="2176"/>
      <c r="E107" s="2176"/>
      <c r="F107" s="2209"/>
      <c r="G107" s="2210"/>
      <c r="H107" s="1807"/>
      <c r="I107" s="1805"/>
      <c r="J107" s="1822"/>
      <c r="K107" s="1821"/>
      <c r="L107" s="1805"/>
      <c r="M107" s="1820"/>
      <c r="N107" s="2211"/>
      <c r="O107" s="2212"/>
      <c r="AD107" s="336"/>
      <c r="AE107" s="336"/>
    </row>
    <row r="108" spans="1:31">
      <c r="A108" s="2166"/>
      <c r="B108" s="2056"/>
      <c r="C108" s="2069"/>
      <c r="D108" s="2176"/>
      <c r="E108" s="2176"/>
      <c r="F108" s="2209"/>
      <c r="G108" s="2210"/>
      <c r="H108" s="1807"/>
      <c r="I108" s="1805"/>
      <c r="J108" s="1822"/>
      <c r="K108" s="1821"/>
      <c r="L108" s="1805"/>
      <c r="M108" s="1820"/>
      <c r="N108" s="2211"/>
      <c r="O108" s="2212"/>
      <c r="AD108" s="336"/>
      <c r="AE108" s="336"/>
    </row>
    <row r="109" spans="1:31">
      <c r="A109" s="2166"/>
      <c r="B109" s="2056"/>
      <c r="C109" s="2069"/>
      <c r="D109" s="2176"/>
      <c r="E109" s="2176"/>
      <c r="F109" s="2209"/>
      <c r="G109" s="2210"/>
      <c r="H109" s="1807"/>
      <c r="I109" s="1805"/>
      <c r="J109" s="1822"/>
      <c r="K109" s="1821"/>
      <c r="L109" s="1805"/>
      <c r="M109" s="1820"/>
      <c r="N109" s="2211"/>
      <c r="O109" s="2212"/>
      <c r="AD109" s="336"/>
      <c r="AE109" s="336"/>
    </row>
    <row r="110" spans="1:31">
      <c r="A110" s="2166"/>
      <c r="B110" s="2056"/>
      <c r="C110" s="2069"/>
      <c r="D110" s="2176"/>
      <c r="E110" s="2176"/>
      <c r="F110" s="2209"/>
      <c r="G110" s="2210"/>
      <c r="H110" s="1807"/>
      <c r="I110" s="1805"/>
      <c r="J110" s="1822"/>
      <c r="K110" s="1821"/>
      <c r="L110" s="1805"/>
      <c r="M110" s="1820"/>
      <c r="N110" s="2211"/>
      <c r="O110" s="2212"/>
      <c r="AD110" s="336"/>
      <c r="AE110" s="336"/>
    </row>
    <row r="111" spans="1:31">
      <c r="A111" s="2166"/>
      <c r="B111" s="2056"/>
      <c r="C111" s="2069"/>
      <c r="D111" s="2176"/>
      <c r="E111" s="2176"/>
      <c r="F111" s="2209"/>
      <c r="G111" s="2210"/>
      <c r="H111" s="1807"/>
      <c r="I111" s="1805"/>
      <c r="J111" s="1822"/>
      <c r="K111" s="1821"/>
      <c r="L111" s="1805"/>
      <c r="M111" s="1820"/>
      <c r="N111" s="2211"/>
      <c r="O111" s="2212"/>
      <c r="AD111" s="336"/>
      <c r="AE111" s="336"/>
    </row>
    <row r="112" spans="1:31">
      <c r="A112" s="2166"/>
      <c r="B112" s="2056"/>
      <c r="C112" s="2069"/>
      <c r="D112" s="2176"/>
      <c r="E112" s="2176"/>
      <c r="F112" s="2209"/>
      <c r="G112" s="2210"/>
      <c r="H112" s="1807"/>
      <c r="I112" s="1805"/>
      <c r="J112" s="1822"/>
      <c r="K112" s="1821"/>
      <c r="L112" s="1805"/>
      <c r="M112" s="1820"/>
      <c r="N112" s="2211"/>
      <c r="O112" s="2212"/>
      <c r="AD112" s="336"/>
      <c r="AE112" s="336"/>
    </row>
    <row r="113" spans="1:31">
      <c r="A113" s="2166"/>
      <c r="B113" s="2056"/>
      <c r="C113" s="2069"/>
      <c r="D113" s="2176"/>
      <c r="E113" s="2176"/>
      <c r="F113" s="2209"/>
      <c r="G113" s="2210"/>
      <c r="H113" s="1807"/>
      <c r="I113" s="1805"/>
      <c r="J113" s="1822"/>
      <c r="K113" s="1821"/>
      <c r="L113" s="1805"/>
      <c r="M113" s="1820"/>
      <c r="N113" s="2211"/>
      <c r="O113" s="2212"/>
      <c r="AD113" s="336"/>
      <c r="AE113" s="336"/>
    </row>
    <row r="114" spans="1:31">
      <c r="A114" s="2166"/>
      <c r="B114" s="2056"/>
      <c r="C114" s="2069"/>
      <c r="D114" s="2176"/>
      <c r="E114" s="2176"/>
      <c r="F114" s="2209"/>
      <c r="G114" s="2210"/>
      <c r="H114" s="1807"/>
      <c r="I114" s="1805"/>
      <c r="J114" s="1822"/>
      <c r="K114" s="1821"/>
      <c r="L114" s="1805"/>
      <c r="M114" s="1820"/>
      <c r="N114" s="2211"/>
      <c r="O114" s="2212"/>
      <c r="AD114" s="336"/>
      <c r="AE114" s="336"/>
    </row>
    <row r="115" spans="1:31">
      <c r="A115" s="2166"/>
      <c r="B115" s="2056"/>
      <c r="C115" s="2069"/>
      <c r="D115" s="2176"/>
      <c r="E115" s="2176"/>
      <c r="F115" s="2209"/>
      <c r="G115" s="2210"/>
      <c r="H115" s="1807"/>
      <c r="I115" s="1805"/>
      <c r="J115" s="1822"/>
      <c r="K115" s="1821"/>
      <c r="L115" s="1805"/>
      <c r="M115" s="1820"/>
      <c r="N115" s="2211"/>
      <c r="O115" s="2212"/>
      <c r="AD115" s="336"/>
      <c r="AE115" s="336"/>
    </row>
    <row r="116" spans="1:31">
      <c r="A116" s="2166"/>
      <c r="B116" s="2056"/>
      <c r="C116" s="2069"/>
      <c r="D116" s="2176"/>
      <c r="E116" s="2176"/>
      <c r="F116" s="2209"/>
      <c r="G116" s="2210"/>
      <c r="H116" s="1807"/>
      <c r="I116" s="1805"/>
      <c r="J116" s="1822"/>
      <c r="K116" s="1821"/>
      <c r="L116" s="1805"/>
      <c r="M116" s="1820"/>
      <c r="N116" s="2211"/>
      <c r="O116" s="2212"/>
      <c r="AD116" s="336"/>
      <c r="AE116" s="336"/>
    </row>
    <row r="117" spans="1:31">
      <c r="A117" s="2166"/>
      <c r="B117" s="2056"/>
      <c r="C117" s="2069"/>
      <c r="D117" s="2176"/>
      <c r="E117" s="2176"/>
      <c r="F117" s="2209"/>
      <c r="G117" s="2210"/>
      <c r="H117" s="1807"/>
      <c r="I117" s="1805"/>
      <c r="J117" s="1822"/>
      <c r="K117" s="1821"/>
      <c r="L117" s="1805"/>
      <c r="M117" s="1820"/>
      <c r="N117" s="2211"/>
      <c r="O117" s="2212"/>
      <c r="AD117" s="336"/>
      <c r="AE117" s="336"/>
    </row>
    <row r="118" spans="1:31">
      <c r="A118" s="2166"/>
      <c r="B118" s="2056"/>
      <c r="C118" s="2069"/>
      <c r="D118" s="2176"/>
      <c r="E118" s="2176"/>
      <c r="F118" s="2209"/>
      <c r="G118" s="2210"/>
      <c r="H118" s="1807"/>
      <c r="I118" s="1805"/>
      <c r="J118" s="1822"/>
      <c r="K118" s="1821"/>
      <c r="L118" s="1805"/>
      <c r="M118" s="1820"/>
      <c r="N118" s="2211"/>
      <c r="O118" s="2212"/>
      <c r="Y118" s="336"/>
      <c r="Z118" s="336"/>
      <c r="AA118" s="336"/>
      <c r="AB118" s="336"/>
      <c r="AC118" s="336"/>
      <c r="AD118" s="336"/>
      <c r="AE118" s="336"/>
    </row>
    <row r="119" spans="1:31">
      <c r="A119" s="2166"/>
      <c r="B119" s="2056"/>
      <c r="C119" s="2069"/>
      <c r="D119" s="2176"/>
      <c r="E119" s="2176"/>
      <c r="F119" s="2209"/>
      <c r="G119" s="2210"/>
      <c r="H119" s="1807"/>
      <c r="I119" s="1805"/>
      <c r="J119" s="1822"/>
      <c r="K119" s="1821"/>
      <c r="L119" s="1805"/>
      <c r="M119" s="1820"/>
      <c r="N119" s="2211"/>
      <c r="O119" s="2212"/>
      <c r="Y119" s="336"/>
      <c r="Z119" s="336"/>
      <c r="AD119" s="336"/>
      <c r="AE119" s="336"/>
    </row>
    <row r="120" spans="1:31">
      <c r="A120" s="2166"/>
      <c r="B120" s="2056"/>
      <c r="C120" s="2069"/>
      <c r="D120" s="2176"/>
      <c r="E120" s="2176"/>
      <c r="F120" s="2209"/>
      <c r="G120" s="2210"/>
      <c r="H120" s="1807"/>
      <c r="I120" s="1805"/>
      <c r="J120" s="1822"/>
      <c r="K120" s="1821"/>
      <c r="L120" s="1805"/>
      <c r="M120" s="1820"/>
      <c r="N120" s="2211"/>
      <c r="O120" s="2212"/>
      <c r="AA120" s="336"/>
      <c r="AB120" s="336"/>
      <c r="AD120" s="336"/>
      <c r="AE120" s="336"/>
    </row>
    <row r="121" spans="1:31">
      <c r="A121" s="2166"/>
      <c r="B121" s="2056"/>
      <c r="C121" s="2069"/>
      <c r="D121" s="2176"/>
      <c r="E121" s="2176"/>
      <c r="F121" s="2209"/>
      <c r="G121" s="2210"/>
      <c r="H121" s="1807"/>
      <c r="I121" s="1805"/>
      <c r="J121" s="1822"/>
      <c r="K121" s="1821"/>
      <c r="L121" s="1805"/>
      <c r="M121" s="1820"/>
      <c r="N121" s="2211"/>
      <c r="O121" s="2212"/>
      <c r="T121" s="336"/>
      <c r="AD121" s="336"/>
      <c r="AE121" s="336"/>
    </row>
    <row r="122" spans="1:31">
      <c r="A122" s="2166"/>
      <c r="B122" s="2056"/>
      <c r="C122" s="2069"/>
      <c r="D122" s="2176"/>
      <c r="E122" s="2176"/>
      <c r="F122" s="2209"/>
      <c r="G122" s="2210"/>
      <c r="H122" s="1807"/>
      <c r="I122" s="1805"/>
      <c r="J122" s="1822"/>
      <c r="K122" s="1821"/>
      <c r="L122" s="1805"/>
      <c r="M122" s="1820"/>
      <c r="N122" s="2211"/>
      <c r="O122" s="2212"/>
      <c r="T122" s="336"/>
      <c r="AD122" s="336"/>
      <c r="AE122" s="336"/>
    </row>
    <row r="123" spans="1:31">
      <c r="A123" s="2166"/>
      <c r="B123" s="2056"/>
      <c r="C123" s="2069"/>
      <c r="D123" s="2176"/>
      <c r="E123" s="2176"/>
      <c r="F123" s="2209"/>
      <c r="G123" s="2210"/>
      <c r="H123" s="1807"/>
      <c r="I123" s="1805"/>
      <c r="J123" s="1822"/>
      <c r="K123" s="1821"/>
      <c r="L123" s="1805"/>
      <c r="M123" s="1820"/>
      <c r="N123" s="2211"/>
      <c r="O123" s="2212"/>
      <c r="T123" s="336"/>
      <c r="AA123" s="336"/>
      <c r="AB123" s="336"/>
      <c r="AD123" s="336"/>
      <c r="AE123" s="336"/>
    </row>
    <row r="124" spans="1:31">
      <c r="A124" s="2166"/>
      <c r="B124" s="2056"/>
      <c r="C124" s="2069"/>
      <c r="D124" s="2176"/>
      <c r="E124" s="2176"/>
      <c r="F124" s="2209"/>
      <c r="G124" s="2210"/>
      <c r="H124" s="1807"/>
      <c r="I124" s="1805"/>
      <c r="J124" s="1822"/>
      <c r="K124" s="1821"/>
      <c r="L124" s="1805"/>
      <c r="M124" s="1820"/>
      <c r="N124" s="2211"/>
      <c r="O124" s="2212"/>
      <c r="S124" s="1772"/>
      <c r="T124" s="1772"/>
      <c r="U124" s="1772"/>
      <c r="V124" s="1772"/>
      <c r="W124" s="1772"/>
      <c r="X124" s="1772"/>
      <c r="Y124" s="1772"/>
      <c r="Z124" s="1772"/>
      <c r="AA124" s="1772"/>
      <c r="AB124" s="1772"/>
      <c r="AC124" s="1772"/>
      <c r="AD124" s="336"/>
      <c r="AE124" s="336"/>
    </row>
    <row r="125" spans="1:31">
      <c r="A125" s="2166"/>
      <c r="B125" s="2056"/>
      <c r="C125" s="2069"/>
      <c r="D125" s="2176"/>
      <c r="E125" s="2176"/>
      <c r="F125" s="2209"/>
      <c r="G125" s="2210"/>
      <c r="H125" s="1807"/>
      <c r="I125" s="1805"/>
      <c r="J125" s="1822"/>
      <c r="K125" s="1821"/>
      <c r="L125" s="1805"/>
      <c r="M125" s="1820"/>
      <c r="N125" s="2211"/>
      <c r="O125" s="2212"/>
      <c r="AD125" s="336"/>
      <c r="AE125" s="336"/>
    </row>
    <row r="126" spans="1:31">
      <c r="A126" s="2166"/>
      <c r="B126" s="2056"/>
      <c r="C126" s="2069"/>
      <c r="D126" s="2176"/>
      <c r="E126" s="2176"/>
      <c r="F126" s="2209"/>
      <c r="G126" s="2210"/>
      <c r="H126" s="1807"/>
      <c r="I126" s="1805"/>
      <c r="J126" s="1822"/>
      <c r="K126" s="1821"/>
      <c r="L126" s="1805"/>
      <c r="M126" s="1820"/>
      <c r="N126" s="2211"/>
      <c r="O126" s="2212"/>
      <c r="AD126" s="336"/>
      <c r="AE126" s="336"/>
    </row>
    <row r="127" spans="1:31">
      <c r="A127" s="2166"/>
      <c r="B127" s="2056"/>
      <c r="C127" s="2069"/>
      <c r="D127" s="2176"/>
      <c r="E127" s="2176"/>
      <c r="F127" s="2209"/>
      <c r="G127" s="2210"/>
      <c r="H127" s="1807"/>
      <c r="I127" s="1805"/>
      <c r="J127" s="1822"/>
      <c r="K127" s="1821"/>
      <c r="L127" s="1805"/>
      <c r="M127" s="1820"/>
      <c r="N127" s="2211"/>
      <c r="O127" s="2212"/>
      <c r="AD127" s="336"/>
      <c r="AE127" s="336"/>
    </row>
    <row r="128" spans="1:31">
      <c r="A128" s="2166"/>
      <c r="B128" s="2056"/>
      <c r="C128" s="2069"/>
      <c r="D128" s="2176"/>
      <c r="E128" s="2176"/>
      <c r="F128" s="2209"/>
      <c r="G128" s="2210"/>
      <c r="H128" s="1807"/>
      <c r="I128" s="1805"/>
      <c r="J128" s="1822"/>
      <c r="K128" s="1821"/>
      <c r="L128" s="1805"/>
      <c r="M128" s="1820"/>
      <c r="N128" s="2211"/>
      <c r="O128" s="2212"/>
      <c r="AA128" s="336"/>
      <c r="AB128" s="336"/>
      <c r="AD128" s="336"/>
      <c r="AE128" s="336"/>
    </row>
    <row r="129" spans="1:31">
      <c r="A129" s="2166"/>
      <c r="B129" s="2056"/>
      <c r="C129" s="2069"/>
      <c r="D129" s="2176"/>
      <c r="E129" s="2176"/>
      <c r="F129" s="2209"/>
      <c r="G129" s="2210"/>
      <c r="H129" s="1807"/>
      <c r="I129" s="1805"/>
      <c r="J129" s="1822"/>
      <c r="K129" s="1821"/>
      <c r="L129" s="1805"/>
      <c r="M129" s="1820"/>
      <c r="N129" s="2211"/>
      <c r="O129" s="2212"/>
      <c r="AD129" s="336"/>
      <c r="AE129" s="336"/>
    </row>
    <row r="130" spans="1:31">
      <c r="A130" s="2166"/>
      <c r="B130" s="2056"/>
      <c r="C130" s="2069"/>
      <c r="D130" s="2176"/>
      <c r="E130" s="2176"/>
      <c r="F130" s="2209"/>
      <c r="G130" s="2210"/>
      <c r="H130" s="1807"/>
      <c r="I130" s="1805"/>
      <c r="J130" s="1822"/>
      <c r="K130" s="1821"/>
      <c r="L130" s="1805"/>
      <c r="M130" s="1820"/>
      <c r="N130" s="2211"/>
      <c r="O130" s="2212"/>
      <c r="AD130" s="336"/>
      <c r="AE130" s="336"/>
    </row>
    <row r="131" spans="1:31">
      <c r="A131" s="2166"/>
      <c r="B131" s="2056"/>
      <c r="C131" s="2069"/>
      <c r="D131" s="2176"/>
      <c r="E131" s="2176"/>
      <c r="F131" s="2209"/>
      <c r="G131" s="2210"/>
      <c r="H131" s="1807"/>
      <c r="I131" s="1805"/>
      <c r="J131" s="1822"/>
      <c r="K131" s="1821"/>
      <c r="L131" s="1805"/>
      <c r="M131" s="1820"/>
      <c r="N131" s="2211"/>
      <c r="O131" s="2212"/>
      <c r="AA131" s="336"/>
      <c r="AB131" s="336"/>
      <c r="AC131" s="336"/>
      <c r="AD131" s="336"/>
      <c r="AE131" s="336"/>
    </row>
    <row r="132" spans="1:31">
      <c r="A132" s="2166"/>
      <c r="B132" s="2056"/>
      <c r="C132" s="2069"/>
      <c r="D132" s="2176"/>
      <c r="E132" s="2176"/>
      <c r="F132" s="2209"/>
      <c r="G132" s="2210"/>
      <c r="H132" s="1807"/>
      <c r="I132" s="1805"/>
      <c r="J132" s="1822"/>
      <c r="K132" s="1821"/>
      <c r="L132" s="1805"/>
      <c r="M132" s="1820"/>
      <c r="N132" s="2211"/>
      <c r="O132" s="2212"/>
      <c r="AD132" s="336"/>
      <c r="AE132" s="336"/>
    </row>
    <row r="133" spans="1:31">
      <c r="A133" s="2166"/>
      <c r="B133" s="2056"/>
      <c r="C133" s="2069"/>
      <c r="D133" s="2176"/>
      <c r="E133" s="2176"/>
      <c r="F133" s="2209"/>
      <c r="G133" s="2210"/>
      <c r="H133" s="1807"/>
      <c r="I133" s="1805"/>
      <c r="J133" s="1822"/>
      <c r="K133" s="1821"/>
      <c r="L133" s="1805"/>
      <c r="M133" s="1820"/>
      <c r="N133" s="2211"/>
      <c r="O133" s="2212"/>
      <c r="AD133" s="336"/>
      <c r="AE133" s="336"/>
    </row>
    <row r="134" spans="1:31">
      <c r="A134" s="2166"/>
      <c r="B134" s="2056"/>
      <c r="C134" s="2069"/>
      <c r="D134" s="2176"/>
      <c r="E134" s="2176"/>
      <c r="F134" s="2209"/>
      <c r="G134" s="2210"/>
      <c r="H134" s="1807"/>
      <c r="I134" s="1805"/>
      <c r="J134" s="1822"/>
      <c r="K134" s="1821"/>
      <c r="L134" s="1805"/>
      <c r="M134" s="1820"/>
      <c r="N134" s="2211"/>
      <c r="O134" s="2212"/>
      <c r="AA134" s="336"/>
      <c r="AB134" s="336"/>
      <c r="AC134" s="336"/>
      <c r="AD134" s="336"/>
      <c r="AE134" s="336"/>
    </row>
    <row r="135" spans="1:31">
      <c r="A135" s="2166"/>
      <c r="B135" s="2056"/>
      <c r="C135" s="2069"/>
      <c r="D135" s="2176"/>
      <c r="E135" s="2176"/>
      <c r="F135" s="2209"/>
      <c r="G135" s="2210"/>
      <c r="H135" s="1807"/>
      <c r="I135" s="1805"/>
      <c r="J135" s="1822"/>
      <c r="K135" s="1821"/>
      <c r="L135" s="1805"/>
      <c r="M135" s="1820"/>
      <c r="N135" s="2211"/>
      <c r="O135" s="2212"/>
      <c r="AA135" s="336"/>
      <c r="AB135" s="336"/>
      <c r="AC135" s="336"/>
      <c r="AD135" s="336"/>
      <c r="AE135" s="336"/>
    </row>
    <row r="136" spans="1:31">
      <c r="A136" s="2166"/>
      <c r="B136" s="2056"/>
      <c r="C136" s="2069"/>
      <c r="D136" s="2176"/>
      <c r="E136" s="2176"/>
      <c r="F136" s="2209"/>
      <c r="G136" s="2210"/>
      <c r="H136" s="1807"/>
      <c r="I136" s="1805"/>
      <c r="J136" s="1822"/>
      <c r="K136" s="1821"/>
      <c r="L136" s="1805"/>
      <c r="M136" s="1820"/>
      <c r="N136" s="2211"/>
      <c r="O136" s="2212"/>
      <c r="AA136" s="336"/>
      <c r="AB136" s="336"/>
      <c r="AC136" s="336"/>
      <c r="AD136" s="336"/>
      <c r="AE136" s="336"/>
    </row>
    <row r="137" spans="1:31">
      <c r="A137" s="2166"/>
      <c r="B137" s="2056"/>
      <c r="C137" s="2069"/>
      <c r="D137" s="2176"/>
      <c r="E137" s="2176"/>
      <c r="F137" s="2209"/>
      <c r="G137" s="2210"/>
      <c r="H137" s="1807"/>
      <c r="I137" s="1805"/>
      <c r="J137" s="1822"/>
      <c r="K137" s="1821"/>
      <c r="L137" s="1805"/>
      <c r="M137" s="1820"/>
      <c r="N137" s="2211"/>
      <c r="O137" s="2212"/>
      <c r="AD137" s="336"/>
      <c r="AE137" s="336"/>
    </row>
    <row r="138" spans="1:31">
      <c r="A138" s="2166"/>
      <c r="B138" s="2056"/>
      <c r="C138" s="2069"/>
      <c r="D138" s="2176"/>
      <c r="E138" s="2176"/>
      <c r="F138" s="2209"/>
      <c r="G138" s="2210"/>
      <c r="H138" s="1807"/>
      <c r="I138" s="1805"/>
      <c r="J138" s="1822"/>
      <c r="K138" s="1821"/>
      <c r="L138" s="1805"/>
      <c r="M138" s="1820"/>
      <c r="N138" s="2211"/>
      <c r="O138" s="2212"/>
      <c r="AC138" s="336"/>
      <c r="AD138" s="336"/>
      <c r="AE138" s="336"/>
    </row>
    <row r="139" spans="1:31">
      <c r="A139" s="2166"/>
      <c r="B139" s="2056"/>
      <c r="C139" s="2069"/>
      <c r="D139" s="2176"/>
      <c r="E139" s="2176"/>
      <c r="F139" s="2209"/>
      <c r="G139" s="2210"/>
      <c r="H139" s="1807"/>
      <c r="I139" s="1805"/>
      <c r="J139" s="1822"/>
      <c r="K139" s="1821"/>
      <c r="L139" s="1805"/>
      <c r="M139" s="1820"/>
      <c r="N139" s="2211"/>
      <c r="O139" s="2212"/>
      <c r="AA139" s="336"/>
      <c r="AB139" s="336"/>
      <c r="AC139" s="336"/>
      <c r="AD139" s="336"/>
      <c r="AE139" s="336"/>
    </row>
    <row r="140" spans="1:31">
      <c r="A140" s="2166"/>
      <c r="B140" s="2056"/>
      <c r="C140" s="2069"/>
      <c r="D140" s="2176"/>
      <c r="E140" s="2176"/>
      <c r="F140" s="2209"/>
      <c r="G140" s="2210"/>
      <c r="H140" s="1807"/>
      <c r="I140" s="1805"/>
      <c r="J140" s="1822"/>
      <c r="K140" s="1821"/>
      <c r="L140" s="1805"/>
      <c r="M140" s="1820"/>
      <c r="N140" s="2211"/>
      <c r="O140" s="2212"/>
      <c r="AA140" s="336"/>
      <c r="AB140" s="336"/>
      <c r="AC140" s="336"/>
      <c r="AD140" s="336"/>
      <c r="AE140" s="336"/>
    </row>
    <row r="141" spans="1:31">
      <c r="A141" s="2166"/>
      <c r="B141" s="2056"/>
      <c r="C141" s="2069"/>
      <c r="D141" s="2176"/>
      <c r="E141" s="2176"/>
      <c r="F141" s="2209"/>
      <c r="G141" s="2210"/>
      <c r="H141" s="1807"/>
      <c r="I141" s="1805"/>
      <c r="J141" s="1822"/>
      <c r="K141" s="1821"/>
      <c r="L141" s="1805"/>
      <c r="M141" s="1820"/>
      <c r="N141" s="2211"/>
      <c r="O141" s="2212"/>
      <c r="AA141" s="336"/>
      <c r="AB141" s="336"/>
      <c r="AC141" s="336"/>
      <c r="AD141" s="336"/>
      <c r="AE141" s="336"/>
    </row>
    <row r="142" spans="1:31">
      <c r="A142" s="2166"/>
      <c r="B142" s="2056"/>
      <c r="C142" s="2069"/>
      <c r="D142" s="2176"/>
      <c r="E142" s="2176"/>
      <c r="F142" s="2209"/>
      <c r="G142" s="2210"/>
      <c r="H142" s="1807"/>
      <c r="I142" s="1805"/>
      <c r="J142" s="1822"/>
      <c r="K142" s="1821"/>
      <c r="L142" s="1805"/>
      <c r="M142" s="1820"/>
      <c r="N142" s="2211"/>
      <c r="O142" s="2212"/>
      <c r="AD142" s="336"/>
      <c r="AE142" s="336"/>
    </row>
    <row r="143" spans="1:31">
      <c r="A143" s="2166"/>
      <c r="B143" s="2056"/>
      <c r="C143" s="2069"/>
      <c r="D143" s="2176"/>
      <c r="E143" s="2176"/>
      <c r="F143" s="2209"/>
      <c r="G143" s="2210"/>
      <c r="H143" s="1807"/>
      <c r="I143" s="1805"/>
      <c r="J143" s="1822"/>
      <c r="K143" s="1821"/>
      <c r="L143" s="1805"/>
      <c r="M143" s="1820"/>
      <c r="N143" s="2211"/>
      <c r="O143" s="2212"/>
      <c r="AD143" s="336"/>
      <c r="AE143" s="336"/>
    </row>
    <row r="144" spans="1:31">
      <c r="A144" s="2166"/>
      <c r="B144" s="2056"/>
      <c r="C144" s="2069"/>
      <c r="D144" s="2176"/>
      <c r="E144" s="2176"/>
      <c r="F144" s="2209"/>
      <c r="G144" s="2210"/>
      <c r="H144" s="1807"/>
      <c r="I144" s="1805"/>
      <c r="J144" s="1822"/>
      <c r="K144" s="1821"/>
      <c r="L144" s="1805"/>
      <c r="M144" s="1820"/>
      <c r="N144" s="2211"/>
      <c r="O144" s="2212"/>
      <c r="AD144" s="336"/>
      <c r="AE144" s="336"/>
    </row>
    <row r="145" spans="1:31">
      <c r="A145" s="2166"/>
      <c r="B145" s="2056"/>
      <c r="C145" s="2069"/>
      <c r="D145" s="2176"/>
      <c r="E145" s="2176"/>
      <c r="F145" s="2209"/>
      <c r="G145" s="2210"/>
      <c r="H145" s="1807"/>
      <c r="I145" s="1805"/>
      <c r="J145" s="1822"/>
      <c r="K145" s="1821"/>
      <c r="L145" s="1805"/>
      <c r="M145" s="1820"/>
      <c r="N145" s="2211"/>
      <c r="O145" s="2212"/>
      <c r="AD145" s="336"/>
      <c r="AE145" s="336"/>
    </row>
    <row r="146" spans="1:31">
      <c r="A146" s="2166"/>
      <c r="B146" s="2056"/>
      <c r="C146" s="2069"/>
      <c r="D146" s="2176"/>
      <c r="E146" s="2176"/>
      <c r="F146" s="2209"/>
      <c r="G146" s="2210"/>
      <c r="H146" s="1807"/>
      <c r="I146" s="1805"/>
      <c r="J146" s="1822"/>
      <c r="K146" s="1821"/>
      <c r="L146" s="1805"/>
      <c r="M146" s="1820"/>
      <c r="N146" s="2211"/>
      <c r="O146" s="2212"/>
      <c r="AD146" s="336"/>
      <c r="AE146" s="336"/>
    </row>
    <row r="147" spans="1:31">
      <c r="A147" s="2166"/>
      <c r="B147" s="2056"/>
      <c r="C147" s="2069"/>
      <c r="D147" s="2176"/>
      <c r="E147" s="2176"/>
      <c r="F147" s="2209"/>
      <c r="G147" s="2210"/>
      <c r="H147" s="1807"/>
      <c r="I147" s="1805"/>
      <c r="J147" s="1822"/>
      <c r="K147" s="1821"/>
      <c r="L147" s="1805"/>
      <c r="M147" s="1820"/>
      <c r="N147" s="2211"/>
      <c r="O147" s="2212"/>
      <c r="AD147" s="336"/>
      <c r="AE147" s="336"/>
    </row>
    <row r="148" spans="1:31">
      <c r="A148" s="2166"/>
      <c r="B148" s="2056"/>
      <c r="C148" s="2069"/>
      <c r="D148" s="2176"/>
      <c r="E148" s="2176"/>
      <c r="F148" s="2209"/>
      <c r="G148" s="2210"/>
      <c r="H148" s="1807"/>
      <c r="I148" s="1805"/>
      <c r="J148" s="1822"/>
      <c r="K148" s="1821"/>
      <c r="L148" s="1805"/>
      <c r="M148" s="1820"/>
      <c r="N148" s="2211"/>
      <c r="O148" s="2212"/>
      <c r="AD148" s="336"/>
      <c r="AE148" s="336"/>
    </row>
    <row r="149" spans="1:31">
      <c r="A149" s="2166"/>
      <c r="B149" s="2056"/>
      <c r="C149" s="2069"/>
      <c r="D149" s="2176"/>
      <c r="E149" s="2176"/>
      <c r="F149" s="2209"/>
      <c r="G149" s="2210"/>
      <c r="H149" s="1807"/>
      <c r="I149" s="1805"/>
      <c r="J149" s="1822"/>
      <c r="K149" s="1821"/>
      <c r="L149" s="1805"/>
      <c r="M149" s="1820"/>
      <c r="N149" s="2211"/>
      <c r="O149" s="2212"/>
      <c r="AD149" s="336"/>
      <c r="AE149" s="336"/>
    </row>
    <row r="150" spans="1:31">
      <c r="A150" s="2166"/>
      <c r="B150" s="2056"/>
      <c r="C150" s="2069"/>
      <c r="D150" s="2176"/>
      <c r="E150" s="2176"/>
      <c r="F150" s="2209"/>
      <c r="G150" s="2210"/>
      <c r="H150" s="1807"/>
      <c r="I150" s="1805"/>
      <c r="J150" s="1822"/>
      <c r="K150" s="1821"/>
      <c r="L150" s="1805"/>
      <c r="M150" s="1820"/>
      <c r="N150" s="2211"/>
      <c r="O150" s="2212"/>
      <c r="AA150" s="336"/>
      <c r="AB150" s="336"/>
      <c r="AC150" s="336"/>
      <c r="AD150" s="336"/>
      <c r="AE150" s="336"/>
    </row>
    <row r="151" spans="1:31">
      <c r="A151" s="2166"/>
      <c r="B151" s="2056"/>
      <c r="C151" s="2069"/>
      <c r="D151" s="2176"/>
      <c r="E151" s="2176"/>
      <c r="F151" s="2209"/>
      <c r="G151" s="2210"/>
      <c r="H151" s="1807"/>
      <c r="I151" s="1805"/>
      <c r="J151" s="1822"/>
      <c r="K151" s="1821"/>
      <c r="L151" s="1805"/>
      <c r="M151" s="1820"/>
      <c r="N151" s="2211"/>
      <c r="O151" s="2212"/>
      <c r="AA151" s="336"/>
      <c r="AB151" s="336"/>
      <c r="AC151" s="336"/>
      <c r="AD151" s="336"/>
      <c r="AE151" s="336"/>
    </row>
    <row r="152" spans="1:31">
      <c r="A152" s="2166"/>
      <c r="B152" s="2056"/>
      <c r="C152" s="2069"/>
      <c r="D152" s="2176"/>
      <c r="E152" s="2176"/>
      <c r="F152" s="2209"/>
      <c r="G152" s="2210"/>
      <c r="H152" s="1807"/>
      <c r="I152" s="1805"/>
      <c r="J152" s="1822"/>
      <c r="K152" s="1821"/>
      <c r="L152" s="1805"/>
      <c r="M152" s="1820"/>
      <c r="N152" s="2211"/>
      <c r="O152" s="2212"/>
      <c r="AD152" s="336"/>
      <c r="AE152" s="336"/>
    </row>
    <row r="153" spans="1:31">
      <c r="A153" s="2166"/>
      <c r="B153" s="2056"/>
      <c r="C153" s="2069"/>
      <c r="D153" s="2176"/>
      <c r="E153" s="2176"/>
      <c r="F153" s="2209"/>
      <c r="G153" s="2210"/>
      <c r="H153" s="1807"/>
      <c r="I153" s="1805"/>
      <c r="J153" s="1822"/>
      <c r="K153" s="1821"/>
      <c r="L153" s="1805"/>
      <c r="M153" s="1820"/>
      <c r="N153" s="2211"/>
      <c r="O153" s="2212"/>
      <c r="AD153" s="336"/>
      <c r="AE153" s="336"/>
    </row>
    <row r="154" spans="1:31">
      <c r="A154" s="2166"/>
      <c r="B154" s="2056"/>
      <c r="C154" s="2069"/>
      <c r="D154" s="2176"/>
      <c r="E154" s="2176"/>
      <c r="F154" s="2209"/>
      <c r="G154" s="2210"/>
      <c r="H154" s="1807"/>
      <c r="I154" s="1805"/>
      <c r="J154" s="1822"/>
      <c r="K154" s="1821"/>
      <c r="L154" s="1805"/>
      <c r="M154" s="1820"/>
      <c r="N154" s="2211"/>
      <c r="O154" s="2212"/>
      <c r="AD154" s="336"/>
      <c r="AE154" s="336"/>
    </row>
    <row r="155" spans="1:31">
      <c r="A155" s="2166"/>
      <c r="B155" s="2056"/>
      <c r="C155" s="2069"/>
      <c r="D155" s="2176"/>
      <c r="E155" s="2176"/>
      <c r="F155" s="2209"/>
      <c r="G155" s="2210"/>
      <c r="H155" s="1807"/>
      <c r="I155" s="1805"/>
      <c r="J155" s="1822"/>
      <c r="K155" s="1821"/>
      <c r="L155" s="1805"/>
      <c r="M155" s="1820"/>
      <c r="N155" s="2211"/>
      <c r="O155" s="2212"/>
      <c r="AD155" s="336"/>
      <c r="AE155" s="336"/>
    </row>
    <row r="156" spans="1:31">
      <c r="A156" s="2166"/>
      <c r="B156" s="2056"/>
      <c r="C156" s="2069"/>
      <c r="D156" s="2176"/>
      <c r="E156" s="2176"/>
      <c r="F156" s="2209"/>
      <c r="G156" s="2210"/>
      <c r="H156" s="1807"/>
      <c r="I156" s="1805"/>
      <c r="J156" s="1822"/>
      <c r="K156" s="1821"/>
      <c r="L156" s="1805"/>
      <c r="M156" s="1820"/>
      <c r="N156" s="2211"/>
      <c r="O156" s="2212"/>
      <c r="AD156" s="336"/>
      <c r="AE156" s="336"/>
    </row>
    <row r="157" spans="1:31">
      <c r="A157" s="2166"/>
      <c r="B157" s="2056"/>
      <c r="C157" s="2069"/>
      <c r="D157" s="2176"/>
      <c r="E157" s="2176"/>
      <c r="F157" s="2209"/>
      <c r="G157" s="2210"/>
      <c r="H157" s="1807"/>
      <c r="I157" s="1805"/>
      <c r="J157" s="1822"/>
      <c r="K157" s="1821"/>
      <c r="L157" s="1805"/>
      <c r="M157" s="1820"/>
      <c r="N157" s="2211"/>
      <c r="O157" s="2212"/>
      <c r="AD157" s="336"/>
      <c r="AE157" s="336"/>
    </row>
    <row r="158" spans="1:31">
      <c r="A158" s="2166"/>
      <c r="B158" s="2056"/>
      <c r="C158" s="2069"/>
      <c r="D158" s="2176"/>
      <c r="E158" s="2176"/>
      <c r="F158" s="2209"/>
      <c r="G158" s="2210"/>
      <c r="H158" s="1807"/>
      <c r="I158" s="1805"/>
      <c r="J158" s="1822"/>
      <c r="K158" s="1821"/>
      <c r="L158" s="1805"/>
      <c r="M158" s="1820"/>
      <c r="N158" s="2211"/>
      <c r="O158" s="2212"/>
      <c r="AD158" s="336"/>
      <c r="AE158" s="336"/>
    </row>
    <row r="159" spans="1:31">
      <c r="A159" s="2166"/>
      <c r="B159" s="2056"/>
      <c r="C159" s="2069"/>
      <c r="D159" s="2176"/>
      <c r="E159" s="2176"/>
      <c r="F159" s="2209"/>
      <c r="G159" s="2210"/>
      <c r="H159" s="1807"/>
      <c r="I159" s="1805"/>
      <c r="J159" s="1822"/>
      <c r="K159" s="1821"/>
      <c r="L159" s="1805"/>
      <c r="M159" s="1820"/>
      <c r="N159" s="2211"/>
      <c r="O159" s="2212"/>
      <c r="S159" s="1772"/>
      <c r="T159" s="1772"/>
      <c r="U159" s="1772"/>
      <c r="V159" s="1772"/>
      <c r="W159" s="1772"/>
      <c r="X159" s="1772"/>
      <c r="Y159" s="1772"/>
      <c r="Z159" s="1772"/>
      <c r="AA159" s="1772"/>
      <c r="AB159" s="1772"/>
      <c r="AC159" s="1772"/>
      <c r="AD159" s="336"/>
      <c r="AE159" s="336"/>
    </row>
    <row r="160" spans="1:31">
      <c r="A160" s="2166"/>
      <c r="B160" s="2056"/>
      <c r="C160" s="2069"/>
      <c r="D160" s="2176"/>
      <c r="E160" s="2176"/>
      <c r="F160" s="2209"/>
      <c r="G160" s="2210"/>
      <c r="H160" s="1807"/>
      <c r="I160" s="1805"/>
      <c r="J160" s="1822"/>
      <c r="K160" s="1821"/>
      <c r="L160" s="1805"/>
      <c r="M160" s="1820"/>
      <c r="N160" s="2211"/>
      <c r="O160" s="2212"/>
      <c r="AD160" s="336"/>
      <c r="AE160" s="336"/>
    </row>
    <row r="161" spans="1:31">
      <c r="A161" s="2166"/>
      <c r="B161" s="2056"/>
      <c r="C161" s="2069"/>
      <c r="D161" s="2176"/>
      <c r="E161" s="2176"/>
      <c r="F161" s="2209"/>
      <c r="G161" s="2210"/>
      <c r="H161" s="1807"/>
      <c r="I161" s="1805"/>
      <c r="J161" s="1822"/>
      <c r="K161" s="1821"/>
      <c r="L161" s="1805"/>
      <c r="M161" s="1820"/>
      <c r="N161" s="2211"/>
      <c r="O161" s="2212"/>
      <c r="AD161" s="336"/>
      <c r="AE161" s="336"/>
    </row>
    <row r="162" spans="1:31">
      <c r="A162" s="2166"/>
      <c r="B162" s="2056"/>
      <c r="C162" s="2069"/>
      <c r="D162" s="2176"/>
      <c r="E162" s="2176"/>
      <c r="F162" s="2209"/>
      <c r="G162" s="2210"/>
      <c r="H162" s="1807"/>
      <c r="I162" s="1805"/>
      <c r="J162" s="1822"/>
      <c r="K162" s="1821"/>
      <c r="L162" s="1805"/>
      <c r="M162" s="1820"/>
      <c r="N162" s="2211"/>
      <c r="O162" s="2212"/>
      <c r="AD162" s="336"/>
      <c r="AE162" s="336"/>
    </row>
    <row r="163" spans="1:31">
      <c r="A163" s="2166"/>
      <c r="B163" s="2056"/>
      <c r="C163" s="2069"/>
      <c r="D163" s="2176"/>
      <c r="E163" s="2176"/>
      <c r="F163" s="2209"/>
      <c r="G163" s="2210"/>
      <c r="H163" s="1807"/>
      <c r="I163" s="1805"/>
      <c r="J163" s="1822"/>
      <c r="K163" s="1821"/>
      <c r="L163" s="1805"/>
      <c r="M163" s="1820"/>
      <c r="N163" s="2211"/>
      <c r="O163" s="2212"/>
      <c r="AA163" s="336"/>
      <c r="AB163" s="336"/>
      <c r="AD163" s="336"/>
      <c r="AE163" s="336"/>
    </row>
    <row r="164" spans="1:31">
      <c r="A164" s="2166"/>
      <c r="B164" s="2056"/>
      <c r="C164" s="2069"/>
      <c r="D164" s="2176"/>
      <c r="E164" s="2176"/>
      <c r="F164" s="2209"/>
      <c r="G164" s="2210"/>
      <c r="H164" s="1807"/>
      <c r="I164" s="1805"/>
      <c r="J164" s="1822"/>
      <c r="K164" s="1821"/>
      <c r="L164" s="1805"/>
      <c r="M164" s="1820"/>
      <c r="N164" s="2211"/>
      <c r="O164" s="2212"/>
      <c r="AD164" s="336"/>
      <c r="AE164" s="336"/>
    </row>
    <row r="165" spans="1:31">
      <c r="A165" s="2166"/>
      <c r="B165" s="2056"/>
      <c r="C165" s="2069"/>
      <c r="D165" s="2176"/>
      <c r="E165" s="2176"/>
      <c r="F165" s="2209"/>
      <c r="G165" s="2210"/>
      <c r="H165" s="1807"/>
      <c r="I165" s="1805"/>
      <c r="J165" s="1822"/>
      <c r="K165" s="1821"/>
      <c r="L165" s="1805"/>
      <c r="M165" s="1820"/>
      <c r="N165" s="2211"/>
      <c r="O165" s="2212"/>
      <c r="AD165" s="336"/>
      <c r="AE165" s="336"/>
    </row>
    <row r="166" spans="1:31">
      <c r="A166" s="2166"/>
      <c r="B166" s="2056"/>
      <c r="C166" s="2069"/>
      <c r="D166" s="2176"/>
      <c r="E166" s="2176"/>
      <c r="F166" s="2209"/>
      <c r="G166" s="2210"/>
      <c r="H166" s="1807"/>
      <c r="I166" s="1805"/>
      <c r="J166" s="1822"/>
      <c r="K166" s="1821"/>
      <c r="L166" s="1805"/>
      <c r="M166" s="1820"/>
      <c r="N166" s="2211"/>
      <c r="O166" s="2212"/>
      <c r="AA166" s="336"/>
      <c r="AB166" s="336"/>
      <c r="AC166" s="336"/>
      <c r="AD166" s="336"/>
      <c r="AE166" s="336"/>
    </row>
    <row r="167" spans="1:31">
      <c r="A167" s="2166"/>
      <c r="B167" s="2056"/>
      <c r="C167" s="2069"/>
      <c r="D167" s="2176"/>
      <c r="E167" s="2176"/>
      <c r="F167" s="2209"/>
      <c r="G167" s="2210"/>
      <c r="H167" s="1807"/>
      <c r="I167" s="1805"/>
      <c r="J167" s="1822"/>
      <c r="K167" s="1821"/>
      <c r="L167" s="1805"/>
      <c r="M167" s="1820"/>
      <c r="N167" s="2211"/>
      <c r="O167" s="2212"/>
      <c r="S167" s="1772"/>
      <c r="T167" s="1772"/>
      <c r="U167" s="1772"/>
      <c r="V167" s="1772"/>
      <c r="W167" s="1772"/>
      <c r="X167" s="1772"/>
      <c r="Y167" s="1772"/>
      <c r="Z167" s="1772"/>
      <c r="AA167" s="1772"/>
      <c r="AB167" s="1772"/>
      <c r="AC167" s="1772"/>
      <c r="AD167" s="336"/>
      <c r="AE167" s="336"/>
    </row>
    <row r="168" spans="1:31">
      <c r="A168" s="2166"/>
      <c r="B168" s="2056"/>
      <c r="C168" s="2069"/>
      <c r="D168" s="2176"/>
      <c r="E168" s="2176"/>
      <c r="F168" s="2209"/>
      <c r="G168" s="2210"/>
      <c r="H168" s="1807"/>
      <c r="I168" s="1805"/>
      <c r="J168" s="1822"/>
      <c r="K168" s="1821"/>
      <c r="L168" s="1805"/>
      <c r="M168" s="1820"/>
      <c r="N168" s="2211"/>
      <c r="O168" s="2212"/>
      <c r="AD168" s="336"/>
      <c r="AE168" s="336"/>
    </row>
    <row r="169" spans="1:31">
      <c r="A169" s="2166"/>
      <c r="B169" s="2056"/>
      <c r="C169" s="2069"/>
      <c r="D169" s="2176"/>
      <c r="E169" s="2176"/>
      <c r="F169" s="2209"/>
      <c r="G169" s="2210"/>
      <c r="H169" s="1807"/>
      <c r="I169" s="1805"/>
      <c r="J169" s="1822"/>
      <c r="K169" s="1821"/>
      <c r="L169" s="1805"/>
      <c r="M169" s="1820"/>
      <c r="N169" s="2211"/>
      <c r="O169" s="2212"/>
      <c r="AD169" s="336"/>
      <c r="AE169" s="336"/>
    </row>
    <row r="170" spans="1:31">
      <c r="A170" s="2166"/>
      <c r="B170" s="2056"/>
      <c r="C170" s="2069"/>
      <c r="D170" s="2176"/>
      <c r="E170" s="2176"/>
      <c r="F170" s="2209"/>
      <c r="G170" s="2210"/>
      <c r="H170" s="1807"/>
      <c r="I170" s="1805"/>
      <c r="J170" s="1822"/>
      <c r="K170" s="1821"/>
      <c r="L170" s="1805"/>
      <c r="M170" s="1820"/>
      <c r="N170" s="2211"/>
      <c r="O170" s="2212"/>
      <c r="S170" s="1772"/>
      <c r="T170" s="1772"/>
      <c r="U170" s="1772"/>
      <c r="V170" s="1772"/>
      <c r="W170" s="1772"/>
      <c r="X170" s="1772"/>
      <c r="Y170" s="1772"/>
      <c r="Z170" s="1772"/>
      <c r="AA170" s="1772"/>
      <c r="AB170" s="1772"/>
      <c r="AC170" s="1772"/>
      <c r="AD170" s="336"/>
      <c r="AE170" s="336"/>
    </row>
    <row r="171" spans="1:31">
      <c r="A171" s="2166"/>
      <c r="B171" s="2056"/>
      <c r="C171" s="2069"/>
      <c r="D171" s="2176"/>
      <c r="E171" s="2176"/>
      <c r="F171" s="2209"/>
      <c r="G171" s="2210"/>
      <c r="H171" s="1807"/>
      <c r="I171" s="1805"/>
      <c r="J171" s="1822"/>
      <c r="K171" s="1821"/>
      <c r="L171" s="1805"/>
      <c r="M171" s="1820"/>
      <c r="N171" s="2211"/>
      <c r="O171" s="2212"/>
      <c r="AD171" s="336"/>
      <c r="AE171" s="336"/>
    </row>
    <row r="172" spans="1:31">
      <c r="A172" s="2166"/>
      <c r="B172" s="2056"/>
      <c r="C172" s="2069"/>
      <c r="D172" s="2176"/>
      <c r="E172" s="2176"/>
      <c r="F172" s="2209"/>
      <c r="G172" s="2210"/>
      <c r="H172" s="1807"/>
      <c r="I172" s="1805"/>
      <c r="J172" s="1822"/>
      <c r="K172" s="1821"/>
      <c r="L172" s="1805"/>
      <c r="M172" s="1820"/>
      <c r="N172" s="2211"/>
      <c r="O172" s="2212"/>
      <c r="S172" s="1772"/>
      <c r="T172" s="1772"/>
      <c r="U172" s="1772"/>
      <c r="V172" s="1772"/>
      <c r="W172" s="1772"/>
      <c r="X172" s="1772"/>
      <c r="Y172" s="1772"/>
      <c r="Z172" s="1772"/>
      <c r="AA172" s="1772"/>
      <c r="AB172" s="1772"/>
      <c r="AC172" s="1772"/>
      <c r="AD172" s="336"/>
      <c r="AE172" s="336"/>
    </row>
    <row r="173" spans="1:31">
      <c r="A173" s="2166"/>
      <c r="B173" s="2056"/>
      <c r="C173" s="2069"/>
      <c r="D173" s="2176"/>
      <c r="E173" s="2176"/>
      <c r="F173" s="2209"/>
      <c r="G173" s="2210"/>
      <c r="H173" s="1807"/>
      <c r="I173" s="1805"/>
      <c r="J173" s="1822"/>
      <c r="K173" s="1821"/>
      <c r="L173" s="1805"/>
      <c r="M173" s="1820"/>
      <c r="N173" s="2211"/>
      <c r="O173" s="2212"/>
      <c r="S173" s="1772"/>
      <c r="T173" s="1772"/>
      <c r="U173" s="1772"/>
      <c r="V173" s="1772"/>
      <c r="W173" s="1772"/>
      <c r="X173" s="1772"/>
      <c r="Y173" s="1772"/>
      <c r="Z173" s="1772"/>
      <c r="AA173" s="1772"/>
      <c r="AB173" s="1772"/>
      <c r="AC173" s="1772"/>
      <c r="AD173" s="336"/>
      <c r="AE173" s="336"/>
    </row>
    <row r="174" spans="1:31">
      <c r="A174" s="2166"/>
      <c r="B174" s="2056"/>
      <c r="C174" s="2069"/>
      <c r="D174" s="2176"/>
      <c r="E174" s="2176"/>
      <c r="F174" s="2209"/>
      <c r="G174" s="2210"/>
      <c r="H174" s="1807"/>
      <c r="I174" s="1805"/>
      <c r="J174" s="1822"/>
      <c r="K174" s="1821"/>
      <c r="L174" s="1805"/>
      <c r="M174" s="1820"/>
      <c r="N174" s="2211"/>
      <c r="O174" s="2212"/>
      <c r="S174" s="1772"/>
      <c r="T174" s="1772"/>
      <c r="U174" s="1772"/>
      <c r="V174" s="1772"/>
      <c r="W174" s="1772"/>
      <c r="X174" s="1772"/>
      <c r="Y174" s="1772"/>
      <c r="Z174" s="1772"/>
      <c r="AA174" s="1772"/>
      <c r="AB174" s="1772"/>
      <c r="AC174" s="1772"/>
      <c r="AD174" s="336"/>
      <c r="AE174" s="336"/>
    </row>
    <row r="175" spans="1:31">
      <c r="A175" s="2166"/>
      <c r="B175" s="2056"/>
      <c r="C175" s="2069"/>
      <c r="D175" s="2176"/>
      <c r="E175" s="2176"/>
      <c r="F175" s="2209"/>
      <c r="G175" s="2210"/>
      <c r="H175" s="1807"/>
      <c r="I175" s="1805"/>
      <c r="J175" s="1822"/>
      <c r="K175" s="1821"/>
      <c r="L175" s="1805"/>
      <c r="M175" s="1820"/>
      <c r="N175" s="2211"/>
      <c r="O175" s="2212"/>
      <c r="AA175" s="336"/>
      <c r="AB175" s="336"/>
      <c r="AC175" s="336"/>
      <c r="AD175" s="336"/>
      <c r="AE175" s="336"/>
    </row>
    <row r="176" spans="1:31">
      <c r="A176" s="2166"/>
      <c r="B176" s="2056"/>
      <c r="C176" s="2069"/>
      <c r="D176" s="2176"/>
      <c r="E176" s="2176"/>
      <c r="F176" s="2209"/>
      <c r="G176" s="2210"/>
      <c r="H176" s="1807"/>
      <c r="I176" s="1805"/>
      <c r="J176" s="1822"/>
      <c r="K176" s="1821"/>
      <c r="L176" s="1805"/>
      <c r="M176" s="1820"/>
      <c r="N176" s="2211"/>
      <c r="O176" s="2212"/>
      <c r="AD176" s="336"/>
      <c r="AE176" s="336"/>
    </row>
    <row r="177" spans="1:31">
      <c r="A177" s="2166"/>
      <c r="B177" s="2056"/>
      <c r="C177" s="2069"/>
      <c r="D177" s="2176"/>
      <c r="E177" s="2176"/>
      <c r="F177" s="2209"/>
      <c r="G177" s="2210"/>
      <c r="H177" s="1807"/>
      <c r="I177" s="1805"/>
      <c r="J177" s="1822"/>
      <c r="K177" s="1821"/>
      <c r="L177" s="1805"/>
      <c r="M177" s="1820"/>
      <c r="N177" s="2211"/>
      <c r="O177" s="2212"/>
      <c r="AA177" s="336"/>
      <c r="AB177" s="336"/>
      <c r="AC177" s="336"/>
      <c r="AD177" s="336"/>
      <c r="AE177" s="336"/>
    </row>
    <row r="178" spans="1:31">
      <c r="A178" s="2166"/>
      <c r="B178" s="2056"/>
      <c r="C178" s="2069"/>
      <c r="D178" s="2176"/>
      <c r="E178" s="2176"/>
      <c r="F178" s="2209"/>
      <c r="G178" s="2210"/>
      <c r="H178" s="1807"/>
      <c r="I178" s="1805"/>
      <c r="J178" s="1822"/>
      <c r="K178" s="1821"/>
      <c r="L178" s="1805"/>
      <c r="M178" s="1820"/>
      <c r="N178" s="2211"/>
      <c r="O178" s="2212"/>
      <c r="AD178" s="336"/>
      <c r="AE178" s="336"/>
    </row>
    <row r="179" spans="1:31">
      <c r="A179" s="2166"/>
      <c r="B179" s="2056"/>
      <c r="C179" s="2069"/>
      <c r="D179" s="2176"/>
      <c r="E179" s="2176"/>
      <c r="F179" s="2209"/>
      <c r="G179" s="2210"/>
      <c r="H179" s="1807"/>
      <c r="I179" s="1805"/>
      <c r="J179" s="1822"/>
      <c r="K179" s="1821"/>
      <c r="L179" s="1805"/>
      <c r="M179" s="1820"/>
      <c r="N179" s="2211"/>
      <c r="O179" s="2212"/>
      <c r="AA179" s="336"/>
      <c r="AB179" s="336"/>
      <c r="AC179" s="336"/>
      <c r="AD179" s="336"/>
      <c r="AE179" s="336"/>
    </row>
    <row r="180" spans="1:31">
      <c r="A180" s="2166"/>
      <c r="B180" s="2056"/>
      <c r="C180" s="2069"/>
      <c r="D180" s="2176"/>
      <c r="E180" s="2176"/>
      <c r="F180" s="2209"/>
      <c r="G180" s="2210"/>
      <c r="H180" s="1807"/>
      <c r="I180" s="1805"/>
      <c r="J180" s="1822"/>
      <c r="K180" s="1821"/>
      <c r="L180" s="1805"/>
      <c r="M180" s="1820"/>
      <c r="N180" s="2211"/>
      <c r="O180" s="2212"/>
      <c r="AA180" s="336"/>
      <c r="AB180" s="336"/>
      <c r="AC180" s="336"/>
      <c r="AD180" s="336"/>
      <c r="AE180" s="336"/>
    </row>
    <row r="181" spans="1:31">
      <c r="A181" s="2166"/>
      <c r="B181" s="2056"/>
      <c r="C181" s="2069"/>
      <c r="D181" s="2176"/>
      <c r="E181" s="2176"/>
      <c r="F181" s="2209"/>
      <c r="G181" s="2210"/>
      <c r="H181" s="1807"/>
      <c r="I181" s="1805"/>
      <c r="J181" s="1822"/>
      <c r="K181" s="1821"/>
      <c r="L181" s="1805"/>
      <c r="M181" s="1820"/>
      <c r="N181" s="2211"/>
      <c r="O181" s="2212"/>
      <c r="AD181" s="336"/>
      <c r="AE181" s="336"/>
    </row>
    <row r="182" spans="1:31">
      <c r="A182" s="2166"/>
      <c r="B182" s="2056"/>
      <c r="C182" s="2069"/>
      <c r="D182" s="2176"/>
      <c r="E182" s="2176"/>
      <c r="F182" s="2209"/>
      <c r="G182" s="2210"/>
      <c r="H182" s="1807"/>
      <c r="I182" s="1805"/>
      <c r="J182" s="1822"/>
      <c r="K182" s="1821"/>
      <c r="L182" s="1805"/>
      <c r="M182" s="1820"/>
      <c r="N182" s="2211"/>
      <c r="O182" s="2212"/>
      <c r="AA182" s="336"/>
      <c r="AB182" s="336"/>
      <c r="AC182" s="336"/>
      <c r="AD182" s="336"/>
      <c r="AE182" s="336"/>
    </row>
    <row r="183" spans="1:31">
      <c r="A183" s="2166"/>
      <c r="B183" s="2056"/>
      <c r="C183" s="2069"/>
      <c r="D183" s="2176"/>
      <c r="E183" s="2176"/>
      <c r="F183" s="2209"/>
      <c r="G183" s="2210"/>
      <c r="H183" s="1807"/>
      <c r="I183" s="1805"/>
      <c r="J183" s="1822"/>
      <c r="K183" s="1821"/>
      <c r="L183" s="1805"/>
      <c r="M183" s="1820"/>
      <c r="N183" s="2211"/>
      <c r="O183" s="2212"/>
      <c r="AA183" s="336"/>
      <c r="AB183" s="336"/>
      <c r="AC183" s="336"/>
      <c r="AD183" s="336"/>
      <c r="AE183" s="336"/>
    </row>
    <row r="184" spans="1:31">
      <c r="A184" s="2166"/>
      <c r="B184" s="2056"/>
      <c r="C184" s="2069"/>
      <c r="D184" s="2176"/>
      <c r="E184" s="2176"/>
      <c r="F184" s="2209"/>
      <c r="G184" s="2210"/>
      <c r="H184" s="1807"/>
      <c r="I184" s="1805"/>
      <c r="J184" s="1822"/>
      <c r="K184" s="1821"/>
      <c r="L184" s="1805"/>
      <c r="M184" s="1820"/>
      <c r="N184" s="2211"/>
      <c r="O184" s="2212"/>
      <c r="AA184" s="336"/>
      <c r="AB184" s="336"/>
      <c r="AC184" s="336"/>
      <c r="AD184" s="336"/>
      <c r="AE184" s="336"/>
    </row>
    <row r="185" spans="1:31">
      <c r="A185" s="2166"/>
      <c r="B185" s="2056"/>
      <c r="C185" s="2069"/>
      <c r="D185" s="2176"/>
      <c r="E185" s="2176"/>
      <c r="F185" s="2209"/>
      <c r="G185" s="2210"/>
      <c r="H185" s="1807"/>
      <c r="I185" s="1805"/>
      <c r="J185" s="1822"/>
      <c r="K185" s="1821"/>
      <c r="L185" s="1805"/>
      <c r="M185" s="1820"/>
      <c r="N185" s="2211"/>
      <c r="O185" s="2212"/>
      <c r="AA185" s="336"/>
      <c r="AB185" s="336"/>
      <c r="AC185" s="336"/>
      <c r="AD185" s="336"/>
      <c r="AE185" s="336"/>
    </row>
    <row r="186" spans="1:31">
      <c r="A186" s="2166"/>
      <c r="B186" s="2056"/>
      <c r="C186" s="2069"/>
      <c r="D186" s="2176"/>
      <c r="E186" s="2176"/>
      <c r="F186" s="2209"/>
      <c r="G186" s="2210"/>
      <c r="H186" s="1807"/>
      <c r="I186" s="1805"/>
      <c r="J186" s="1822"/>
      <c r="K186" s="1821"/>
      <c r="L186" s="1805"/>
      <c r="M186" s="1820"/>
      <c r="N186" s="2211"/>
      <c r="O186" s="2212"/>
      <c r="AA186" s="336"/>
      <c r="AB186" s="336"/>
      <c r="AC186" s="336"/>
      <c r="AD186" s="336"/>
      <c r="AE186" s="336"/>
    </row>
    <row r="187" spans="1:31">
      <c r="A187" s="2166"/>
      <c r="B187" s="2056"/>
      <c r="C187" s="2069"/>
      <c r="D187" s="2176"/>
      <c r="E187" s="2176"/>
      <c r="F187" s="2209"/>
      <c r="G187" s="2210"/>
      <c r="H187" s="1807"/>
      <c r="I187" s="1805"/>
      <c r="J187" s="1822"/>
      <c r="K187" s="1821"/>
      <c r="L187" s="1805"/>
      <c r="M187" s="1820"/>
      <c r="N187" s="2211"/>
      <c r="O187" s="2212"/>
      <c r="AA187" s="336"/>
      <c r="AB187" s="336"/>
      <c r="AC187" s="336"/>
      <c r="AD187" s="336"/>
      <c r="AE187" s="336"/>
    </row>
    <row r="188" spans="1:31">
      <c r="A188" s="2166"/>
      <c r="B188" s="2056"/>
      <c r="C188" s="2069"/>
      <c r="D188" s="2176"/>
      <c r="E188" s="2176"/>
      <c r="F188" s="2209"/>
      <c r="G188" s="2210"/>
      <c r="H188" s="1807"/>
      <c r="I188" s="1805"/>
      <c r="J188" s="1822"/>
      <c r="K188" s="1821"/>
      <c r="L188" s="1805"/>
      <c r="M188" s="1820"/>
      <c r="N188" s="2211"/>
      <c r="O188" s="2212"/>
      <c r="AA188" s="336"/>
      <c r="AB188" s="336"/>
      <c r="AC188" s="336"/>
      <c r="AD188" s="336"/>
      <c r="AE188" s="336"/>
    </row>
    <row r="189" spans="1:31">
      <c r="A189" s="2166"/>
      <c r="B189" s="2056"/>
      <c r="C189" s="2069"/>
      <c r="D189" s="2176"/>
      <c r="E189" s="2176"/>
      <c r="F189" s="2209"/>
      <c r="G189" s="2210"/>
      <c r="H189" s="1807"/>
      <c r="I189" s="1805"/>
      <c r="J189" s="1822"/>
      <c r="K189" s="1821"/>
      <c r="L189" s="1805"/>
      <c r="M189" s="1820"/>
      <c r="N189" s="2211"/>
      <c r="O189" s="2212"/>
      <c r="AD189" s="336"/>
      <c r="AE189" s="336"/>
    </row>
    <row r="190" spans="1:31">
      <c r="A190" s="2166"/>
      <c r="B190" s="2056"/>
      <c r="C190" s="2069"/>
      <c r="D190" s="2176"/>
      <c r="E190" s="2176"/>
      <c r="F190" s="2209"/>
      <c r="G190" s="2210"/>
      <c r="H190" s="1807"/>
      <c r="I190" s="1805"/>
      <c r="J190" s="1822"/>
      <c r="K190" s="1821"/>
      <c r="L190" s="1805"/>
      <c r="M190" s="1820"/>
      <c r="N190" s="2211"/>
      <c r="O190" s="2212"/>
      <c r="AD190" s="336"/>
      <c r="AE190" s="336"/>
    </row>
    <row r="191" spans="1:31">
      <c r="A191" s="2166"/>
      <c r="B191" s="2056"/>
      <c r="C191" s="2069"/>
      <c r="D191" s="2176"/>
      <c r="E191" s="2176"/>
      <c r="F191" s="2209"/>
      <c r="G191" s="2210"/>
      <c r="H191" s="1807"/>
      <c r="I191" s="1805"/>
      <c r="J191" s="1822"/>
      <c r="K191" s="1821"/>
      <c r="L191" s="1805"/>
      <c r="M191" s="1820"/>
      <c r="N191" s="2211"/>
      <c r="O191" s="2212"/>
      <c r="AD191" s="336"/>
      <c r="AE191" s="336"/>
    </row>
    <row r="192" spans="1:31">
      <c r="A192" s="2166"/>
      <c r="B192" s="2056"/>
      <c r="C192" s="2069"/>
      <c r="D192" s="2176"/>
      <c r="E192" s="2176"/>
      <c r="F192" s="2209"/>
      <c r="G192" s="2210"/>
      <c r="H192" s="1807"/>
      <c r="I192" s="1805"/>
      <c r="J192" s="1822"/>
      <c r="K192" s="1821"/>
      <c r="L192" s="1805"/>
      <c r="M192" s="1820"/>
      <c r="N192" s="2211"/>
      <c r="O192" s="2212"/>
      <c r="AD192" s="336"/>
      <c r="AE192" s="336"/>
    </row>
    <row r="193" spans="1:31">
      <c r="A193" s="2166"/>
      <c r="B193" s="2056"/>
      <c r="C193" s="2069"/>
      <c r="D193" s="2176"/>
      <c r="E193" s="2176"/>
      <c r="F193" s="2209"/>
      <c r="G193" s="2210"/>
      <c r="H193" s="1807"/>
      <c r="I193" s="1805"/>
      <c r="J193" s="1822"/>
      <c r="K193" s="1821"/>
      <c r="L193" s="1805"/>
      <c r="M193" s="1820"/>
      <c r="N193" s="2211"/>
      <c r="O193" s="2212"/>
      <c r="AD193" s="336"/>
      <c r="AE193" s="336"/>
    </row>
    <row r="194" spans="1:31">
      <c r="A194" s="2166"/>
      <c r="B194" s="2056"/>
      <c r="C194" s="2069"/>
      <c r="D194" s="2176"/>
      <c r="E194" s="2176"/>
      <c r="F194" s="2209"/>
      <c r="G194" s="2210"/>
      <c r="H194" s="1807"/>
      <c r="I194" s="1805"/>
      <c r="J194" s="1822"/>
      <c r="K194" s="1821"/>
      <c r="L194" s="1805"/>
      <c r="M194" s="1820"/>
      <c r="N194" s="2211"/>
      <c r="O194" s="2212"/>
      <c r="AD194" s="336"/>
      <c r="AE194" s="336"/>
    </row>
    <row r="195" spans="1:31">
      <c r="A195" s="2166"/>
      <c r="B195" s="2056"/>
      <c r="C195" s="2069"/>
      <c r="D195" s="2176"/>
      <c r="E195" s="2176"/>
      <c r="F195" s="2209"/>
      <c r="G195" s="2210"/>
      <c r="H195" s="1807"/>
      <c r="I195" s="1805"/>
      <c r="J195" s="1822"/>
      <c r="K195" s="1821"/>
      <c r="L195" s="1805"/>
      <c r="M195" s="1820"/>
      <c r="N195" s="2211"/>
      <c r="O195" s="2212"/>
      <c r="AD195" s="336"/>
      <c r="AE195" s="336"/>
    </row>
    <row r="196" spans="1:31">
      <c r="A196" s="2166"/>
      <c r="B196" s="2056"/>
      <c r="C196" s="2069"/>
      <c r="D196" s="2176"/>
      <c r="E196" s="2176"/>
      <c r="F196" s="2209"/>
      <c r="G196" s="2210"/>
      <c r="H196" s="1807"/>
      <c r="I196" s="1805"/>
      <c r="J196" s="1822"/>
      <c r="K196" s="1821"/>
      <c r="L196" s="1805"/>
      <c r="M196" s="1820"/>
      <c r="N196" s="2211"/>
      <c r="O196" s="2212"/>
      <c r="AD196" s="336"/>
      <c r="AE196" s="336"/>
    </row>
    <row r="197" spans="1:31">
      <c r="A197" s="2166"/>
      <c r="B197" s="2056"/>
      <c r="C197" s="2069"/>
      <c r="D197" s="2176"/>
      <c r="E197" s="2176"/>
      <c r="F197" s="2209"/>
      <c r="G197" s="2210"/>
      <c r="H197" s="1807"/>
      <c r="I197" s="1805"/>
      <c r="J197" s="1822"/>
      <c r="K197" s="1821"/>
      <c r="L197" s="1805"/>
      <c r="M197" s="1820"/>
      <c r="N197" s="2211"/>
      <c r="O197" s="2212"/>
      <c r="AD197" s="336"/>
      <c r="AE197" s="336"/>
    </row>
    <row r="198" spans="1:31">
      <c r="A198" s="2166"/>
      <c r="B198" s="2056"/>
      <c r="C198" s="2069"/>
      <c r="D198" s="2176"/>
      <c r="E198" s="2176"/>
      <c r="F198" s="2209"/>
      <c r="G198" s="2210"/>
      <c r="H198" s="1807"/>
      <c r="I198" s="1805"/>
      <c r="J198" s="1822"/>
      <c r="K198" s="1821"/>
      <c r="L198" s="1805"/>
      <c r="M198" s="1820"/>
      <c r="N198" s="2211"/>
      <c r="O198" s="2212"/>
      <c r="AD198" s="336"/>
      <c r="AE198" s="336"/>
    </row>
    <row r="199" spans="1:31">
      <c r="A199" s="2166"/>
      <c r="B199" s="2056"/>
      <c r="C199" s="2069"/>
      <c r="D199" s="2176"/>
      <c r="E199" s="2176"/>
      <c r="F199" s="2209"/>
      <c r="G199" s="2210"/>
      <c r="H199" s="1807"/>
      <c r="I199" s="1805"/>
      <c r="J199" s="1822"/>
      <c r="K199" s="1821"/>
      <c r="L199" s="1805"/>
      <c r="M199" s="1820"/>
      <c r="N199" s="2211"/>
      <c r="O199" s="2212"/>
      <c r="AA199" s="336"/>
      <c r="AB199" s="336"/>
      <c r="AC199" s="336"/>
      <c r="AD199" s="336"/>
      <c r="AE199" s="336"/>
    </row>
    <row r="200" spans="1:31">
      <c r="A200" s="2166"/>
      <c r="B200" s="2056"/>
      <c r="C200" s="2069"/>
      <c r="D200" s="2176"/>
      <c r="E200" s="2176"/>
      <c r="F200" s="2209"/>
      <c r="G200" s="2210"/>
      <c r="H200" s="1807"/>
      <c r="I200" s="1805"/>
      <c r="J200" s="1822"/>
      <c r="K200" s="1821"/>
      <c r="L200" s="1805"/>
      <c r="M200" s="1820"/>
      <c r="N200" s="2211"/>
      <c r="O200" s="2212"/>
      <c r="AD200" s="336"/>
      <c r="AE200" s="336"/>
    </row>
    <row r="201" spans="1:31">
      <c r="A201" s="1576"/>
      <c r="B201" s="1573"/>
      <c r="C201" s="1574"/>
      <c r="D201" s="1578"/>
      <c r="E201" s="1578"/>
      <c r="F201" s="1580"/>
      <c r="G201" s="1591"/>
      <c r="H201" s="1567"/>
      <c r="I201" s="1566"/>
      <c r="J201" s="1571"/>
      <c r="K201" s="1570"/>
      <c r="L201" s="1566"/>
      <c r="M201" s="1569"/>
      <c r="N201" s="1582"/>
      <c r="O201" s="1583"/>
      <c r="AD201" s="336"/>
      <c r="AE201" s="336"/>
    </row>
    <row r="202" spans="1:31">
      <c r="A202" s="1576"/>
      <c r="B202" s="1573"/>
      <c r="C202" s="1574"/>
      <c r="D202" s="1578"/>
      <c r="E202" s="1578"/>
      <c r="F202" s="1580"/>
      <c r="G202" s="1591"/>
      <c r="H202" s="1567"/>
      <c r="I202" s="1566"/>
      <c r="J202" s="1571"/>
      <c r="K202" s="1570"/>
      <c r="L202" s="1566"/>
      <c r="M202" s="1569"/>
      <c r="N202" s="1582"/>
      <c r="O202" s="1583"/>
      <c r="AD202" s="336"/>
      <c r="AE202" s="336"/>
    </row>
    <row r="203" spans="1:31">
      <c r="A203" s="1576"/>
      <c r="B203" s="1573"/>
      <c r="C203" s="1574"/>
      <c r="D203" s="1578"/>
      <c r="E203" s="1578"/>
      <c r="F203" s="1580"/>
      <c r="G203" s="1591"/>
      <c r="H203" s="1567"/>
      <c r="I203" s="1566"/>
      <c r="J203" s="1571"/>
      <c r="K203" s="1570"/>
      <c r="L203" s="1566"/>
      <c r="M203" s="1569"/>
      <c r="N203" s="1582"/>
      <c r="O203" s="1583"/>
      <c r="AD203" s="336"/>
      <c r="AE203" s="336"/>
    </row>
    <row r="204" spans="1:31">
      <c r="A204" s="1576"/>
      <c r="B204" s="1573"/>
      <c r="C204" s="1574"/>
      <c r="D204" s="1578"/>
      <c r="E204" s="1578"/>
      <c r="F204" s="1580"/>
      <c r="G204" s="1591"/>
      <c r="H204" s="1567"/>
      <c r="I204" s="1566"/>
      <c r="J204" s="1571"/>
      <c r="K204" s="1570"/>
      <c r="L204" s="1566"/>
      <c r="M204" s="1569"/>
      <c r="N204" s="1582"/>
      <c r="O204" s="1583"/>
      <c r="AD204" s="336"/>
      <c r="AE204" s="336"/>
    </row>
    <row r="205" spans="1:31">
      <c r="A205" s="1576"/>
      <c r="B205" s="1573"/>
      <c r="C205" s="1574"/>
      <c r="D205" s="1578"/>
      <c r="E205" s="1578"/>
      <c r="F205" s="1580"/>
      <c r="G205" s="1591"/>
      <c r="H205" s="1567"/>
      <c r="I205" s="1566"/>
      <c r="J205" s="1571"/>
      <c r="K205" s="1570"/>
      <c r="L205" s="1566"/>
      <c r="M205" s="1569"/>
      <c r="N205" s="1582"/>
      <c r="O205" s="1583"/>
      <c r="AC205" s="336"/>
      <c r="AD205" s="336"/>
      <c r="AE205" s="336"/>
    </row>
    <row r="206" spans="1:31">
      <c r="A206" s="1576"/>
      <c r="B206" s="1573"/>
      <c r="C206" s="1574"/>
      <c r="D206" s="1578"/>
      <c r="E206" s="1578"/>
      <c r="F206" s="1580"/>
      <c r="G206" s="1591"/>
      <c r="H206" s="1567"/>
      <c r="I206" s="1566"/>
      <c r="J206" s="1571"/>
      <c r="K206" s="1570"/>
      <c r="L206" s="1566"/>
      <c r="M206" s="1569"/>
      <c r="N206" s="1582"/>
      <c r="O206" s="1583"/>
      <c r="AD206" s="336"/>
      <c r="AE206" s="336"/>
    </row>
    <row r="207" spans="1:31">
      <c r="A207" s="1576"/>
      <c r="B207" s="1573"/>
      <c r="C207" s="1574"/>
      <c r="D207" s="1578"/>
      <c r="E207" s="1578"/>
      <c r="F207" s="1580"/>
      <c r="G207" s="1591"/>
      <c r="H207" s="1567"/>
      <c r="I207" s="1566"/>
      <c r="J207" s="1571"/>
      <c r="K207" s="1570"/>
      <c r="L207" s="1566"/>
      <c r="M207" s="1569"/>
      <c r="N207" s="1582"/>
      <c r="O207" s="1583"/>
      <c r="AD207" s="336"/>
      <c r="AE207" s="336"/>
    </row>
    <row r="208" spans="1:31">
      <c r="A208" s="1576"/>
      <c r="B208" s="1573"/>
      <c r="C208" s="1574"/>
      <c r="D208" s="1578"/>
      <c r="E208" s="1578"/>
      <c r="F208" s="1580"/>
      <c r="G208" s="1591"/>
      <c r="H208" s="1567"/>
      <c r="I208" s="1566"/>
      <c r="J208" s="1571"/>
      <c r="K208" s="1570"/>
      <c r="L208" s="1566"/>
      <c r="M208" s="1569"/>
      <c r="N208" s="1582"/>
      <c r="O208" s="1583"/>
      <c r="S208" s="1772"/>
      <c r="T208" s="1772"/>
      <c r="U208" s="1772"/>
      <c r="V208" s="1772"/>
      <c r="W208" s="1772"/>
      <c r="X208" s="1772"/>
      <c r="Y208" s="1772"/>
      <c r="Z208" s="1772"/>
      <c r="AA208" s="1772"/>
      <c r="AB208" s="1772"/>
      <c r="AC208" s="1772"/>
      <c r="AD208" s="336"/>
      <c r="AE208" s="336"/>
    </row>
    <row r="209" spans="1:31">
      <c r="A209" s="1576"/>
      <c r="B209" s="1573"/>
      <c r="C209" s="1574"/>
      <c r="D209" s="1578"/>
      <c r="E209" s="1578"/>
      <c r="F209" s="1580"/>
      <c r="G209" s="1591"/>
      <c r="H209" s="1567"/>
      <c r="I209" s="1566"/>
      <c r="J209" s="1571"/>
      <c r="K209" s="1570"/>
      <c r="L209" s="1566"/>
      <c r="M209" s="1569"/>
      <c r="N209" s="1582"/>
      <c r="O209" s="1583"/>
      <c r="AD209" s="336"/>
      <c r="AE209" s="336"/>
    </row>
    <row r="210" spans="1:31">
      <c r="A210" s="1576"/>
      <c r="B210" s="1573"/>
      <c r="C210" s="1574"/>
      <c r="D210" s="1578"/>
      <c r="E210" s="1578"/>
      <c r="F210" s="1580"/>
      <c r="G210" s="1591"/>
      <c r="H210" s="1567"/>
      <c r="I210" s="1566"/>
      <c r="J210" s="1571"/>
      <c r="K210" s="1570"/>
      <c r="L210" s="1566"/>
      <c r="M210" s="1569"/>
      <c r="N210" s="1582"/>
      <c r="O210" s="1583"/>
      <c r="AD210" s="336"/>
      <c r="AE210" s="336"/>
    </row>
    <row r="211" spans="1:31">
      <c r="A211" s="1576"/>
      <c r="B211" s="1573"/>
      <c r="C211" s="1574"/>
      <c r="D211" s="1578"/>
      <c r="E211" s="1578"/>
      <c r="F211" s="1580"/>
      <c r="G211" s="1591"/>
      <c r="H211" s="1567"/>
      <c r="I211" s="1566"/>
      <c r="J211" s="1571"/>
      <c r="K211" s="1570"/>
      <c r="L211" s="1566"/>
      <c r="M211" s="1569"/>
      <c r="N211" s="1582"/>
      <c r="O211" s="1583"/>
      <c r="AD211" s="336"/>
      <c r="AE211" s="336"/>
    </row>
    <row r="212" spans="1:31">
      <c r="A212" s="1576"/>
      <c r="B212" s="1573"/>
      <c r="C212" s="1574"/>
      <c r="D212" s="1578"/>
      <c r="E212" s="1578"/>
      <c r="F212" s="1580"/>
      <c r="G212" s="1591"/>
      <c r="H212" s="1567"/>
      <c r="I212" s="1566"/>
      <c r="J212" s="1571"/>
      <c r="K212" s="1570"/>
      <c r="L212" s="1566"/>
      <c r="M212" s="1569"/>
      <c r="N212" s="1582"/>
      <c r="O212" s="1583"/>
      <c r="AD212" s="336"/>
      <c r="AE212" s="336"/>
    </row>
    <row r="213" spans="1:31">
      <c r="A213" s="1576"/>
      <c r="B213" s="1573"/>
      <c r="C213" s="1574"/>
      <c r="D213" s="1578"/>
      <c r="E213" s="1578"/>
      <c r="F213" s="1580"/>
      <c r="G213" s="1591"/>
      <c r="H213" s="1567"/>
      <c r="I213" s="1566"/>
      <c r="J213" s="1571"/>
      <c r="K213" s="1570"/>
      <c r="L213" s="1566"/>
      <c r="M213" s="1569"/>
      <c r="N213" s="1582"/>
      <c r="O213" s="1583"/>
      <c r="AD213" s="336"/>
      <c r="AE213" s="336"/>
    </row>
    <row r="214" spans="1:31">
      <c r="A214" s="1576"/>
      <c r="B214" s="1573"/>
      <c r="C214" s="1574"/>
      <c r="D214" s="1578"/>
      <c r="E214" s="1578"/>
      <c r="F214" s="1580"/>
      <c r="G214" s="1591"/>
      <c r="H214" s="1567"/>
      <c r="I214" s="1566"/>
      <c r="J214" s="1571"/>
      <c r="K214" s="1570"/>
      <c r="L214" s="1566"/>
      <c r="M214" s="1569"/>
      <c r="N214" s="1582"/>
      <c r="O214" s="1583"/>
      <c r="AD214" s="336"/>
      <c r="AE214" s="336"/>
    </row>
    <row r="215" spans="1:31">
      <c r="A215" s="1576"/>
      <c r="B215" s="1573"/>
      <c r="C215" s="1574"/>
      <c r="D215" s="1578"/>
      <c r="E215" s="1578"/>
      <c r="F215" s="1580"/>
      <c r="G215" s="1591"/>
      <c r="H215" s="1567"/>
      <c r="I215" s="1566"/>
      <c r="J215" s="1571"/>
      <c r="K215" s="1570"/>
      <c r="L215" s="1566"/>
      <c r="M215" s="1569"/>
      <c r="N215" s="1582"/>
      <c r="O215" s="1583"/>
      <c r="AA215" s="336"/>
      <c r="AB215" s="336"/>
      <c r="AC215" s="336"/>
      <c r="AD215" s="336"/>
      <c r="AE215" s="336"/>
    </row>
    <row r="216" spans="1:31">
      <c r="A216" s="1576"/>
      <c r="B216" s="1573"/>
      <c r="C216" s="1574"/>
      <c r="D216" s="1578"/>
      <c r="E216" s="1578"/>
      <c r="F216" s="1580"/>
      <c r="G216" s="1591"/>
      <c r="H216" s="1567"/>
      <c r="I216" s="1566"/>
      <c r="J216" s="1571"/>
      <c r="K216" s="1570"/>
      <c r="L216" s="1566"/>
      <c r="M216" s="1569"/>
      <c r="N216" s="1582"/>
      <c r="O216" s="1583"/>
      <c r="AA216" s="336"/>
      <c r="AB216" s="336"/>
      <c r="AC216" s="336"/>
      <c r="AD216" s="336"/>
      <c r="AE216" s="336"/>
    </row>
    <row r="217" spans="1:31">
      <c r="A217" s="1576"/>
      <c r="B217" s="1573"/>
      <c r="C217" s="1574"/>
      <c r="D217" s="1578"/>
      <c r="E217" s="1578"/>
      <c r="F217" s="1580"/>
      <c r="G217" s="1591"/>
      <c r="H217" s="1567"/>
      <c r="I217" s="1566"/>
      <c r="J217" s="1571"/>
      <c r="K217" s="1570"/>
      <c r="L217" s="1566"/>
      <c r="M217" s="1569"/>
      <c r="N217" s="1582"/>
      <c r="O217" s="1583"/>
      <c r="AD217" s="336"/>
      <c r="AE217" s="336"/>
    </row>
    <row r="218" spans="1:31">
      <c r="A218" s="1576"/>
      <c r="B218" s="1573"/>
      <c r="C218" s="1574"/>
      <c r="D218" s="1578"/>
      <c r="E218" s="1578"/>
      <c r="F218" s="1580"/>
      <c r="G218" s="1591"/>
      <c r="H218" s="1567"/>
      <c r="I218" s="1566"/>
      <c r="J218" s="1571"/>
      <c r="K218" s="1570"/>
      <c r="L218" s="1566"/>
      <c r="M218" s="1569"/>
      <c r="N218" s="1582"/>
      <c r="O218" s="1583"/>
      <c r="AD218" s="336"/>
      <c r="AE218" s="336"/>
    </row>
    <row r="219" spans="1:31">
      <c r="A219" s="1576"/>
      <c r="B219" s="1573"/>
      <c r="C219" s="1574"/>
      <c r="D219" s="1578"/>
      <c r="E219" s="1578"/>
      <c r="F219" s="1580"/>
      <c r="G219" s="1591"/>
      <c r="H219" s="1567"/>
      <c r="I219" s="1566"/>
      <c r="J219" s="1571"/>
      <c r="K219" s="1570"/>
      <c r="L219" s="1566"/>
      <c r="M219" s="1569"/>
      <c r="N219" s="1582"/>
      <c r="O219" s="1583"/>
      <c r="AD219" s="336"/>
      <c r="AE219" s="336"/>
    </row>
    <row r="220" spans="1:31">
      <c r="A220" s="1576"/>
      <c r="B220" s="1573"/>
      <c r="C220" s="1574"/>
      <c r="D220" s="1578"/>
      <c r="E220" s="1578"/>
      <c r="F220" s="1580"/>
      <c r="G220" s="1591"/>
      <c r="H220" s="1567"/>
      <c r="I220" s="1566"/>
      <c r="J220" s="1571"/>
      <c r="K220" s="1570"/>
      <c r="L220" s="1566"/>
      <c r="M220" s="1569"/>
      <c r="N220" s="1582"/>
      <c r="O220" s="1583"/>
      <c r="AA220" s="336"/>
      <c r="AB220" s="336"/>
      <c r="AC220" s="336"/>
      <c r="AD220" s="336"/>
      <c r="AE220" s="336"/>
    </row>
    <row r="221" spans="1:31">
      <c r="A221" s="1576"/>
      <c r="B221" s="1573"/>
      <c r="C221" s="1574"/>
      <c r="D221" s="1578"/>
      <c r="E221" s="1578"/>
      <c r="F221" s="1580"/>
      <c r="G221" s="1591"/>
      <c r="H221" s="1567"/>
      <c r="I221" s="1566"/>
      <c r="J221" s="1571"/>
      <c r="K221" s="1570"/>
      <c r="L221" s="1566"/>
      <c r="M221" s="1569"/>
      <c r="N221" s="1582"/>
      <c r="O221" s="1583"/>
      <c r="AA221" s="336"/>
      <c r="AB221" s="336"/>
      <c r="AC221" s="336"/>
      <c r="AD221" s="336"/>
      <c r="AE221" s="336"/>
    </row>
    <row r="222" spans="1:31">
      <c r="A222" s="1576"/>
      <c r="B222" s="1573"/>
      <c r="C222" s="1574"/>
      <c r="D222" s="1578"/>
      <c r="E222" s="1578"/>
      <c r="F222" s="1580"/>
      <c r="G222" s="1591"/>
      <c r="H222" s="1567"/>
      <c r="I222" s="1566"/>
      <c r="J222" s="1571"/>
      <c r="K222" s="1570"/>
      <c r="L222" s="1566"/>
      <c r="M222" s="1569"/>
      <c r="N222" s="1582"/>
      <c r="O222" s="1583"/>
      <c r="S222" s="1772"/>
      <c r="T222" s="1772"/>
      <c r="U222" s="1772"/>
      <c r="V222" s="1772"/>
      <c r="W222" s="1772"/>
      <c r="X222" s="1772"/>
      <c r="Y222" s="1772"/>
      <c r="Z222" s="1772"/>
      <c r="AA222" s="1772"/>
      <c r="AB222" s="1772"/>
      <c r="AC222" s="1772"/>
      <c r="AD222" s="336"/>
      <c r="AE222" s="336"/>
    </row>
    <row r="223" spans="1:31">
      <c r="A223" s="1576"/>
      <c r="B223" s="1573"/>
      <c r="C223" s="1574"/>
      <c r="D223" s="1578"/>
      <c r="E223" s="1578"/>
      <c r="F223" s="1580"/>
      <c r="G223" s="1591"/>
      <c r="H223" s="1567"/>
      <c r="I223" s="1566"/>
      <c r="J223" s="1571"/>
      <c r="K223" s="1570"/>
      <c r="L223" s="1566"/>
      <c r="M223" s="1569"/>
      <c r="N223" s="1582"/>
      <c r="O223" s="1583"/>
      <c r="AA223" s="336"/>
      <c r="AB223" s="336"/>
      <c r="AC223" s="336"/>
      <c r="AD223" s="336"/>
      <c r="AE223" s="336"/>
    </row>
    <row r="224" spans="1:31">
      <c r="A224" s="1576"/>
      <c r="B224" s="1573"/>
      <c r="C224" s="1574"/>
      <c r="D224" s="1578"/>
      <c r="E224" s="1578"/>
      <c r="F224" s="1580"/>
      <c r="G224" s="1591"/>
      <c r="H224" s="1567"/>
      <c r="I224" s="1566"/>
      <c r="J224" s="1571"/>
      <c r="K224" s="1570"/>
      <c r="L224" s="1566"/>
      <c r="M224" s="1569"/>
      <c r="N224" s="1582"/>
      <c r="O224" s="1583"/>
      <c r="AD224" s="336"/>
      <c r="AE224" s="336"/>
    </row>
    <row r="225" spans="1:31">
      <c r="A225" s="1576"/>
      <c r="B225" s="1573"/>
      <c r="C225" s="1574"/>
      <c r="D225" s="1578"/>
      <c r="E225" s="1578"/>
      <c r="F225" s="1580"/>
      <c r="G225" s="1591"/>
      <c r="H225" s="1567"/>
      <c r="I225" s="1566"/>
      <c r="J225" s="1571"/>
      <c r="K225" s="1570"/>
      <c r="L225" s="1566"/>
      <c r="M225" s="1569"/>
      <c r="N225" s="1582"/>
      <c r="O225" s="1583"/>
      <c r="AC225" s="336"/>
      <c r="AD225" s="336"/>
      <c r="AE225" s="336"/>
    </row>
    <row r="226" spans="1:31">
      <c r="A226" s="1576"/>
      <c r="B226" s="1573"/>
      <c r="C226" s="1574"/>
      <c r="D226" s="1578"/>
      <c r="E226" s="1578"/>
      <c r="F226" s="1580"/>
      <c r="G226" s="1591"/>
      <c r="H226" s="1567"/>
      <c r="I226" s="1566"/>
      <c r="J226" s="1571"/>
      <c r="K226" s="1570"/>
      <c r="L226" s="1566"/>
      <c r="M226" s="1569"/>
      <c r="N226" s="1582"/>
      <c r="O226" s="1583"/>
      <c r="AD226" s="336"/>
      <c r="AE226" s="336"/>
    </row>
    <row r="227" spans="1:31">
      <c r="A227" s="1576"/>
      <c r="B227" s="1573"/>
      <c r="C227" s="1574"/>
      <c r="D227" s="1578"/>
      <c r="E227" s="1578"/>
      <c r="F227" s="1580"/>
      <c r="G227" s="1591"/>
      <c r="H227" s="1567"/>
      <c r="I227" s="1566"/>
      <c r="J227" s="1571"/>
      <c r="K227" s="1570"/>
      <c r="L227" s="1566"/>
      <c r="M227" s="1569"/>
      <c r="N227" s="1582"/>
      <c r="O227" s="1583"/>
      <c r="AD227" s="336"/>
      <c r="AE227" s="336"/>
    </row>
    <row r="228" spans="1:31">
      <c r="A228" s="1576"/>
      <c r="B228" s="1573"/>
      <c r="C228" s="1574"/>
      <c r="D228" s="1578"/>
      <c r="E228" s="1578"/>
      <c r="F228" s="1580"/>
      <c r="G228" s="1591"/>
      <c r="H228" s="1567"/>
      <c r="I228" s="1566"/>
      <c r="J228" s="1571"/>
      <c r="K228" s="1570"/>
      <c r="L228" s="1566"/>
      <c r="M228" s="1569"/>
      <c r="N228" s="1582"/>
      <c r="O228" s="1583"/>
      <c r="AD228" s="336"/>
      <c r="AE228" s="336"/>
    </row>
    <row r="229" spans="1:31">
      <c r="A229" s="1576"/>
      <c r="B229" s="1573"/>
      <c r="C229" s="1574"/>
      <c r="D229" s="1578"/>
      <c r="E229" s="1578"/>
      <c r="F229" s="1580"/>
      <c r="G229" s="1591"/>
      <c r="H229" s="1567"/>
      <c r="I229" s="1566"/>
      <c r="J229" s="1571"/>
      <c r="K229" s="1570"/>
      <c r="L229" s="1566"/>
      <c r="M229" s="1569"/>
      <c r="N229" s="1582"/>
      <c r="O229" s="1583"/>
      <c r="AD229" s="336"/>
      <c r="AE229" s="336"/>
    </row>
    <row r="230" spans="1:31">
      <c r="A230" s="1576"/>
      <c r="B230" s="1573"/>
      <c r="C230" s="1574"/>
      <c r="D230" s="1578"/>
      <c r="E230" s="1578"/>
      <c r="F230" s="1580"/>
      <c r="G230" s="1591"/>
      <c r="H230" s="1567"/>
      <c r="I230" s="1566"/>
      <c r="J230" s="1571"/>
      <c r="K230" s="1570"/>
      <c r="L230" s="1566"/>
      <c r="M230" s="1569"/>
      <c r="N230" s="1582"/>
      <c r="O230" s="1583"/>
      <c r="AD230" s="336"/>
      <c r="AE230" s="336"/>
    </row>
    <row r="231" spans="1:31">
      <c r="A231" s="1576"/>
      <c r="B231" s="1573"/>
      <c r="C231" s="1574"/>
      <c r="D231" s="1578"/>
      <c r="E231" s="1578"/>
      <c r="F231" s="1580"/>
      <c r="G231" s="1591"/>
      <c r="H231" s="1567"/>
      <c r="I231" s="1566"/>
      <c r="J231" s="1571"/>
      <c r="K231" s="1570"/>
      <c r="L231" s="1566"/>
      <c r="M231" s="1569"/>
      <c r="N231" s="1582"/>
      <c r="O231" s="1583"/>
      <c r="AD231" s="336"/>
      <c r="AE231" s="336"/>
    </row>
    <row r="232" spans="1:31">
      <c r="A232" s="1576"/>
      <c r="B232" s="1573"/>
      <c r="C232" s="1574"/>
      <c r="D232" s="1578"/>
      <c r="E232" s="1578"/>
      <c r="F232" s="1580"/>
      <c r="G232" s="1591"/>
      <c r="H232" s="1567"/>
      <c r="I232" s="1566"/>
      <c r="J232" s="1571"/>
      <c r="K232" s="1570"/>
      <c r="L232" s="1566"/>
      <c r="M232" s="1569"/>
      <c r="N232" s="1582"/>
      <c r="O232" s="1583"/>
      <c r="Z232" s="336"/>
      <c r="AA232" s="336"/>
      <c r="AB232" s="336"/>
      <c r="AC232" s="336"/>
      <c r="AD232" s="336"/>
      <c r="AE232" s="336"/>
    </row>
    <row r="233" spans="1:31">
      <c r="A233" s="1576"/>
      <c r="B233" s="1573"/>
      <c r="C233" s="1574"/>
      <c r="D233" s="1578"/>
      <c r="E233" s="1578"/>
      <c r="F233" s="1580"/>
      <c r="G233" s="1591"/>
      <c r="H233" s="1567"/>
      <c r="I233" s="1566"/>
      <c r="J233" s="1571"/>
      <c r="K233" s="1570"/>
      <c r="L233" s="1566"/>
      <c r="M233" s="1569"/>
      <c r="N233" s="1582"/>
      <c r="O233" s="1583"/>
      <c r="Z233" s="336"/>
      <c r="AA233" s="336"/>
      <c r="AB233" s="336"/>
      <c r="AC233" s="336"/>
      <c r="AD233" s="336"/>
      <c r="AE233" s="336"/>
    </row>
    <row r="234" spans="1:31">
      <c r="A234" s="1576"/>
      <c r="B234" s="1573"/>
      <c r="C234" s="1574"/>
      <c r="D234" s="1578"/>
      <c r="E234" s="1578"/>
      <c r="F234" s="1580"/>
      <c r="G234" s="1591"/>
      <c r="H234" s="1567"/>
      <c r="I234" s="1566"/>
      <c r="J234" s="1571"/>
      <c r="K234" s="1570"/>
      <c r="L234" s="1566"/>
      <c r="M234" s="1569"/>
      <c r="N234" s="1582"/>
      <c r="O234" s="1583"/>
      <c r="Z234" s="336"/>
      <c r="AA234" s="336"/>
      <c r="AB234" s="336"/>
      <c r="AC234" s="336"/>
      <c r="AD234" s="336"/>
      <c r="AE234" s="336"/>
    </row>
    <row r="235" spans="1:31">
      <c r="A235" s="1576"/>
      <c r="B235" s="1573"/>
      <c r="C235" s="1574"/>
      <c r="D235" s="1578"/>
      <c r="E235" s="1578"/>
      <c r="F235" s="1580"/>
      <c r="G235" s="1591"/>
      <c r="H235" s="1567"/>
      <c r="I235" s="1566"/>
      <c r="J235" s="1571"/>
      <c r="K235" s="1570"/>
      <c r="L235" s="1566"/>
      <c r="M235" s="1569"/>
      <c r="N235" s="1582"/>
      <c r="O235" s="1583"/>
      <c r="AC235" s="336"/>
      <c r="AD235" s="336"/>
      <c r="AE235" s="336"/>
    </row>
    <row r="236" spans="1:31">
      <c r="A236" s="1576"/>
      <c r="B236" s="1573"/>
      <c r="C236" s="1574"/>
      <c r="D236" s="1578"/>
      <c r="E236" s="1578"/>
      <c r="F236" s="1580"/>
      <c r="G236" s="1591"/>
      <c r="H236" s="1567"/>
      <c r="I236" s="1566"/>
      <c r="J236" s="1571"/>
      <c r="K236" s="1570"/>
      <c r="L236" s="1566"/>
      <c r="M236" s="1569"/>
      <c r="N236" s="1582"/>
      <c r="O236" s="1583"/>
      <c r="AD236" s="336"/>
      <c r="AE236" s="336"/>
    </row>
    <row r="237" spans="1:31">
      <c r="A237" s="1576"/>
      <c r="B237" s="1573"/>
      <c r="C237" s="1574"/>
      <c r="D237" s="1578"/>
      <c r="E237" s="1578"/>
      <c r="F237" s="1580"/>
      <c r="G237" s="1591"/>
      <c r="H237" s="1567"/>
      <c r="I237" s="1566"/>
      <c r="J237" s="1571"/>
      <c r="K237" s="1570"/>
      <c r="L237" s="1566"/>
      <c r="M237" s="1569"/>
      <c r="N237" s="1582"/>
      <c r="O237" s="1583"/>
      <c r="Y237" s="1772"/>
      <c r="Z237" s="1772"/>
      <c r="AA237" s="1772"/>
      <c r="AB237" s="1772"/>
      <c r="AC237" s="1772"/>
      <c r="AD237" s="336"/>
      <c r="AE237" s="336"/>
    </row>
    <row r="238" spans="1:31">
      <c r="A238" s="1579"/>
      <c r="B238" s="1573"/>
      <c r="C238" s="1574"/>
      <c r="D238" s="1578"/>
      <c r="E238" s="1578"/>
      <c r="F238" s="1580"/>
      <c r="G238" s="1581"/>
      <c r="H238" s="1567"/>
      <c r="I238" s="1566"/>
      <c r="J238" s="1571"/>
      <c r="K238" s="1570"/>
      <c r="L238" s="1566"/>
      <c r="M238" s="1569"/>
      <c r="N238" s="1582"/>
      <c r="O238" s="1583"/>
    </row>
    <row r="239" spans="1:31">
      <c r="A239" s="1575"/>
      <c r="B239" s="1573"/>
      <c r="C239" s="1584"/>
      <c r="D239" s="1577"/>
      <c r="E239" s="1577"/>
      <c r="F239" s="1584"/>
      <c r="G239" s="1582"/>
      <c r="H239" s="1567"/>
      <c r="I239" s="1566"/>
      <c r="J239" s="1571"/>
      <c r="K239" s="1570"/>
      <c r="L239" s="1566"/>
      <c r="M239" s="1569"/>
      <c r="N239" s="1582"/>
      <c r="O239" s="1583"/>
    </row>
    <row r="240" spans="1:31">
      <c r="A240" s="1585"/>
      <c r="B240" s="1573"/>
      <c r="C240" s="1584"/>
      <c r="D240" s="1572"/>
      <c r="E240" s="1572"/>
      <c r="F240" s="1584"/>
      <c r="G240" s="1582"/>
      <c r="H240" s="1567"/>
      <c r="I240" s="1566"/>
      <c r="J240" s="1571"/>
      <c r="K240" s="1570"/>
      <c r="L240" s="1566"/>
      <c r="M240" s="1569"/>
      <c r="N240" s="1582"/>
      <c r="O240" s="1583"/>
    </row>
    <row r="241" spans="1:16">
      <c r="A241" s="781" t="s">
        <v>987</v>
      </c>
      <c r="B241" s="782">
        <v>1</v>
      </c>
      <c r="C241" s="946">
        <f>SUM(C6:C240)</f>
        <v>0</v>
      </c>
      <c r="D241" s="947"/>
      <c r="E241" s="947"/>
      <c r="F241" s="948"/>
      <c r="G241" s="949"/>
      <c r="H241" s="265">
        <f t="shared" ref="H241:P241" si="0">SUM(H6:H240)</f>
        <v>0</v>
      </c>
      <c r="I241" s="262">
        <f t="shared" si="0"/>
        <v>0</v>
      </c>
      <c r="J241" s="261">
        <f t="shared" si="0"/>
        <v>0</v>
      </c>
      <c r="K241" s="264">
        <f t="shared" si="0"/>
        <v>0</v>
      </c>
      <c r="L241" s="262">
        <f t="shared" si="0"/>
        <v>0</v>
      </c>
      <c r="M241" s="263">
        <f t="shared" si="0"/>
        <v>0</v>
      </c>
      <c r="N241" s="950">
        <f t="shared" si="0"/>
        <v>0</v>
      </c>
      <c r="O241" s="951">
        <f t="shared" si="0"/>
        <v>0</v>
      </c>
      <c r="P241" s="262">
        <f t="shared" si="0"/>
        <v>0</v>
      </c>
    </row>
    <row r="242" spans="1:16">
      <c r="A242" s="943"/>
      <c r="B242" s="324"/>
      <c r="C242" s="580"/>
      <c r="D242" s="939"/>
      <c r="E242" s="939"/>
      <c r="F242" s="940"/>
      <c r="G242" s="941"/>
      <c r="H242" s="192"/>
      <c r="I242" s="189"/>
      <c r="J242" s="188"/>
      <c r="K242" s="191"/>
      <c r="L242" s="189"/>
      <c r="M242" s="190"/>
      <c r="N242" s="637"/>
      <c r="O242" s="944"/>
    </row>
    <row r="243" spans="1:16">
      <c r="A243" s="634" t="s">
        <v>16</v>
      </c>
      <c r="B243" s="324"/>
      <c r="C243" s="580"/>
      <c r="D243" s="939"/>
      <c r="E243" s="939"/>
      <c r="F243" s="940"/>
      <c r="G243" s="941"/>
      <c r="H243" s="192"/>
      <c r="I243" s="189"/>
      <c r="J243" s="188"/>
      <c r="K243" s="191"/>
      <c r="L243" s="189"/>
      <c r="M243" s="190"/>
      <c r="N243" s="637"/>
      <c r="O243" s="944"/>
      <c r="P243" s="336"/>
    </row>
    <row r="244" spans="1:16" ht="11.25" customHeight="1">
      <c r="A244" s="346" t="s">
        <v>1587</v>
      </c>
      <c r="B244" s="324"/>
      <c r="C244" s="580"/>
      <c r="D244" s="939"/>
      <c r="E244" s="939"/>
      <c r="F244" s="940"/>
      <c r="G244" s="941"/>
      <c r="H244" s="381"/>
      <c r="I244" s="296"/>
      <c r="J244" s="297"/>
      <c r="K244" s="298"/>
      <c r="L244" s="296"/>
      <c r="M244" s="299"/>
      <c r="N244" s="942"/>
      <c r="O244" s="850"/>
    </row>
    <row r="245" spans="1:16" ht="5.0999999999999996" customHeight="1">
      <c r="A245" s="943"/>
      <c r="B245" s="324"/>
      <c r="C245" s="580"/>
      <c r="D245" s="939"/>
      <c r="E245" s="939"/>
      <c r="F245" s="940"/>
      <c r="G245" s="941"/>
      <c r="H245" s="192"/>
      <c r="I245" s="189"/>
      <c r="J245" s="188"/>
      <c r="K245" s="191"/>
      <c r="L245" s="189"/>
      <c r="M245" s="190"/>
      <c r="N245" s="637"/>
      <c r="O245" s="944"/>
    </row>
    <row r="246" spans="1:16" ht="11.25" customHeight="1">
      <c r="A246" s="1586" t="s">
        <v>1588</v>
      </c>
      <c r="B246" s="1573"/>
      <c r="C246" s="1574"/>
      <c r="D246" s="1578"/>
      <c r="E246" s="1578"/>
      <c r="F246" s="1580"/>
      <c r="G246" s="1581"/>
      <c r="H246" s="1567"/>
      <c r="I246" s="1566"/>
      <c r="J246" s="1571"/>
      <c r="K246" s="1570"/>
      <c r="L246" s="1566"/>
      <c r="M246" s="1569"/>
      <c r="N246" s="1582"/>
      <c r="O246" s="1583"/>
    </row>
    <row r="247" spans="1:16" ht="11.25" customHeight="1">
      <c r="A247" s="1575" t="s">
        <v>1589</v>
      </c>
      <c r="B247" s="1573"/>
      <c r="C247" s="1584"/>
      <c r="D247" s="1577"/>
      <c r="E247" s="1577"/>
      <c r="F247" s="1584"/>
      <c r="G247" s="1582"/>
      <c r="H247" s="1567"/>
      <c r="I247" s="1566"/>
      <c r="J247" s="1571"/>
      <c r="K247" s="1570"/>
      <c r="L247" s="1566"/>
      <c r="M247" s="1569"/>
      <c r="N247" s="1582"/>
      <c r="O247" s="1583"/>
    </row>
    <row r="248" spans="1:16" ht="5.0999999999999996" customHeight="1">
      <c r="A248" s="1585"/>
      <c r="B248" s="1573"/>
      <c r="C248" s="1584"/>
      <c r="D248" s="1577"/>
      <c r="E248" s="1577"/>
      <c r="F248" s="1584"/>
      <c r="G248" s="1582"/>
      <c r="H248" s="1567"/>
      <c r="I248" s="1566"/>
      <c r="J248" s="1571"/>
      <c r="K248" s="1570"/>
      <c r="L248" s="1566"/>
      <c r="M248" s="1569"/>
      <c r="N248" s="1582"/>
      <c r="O248" s="1583"/>
    </row>
    <row r="249" spans="1:16" ht="11.25" customHeight="1">
      <c r="A249" s="1586" t="s">
        <v>1590</v>
      </c>
      <c r="B249" s="1573"/>
      <c r="C249" s="1584"/>
      <c r="D249" s="1577"/>
      <c r="E249" s="1577"/>
      <c r="F249" s="1584"/>
      <c r="G249" s="1582"/>
      <c r="H249" s="1567"/>
      <c r="I249" s="1566"/>
      <c r="J249" s="1571"/>
      <c r="K249" s="1570"/>
      <c r="L249" s="1566"/>
      <c r="M249" s="1569"/>
      <c r="N249" s="1582"/>
      <c r="O249" s="1583"/>
    </row>
    <row r="250" spans="1:16" ht="11.25" customHeight="1">
      <c r="A250" s="1575" t="s">
        <v>1591</v>
      </c>
      <c r="B250" s="1573"/>
      <c r="C250" s="1584"/>
      <c r="D250" s="1577"/>
      <c r="E250" s="1577"/>
      <c r="F250" s="1584"/>
      <c r="G250" s="1582"/>
      <c r="H250" s="1567"/>
      <c r="I250" s="1566"/>
      <c r="J250" s="1571"/>
      <c r="K250" s="1570"/>
      <c r="L250" s="1566"/>
      <c r="M250" s="1569"/>
      <c r="N250" s="1582"/>
      <c r="O250" s="1583"/>
    </row>
    <row r="251" spans="1:16" ht="11.25" customHeight="1">
      <c r="A251" s="1575"/>
      <c r="B251" s="1573"/>
      <c r="C251" s="1584"/>
      <c r="D251" s="1577"/>
      <c r="E251" s="1577"/>
      <c r="F251" s="1584"/>
      <c r="G251" s="1582"/>
      <c r="H251" s="1567"/>
      <c r="I251" s="1566"/>
      <c r="J251" s="1571"/>
      <c r="K251" s="1570"/>
      <c r="L251" s="1566"/>
      <c r="M251" s="1569"/>
      <c r="N251" s="1582"/>
      <c r="O251" s="1583"/>
    </row>
    <row r="252" spans="1:16" ht="11.25" customHeight="1">
      <c r="A252" s="1575"/>
      <c r="B252" s="1573"/>
      <c r="C252" s="1584"/>
      <c r="D252" s="1572"/>
      <c r="E252" s="1572"/>
      <c r="F252" s="1584"/>
      <c r="G252" s="1582"/>
      <c r="H252" s="1567"/>
      <c r="I252" s="1566"/>
      <c r="J252" s="1571"/>
      <c r="K252" s="1570"/>
      <c r="L252" s="1566"/>
      <c r="M252" s="1569"/>
      <c r="N252" s="1582"/>
      <c r="O252" s="1583"/>
    </row>
    <row r="253" spans="1:16" ht="11.25" customHeight="1">
      <c r="A253" s="1585"/>
      <c r="B253" s="1573"/>
      <c r="C253" s="1587"/>
      <c r="D253" s="1588"/>
      <c r="E253" s="1588"/>
      <c r="F253" s="1587"/>
      <c r="G253" s="1589"/>
      <c r="H253" s="1567"/>
      <c r="I253" s="1566"/>
      <c r="J253" s="1571"/>
      <c r="K253" s="1570"/>
      <c r="L253" s="1566"/>
      <c r="M253" s="1569"/>
      <c r="N253" s="1589"/>
      <c r="O253" s="1590"/>
    </row>
    <row r="254" spans="1:16">
      <c r="A254" s="267" t="s">
        <v>987</v>
      </c>
      <c r="B254" s="952">
        <v>2</v>
      </c>
      <c r="C254" s="953">
        <f>SUM(C245:C253)</f>
        <v>0</v>
      </c>
      <c r="D254" s="227"/>
      <c r="E254" s="227"/>
      <c r="F254" s="227"/>
      <c r="G254" s="227"/>
      <c r="H254" s="218"/>
      <c r="I254" s="216"/>
      <c r="J254" s="217"/>
      <c r="K254" s="215">
        <f>SUM(K245:K253)</f>
        <v>0</v>
      </c>
      <c r="L254" s="216">
        <f>SUM(L245:L253)</f>
        <v>0</v>
      </c>
      <c r="M254" s="214">
        <f>SUM(M245:M253)</f>
        <v>0</v>
      </c>
      <c r="N254" s="227">
        <f>SUM(N245:N253)</f>
        <v>0</v>
      </c>
      <c r="O254" s="227">
        <f>SUM(O245:O253)</f>
        <v>0</v>
      </c>
    </row>
    <row r="255" spans="1:16" s="693" customFormat="1" ht="11.25" hidden="1" customHeight="1">
      <c r="A255" s="1220" t="str">
        <f>head27a</f>
        <v>References</v>
      </c>
      <c r="C255" s="1052"/>
      <c r="O255" s="1077"/>
    </row>
    <row r="256" spans="1:16" s="693" customFormat="1" ht="11.25" hidden="1" customHeight="1">
      <c r="A256" s="1201" t="s">
        <v>1655</v>
      </c>
    </row>
    <row r="257" spans="1:2" s="693" customFormat="1" ht="11.25" hidden="1" customHeight="1">
      <c r="A257" s="1201" t="s">
        <v>1719</v>
      </c>
    </row>
    <row r="258" spans="1:2" s="693" customFormat="1" ht="11.25" hidden="1" customHeight="1">
      <c r="A258" s="1201" t="s">
        <v>1695</v>
      </c>
    </row>
    <row r="259" spans="1:2" s="693" customFormat="1" ht="11.25" hidden="1" customHeight="1">
      <c r="A259" s="1201" t="s">
        <v>1003</v>
      </c>
    </row>
    <row r="260" spans="1:2" ht="11.25" hidden="1" customHeight="1">
      <c r="A260" s="150" t="s">
        <v>719</v>
      </c>
      <c r="B260" s="150"/>
    </row>
    <row r="261" spans="1:2" hidden="1">
      <c r="B261" s="150"/>
    </row>
    <row r="262" spans="1:2" ht="11.25" hidden="1" customHeight="1">
      <c r="B262" s="150"/>
    </row>
    <row r="263" spans="1:2" ht="11.25" hidden="1" customHeight="1">
      <c r="B263" s="150"/>
    </row>
    <row r="264" spans="1:2" ht="11.25" hidden="1" customHeight="1">
      <c r="B264" s="150"/>
    </row>
    <row r="265" spans="1:2" ht="11.25" hidden="1" customHeight="1">
      <c r="B265" s="150"/>
    </row>
    <row r="266" spans="1:2" ht="11.25" hidden="1" customHeight="1">
      <c r="B266" s="150"/>
    </row>
    <row r="267" spans="1:2" ht="11.25" hidden="1" customHeight="1">
      <c r="B267" s="150"/>
    </row>
    <row r="268" spans="1:2" ht="11.25" hidden="1" customHeight="1">
      <c r="B268" s="150"/>
    </row>
    <row r="269" spans="1:2" ht="11.25" hidden="1" customHeight="1">
      <c r="B269" s="150"/>
    </row>
    <row r="270" spans="1:2" ht="11.25" hidden="1" customHeight="1">
      <c r="B270" s="150"/>
    </row>
    <row r="271" spans="1:2" ht="11.25" hidden="1" customHeight="1">
      <c r="B271" s="150"/>
    </row>
    <row r="272" spans="1:2" ht="11.25" hidden="1" customHeight="1">
      <c r="B272" s="150"/>
    </row>
    <row r="273" spans="2:2" ht="11.25" hidden="1" customHeight="1">
      <c r="B273" s="150"/>
    </row>
    <row r="274" spans="2:2" ht="11.25" hidden="1" customHeight="1">
      <c r="B274" s="150"/>
    </row>
    <row r="275" spans="2:2" ht="11.25" hidden="1" customHeight="1">
      <c r="B275" s="150"/>
    </row>
    <row r="276" spans="2:2" ht="11.25" customHeight="1">
      <c r="B276" s="150"/>
    </row>
    <row r="277" spans="2:2" ht="11.25" customHeight="1">
      <c r="B277" s="150"/>
    </row>
    <row r="278" spans="2:2" ht="11.25" customHeight="1">
      <c r="B278" s="150"/>
    </row>
    <row r="279" spans="2:2" ht="11.25" customHeight="1">
      <c r="B279" s="150"/>
    </row>
    <row r="280" spans="2:2" ht="11.25" customHeight="1">
      <c r="B280" s="150"/>
    </row>
    <row r="281" spans="2:2" ht="11.25" customHeight="1">
      <c r="B281" s="150"/>
    </row>
    <row r="282" spans="2:2" ht="11.25" customHeight="1">
      <c r="B282" s="150"/>
    </row>
    <row r="283" spans="2:2" ht="11.25" customHeight="1">
      <c r="B283" s="150"/>
    </row>
    <row r="284" spans="2:2" ht="11.25" customHeight="1">
      <c r="B284" s="150"/>
    </row>
    <row r="285" spans="2:2">
      <c r="B285" s="150"/>
    </row>
    <row r="286" spans="2:2">
      <c r="B286" s="150"/>
    </row>
    <row r="287" spans="2:2" ht="11.25" customHeight="1">
      <c r="B287" s="150"/>
    </row>
    <row r="288" spans="2:2" ht="22.5" customHeight="1">
      <c r="B288" s="150"/>
    </row>
    <row r="289" spans="2:2">
      <c r="B289" s="150"/>
    </row>
    <row r="290" spans="2:2">
      <c r="B290" s="150"/>
    </row>
    <row r="291" spans="2:2" ht="11.25" customHeight="1">
      <c r="B291" s="150"/>
    </row>
    <row r="292" spans="2:2" ht="11.25" customHeight="1">
      <c r="B292" s="150"/>
    </row>
    <row r="293" spans="2:2" ht="11.25" customHeight="1">
      <c r="B293" s="150"/>
    </row>
    <row r="294" spans="2:2" ht="11.25" customHeight="1">
      <c r="B294" s="150"/>
    </row>
    <row r="295" spans="2:2" ht="11.25" customHeight="1">
      <c r="B295" s="150"/>
    </row>
    <row r="296" spans="2:2" ht="11.25" customHeight="1">
      <c r="B296" s="150"/>
    </row>
    <row r="297" spans="2:2" ht="11.25" customHeight="1">
      <c r="B297" s="150"/>
    </row>
    <row r="298" spans="2:2" ht="11.25" customHeight="1">
      <c r="B298" s="150"/>
    </row>
    <row r="299" spans="2:2" ht="11.25" customHeight="1">
      <c r="B299" s="150"/>
    </row>
    <row r="300" spans="2:2" ht="11.25" customHeight="1">
      <c r="B300" s="150"/>
    </row>
    <row r="301" spans="2:2" ht="11.25" customHeight="1">
      <c r="B301" s="150"/>
    </row>
    <row r="302" spans="2:2" ht="11.25" customHeight="1">
      <c r="B302" s="150"/>
    </row>
    <row r="303" spans="2:2" ht="11.25" customHeight="1">
      <c r="B303" s="150"/>
    </row>
    <row r="304" spans="2:2" ht="11.25" customHeight="1">
      <c r="B304" s="150"/>
    </row>
    <row r="305" spans="2:2" ht="11.25" customHeight="1">
      <c r="B305" s="150"/>
    </row>
    <row r="306" spans="2:2" ht="11.25" customHeight="1">
      <c r="B306" s="150"/>
    </row>
    <row r="307" spans="2:2" ht="11.25" customHeight="1">
      <c r="B307" s="150"/>
    </row>
    <row r="308" spans="2:2" ht="11.25" customHeight="1">
      <c r="B308" s="150"/>
    </row>
    <row r="309" spans="2:2" ht="11.25" customHeight="1">
      <c r="B309" s="150"/>
    </row>
    <row r="310" spans="2:2" ht="11.25" customHeight="1">
      <c r="B310" s="150"/>
    </row>
    <row r="311" spans="2:2" ht="11.25" customHeight="1">
      <c r="B311" s="150"/>
    </row>
    <row r="312" spans="2:2" ht="11.25" customHeight="1">
      <c r="B312" s="150"/>
    </row>
    <row r="313" spans="2:2" ht="11.25" customHeight="1">
      <c r="B313" s="150"/>
    </row>
    <row r="314" spans="2:2" ht="11.25" customHeight="1">
      <c r="B314" s="150"/>
    </row>
    <row r="315" spans="2:2" ht="11.25" customHeight="1">
      <c r="B315" s="150"/>
    </row>
    <row r="316" spans="2:2" ht="11.25" customHeight="1">
      <c r="B316" s="150"/>
    </row>
    <row r="317" spans="2:2" ht="11.25" customHeight="1">
      <c r="B317" s="150"/>
    </row>
    <row r="318" spans="2:2" ht="11.25" customHeight="1">
      <c r="B318" s="150"/>
    </row>
    <row r="319" spans="2:2" ht="11.25" customHeight="1">
      <c r="B319" s="150"/>
    </row>
    <row r="320" spans="2:2" ht="11.25" customHeight="1">
      <c r="B320" s="150"/>
    </row>
    <row r="321" spans="2:2" ht="11.25" customHeight="1">
      <c r="B321" s="150"/>
    </row>
    <row r="322" spans="2:2" ht="11.25" customHeight="1">
      <c r="B322" s="150"/>
    </row>
    <row r="323" spans="2:2" ht="11.25" customHeight="1">
      <c r="B323" s="150"/>
    </row>
    <row r="324" spans="2:2" ht="11.25" customHeight="1">
      <c r="B324" s="150"/>
    </row>
    <row r="325" spans="2:2" ht="11.25" customHeight="1">
      <c r="B325" s="150"/>
    </row>
    <row r="326" spans="2:2" ht="11.25" customHeight="1">
      <c r="B326" s="150"/>
    </row>
    <row r="327" spans="2:2" ht="11.25" customHeight="1">
      <c r="B327" s="150"/>
    </row>
    <row r="328" spans="2:2">
      <c r="B328" s="150"/>
    </row>
    <row r="329" spans="2:2">
      <c r="B329" s="150"/>
    </row>
    <row r="330" spans="2:2">
      <c r="B330" s="150"/>
    </row>
    <row r="331" spans="2:2">
      <c r="B331" s="150"/>
    </row>
    <row r="332" spans="2:2">
      <c r="B332" s="150"/>
    </row>
    <row r="333" spans="2:2">
      <c r="B333" s="150"/>
    </row>
    <row r="334" spans="2:2">
      <c r="B334" s="150"/>
    </row>
    <row r="335" spans="2:2">
      <c r="B335" s="150"/>
    </row>
    <row r="336" spans="2:2">
      <c r="B336" s="150"/>
    </row>
    <row r="337" spans="2:2">
      <c r="B337" s="150"/>
    </row>
    <row r="338" spans="2:2">
      <c r="B338" s="150"/>
    </row>
    <row r="339" spans="2:2">
      <c r="B339" s="150"/>
    </row>
    <row r="340" spans="2:2">
      <c r="B340" s="150"/>
    </row>
    <row r="341" spans="2:2">
      <c r="B341" s="150"/>
    </row>
    <row r="342" spans="2:2">
      <c r="B342" s="150"/>
    </row>
    <row r="343" spans="2:2">
      <c r="B343" s="150"/>
    </row>
    <row r="344" spans="2:2">
      <c r="B344" s="150"/>
    </row>
    <row r="345" spans="2:2">
      <c r="B345" s="150"/>
    </row>
    <row r="346" spans="2:2">
      <c r="B346" s="150"/>
    </row>
    <row r="347" spans="2:2">
      <c r="B347" s="150"/>
    </row>
    <row r="348" spans="2:2">
      <c r="B348" s="150"/>
    </row>
    <row r="349" spans="2:2">
      <c r="B349" s="150"/>
    </row>
    <row r="350" spans="2:2">
      <c r="B350" s="150"/>
    </row>
  </sheetData>
  <sheetProtection sheet="1" objects="1" scenarios="1"/>
  <autoFilter ref="A5:AE237"/>
  <mergeCells count="9">
    <mergeCell ref="N2:O2"/>
    <mergeCell ref="F2:F3"/>
    <mergeCell ref="G2:G3"/>
    <mergeCell ref="C2:C3"/>
    <mergeCell ref="D2:D3"/>
    <mergeCell ref="E2:E3"/>
    <mergeCell ref="I2:J2"/>
    <mergeCell ref="H2:H3"/>
    <mergeCell ref="K2:M2"/>
  </mergeCells>
  <phoneticPr fontId="3" type="noConversion"/>
  <printOptions horizontalCentered="1"/>
  <pageMargins left="0" right="0" top="0.78740157480314965" bottom="0.59055118110236227" header="0.51181102362204722" footer="0.39370078740157483"/>
  <pageSetup paperSize="9" scale="16"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enableFormatConditionsCalculation="0">
    <tabColor indexed="42"/>
    <pageSetUpPr fitToPage="1"/>
  </sheetPr>
  <dimension ref="A1:K80"/>
  <sheetViews>
    <sheetView showGridLines="0" workbookViewId="0">
      <pane xSplit="2" ySplit="4" topLeftCell="C5" activePane="bottomRight" state="frozen"/>
      <selection activeCell="O37" sqref="A1:IV65536"/>
      <selection pane="topRight" activeCell="O37" sqref="A1:IV65536"/>
      <selection pane="bottomLeft" activeCell="O37" sqref="A1:IV65536"/>
      <selection pane="bottomRight" activeCell="D9" sqref="D9"/>
    </sheetView>
  </sheetViews>
  <sheetFormatPr defaultRowHeight="12.75"/>
  <cols>
    <col min="1" max="2" width="26.42578125" style="150" customWidth="1"/>
    <col min="3" max="3" width="6.42578125" style="150" customWidth="1"/>
    <col min="4" max="5" width="26.42578125" style="150" customWidth="1"/>
    <col min="6" max="11" width="9.28515625" style="150" customWidth="1"/>
    <col min="12" max="12" width="7.42578125" style="150" bestFit="1" customWidth="1"/>
    <col min="13" max="13" width="9.85546875" style="150" customWidth="1"/>
    <col min="14" max="14" width="9.5703125" style="150" customWidth="1"/>
    <col min="15" max="15" width="9.85546875" style="150" customWidth="1"/>
    <col min="16" max="18" width="9.5703125" style="150" customWidth="1"/>
    <col min="19" max="19" width="9.85546875" style="150" customWidth="1"/>
    <col min="20" max="22" width="9.5703125" style="150" customWidth="1"/>
    <col min="23" max="24" width="9.85546875" style="150" customWidth="1"/>
    <col min="25" max="16384" width="9.140625" style="150"/>
  </cols>
  <sheetData>
    <row r="1" spans="1:11" ht="13.5" customHeight="1">
      <c r="A1" s="148" t="str">
        <f>muni&amp;" - "&amp;TableA37</f>
        <v>NC071 Ubuntu - Supporting Table SA37 Projects delayed from previous financial year/s</v>
      </c>
      <c r="B1" s="148"/>
      <c r="C1" s="148"/>
      <c r="D1" s="148"/>
      <c r="E1" s="148"/>
      <c r="F1" s="148"/>
      <c r="G1" s="148"/>
      <c r="H1" s="148"/>
      <c r="I1" s="148"/>
      <c r="J1" s="148"/>
      <c r="K1" s="148"/>
    </row>
    <row r="2" spans="1:11" ht="23.25" customHeight="1">
      <c r="A2" s="2829" t="s">
        <v>1030</v>
      </c>
      <c r="B2" s="2814" t="s">
        <v>1463</v>
      </c>
      <c r="C2" s="2814" t="s">
        <v>1464</v>
      </c>
      <c r="D2" s="2814" t="s">
        <v>1594</v>
      </c>
      <c r="E2" s="2826" t="s">
        <v>1595</v>
      </c>
      <c r="F2" s="2807" t="str">
        <f>Head47</f>
        <v>Previous target year to complete</v>
      </c>
      <c r="G2" s="2818" t="str">
        <f>Head2</f>
        <v>Current Year 2010/11</v>
      </c>
      <c r="H2" s="2770"/>
      <c r="I2" s="2769" t="str">
        <f>Head3</f>
        <v>2011/12 Medium Term Revenue &amp; Expenditure Framework</v>
      </c>
      <c r="J2" s="2770"/>
      <c r="K2" s="2771"/>
    </row>
    <row r="3" spans="1:11" ht="25.5">
      <c r="A3" s="2830"/>
      <c r="B3" s="2832"/>
      <c r="C3" s="2832" t="s">
        <v>1915</v>
      </c>
      <c r="D3" s="2832"/>
      <c r="E3" s="2833"/>
      <c r="F3" s="2831"/>
      <c r="G3" s="644" t="str">
        <f>Head6</f>
        <v>Original Budget</v>
      </c>
      <c r="H3" s="954" t="str">
        <f>Head8</f>
        <v>Full Year Forecast</v>
      </c>
      <c r="I3" s="152" t="str">
        <f>Head9</f>
        <v>Budget Year 2011/12</v>
      </c>
      <c r="J3" s="153" t="str">
        <f>Head10</f>
        <v>Budget Year +1 2012/13</v>
      </c>
      <c r="K3" s="154" t="str">
        <f>Head11</f>
        <v>Budget Year +2 2013/14</v>
      </c>
    </row>
    <row r="4" spans="1:11" ht="11.25" customHeight="1">
      <c r="A4" s="169" t="s">
        <v>697</v>
      </c>
      <c r="B4" s="2815"/>
      <c r="C4" s="2815" t="s">
        <v>1084</v>
      </c>
      <c r="D4" s="2815"/>
      <c r="E4" s="2834"/>
      <c r="F4" s="955" t="s">
        <v>312</v>
      </c>
      <c r="G4" s="138"/>
      <c r="H4" s="139"/>
      <c r="I4" s="156"/>
      <c r="J4" s="138"/>
      <c r="K4" s="157"/>
    </row>
    <row r="5" spans="1:11" ht="11.25" customHeight="1">
      <c r="A5" s="931" t="s">
        <v>1586</v>
      </c>
      <c r="B5" s="933"/>
      <c r="C5" s="934"/>
      <c r="D5" s="935"/>
      <c r="E5" s="956"/>
      <c r="F5" s="957"/>
      <c r="G5" s="921"/>
      <c r="H5" s="958"/>
      <c r="I5" s="959"/>
      <c r="J5" s="921"/>
      <c r="K5" s="960"/>
    </row>
    <row r="6" spans="1:11" ht="11.25" customHeight="1">
      <c r="A6" s="346" t="s">
        <v>1131</v>
      </c>
      <c r="B6" s="580"/>
      <c r="C6" s="939"/>
      <c r="D6" s="940" t="s">
        <v>1031</v>
      </c>
      <c r="E6" s="961" t="s">
        <v>1031</v>
      </c>
      <c r="F6" s="962"/>
      <c r="G6" s="963"/>
      <c r="H6" s="964"/>
      <c r="I6" s="965"/>
      <c r="J6" s="963"/>
      <c r="K6" s="966"/>
    </row>
    <row r="7" spans="1:11" ht="11.25" customHeight="1">
      <c r="A7" s="346"/>
      <c r="B7" s="580"/>
      <c r="C7" s="939"/>
      <c r="D7" s="940"/>
      <c r="E7" s="961"/>
      <c r="F7" s="962"/>
      <c r="G7" s="963"/>
      <c r="H7" s="964"/>
      <c r="I7" s="965"/>
      <c r="J7" s="963"/>
      <c r="K7" s="966"/>
    </row>
    <row r="8" spans="1:11" ht="11.25" customHeight="1">
      <c r="A8" s="2213"/>
      <c r="B8" s="2069"/>
      <c r="C8" s="2176"/>
      <c r="D8" s="2209"/>
      <c r="E8" s="2210"/>
      <c r="F8" s="2214"/>
      <c r="G8" s="2197"/>
      <c r="H8" s="2215"/>
      <c r="I8" s="2199"/>
      <c r="J8" s="2197"/>
      <c r="K8" s="2200"/>
    </row>
    <row r="9" spans="1:11" ht="11.25" customHeight="1">
      <c r="A9" s="2139"/>
      <c r="B9" s="2216"/>
      <c r="C9" s="2168"/>
      <c r="D9" s="2216"/>
      <c r="E9" s="2217"/>
      <c r="F9" s="2218"/>
      <c r="G9" s="1805"/>
      <c r="H9" s="1806"/>
      <c r="I9" s="1821"/>
      <c r="J9" s="1805"/>
      <c r="K9" s="1820"/>
    </row>
    <row r="10" spans="1:11" ht="11.25" customHeight="1">
      <c r="A10" s="2139"/>
      <c r="B10" s="2216"/>
      <c r="C10" s="2168"/>
      <c r="D10" s="2216"/>
      <c r="E10" s="2217"/>
      <c r="F10" s="2218"/>
      <c r="G10" s="1805"/>
      <c r="H10" s="1806"/>
      <c r="I10" s="1821"/>
      <c r="J10" s="1805"/>
      <c r="K10" s="1820"/>
    </row>
    <row r="11" spans="1:11" ht="11.25" customHeight="1">
      <c r="A11" s="2213"/>
      <c r="B11" s="2216"/>
      <c r="C11" s="2168"/>
      <c r="D11" s="2216"/>
      <c r="E11" s="2217"/>
      <c r="F11" s="2218"/>
      <c r="G11" s="1805"/>
      <c r="H11" s="1806"/>
      <c r="I11" s="1821"/>
      <c r="J11" s="1805"/>
      <c r="K11" s="1820"/>
    </row>
    <row r="12" spans="1:11" ht="11.25" customHeight="1">
      <c r="A12" s="2139"/>
      <c r="B12" s="2216"/>
      <c r="C12" s="2168"/>
      <c r="D12" s="2216"/>
      <c r="E12" s="2217"/>
      <c r="F12" s="2218"/>
      <c r="G12" s="1805"/>
      <c r="H12" s="2219"/>
      <c r="I12" s="1821"/>
      <c r="J12" s="1805"/>
      <c r="K12" s="1820"/>
    </row>
    <row r="13" spans="1:11" ht="11.25" customHeight="1">
      <c r="A13" s="2139"/>
      <c r="B13" s="2216"/>
      <c r="C13" s="2168"/>
      <c r="D13" s="2216"/>
      <c r="E13" s="2217"/>
      <c r="F13" s="2218"/>
      <c r="G13" s="1805"/>
      <c r="H13" s="1806"/>
      <c r="I13" s="1821"/>
      <c r="J13" s="1805"/>
      <c r="K13" s="1820"/>
    </row>
    <row r="14" spans="1:11" ht="11.25" customHeight="1">
      <c r="A14" s="2220"/>
      <c r="B14" s="2221"/>
      <c r="C14" s="2222"/>
      <c r="D14" s="2221"/>
      <c r="E14" s="2223"/>
      <c r="F14" s="2224"/>
      <c r="G14" s="1839"/>
      <c r="H14" s="2225"/>
      <c r="I14" s="1841"/>
      <c r="J14" s="1839"/>
      <c r="K14" s="1840"/>
    </row>
    <row r="15" spans="1:11" ht="11.25" customHeight="1">
      <c r="A15" s="251" t="s">
        <v>16</v>
      </c>
      <c r="B15" s="945"/>
      <c r="C15" s="824"/>
      <c r="D15" s="945"/>
      <c r="E15" s="967"/>
      <c r="F15" s="605"/>
      <c r="G15" s="193"/>
      <c r="H15" s="542"/>
      <c r="I15" s="237"/>
      <c r="J15" s="193"/>
      <c r="K15" s="250"/>
    </row>
    <row r="16" spans="1:11" ht="11.25" customHeight="1">
      <c r="A16" s="346" t="s">
        <v>1592</v>
      </c>
      <c r="B16" s="945"/>
      <c r="C16" s="824"/>
      <c r="D16" s="945"/>
      <c r="E16" s="967"/>
      <c r="F16" s="605"/>
      <c r="G16" s="193"/>
      <c r="H16" s="542"/>
      <c r="I16" s="237"/>
      <c r="J16" s="193"/>
      <c r="K16" s="250"/>
    </row>
    <row r="17" spans="1:11" ht="11.25" customHeight="1">
      <c r="A17" s="968"/>
      <c r="B17" s="945"/>
      <c r="C17" s="824"/>
      <c r="D17" s="945"/>
      <c r="E17" s="967"/>
      <c r="F17" s="605"/>
      <c r="G17" s="193"/>
      <c r="H17" s="542"/>
      <c r="I17" s="237"/>
      <c r="J17" s="193"/>
      <c r="K17" s="250"/>
    </row>
    <row r="18" spans="1:11" ht="11.25" customHeight="1">
      <c r="A18" s="2226" t="s">
        <v>1593</v>
      </c>
      <c r="B18" s="2216"/>
      <c r="C18" s="2168"/>
      <c r="D18" s="2216"/>
      <c r="E18" s="2217"/>
      <c r="F18" s="2218"/>
      <c r="G18" s="1805"/>
      <c r="H18" s="1806"/>
      <c r="I18" s="1821"/>
      <c r="J18" s="1805"/>
      <c r="K18" s="1820"/>
    </row>
    <row r="19" spans="1:11" ht="11.25" customHeight="1">
      <c r="A19" s="2166" t="s">
        <v>1463</v>
      </c>
      <c r="B19" s="2216"/>
      <c r="C19" s="2168"/>
      <c r="D19" s="2216"/>
      <c r="E19" s="2217"/>
      <c r="F19" s="2218"/>
      <c r="G19" s="1805"/>
      <c r="H19" s="1806"/>
      <c r="I19" s="1821"/>
      <c r="J19" s="1805"/>
      <c r="K19" s="1820"/>
    </row>
    <row r="20" spans="1:11" ht="11.25" customHeight="1">
      <c r="A20" s="2167"/>
      <c r="B20" s="2216"/>
      <c r="C20" s="2168"/>
      <c r="D20" s="2216"/>
      <c r="E20" s="2217"/>
      <c r="F20" s="2218"/>
      <c r="G20" s="1805"/>
      <c r="H20" s="1806"/>
      <c r="I20" s="1821"/>
      <c r="J20" s="1805"/>
      <c r="K20" s="1820"/>
    </row>
    <row r="21" spans="1:11" ht="11.25" customHeight="1">
      <c r="A21" s="2139"/>
      <c r="B21" s="2216"/>
      <c r="C21" s="2168"/>
      <c r="D21" s="2216"/>
      <c r="E21" s="2217"/>
      <c r="F21" s="2218"/>
      <c r="G21" s="1805"/>
      <c r="H21" s="1806"/>
      <c r="I21" s="1821"/>
      <c r="J21" s="1805"/>
      <c r="K21" s="1820"/>
    </row>
    <row r="22" spans="1:11" ht="11.25" customHeight="1">
      <c r="A22" s="2139"/>
      <c r="B22" s="2216"/>
      <c r="C22" s="2168"/>
      <c r="D22" s="2216"/>
      <c r="E22" s="2217"/>
      <c r="F22" s="2218"/>
      <c r="G22" s="1805"/>
      <c r="H22" s="1806"/>
      <c r="I22" s="1821"/>
      <c r="J22" s="1805"/>
      <c r="K22" s="1820"/>
    </row>
    <row r="23" spans="1:11" ht="11.25" customHeight="1">
      <c r="A23" s="2227"/>
      <c r="B23" s="2228"/>
      <c r="C23" s="2229"/>
      <c r="D23" s="2228"/>
      <c r="E23" s="2230"/>
      <c r="F23" s="2231"/>
      <c r="G23" s="1886"/>
      <c r="H23" s="2232"/>
      <c r="I23" s="1888"/>
      <c r="J23" s="1886"/>
      <c r="K23" s="1887"/>
    </row>
    <row r="24" spans="1:11" ht="11.25" hidden="1" customHeight="1">
      <c r="A24" s="288" t="str">
        <f>head27a</f>
        <v>References</v>
      </c>
      <c r="D24" s="232"/>
      <c r="E24" s="232"/>
      <c r="F24" s="232"/>
      <c r="G24" s="232"/>
      <c r="H24" s="232"/>
    </row>
    <row r="25" spans="1:11" ht="11.25" hidden="1" customHeight="1">
      <c r="A25" s="289" t="s">
        <v>1764</v>
      </c>
    </row>
    <row r="26" spans="1:11" ht="11.25" hidden="1" customHeight="1">
      <c r="A26" s="289" t="s">
        <v>935</v>
      </c>
    </row>
    <row r="27" spans="1:11" ht="11.25" hidden="1" customHeight="1">
      <c r="A27" s="289" t="s">
        <v>1720</v>
      </c>
    </row>
    <row r="28" spans="1:11" ht="11.25" hidden="1" customHeight="1"/>
    <row r="29" spans="1:11" ht="11.25" hidden="1" customHeight="1"/>
    <row r="30" spans="1:11" ht="11.25" hidden="1" customHeight="1"/>
    <row r="31" spans="1:11" ht="11.25" hidden="1" customHeight="1"/>
    <row r="32" spans="1:11" ht="11.25" hidden="1" customHeight="1"/>
    <row r="33" ht="11.25" hidden="1" customHeight="1"/>
    <row r="34" ht="11.25" hidden="1" customHeight="1"/>
    <row r="35" ht="11.25" hidden="1" customHeight="1"/>
    <row r="36" ht="11.25" hidden="1" customHeight="1"/>
    <row r="37" ht="11.25" hidden="1" customHeight="1"/>
    <row r="38" hidden="1"/>
    <row r="39" hidden="1"/>
    <row r="40" ht="11.25" hidden="1" customHeight="1"/>
    <row r="41" ht="22.5" hidden="1" customHeight="1"/>
    <row r="42" hidden="1"/>
    <row r="43" hidden="1"/>
    <row r="44" ht="11.25" hidden="1" customHeight="1"/>
    <row r="45" ht="11.25" customHeight="1"/>
    <row r="46" ht="11.25" customHeight="1"/>
    <row r="47" ht="11.25" customHeight="1"/>
    <row r="48"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row r="61" ht="11.25" customHeight="1"/>
    <row r="62" ht="11.25" customHeight="1"/>
    <row r="63" ht="11.25" customHeight="1"/>
    <row r="64"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sheetData>
  <sheetProtection sheet="1" objects="1" scenarios="1"/>
  <mergeCells count="8">
    <mergeCell ref="A2:A3"/>
    <mergeCell ref="F2:F3"/>
    <mergeCell ref="G2:H2"/>
    <mergeCell ref="I2:K2"/>
    <mergeCell ref="B2:B4"/>
    <mergeCell ref="C2:C4"/>
    <mergeCell ref="E2:E4"/>
    <mergeCell ref="D2:D4"/>
  </mergeCells>
  <phoneticPr fontId="3" type="noConversion"/>
  <printOptions horizontalCentered="1"/>
  <pageMargins left="0" right="0" top="0.78740157480314965" bottom="0.59055118110236227" header="0.51181102362204722" footer="0.39370078740157483"/>
  <pageSetup paperSize="9" scale="88"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indexed="33"/>
    <pageSetUpPr fitToPage="1"/>
  </sheetPr>
  <dimension ref="A1:AK83"/>
  <sheetViews>
    <sheetView workbookViewId="0">
      <pane xSplit="2" ySplit="5" topLeftCell="C6" activePane="bottomRight" state="frozen"/>
      <selection pane="topRight" activeCell="C1" sqref="C1"/>
      <selection pane="bottomLeft" activeCell="A6" sqref="A6"/>
      <selection pane="bottomRight" activeCell="O34" sqref="O34"/>
    </sheetView>
  </sheetViews>
  <sheetFormatPr defaultRowHeight="11.25"/>
  <cols>
    <col min="1" max="1" width="40.7109375" style="2" customWidth="1"/>
    <col min="2" max="2" width="3.5703125" style="2" hidden="1" customWidth="1"/>
    <col min="3" max="3" width="9.140625" style="2" hidden="1" customWidth="1"/>
    <col min="4" max="16384" width="9.140625" style="2"/>
  </cols>
  <sheetData>
    <row r="1" spans="1:37" ht="12.75">
      <c r="A1" s="2835" t="str">
        <f>"Financial summary for the " &amp;muni&amp; "eThekwini"</f>
        <v>Financial summary for the NC071 UbuntueThekwini</v>
      </c>
      <c r="B1" s="2836"/>
      <c r="C1" s="2836"/>
      <c r="D1" s="2836"/>
      <c r="E1" s="2836"/>
      <c r="F1" s="2836"/>
      <c r="G1" s="2836"/>
      <c r="H1" s="2836"/>
      <c r="I1" s="2836"/>
      <c r="J1" s="2836"/>
      <c r="K1" s="2836"/>
      <c r="L1" s="2836"/>
      <c r="M1" s="2837"/>
      <c r="N1"/>
      <c r="O1"/>
      <c r="P1"/>
      <c r="Q1"/>
      <c r="R1"/>
      <c r="S1"/>
      <c r="T1"/>
      <c r="U1"/>
      <c r="V1"/>
      <c r="W1"/>
      <c r="X1"/>
      <c r="Y1"/>
    </row>
    <row r="2" spans="1:37" ht="13.5" thickBot="1">
      <c r="A2" s="121" t="str">
        <f>muni&amp;SFPerf2</f>
        <v>NC071 UbuntuForecast Financial Performance</v>
      </c>
      <c r="B2" s="122"/>
      <c r="C2" s="122"/>
      <c r="D2" s="122"/>
      <c r="E2" s="122"/>
      <c r="F2" s="122"/>
      <c r="G2" s="122"/>
      <c r="H2" s="122"/>
      <c r="I2" s="122"/>
      <c r="J2" s="122"/>
      <c r="K2" s="122"/>
      <c r="L2" s="122"/>
      <c r="M2" s="122"/>
      <c r="N2"/>
      <c r="O2"/>
      <c r="P2"/>
      <c r="Q2"/>
      <c r="R2"/>
      <c r="S2"/>
      <c r="T2"/>
      <c r="U2"/>
      <c r="V2"/>
      <c r="W2"/>
      <c r="X2"/>
      <c r="Y2"/>
      <c r="Z2"/>
      <c r="AA2"/>
      <c r="AB2"/>
      <c r="AC2"/>
      <c r="AD2"/>
      <c r="AE2"/>
      <c r="AF2"/>
      <c r="AG2"/>
      <c r="AH2"/>
      <c r="AI2"/>
      <c r="AJ2"/>
      <c r="AK2"/>
    </row>
    <row r="3" spans="1:37" ht="22.5" customHeight="1">
      <c r="A3" s="2838" t="str">
        <f>desc</f>
        <v>Description</v>
      </c>
      <c r="B3" s="2838" t="str">
        <f>head27</f>
        <v>Ref</v>
      </c>
      <c r="C3" s="36"/>
      <c r="D3" s="35" t="str">
        <f>head1b</f>
        <v>2007/8</v>
      </c>
      <c r="E3" s="35" t="str">
        <f>head1A</f>
        <v>2008/9</v>
      </c>
      <c r="F3" s="35" t="str">
        <f>Head1</f>
        <v>2009/10</v>
      </c>
      <c r="G3" s="2841" t="str">
        <f>Head2</f>
        <v>Current Year 2010/11</v>
      </c>
      <c r="H3" s="2842"/>
      <c r="I3" s="2842"/>
      <c r="J3" s="989"/>
      <c r="K3" s="2843" t="str">
        <f>Head3</f>
        <v>2011/12 Medium Term Revenue &amp; Expenditure Framework</v>
      </c>
      <c r="L3" s="2844"/>
      <c r="M3" s="2845"/>
      <c r="N3"/>
      <c r="O3"/>
      <c r="P3"/>
      <c r="Q3"/>
      <c r="R3"/>
      <c r="S3"/>
      <c r="T3"/>
      <c r="U3"/>
      <c r="V3"/>
      <c r="W3"/>
      <c r="X3"/>
      <c r="Y3"/>
    </row>
    <row r="4" spans="1:37" ht="33.75">
      <c r="A4" s="2839"/>
      <c r="B4" s="2839"/>
      <c r="C4" s="61"/>
      <c r="D4" s="34" t="str">
        <f>Head5</f>
        <v>Audited Outcome</v>
      </c>
      <c r="E4" s="34" t="str">
        <f>Head5</f>
        <v>Audited Outcome</v>
      </c>
      <c r="F4" s="34" t="str">
        <f>Head5</f>
        <v>Audited Outcome</v>
      </c>
      <c r="G4" s="34" t="str">
        <f>Head6</f>
        <v>Original Budget</v>
      </c>
      <c r="H4" s="34" t="str">
        <f>Head7</f>
        <v>Adjusted Budget</v>
      </c>
      <c r="I4" s="39" t="str">
        <f>Head8</f>
        <v>Full Year Forecast</v>
      </c>
      <c r="J4" s="39"/>
      <c r="K4" s="27" t="str">
        <f>Head9</f>
        <v>Budget Year 2011/12</v>
      </c>
      <c r="L4" s="26" t="str">
        <f>Head10</f>
        <v>Budget Year +1 2012/13</v>
      </c>
      <c r="M4" s="28" t="str">
        <f>Head11</f>
        <v>Budget Year +2 2013/14</v>
      </c>
      <c r="N4"/>
      <c r="O4"/>
      <c r="P4"/>
      <c r="Q4"/>
      <c r="R4"/>
      <c r="S4"/>
      <c r="T4"/>
      <c r="U4"/>
      <c r="V4"/>
      <c r="W4"/>
      <c r="X4"/>
      <c r="Y4"/>
    </row>
    <row r="5" spans="1:37" ht="12.75">
      <c r="A5" s="2840"/>
      <c r="B5" s="33">
        <v>1</v>
      </c>
      <c r="C5" s="33"/>
      <c r="D5" s="30" t="s">
        <v>1084</v>
      </c>
      <c r="E5" s="30" t="s">
        <v>1084</v>
      </c>
      <c r="F5" s="30" t="s">
        <v>1084</v>
      </c>
      <c r="G5" s="30" t="s">
        <v>1084</v>
      </c>
      <c r="H5" s="30" t="s">
        <v>1084</v>
      </c>
      <c r="I5" s="31" t="s">
        <v>1084</v>
      </c>
      <c r="J5" s="31"/>
      <c r="K5" s="29" t="s">
        <v>1084</v>
      </c>
      <c r="L5" s="30" t="s">
        <v>1084</v>
      </c>
      <c r="M5" s="32" t="s">
        <v>1084</v>
      </c>
      <c r="N5"/>
      <c r="O5"/>
      <c r="P5"/>
      <c r="Q5"/>
      <c r="R5"/>
      <c r="S5"/>
      <c r="T5"/>
      <c r="U5"/>
      <c r="V5"/>
      <c r="W5"/>
      <c r="X5"/>
      <c r="Y5"/>
    </row>
    <row r="6" spans="1:37" ht="12.75">
      <c r="A6" s="15" t="s">
        <v>1929</v>
      </c>
      <c r="B6" s="13"/>
      <c r="C6" s="13"/>
      <c r="D6" s="1032" t="s">
        <v>1803</v>
      </c>
      <c r="E6" s="72"/>
      <c r="F6" s="72"/>
      <c r="G6" s="72"/>
      <c r="H6" s="72"/>
      <c r="I6" s="73"/>
      <c r="J6" s="1005"/>
      <c r="K6" s="74"/>
      <c r="L6" s="72"/>
      <c r="M6" s="75"/>
      <c r="N6"/>
      <c r="O6"/>
      <c r="P6"/>
      <c r="Q6"/>
      <c r="R6"/>
      <c r="S6"/>
      <c r="T6"/>
      <c r="U6"/>
      <c r="V6"/>
      <c r="W6"/>
      <c r="X6"/>
      <c r="Y6"/>
    </row>
    <row r="7" spans="1:37" ht="12.75">
      <c r="A7" s="15" t="s">
        <v>882</v>
      </c>
      <c r="B7" s="13"/>
      <c r="C7" s="13"/>
      <c r="D7" s="76"/>
      <c r="E7" s="76"/>
      <c r="F7" s="76"/>
      <c r="G7" s="76"/>
      <c r="H7" s="76"/>
      <c r="I7" s="77"/>
      <c r="J7" s="1006"/>
      <c r="K7" s="78"/>
      <c r="L7" s="76"/>
      <c r="M7" s="79"/>
      <c r="N7"/>
      <c r="O7"/>
      <c r="P7"/>
      <c r="Q7"/>
      <c r="R7"/>
      <c r="S7"/>
      <c r="T7"/>
      <c r="U7"/>
      <c r="V7"/>
      <c r="W7"/>
      <c r="X7"/>
      <c r="Y7"/>
    </row>
    <row r="8" spans="1:37" ht="12.75">
      <c r="A8" s="69" t="s">
        <v>645</v>
      </c>
      <c r="B8" s="13"/>
      <c r="C8" s="13"/>
      <c r="D8" s="80" t="e">
        <f>SUM(D9:D10)</f>
        <v>#REF!</v>
      </c>
      <c r="E8" s="80" t="e">
        <f t="shared" ref="E8:M8" si="0">SUM(E9:E10)</f>
        <v>#REF!</v>
      </c>
      <c r="F8" s="80" t="e">
        <f t="shared" si="0"/>
        <v>#REF!</v>
      </c>
      <c r="G8" s="80" t="e">
        <f t="shared" si="0"/>
        <v>#REF!</v>
      </c>
      <c r="H8" s="80" t="e">
        <f t="shared" si="0"/>
        <v>#REF!</v>
      </c>
      <c r="I8" s="81" t="e">
        <f t="shared" si="0"/>
        <v>#REF!</v>
      </c>
      <c r="J8" s="1007" t="e">
        <f>SUM(J9:J10)</f>
        <v>#REF!</v>
      </c>
      <c r="K8" s="82" t="e">
        <f t="shared" si="0"/>
        <v>#REF!</v>
      </c>
      <c r="L8" s="80" t="e">
        <f t="shared" si="0"/>
        <v>#REF!</v>
      </c>
      <c r="M8" s="83" t="e">
        <f t="shared" si="0"/>
        <v>#REF!</v>
      </c>
      <c r="N8"/>
      <c r="O8"/>
      <c r="P8"/>
      <c r="Q8"/>
      <c r="R8"/>
      <c r="S8"/>
      <c r="T8"/>
      <c r="U8"/>
      <c r="V8"/>
      <c r="W8"/>
      <c r="X8"/>
      <c r="Y8"/>
    </row>
    <row r="9" spans="1:37">
      <c r="A9" s="97" t="str">
        <f>'A4-FinPerf RE'!A5</f>
        <v>Property rates</v>
      </c>
      <c r="B9" s="13"/>
      <c r="C9" s="13"/>
      <c r="D9" s="107">
        <f>IF(ISERROR('A4-FinPerf RE'!C5+'A4-FinPerf RE'!C6+D71),0,('A4-FinPerf RE'!C5+'A4-FinPerf RE'!C6+D71))</f>
        <v>2869081.62</v>
      </c>
      <c r="E9" s="107">
        <f>IF(ISERROR('A4-FinPerf RE'!D5+'A4-FinPerf RE'!D6+E71),0,('A4-FinPerf RE'!D5+'A4-FinPerf RE'!D6+E71))</f>
        <v>2070448.94</v>
      </c>
      <c r="F9" s="107">
        <f>IF(ISERROR('A4-FinPerf RE'!E5+'A4-FinPerf RE'!E6+F71),0,('A4-FinPerf RE'!E5+'A4-FinPerf RE'!E6+F71))</f>
        <v>4320465.0600000005</v>
      </c>
      <c r="G9" s="107">
        <f>IF(ISERROR('A4-FinPerf RE'!F5+'A4-FinPerf RE'!F6+G71),0,('A4-FinPerf RE'!F5+'A4-FinPerf RE'!F6+G71))</f>
        <v>3526997</v>
      </c>
      <c r="H9" s="107">
        <f>IF(ISERROR('A4-FinPerf RE'!G5+'A4-FinPerf RE'!G6+H71),0,('A4-FinPerf RE'!G5+'A4-FinPerf RE'!G6+H71))</f>
        <v>4333765</v>
      </c>
      <c r="I9" s="108">
        <f>IF(ISERROR('A4-FinPerf RE'!H5+'A4-FinPerf RE'!H6+I71),0,('A4-FinPerf RE'!H5+'A4-FinPerf RE'!H6+I71))</f>
        <v>-4238526</v>
      </c>
      <c r="J9" s="1008">
        <f>IF(ISERROR('A4-FinPerf RE'!I5+'A4-FinPerf RE'!I6+J71),0,('A4-FinPerf RE'!I5+'A4-FinPerf RE'!I6+J71))</f>
        <v>-4238526</v>
      </c>
      <c r="K9" s="109">
        <f>IF(ISERROR('A4-FinPerf RE'!J5+'A4-FinPerf RE'!J6+K71),0,('A4-FinPerf RE'!J5+'A4-FinPerf RE'!J6+K71))</f>
        <v>2800558.05</v>
      </c>
      <c r="L9" s="107">
        <f>IF(ISERROR('A4-FinPerf RE'!K5+'A4-FinPerf RE'!K6+L71),0,('A4-FinPerf RE'!K5+'A4-FinPerf RE'!K6+L71))</f>
        <v>4891848.9530000007</v>
      </c>
      <c r="M9" s="119">
        <f>IF(ISERROR('A4-FinPerf RE'!L5+'A4-FinPerf RE'!L6+M71),0,('A4-FinPerf RE'!L5+'A4-FinPerf RE'!L6+M71))</f>
        <v>4304052.4501800006</v>
      </c>
    </row>
    <row r="10" spans="1:37">
      <c r="A10" s="97" t="s">
        <v>1446</v>
      </c>
      <c r="B10" s="13"/>
      <c r="C10" s="13"/>
      <c r="D10" s="113" t="e">
        <f>'SA1'!C33+'SA1'!#REF!</f>
        <v>#REF!</v>
      </c>
      <c r="E10" s="113" t="e">
        <f>'SA1'!D33+'SA1'!#REF!</f>
        <v>#REF!</v>
      </c>
      <c r="F10" s="113" t="e">
        <f>'SA1'!E33+'SA1'!#REF!</f>
        <v>#REF!</v>
      </c>
      <c r="G10" s="113" t="e">
        <f>'SA1'!F33+'SA1'!#REF!</f>
        <v>#REF!</v>
      </c>
      <c r="H10" s="113" t="e">
        <f>'SA1'!G33+'SA1'!#REF!</f>
        <v>#REF!</v>
      </c>
      <c r="I10" s="114" t="e">
        <f>'SA1'!H33+'SA1'!#REF!</f>
        <v>#REF!</v>
      </c>
      <c r="J10" s="1009" t="e">
        <f>'SA1'!I33+'SA1'!#REF!</f>
        <v>#REF!</v>
      </c>
      <c r="K10" s="115" t="e">
        <f>'SA1'!J33+'SA1'!#REF!</f>
        <v>#REF!</v>
      </c>
      <c r="L10" s="113" t="e">
        <f>'SA1'!K33+'SA1'!#REF!</f>
        <v>#REF!</v>
      </c>
      <c r="M10" s="120" t="e">
        <f>'SA1'!L33+'SA1'!#REF!</f>
        <v>#REF!</v>
      </c>
    </row>
    <row r="11" spans="1:37">
      <c r="A11" s="69" t="s">
        <v>646</v>
      </c>
      <c r="B11" s="13"/>
      <c r="C11" s="13"/>
      <c r="D11" s="80" t="e">
        <f>SUM(D12:D14)</f>
        <v>#REF!</v>
      </c>
      <c r="E11" s="80" t="e">
        <f t="shared" ref="E11:M11" si="1">SUM(E12:E14)</f>
        <v>#REF!</v>
      </c>
      <c r="F11" s="80" t="e">
        <f t="shared" si="1"/>
        <v>#REF!</v>
      </c>
      <c r="G11" s="80" t="e">
        <f t="shared" si="1"/>
        <v>#REF!</v>
      </c>
      <c r="H11" s="80" t="e">
        <f t="shared" si="1"/>
        <v>#REF!</v>
      </c>
      <c r="I11" s="81" t="e">
        <f t="shared" si="1"/>
        <v>#REF!</v>
      </c>
      <c r="J11" s="1007" t="e">
        <f>SUM(J12:J14)</f>
        <v>#REF!</v>
      </c>
      <c r="K11" s="82" t="e">
        <f t="shared" si="1"/>
        <v>#REF!</v>
      </c>
      <c r="L11" s="80" t="e">
        <f t="shared" si="1"/>
        <v>#REF!</v>
      </c>
      <c r="M11" s="83" t="e">
        <f t="shared" si="1"/>
        <v>#REF!</v>
      </c>
    </row>
    <row r="12" spans="1:37">
      <c r="A12" s="70" t="s">
        <v>636</v>
      </c>
      <c r="B12" s="10"/>
      <c r="C12" s="6"/>
      <c r="D12" s="84">
        <f>'A4-FinPerf RE'!C17+'A4-FinPerf RE'!C18</f>
        <v>246360.02</v>
      </c>
      <c r="E12" s="84">
        <f>'A4-FinPerf RE'!D17+'A4-FinPerf RE'!D18</f>
        <v>276125.62</v>
      </c>
      <c r="F12" s="84">
        <f>'A4-FinPerf RE'!E17+'A4-FinPerf RE'!E18</f>
        <v>315044.28000000003</v>
      </c>
      <c r="G12" s="84">
        <f>'A4-FinPerf RE'!F17+'A4-FinPerf RE'!F18</f>
        <v>453500</v>
      </c>
      <c r="H12" s="84">
        <f>'A4-FinPerf RE'!G17+'A4-FinPerf RE'!G18</f>
        <v>462500</v>
      </c>
      <c r="I12" s="85">
        <f>'A4-FinPerf RE'!H17+'A4-FinPerf RE'!H18</f>
        <v>437432</v>
      </c>
      <c r="J12" s="1010">
        <f>'A4-FinPerf RE'!I17+'A4-FinPerf RE'!I18</f>
        <v>437432</v>
      </c>
      <c r="K12" s="86">
        <f>'A4-FinPerf RE'!J17+'A4-FinPerf RE'!J18</f>
        <v>439800</v>
      </c>
      <c r="L12" s="84">
        <f>'A4-FinPerf RE'!K17+'A4-FinPerf RE'!K18</f>
        <v>499300</v>
      </c>
      <c r="M12" s="87">
        <f>'A4-FinPerf RE'!L17+'A4-FinPerf RE'!L18</f>
        <v>509600</v>
      </c>
    </row>
    <row r="13" spans="1:37">
      <c r="A13" s="70" t="s">
        <v>1930</v>
      </c>
      <c r="B13" s="10"/>
      <c r="C13" s="6"/>
      <c r="D13" s="76">
        <f>IF(ISERROR(SUM('A4-FinPerf RE'!C7:C11)+D72),0,(SUM('A4-FinPerf RE'!C7:C11)+D72))</f>
        <v>10962086.346666666</v>
      </c>
      <c r="E13" s="76">
        <f>IF(ISERROR(SUM('A4-FinPerf RE'!D7:D11)+E72),0,(SUM('A4-FinPerf RE'!D7:D11)+E72))</f>
        <v>8800916.3900000006</v>
      </c>
      <c r="F13" s="76">
        <f>IF(ISERROR(SUM('A4-FinPerf RE'!E7:E11)+F72),0,(SUM('A4-FinPerf RE'!E7:E11)+F72))</f>
        <v>14673267.66</v>
      </c>
      <c r="G13" s="76">
        <f>IF(ISERROR(SUM('A4-FinPerf RE'!F7:F11)+G72),0,(SUM('A4-FinPerf RE'!F7:F11)+G72))</f>
        <v>15282457.48</v>
      </c>
      <c r="H13" s="76">
        <f>IF(ISERROR(SUM('A4-FinPerf RE'!G7:G11)+H72),0,(SUM('A4-FinPerf RE'!G7:G11)+H72))</f>
        <v>18611167.52</v>
      </c>
      <c r="I13" s="77">
        <f>IF(ISERROR(SUM('A4-FinPerf RE'!H7:H11)+I72),0,(SUM('A4-FinPerf RE'!H7:H11)+I72))</f>
        <v>16647060</v>
      </c>
      <c r="J13" s="1006">
        <f>IF(ISERROR(SUM('A4-FinPerf RE'!I7:I11)+J72),0,(SUM('A4-FinPerf RE'!I7:I11)+J72))</f>
        <v>16647060</v>
      </c>
      <c r="K13" s="78">
        <f>IF(ISERROR(SUM('A4-FinPerf RE'!J7:J11)+K72),0,(SUM('A4-FinPerf RE'!J7:J11)+K72))</f>
        <v>8373134.353600001</v>
      </c>
      <c r="L13" s="76">
        <f>IF(ISERROR(SUM('A4-FinPerf RE'!K7:K11)+L72),0,(SUM('A4-FinPerf RE'!K7:K11)+L72))</f>
        <v>18849562.945376001</v>
      </c>
      <c r="M13" s="79">
        <f>IF(ISERROR(SUM('A4-FinPerf RE'!L7:L11)+M72),0,(SUM('A4-FinPerf RE'!L7:L11)+M72))</f>
        <v>16971720.855590001</v>
      </c>
    </row>
    <row r="14" spans="1:37">
      <c r="A14" s="70" t="s">
        <v>1931</v>
      </c>
      <c r="B14" s="10"/>
      <c r="C14" s="6"/>
      <c r="D14" s="76" t="e">
        <f>SUM(D15)</f>
        <v>#REF!</v>
      </c>
      <c r="E14" s="76" t="e">
        <f t="shared" ref="E14:M14" si="2">SUM(E15)</f>
        <v>#REF!</v>
      </c>
      <c r="F14" s="76" t="e">
        <f t="shared" si="2"/>
        <v>#REF!</v>
      </c>
      <c r="G14" s="76" t="e">
        <f t="shared" si="2"/>
        <v>#REF!</v>
      </c>
      <c r="H14" s="76" t="e">
        <f t="shared" si="2"/>
        <v>#REF!</v>
      </c>
      <c r="I14" s="77" t="e">
        <f t="shared" si="2"/>
        <v>#REF!</v>
      </c>
      <c r="J14" s="1006" t="e">
        <f t="shared" si="2"/>
        <v>#REF!</v>
      </c>
      <c r="K14" s="78" t="e">
        <f t="shared" si="2"/>
        <v>#REF!</v>
      </c>
      <c r="L14" s="76" t="e">
        <f t="shared" si="2"/>
        <v>#REF!</v>
      </c>
      <c r="M14" s="79" t="e">
        <f t="shared" si="2"/>
        <v>#REF!</v>
      </c>
    </row>
    <row r="15" spans="1:37">
      <c r="A15" s="71" t="s">
        <v>297</v>
      </c>
      <c r="B15" s="10"/>
      <c r="C15" s="6"/>
      <c r="D15" s="125" t="e">
        <f>'A7-CFlow'!C6+'A7-CFlow'!C20+'A7-CFlow'!C21-NERF!D8-NERF!D12-NERF!D13-NERF!D22-D26</f>
        <v>#REF!</v>
      </c>
      <c r="E15" s="88" t="e">
        <f>'A7-CFlow'!D6+'A7-CFlow'!D20+'A7-CFlow'!D21-NERF!E8-NERF!E12-NERF!E13-NERF!E22-E26</f>
        <v>#REF!</v>
      </c>
      <c r="F15" s="88" t="e">
        <f>'A7-CFlow'!E6+'A7-CFlow'!E20+'A7-CFlow'!E21-NERF!F8-NERF!F12-NERF!F13-NERF!F22-F26</f>
        <v>#REF!</v>
      </c>
      <c r="G15" s="88" t="e">
        <f>'A7-CFlow'!F6+'A7-CFlow'!F20+'A7-CFlow'!F21-NERF!G8-NERF!G12-NERF!G13-NERF!G22-G26-G82</f>
        <v>#REF!</v>
      </c>
      <c r="H15" s="88" t="e">
        <f>'A7-CFlow'!G6+'A7-CFlow'!G20+'A7-CFlow'!G21-NERF!H8-NERF!H12-NERF!H13-NERF!H22-H26-H82</f>
        <v>#REF!</v>
      </c>
      <c r="I15" s="89" t="e">
        <f>'A7-CFlow'!H6+'A7-CFlow'!H20+'A7-CFlow'!H21-NERF!I8-NERF!I12-NERF!I13-NERF!I22-I26-I82</f>
        <v>#REF!</v>
      </c>
      <c r="J15" s="1011" t="e">
        <f>'A7-CFlow'!I6+'A7-CFlow'!I20+'A7-CFlow'!I21-NERF!J8-NERF!J12-NERF!J13-NERF!J22-J26-J82</f>
        <v>#REF!</v>
      </c>
      <c r="K15" s="90" t="e">
        <f>'A7-CFlow'!J6+'A7-CFlow'!J20+'A7-CFlow'!J21-NERF!K8-NERF!K12-NERF!K13-NERF!K22-K26-K82</f>
        <v>#REF!</v>
      </c>
      <c r="L15" s="88" t="e">
        <f>'A7-CFlow'!K6+'A7-CFlow'!K20+'A7-CFlow'!K21-NERF!L8-NERF!L12-NERF!L13-NERF!L22-L26-L82</f>
        <v>#REF!</v>
      </c>
      <c r="M15" s="91" t="e">
        <f>'A7-CFlow'!L6+'A7-CFlow'!L20+'A7-CFlow'!L21-NERF!M8-NERF!M12-NERF!M13-NERF!M22-M26-M82</f>
        <v>#REF!</v>
      </c>
    </row>
    <row r="16" spans="1:37">
      <c r="A16" s="69" t="s">
        <v>1704</v>
      </c>
      <c r="B16" s="10"/>
      <c r="C16" s="6"/>
      <c r="D16" s="100"/>
      <c r="E16" s="88"/>
      <c r="F16" s="88"/>
      <c r="G16" s="88"/>
      <c r="H16" s="88"/>
      <c r="I16" s="89"/>
      <c r="J16" s="1011"/>
      <c r="K16" s="90"/>
      <c r="L16" s="88"/>
      <c r="M16" s="91"/>
    </row>
    <row r="17" spans="1:13">
      <c r="A17" s="69" t="s">
        <v>629</v>
      </c>
      <c r="B17" s="13"/>
      <c r="C17" s="13"/>
      <c r="D17" s="80">
        <f>SUM(D18:D21)</f>
        <v>7437817</v>
      </c>
      <c r="E17" s="80">
        <f t="shared" ref="E17:M17" si="3">SUM(E18:E21)</f>
        <v>9466128</v>
      </c>
      <c r="F17" s="80">
        <f t="shared" si="3"/>
        <v>0</v>
      </c>
      <c r="G17" s="80">
        <f t="shared" si="3"/>
        <v>27527955</v>
      </c>
      <c r="H17" s="80">
        <f t="shared" si="3"/>
        <v>27527955</v>
      </c>
      <c r="I17" s="81">
        <f t="shared" si="3"/>
        <v>0</v>
      </c>
      <c r="J17" s="1007">
        <f>SUM(J18:J21)</f>
        <v>0</v>
      </c>
      <c r="K17" s="82">
        <f t="shared" si="3"/>
        <v>27549000</v>
      </c>
      <c r="L17" s="80">
        <f t="shared" si="3"/>
        <v>31341000</v>
      </c>
      <c r="M17" s="83">
        <f t="shared" si="3"/>
        <v>34075000</v>
      </c>
    </row>
    <row r="18" spans="1:13">
      <c r="A18" s="97" t="s">
        <v>1703</v>
      </c>
      <c r="B18" s="10"/>
      <c r="C18" s="6"/>
      <c r="D18" s="107">
        <f>'A7-CFlow'!C7</f>
        <v>7437817</v>
      </c>
      <c r="E18" s="107">
        <f>'A7-CFlow'!D7</f>
        <v>9466128</v>
      </c>
      <c r="F18" s="107">
        <f>'A7-CFlow'!E7</f>
        <v>0</v>
      </c>
      <c r="G18" s="107">
        <f>'A7-CFlow'!F7</f>
        <v>16605000</v>
      </c>
      <c r="H18" s="107">
        <f>'A7-CFlow'!G7</f>
        <v>16605000</v>
      </c>
      <c r="I18" s="108">
        <f>'A7-CFlow'!H7</f>
        <v>0</v>
      </c>
      <c r="J18" s="1008">
        <f>'A7-CFlow'!I7</f>
        <v>0</v>
      </c>
      <c r="K18" s="109">
        <f>'A7-CFlow'!J7</f>
        <v>18061000</v>
      </c>
      <c r="L18" s="107">
        <f>'A7-CFlow'!K7</f>
        <v>19804000</v>
      </c>
      <c r="M18" s="119">
        <f>'A7-CFlow'!L7</f>
        <v>21904000</v>
      </c>
    </row>
    <row r="19" spans="1:13">
      <c r="A19" s="97" t="s">
        <v>269</v>
      </c>
      <c r="B19" s="10"/>
      <c r="C19" s="6"/>
      <c r="D19" s="110">
        <f>'A7-CFlow'!C8</f>
        <v>0</v>
      </c>
      <c r="E19" s="110">
        <f>'A7-CFlow'!D8</f>
        <v>0</v>
      </c>
      <c r="F19" s="110">
        <f>'A7-CFlow'!E8</f>
        <v>0</v>
      </c>
      <c r="G19" s="110">
        <f>'A7-CFlow'!F8</f>
        <v>10922955</v>
      </c>
      <c r="H19" s="110">
        <f>'A7-CFlow'!G8</f>
        <v>10922955</v>
      </c>
      <c r="I19" s="111">
        <f>'A7-CFlow'!H8</f>
        <v>0</v>
      </c>
      <c r="J19" s="1012">
        <f>'A7-CFlow'!I8</f>
        <v>0</v>
      </c>
      <c r="K19" s="112">
        <f>'A7-CFlow'!J8</f>
        <v>9488000</v>
      </c>
      <c r="L19" s="110">
        <f>'A7-CFlow'!K8</f>
        <v>11537000</v>
      </c>
      <c r="M19" s="116">
        <f>'A7-CFlow'!L8</f>
        <v>12171000</v>
      </c>
    </row>
    <row r="20" spans="1:13">
      <c r="A20" s="97" t="s">
        <v>637</v>
      </c>
      <c r="B20" s="10"/>
      <c r="C20" s="6"/>
      <c r="D20" s="110"/>
      <c r="E20" s="110"/>
      <c r="F20" s="110"/>
      <c r="G20" s="110"/>
      <c r="H20" s="110"/>
      <c r="I20" s="111"/>
      <c r="J20" s="1012"/>
      <c r="K20" s="112"/>
      <c r="L20" s="110"/>
      <c r="M20" s="116"/>
    </row>
    <row r="21" spans="1:13">
      <c r="A21" s="97" t="s">
        <v>638</v>
      </c>
      <c r="B21" s="10"/>
      <c r="C21" s="6"/>
      <c r="D21" s="113"/>
      <c r="E21" s="113"/>
      <c r="F21" s="113"/>
      <c r="G21" s="113"/>
      <c r="H21" s="113"/>
      <c r="I21" s="114"/>
      <c r="J21" s="1009"/>
      <c r="K21" s="115"/>
      <c r="L21" s="113"/>
      <c r="M21" s="120"/>
    </row>
    <row r="22" spans="1:13">
      <c r="A22" s="69" t="s">
        <v>639</v>
      </c>
      <c r="B22" s="13"/>
      <c r="C22" s="13"/>
      <c r="D22" s="80">
        <f>'A4-FinPerf RE'!C16</f>
        <v>3872606.4400000004</v>
      </c>
      <c r="E22" s="80">
        <f>'A4-FinPerf RE'!D16</f>
        <v>4441817.17</v>
      </c>
      <c r="F22" s="80">
        <f>'A4-FinPerf RE'!E16</f>
        <v>4720438.5</v>
      </c>
      <c r="G22" s="80">
        <f>'A4-FinPerf RE'!F16</f>
        <v>10380000</v>
      </c>
      <c r="H22" s="80">
        <f>'A4-FinPerf RE'!G16</f>
        <v>11688520</v>
      </c>
      <c r="I22" s="81">
        <f>'A4-FinPerf RE'!H16</f>
        <v>8139110</v>
      </c>
      <c r="J22" s="1007">
        <f>'A4-FinPerf RE'!I16</f>
        <v>8139110</v>
      </c>
      <c r="K22" s="82">
        <f>'A4-FinPerf RE'!J16</f>
        <v>16108000</v>
      </c>
      <c r="L22" s="80">
        <f>'A4-FinPerf RE'!K16</f>
        <v>16889500</v>
      </c>
      <c r="M22" s="83">
        <f>'A4-FinPerf RE'!L16</f>
        <v>17390000</v>
      </c>
    </row>
    <row r="23" spans="1:13">
      <c r="A23" s="69" t="s">
        <v>632</v>
      </c>
      <c r="B23" s="13"/>
      <c r="C23" s="13"/>
      <c r="D23" s="80">
        <f>SUM(D24:D26)</f>
        <v>-670399.46666666633</v>
      </c>
      <c r="E23" s="80">
        <f t="shared" ref="E23:M23" si="4">SUM(E24:E26)</f>
        <v>6481080.9673412796</v>
      </c>
      <c r="F23" s="80">
        <f t="shared" si="4"/>
        <v>1764898.8081129445</v>
      </c>
      <c r="G23" s="80">
        <f t="shared" si="4"/>
        <v>912660.52</v>
      </c>
      <c r="H23" s="80">
        <f t="shared" si="4"/>
        <v>-3209562.52</v>
      </c>
      <c r="I23" s="81">
        <f t="shared" si="4"/>
        <v>422967</v>
      </c>
      <c r="J23" s="1007">
        <f>SUM(J24:J26)</f>
        <v>422967</v>
      </c>
      <c r="K23" s="82">
        <f t="shared" si="4"/>
        <v>4789992.5199999996</v>
      </c>
      <c r="L23" s="80">
        <f t="shared" si="4"/>
        <v>-3350882.12</v>
      </c>
      <c r="M23" s="83">
        <f t="shared" si="4"/>
        <v>714554.83200000005</v>
      </c>
    </row>
    <row r="24" spans="1:13">
      <c r="A24" s="97" t="s">
        <v>358</v>
      </c>
      <c r="B24" s="10"/>
      <c r="C24" s="6"/>
      <c r="D24" s="107">
        <f>'A7-CFlow'!C9</f>
        <v>-8380</v>
      </c>
      <c r="E24" s="107">
        <f>'A7-CFlow'!D9</f>
        <v>1520977</v>
      </c>
      <c r="F24" s="107">
        <f>'A7-CFlow'!E9</f>
        <v>2154637</v>
      </c>
      <c r="G24" s="107">
        <f>'A7-CFlow'!F9</f>
        <v>290000</v>
      </c>
      <c r="H24" s="107">
        <f>'A7-CFlow'!G9</f>
        <v>290000</v>
      </c>
      <c r="I24" s="108">
        <f>'A7-CFlow'!H9</f>
        <v>0</v>
      </c>
      <c r="J24" s="1008">
        <f>'A7-CFlow'!I9</f>
        <v>0</v>
      </c>
      <c r="K24" s="109">
        <f>'A7-CFlow'!J9</f>
        <v>250000</v>
      </c>
      <c r="L24" s="107">
        <f>'A7-CFlow'!K9</f>
        <v>0</v>
      </c>
      <c r="M24" s="119">
        <f>'A7-CFlow'!L9</f>
        <v>0</v>
      </c>
    </row>
    <row r="25" spans="1:13">
      <c r="A25" s="97" t="s">
        <v>633</v>
      </c>
      <c r="B25" s="10"/>
      <c r="C25" s="6"/>
      <c r="D25" s="110">
        <f>'A7-CFlow'!C10</f>
        <v>0</v>
      </c>
      <c r="E25" s="110">
        <f>'A7-CFlow'!D10</f>
        <v>0</v>
      </c>
      <c r="F25" s="110">
        <f>'A7-CFlow'!E10</f>
        <v>0</v>
      </c>
      <c r="G25" s="110">
        <f>'A7-CFlow'!F10</f>
        <v>0</v>
      </c>
      <c r="H25" s="110">
        <f>'A7-CFlow'!G10</f>
        <v>0</v>
      </c>
      <c r="I25" s="111">
        <f>'A7-CFlow'!H10</f>
        <v>0</v>
      </c>
      <c r="J25" s="1012">
        <f>'A7-CFlow'!I10</f>
        <v>0</v>
      </c>
      <c r="K25" s="112">
        <f>'A7-CFlow'!J10</f>
        <v>0</v>
      </c>
      <c r="L25" s="110">
        <f>'A7-CFlow'!K10</f>
        <v>0</v>
      </c>
      <c r="M25" s="116">
        <f>'A7-CFlow'!L10</f>
        <v>0</v>
      </c>
    </row>
    <row r="26" spans="1:13">
      <c r="A26" s="97" t="s">
        <v>634</v>
      </c>
      <c r="B26" s="10"/>
      <c r="C26" s="6"/>
      <c r="D26" s="113">
        <f>'A4-FinPerf RE'!C12+NERF!D74</f>
        <v>-662019.46666666633</v>
      </c>
      <c r="E26" s="113">
        <f>'A4-FinPerf RE'!D12+NERF!E74</f>
        <v>4960103.9673412796</v>
      </c>
      <c r="F26" s="113">
        <f>'A4-FinPerf RE'!E12+NERF!F74</f>
        <v>-389738.19188705547</v>
      </c>
      <c r="G26" s="113">
        <f>'A4-FinPerf RE'!F12+NERF!G74</f>
        <v>622660.52</v>
      </c>
      <c r="H26" s="113">
        <f>'A4-FinPerf RE'!G12+NERF!H74</f>
        <v>-3499562.52</v>
      </c>
      <c r="I26" s="114">
        <f>'A4-FinPerf RE'!H12+NERF!I74</f>
        <v>422967</v>
      </c>
      <c r="J26" s="1009">
        <f>'A4-FinPerf RE'!I12+NERF!J74</f>
        <v>422967</v>
      </c>
      <c r="K26" s="115">
        <f>'A4-FinPerf RE'!J12+NERF!K74</f>
        <v>4539992.5199999996</v>
      </c>
      <c r="L26" s="113">
        <f>'A4-FinPerf RE'!K12+NERF!L74</f>
        <v>-3350882.12</v>
      </c>
      <c r="M26" s="120">
        <f>'A4-FinPerf RE'!L12+NERF!M74</f>
        <v>714554.83200000005</v>
      </c>
    </row>
    <row r="27" spans="1:13">
      <c r="A27" s="69" t="s">
        <v>284</v>
      </c>
      <c r="B27" s="13"/>
      <c r="C27" s="13"/>
      <c r="D27" s="80">
        <f>SUM(D28:D29)</f>
        <v>0</v>
      </c>
      <c r="E27" s="80">
        <f t="shared" ref="E27:M27" si="5">SUM(E28:E29)</f>
        <v>0</v>
      </c>
      <c r="F27" s="80">
        <f t="shared" si="5"/>
        <v>2559</v>
      </c>
      <c r="G27" s="80">
        <f t="shared" si="5"/>
        <v>0</v>
      </c>
      <c r="H27" s="80">
        <f t="shared" si="5"/>
        <v>0</v>
      </c>
      <c r="I27" s="81">
        <f t="shared" si="5"/>
        <v>0</v>
      </c>
      <c r="J27" s="1007">
        <f>SUM(J28:J29)</f>
        <v>0</v>
      </c>
      <c r="K27" s="82">
        <f t="shared" si="5"/>
        <v>0</v>
      </c>
      <c r="L27" s="80">
        <f t="shared" si="5"/>
        <v>0</v>
      </c>
      <c r="M27" s="83">
        <f t="shared" si="5"/>
        <v>0</v>
      </c>
    </row>
    <row r="28" spans="1:13">
      <c r="A28" s="97" t="s">
        <v>640</v>
      </c>
      <c r="B28" s="10"/>
      <c r="C28" s="6"/>
      <c r="D28" s="107">
        <v>0</v>
      </c>
      <c r="E28" s="107">
        <v>0</v>
      </c>
      <c r="F28" s="107">
        <v>0</v>
      </c>
      <c r="G28" s="107">
        <v>0</v>
      </c>
      <c r="H28" s="107">
        <v>0</v>
      </c>
      <c r="I28" s="108">
        <v>0</v>
      </c>
      <c r="J28" s="1008">
        <v>0</v>
      </c>
      <c r="K28" s="109">
        <v>0</v>
      </c>
      <c r="L28" s="107">
        <v>0</v>
      </c>
      <c r="M28" s="119">
        <v>0</v>
      </c>
    </row>
    <row r="29" spans="1:13">
      <c r="A29" s="97" t="s">
        <v>643</v>
      </c>
      <c r="B29" s="10"/>
      <c r="C29" s="6"/>
      <c r="D29" s="113">
        <f>'A7-CFlow'!C19</f>
        <v>0</v>
      </c>
      <c r="E29" s="113">
        <f>'A7-CFlow'!D19</f>
        <v>0</v>
      </c>
      <c r="F29" s="113">
        <f>'A7-CFlow'!E19</f>
        <v>2559</v>
      </c>
      <c r="G29" s="113">
        <f>'A7-CFlow'!F19</f>
        <v>0</v>
      </c>
      <c r="H29" s="113">
        <f>'A7-CFlow'!G19</f>
        <v>0</v>
      </c>
      <c r="I29" s="114">
        <f>'A7-CFlow'!H19</f>
        <v>0</v>
      </c>
      <c r="J29" s="1009">
        <f>'A7-CFlow'!I19</f>
        <v>0</v>
      </c>
      <c r="K29" s="115">
        <f>'A7-CFlow'!J19</f>
        <v>0</v>
      </c>
      <c r="L29" s="113">
        <f>'A7-CFlow'!K19</f>
        <v>0</v>
      </c>
      <c r="M29" s="120">
        <f>'A7-CFlow'!L19</f>
        <v>0</v>
      </c>
    </row>
    <row r="30" spans="1:13">
      <c r="A30" s="69" t="s">
        <v>644</v>
      </c>
      <c r="B30" s="13"/>
      <c r="C30" s="13"/>
      <c r="D30" s="80"/>
      <c r="E30" s="80"/>
      <c r="F30" s="80"/>
      <c r="G30" s="80"/>
      <c r="H30" s="80"/>
      <c r="I30" s="81"/>
      <c r="J30" s="1007"/>
      <c r="K30" s="82"/>
      <c r="L30" s="80"/>
      <c r="M30" s="83"/>
    </row>
    <row r="31" spans="1:13">
      <c r="A31" s="8" t="s">
        <v>647</v>
      </c>
      <c r="B31" s="68"/>
      <c r="C31" s="68"/>
      <c r="D31" s="92" t="e">
        <f t="shared" ref="D31:M31" si="6">SUM(D8,D11,D16,D17,D22,D23,D27,D30)</f>
        <v>#REF!</v>
      </c>
      <c r="E31" s="92" t="e">
        <f t="shared" si="6"/>
        <v>#REF!</v>
      </c>
      <c r="F31" s="92" t="e">
        <f t="shared" si="6"/>
        <v>#REF!</v>
      </c>
      <c r="G31" s="92" t="e">
        <f t="shared" si="6"/>
        <v>#REF!</v>
      </c>
      <c r="H31" s="92" t="e">
        <f t="shared" si="6"/>
        <v>#REF!</v>
      </c>
      <c r="I31" s="93" t="e">
        <f t="shared" si="6"/>
        <v>#REF!</v>
      </c>
      <c r="J31" s="1013" t="e">
        <f t="shared" si="6"/>
        <v>#REF!</v>
      </c>
      <c r="K31" s="94" t="e">
        <f t="shared" si="6"/>
        <v>#REF!</v>
      </c>
      <c r="L31" s="92" t="e">
        <f t="shared" si="6"/>
        <v>#REF!</v>
      </c>
      <c r="M31" s="95" t="e">
        <f t="shared" si="6"/>
        <v>#REF!</v>
      </c>
    </row>
    <row r="32" spans="1:13">
      <c r="A32" s="15" t="s">
        <v>883</v>
      </c>
      <c r="B32" s="13"/>
      <c r="C32" s="13"/>
      <c r="D32" s="80"/>
      <c r="E32" s="80"/>
      <c r="F32" s="80"/>
      <c r="G32" s="80"/>
      <c r="H32" s="80"/>
      <c r="I32" s="81"/>
      <c r="J32" s="1007"/>
      <c r="K32" s="82"/>
      <c r="L32" s="80"/>
      <c r="M32" s="83"/>
    </row>
    <row r="33" spans="1:13">
      <c r="A33" s="69" t="s">
        <v>1705</v>
      </c>
      <c r="B33" s="13"/>
      <c r="C33" s="13"/>
      <c r="D33" s="80"/>
      <c r="E33" s="80"/>
      <c r="F33" s="80"/>
      <c r="G33" s="80"/>
      <c r="H33" s="80"/>
      <c r="I33" s="81"/>
      <c r="J33" s="1007"/>
      <c r="K33" s="82"/>
      <c r="L33" s="80"/>
      <c r="M33" s="83"/>
    </row>
    <row r="34" spans="1:13">
      <c r="A34" s="99" t="s">
        <v>630</v>
      </c>
      <c r="B34" s="13"/>
      <c r="C34" s="13"/>
      <c r="D34" s="101">
        <f>SUM(D35:D36)</f>
        <v>10576660.059999999</v>
      </c>
      <c r="E34" s="101">
        <f t="shared" ref="E34:M34" si="7">SUM(E35:E36)</f>
        <v>11816013.710000001</v>
      </c>
      <c r="F34" s="101">
        <f t="shared" si="7"/>
        <v>13579497.119999997</v>
      </c>
      <c r="G34" s="101">
        <f t="shared" si="7"/>
        <v>18695710</v>
      </c>
      <c r="H34" s="101">
        <f t="shared" si="7"/>
        <v>19220645</v>
      </c>
      <c r="I34" s="102">
        <f t="shared" si="7"/>
        <v>16767022</v>
      </c>
      <c r="J34" s="1014">
        <f>SUM(J35:J36)</f>
        <v>16767022</v>
      </c>
      <c r="K34" s="103">
        <f t="shared" si="7"/>
        <v>23278845.536823008</v>
      </c>
      <c r="L34" s="101">
        <f t="shared" si="7"/>
        <v>24705577.725229669</v>
      </c>
      <c r="M34" s="117">
        <f t="shared" si="7"/>
        <v>26406330.990956668</v>
      </c>
    </row>
    <row r="35" spans="1:13">
      <c r="A35" s="71" t="s">
        <v>273</v>
      </c>
      <c r="B35" s="13"/>
      <c r="C35" s="13"/>
      <c r="D35" s="84">
        <f>'SA1'!C51-'SA1'!C41</f>
        <v>8948384.8499999978</v>
      </c>
      <c r="E35" s="84">
        <f>'SA1'!D51-'SA1'!D41</f>
        <v>10099735.720000001</v>
      </c>
      <c r="F35" s="84">
        <f>'SA1'!E51-'SA1'!E41</f>
        <v>11425597.149999999</v>
      </c>
      <c r="G35" s="84">
        <f>'SA1'!F51-'SA1'!F41</f>
        <v>16063530</v>
      </c>
      <c r="H35" s="84">
        <f>'SA1'!G51-'SA1'!G41</f>
        <v>15896210</v>
      </c>
      <c r="I35" s="85">
        <f>'SA1'!H51-'SA1'!H41</f>
        <v>14380189</v>
      </c>
      <c r="J35" s="1010">
        <f>'SA1'!I51-'SA1'!I41</f>
        <v>14380189</v>
      </c>
      <c r="K35" s="86">
        <f>'SA1'!J51-'SA1'!J41</f>
        <v>19580167.66</v>
      </c>
      <c r="L35" s="84">
        <f>'SA1'!K51-'SA1'!K41</f>
        <v>20937013.736816</v>
      </c>
      <c r="M35" s="87">
        <f>'SA1'!L51-'SA1'!L41</f>
        <v>22361049.926272642</v>
      </c>
    </row>
    <row r="36" spans="1:13">
      <c r="A36" s="71" t="s">
        <v>274</v>
      </c>
      <c r="B36" s="13"/>
      <c r="C36" s="13"/>
      <c r="D36" s="88">
        <f>'SA1'!C41</f>
        <v>1628275.21</v>
      </c>
      <c r="E36" s="88">
        <f>'SA1'!D41</f>
        <v>1716277.9900000002</v>
      </c>
      <c r="F36" s="88">
        <f>'SA1'!E41</f>
        <v>2153899.9699999997</v>
      </c>
      <c r="G36" s="88">
        <f>'SA1'!F41</f>
        <v>2632180</v>
      </c>
      <c r="H36" s="88">
        <f>'SA1'!G41</f>
        <v>3324435</v>
      </c>
      <c r="I36" s="89">
        <f>'SA1'!H41</f>
        <v>2386833</v>
      </c>
      <c r="J36" s="1011">
        <f>'SA1'!I41</f>
        <v>2386833</v>
      </c>
      <c r="K36" s="90">
        <f>'SA1'!J41</f>
        <v>3698677.8768230085</v>
      </c>
      <c r="L36" s="88">
        <f>'SA1'!K41</f>
        <v>3768563.9884136696</v>
      </c>
      <c r="M36" s="91">
        <f>'SA1'!L41</f>
        <v>4045281.0646840255</v>
      </c>
    </row>
    <row r="37" spans="1:13">
      <c r="A37" s="99" t="s">
        <v>631</v>
      </c>
      <c r="B37" s="13"/>
      <c r="C37" s="13"/>
      <c r="D37" s="80" t="e">
        <f>SUM(D38:D42)</f>
        <v>#REF!</v>
      </c>
      <c r="E37" s="80" t="e">
        <f t="shared" ref="E37:M37" si="8">SUM(E38:E42)</f>
        <v>#REF!</v>
      </c>
      <c r="F37" s="80" t="e">
        <f t="shared" si="8"/>
        <v>#REF!</v>
      </c>
      <c r="G37" s="80" t="e">
        <f t="shared" si="8"/>
        <v>#REF!</v>
      </c>
      <c r="H37" s="80" t="e">
        <f t="shared" si="8"/>
        <v>#REF!</v>
      </c>
      <c r="I37" s="81" t="e">
        <f t="shared" si="8"/>
        <v>#REF!</v>
      </c>
      <c r="J37" s="1007" t="e">
        <f>SUM(J38:J42)</f>
        <v>#REF!</v>
      </c>
      <c r="K37" s="82" t="e">
        <f t="shared" si="8"/>
        <v>#REF!</v>
      </c>
      <c r="L37" s="80" t="e">
        <f t="shared" si="8"/>
        <v>#REF!</v>
      </c>
      <c r="M37" s="83" t="e">
        <f t="shared" si="8"/>
        <v>#REF!</v>
      </c>
    </row>
    <row r="38" spans="1:13">
      <c r="A38" s="98" t="str">
        <f>'A4-FinPerf RE'!A30</f>
        <v>Bulk purchases</v>
      </c>
      <c r="B38" s="13"/>
      <c r="C38" s="13"/>
      <c r="D38" s="84">
        <f>'A4-FinPerf RE'!C30</f>
        <v>3160154.76</v>
      </c>
      <c r="E38" s="84">
        <f>'A4-FinPerf RE'!D30</f>
        <v>4344688.4399999995</v>
      </c>
      <c r="F38" s="84">
        <f>'A4-FinPerf RE'!E30</f>
        <v>5985964.4299999997</v>
      </c>
      <c r="G38" s="84">
        <f>'A4-FinPerf RE'!F30</f>
        <v>7585515</v>
      </c>
      <c r="H38" s="84">
        <f>'A4-FinPerf RE'!G30</f>
        <v>8456100</v>
      </c>
      <c r="I38" s="85">
        <f>'A4-FinPerf RE'!H30</f>
        <v>8472926</v>
      </c>
      <c r="J38" s="1010">
        <f>'A4-FinPerf RE'!I30</f>
        <v>8472926</v>
      </c>
      <c r="K38" s="86">
        <f>'A4-FinPerf RE'!J30</f>
        <v>8450000</v>
      </c>
      <c r="L38" s="84">
        <f>'A4-FinPerf RE'!K30</f>
        <v>9317470</v>
      </c>
      <c r="M38" s="87">
        <f>'A4-FinPerf RE'!L30</f>
        <v>11479760</v>
      </c>
    </row>
    <row r="39" spans="1:13">
      <c r="A39" s="98" t="s">
        <v>1629</v>
      </c>
      <c r="B39" s="13"/>
      <c r="C39" s="13"/>
      <c r="D39" s="76">
        <v>0</v>
      </c>
      <c r="E39" s="76">
        <v>0</v>
      </c>
      <c r="F39" s="76">
        <v>0</v>
      </c>
      <c r="G39" s="76">
        <v>0</v>
      </c>
      <c r="H39" s="76">
        <v>0</v>
      </c>
      <c r="I39" s="77">
        <v>0</v>
      </c>
      <c r="J39" s="1006">
        <v>0</v>
      </c>
      <c r="K39" s="78">
        <v>0</v>
      </c>
      <c r="L39" s="76">
        <v>0</v>
      </c>
      <c r="M39" s="79">
        <v>0</v>
      </c>
    </row>
    <row r="40" spans="1:13">
      <c r="A40" s="98" t="str">
        <f>'A4-FinPerf RE'!A32</f>
        <v>Contracted services</v>
      </c>
      <c r="B40" s="13"/>
      <c r="C40" s="13"/>
      <c r="D40" s="76">
        <f>'A4-FinPerf RE'!C32</f>
        <v>0</v>
      </c>
      <c r="E40" s="76">
        <f>'A4-FinPerf RE'!D32</f>
        <v>0</v>
      </c>
      <c r="F40" s="76">
        <f>'A4-FinPerf RE'!E32</f>
        <v>0</v>
      </c>
      <c r="G40" s="76">
        <f>'A4-FinPerf RE'!F32</f>
        <v>90000</v>
      </c>
      <c r="H40" s="76">
        <f>'A4-FinPerf RE'!G32</f>
        <v>0</v>
      </c>
      <c r="I40" s="77">
        <f>'A4-FinPerf RE'!H32</f>
        <v>0</v>
      </c>
      <c r="J40" s="1006">
        <f>'A4-FinPerf RE'!I32</f>
        <v>0</v>
      </c>
      <c r="K40" s="78">
        <f>'A4-FinPerf RE'!J32</f>
        <v>0</v>
      </c>
      <c r="L40" s="76">
        <f>'A4-FinPerf RE'!K32</f>
        <v>0</v>
      </c>
      <c r="M40" s="79">
        <f>'A4-FinPerf RE'!L32</f>
        <v>0</v>
      </c>
    </row>
    <row r="41" spans="1:13">
      <c r="A41" s="98" t="s">
        <v>419</v>
      </c>
      <c r="B41" s="13"/>
      <c r="C41" s="13"/>
      <c r="D41" s="76" t="e">
        <f>'SA1'!#REF!</f>
        <v>#REF!</v>
      </c>
      <c r="E41" s="76" t="e">
        <f>'SA1'!#REF!</f>
        <v>#REF!</v>
      </c>
      <c r="F41" s="76" t="e">
        <f>'SA1'!#REF!</f>
        <v>#REF!</v>
      </c>
      <c r="G41" s="76" t="e">
        <f>'SA1'!#REF!</f>
        <v>#REF!</v>
      </c>
      <c r="H41" s="76" t="e">
        <f>'SA1'!#REF!</f>
        <v>#REF!</v>
      </c>
      <c r="I41" s="77" t="e">
        <f>'SA1'!#REF!</f>
        <v>#REF!</v>
      </c>
      <c r="J41" s="1006" t="e">
        <f>'SA1'!#REF!</f>
        <v>#REF!</v>
      </c>
      <c r="K41" s="78" t="e">
        <f>'SA1'!#REF!</f>
        <v>#REF!</v>
      </c>
      <c r="L41" s="76" t="e">
        <f>'SA1'!#REF!</f>
        <v>#REF!</v>
      </c>
      <c r="M41" s="79" t="e">
        <f>'SA1'!#REF!</f>
        <v>#REF!</v>
      </c>
    </row>
    <row r="42" spans="1:13">
      <c r="A42" s="98" t="str">
        <f>'A4-FinPerf RE'!A34</f>
        <v>Other expenditure</v>
      </c>
      <c r="B42" s="13"/>
      <c r="C42" s="13"/>
      <c r="D42" s="88" t="e">
        <f>-'A7-CFlow'!C12-NERF!D34-NERF!D38-NERF!D39-NERF!D40-D41-NERF!D52</f>
        <v>#REF!</v>
      </c>
      <c r="E42" s="88" t="e">
        <f>-'A7-CFlow'!D12-NERF!E34-NERF!E38-NERF!E39-NERF!E40-E41-NERF!E52</f>
        <v>#REF!</v>
      </c>
      <c r="F42" s="88" t="e">
        <f>-'A7-CFlow'!E12-NERF!F34-NERF!F38-NERF!F39-NERF!F40-F41-NERF!F52</f>
        <v>#REF!</v>
      </c>
      <c r="G42" s="88" t="e">
        <f>-'A7-CFlow'!F12-NERF!G34-NERF!G38-NERF!G39-NERF!G40-G41-NERF!G52-G82</f>
        <v>#REF!</v>
      </c>
      <c r="H42" s="88" t="e">
        <f>-'A7-CFlow'!G12-NERF!H34-NERF!H38-NERF!H39-NERF!H40-H41-NERF!H52-H82</f>
        <v>#REF!</v>
      </c>
      <c r="I42" s="89" t="e">
        <f>-'A7-CFlow'!H12-NERF!I34-NERF!I38-NERF!I39-NERF!I40-I41-NERF!I52-I82</f>
        <v>#REF!</v>
      </c>
      <c r="J42" s="1011" t="e">
        <f>-'A7-CFlow'!I12-NERF!J34-NERF!J38-NERF!J39-NERF!J40-J41-NERF!J52-J82</f>
        <v>#REF!</v>
      </c>
      <c r="K42" s="90" t="e">
        <f>-'A7-CFlow'!J12-NERF!K34-NERF!K38-NERF!K39-NERF!K40-K41-NERF!K52-K82</f>
        <v>#REF!</v>
      </c>
      <c r="L42" s="88" t="e">
        <f>-'A7-CFlow'!K12-NERF!L34-NERF!L38-NERF!L39-NERF!L40-L41-NERF!L52-L82</f>
        <v>#REF!</v>
      </c>
      <c r="M42" s="91" t="e">
        <f>-'A7-CFlow'!L12-NERF!M34-NERF!M38-NERF!M39-NERF!M40-M41-NERF!M52-M82</f>
        <v>#REF!</v>
      </c>
    </row>
    <row r="43" spans="1:13">
      <c r="A43" s="99" t="s">
        <v>632</v>
      </c>
      <c r="B43" s="13"/>
      <c r="C43" s="13"/>
      <c r="D43" s="104">
        <f>SUM(D44:D46)</f>
        <v>224773</v>
      </c>
      <c r="E43" s="104">
        <f t="shared" ref="E43:M43" si="9">SUM(E44:E46)</f>
        <v>491959</v>
      </c>
      <c r="F43" s="104">
        <f t="shared" si="9"/>
        <v>565751</v>
      </c>
      <c r="G43" s="104">
        <f t="shared" si="9"/>
        <v>-8783000</v>
      </c>
      <c r="H43" s="104">
        <f t="shared" si="9"/>
        <v>324000</v>
      </c>
      <c r="I43" s="105">
        <f t="shared" si="9"/>
        <v>0</v>
      </c>
      <c r="J43" s="1015">
        <f>SUM(J44:J46)</f>
        <v>0</v>
      </c>
      <c r="K43" s="106">
        <f t="shared" si="9"/>
        <v>453000</v>
      </c>
      <c r="L43" s="104">
        <f t="shared" si="9"/>
        <v>610000</v>
      </c>
      <c r="M43" s="118">
        <f t="shared" si="9"/>
        <v>620000</v>
      </c>
    </row>
    <row r="44" spans="1:13">
      <c r="A44" s="71" t="s">
        <v>358</v>
      </c>
      <c r="B44" s="13"/>
      <c r="C44" s="13"/>
      <c r="D44" s="84">
        <f>-'A7-CFlow'!C13</f>
        <v>224773</v>
      </c>
      <c r="E44" s="84">
        <f>-'A7-CFlow'!D13</f>
        <v>491959</v>
      </c>
      <c r="F44" s="84">
        <f>-'A7-CFlow'!E13</f>
        <v>565751</v>
      </c>
      <c r="G44" s="84">
        <f>-'A7-CFlow'!F13</f>
        <v>-8783000</v>
      </c>
      <c r="H44" s="84">
        <f>-'A7-CFlow'!G13</f>
        <v>324000</v>
      </c>
      <c r="I44" s="85">
        <f>-'A7-CFlow'!H13</f>
        <v>0</v>
      </c>
      <c r="J44" s="1010">
        <f>-'A7-CFlow'!I13</f>
        <v>0</v>
      </c>
      <c r="K44" s="86">
        <f>-'A7-CFlow'!J13</f>
        <v>453000</v>
      </c>
      <c r="L44" s="84">
        <f>-'A7-CFlow'!K13</f>
        <v>610000</v>
      </c>
      <c r="M44" s="87">
        <f>-'A7-CFlow'!L13</f>
        <v>620000</v>
      </c>
    </row>
    <row r="45" spans="1:13">
      <c r="A45" s="71" t="s">
        <v>633</v>
      </c>
      <c r="B45" s="13"/>
      <c r="C45" s="13"/>
      <c r="D45" s="76">
        <v>0</v>
      </c>
      <c r="E45" s="76">
        <v>0</v>
      </c>
      <c r="F45" s="76">
        <v>0</v>
      </c>
      <c r="G45" s="76">
        <v>0</v>
      </c>
      <c r="H45" s="76">
        <v>0</v>
      </c>
      <c r="I45" s="77">
        <v>0</v>
      </c>
      <c r="J45" s="1006">
        <v>0</v>
      </c>
      <c r="K45" s="78">
        <v>0</v>
      </c>
      <c r="L45" s="76">
        <v>0</v>
      </c>
      <c r="M45" s="79">
        <v>0</v>
      </c>
    </row>
    <row r="46" spans="1:13">
      <c r="A46" s="71" t="s">
        <v>634</v>
      </c>
      <c r="B46" s="13"/>
      <c r="C46" s="13"/>
      <c r="D46" s="88">
        <v>0</v>
      </c>
      <c r="E46" s="88">
        <v>0</v>
      </c>
      <c r="F46" s="88">
        <v>0</v>
      </c>
      <c r="G46" s="88">
        <v>0</v>
      </c>
      <c r="H46" s="88">
        <v>0</v>
      </c>
      <c r="I46" s="89">
        <v>0</v>
      </c>
      <c r="J46" s="1011">
        <v>0</v>
      </c>
      <c r="K46" s="90">
        <v>0</v>
      </c>
      <c r="L46" s="88">
        <v>0</v>
      </c>
      <c r="M46" s="91">
        <v>0</v>
      </c>
    </row>
    <row r="47" spans="1:13">
      <c r="A47" s="99" t="str">
        <f>A30</f>
        <v>Financial transactions in assets and liabilities</v>
      </c>
      <c r="B47" s="13"/>
      <c r="C47" s="13"/>
      <c r="D47" s="76">
        <v>0</v>
      </c>
      <c r="E47" s="76">
        <v>0</v>
      </c>
      <c r="F47" s="76">
        <v>0</v>
      </c>
      <c r="G47" s="76">
        <v>0</v>
      </c>
      <c r="H47" s="76">
        <v>0</v>
      </c>
      <c r="I47" s="77">
        <v>0</v>
      </c>
      <c r="J47" s="1006">
        <v>0</v>
      </c>
      <c r="K47" s="78">
        <v>0</v>
      </c>
      <c r="L47" s="76">
        <v>0</v>
      </c>
      <c r="M47" s="79">
        <v>0</v>
      </c>
    </row>
    <row r="48" spans="1:13">
      <c r="A48" s="99" t="s">
        <v>275</v>
      </c>
      <c r="B48" s="13"/>
      <c r="C48" s="13"/>
      <c r="D48" s="76">
        <v>0</v>
      </c>
      <c r="E48" s="76">
        <v>0</v>
      </c>
      <c r="F48" s="76">
        <v>0</v>
      </c>
      <c r="G48" s="76">
        <v>0</v>
      </c>
      <c r="H48" s="76">
        <v>0</v>
      </c>
      <c r="I48" s="77">
        <v>0</v>
      </c>
      <c r="J48" s="1006">
        <v>0</v>
      </c>
      <c r="K48" s="78">
        <v>0</v>
      </c>
      <c r="L48" s="76">
        <v>0</v>
      </c>
      <c r="M48" s="79">
        <v>0</v>
      </c>
    </row>
    <row r="49" spans="1:13">
      <c r="A49" s="69" t="s">
        <v>635</v>
      </c>
      <c r="B49" s="13"/>
      <c r="C49" s="13"/>
      <c r="D49" s="80">
        <f>SUM(D50:D52)</f>
        <v>0</v>
      </c>
      <c r="E49" s="80">
        <f t="shared" ref="E49:M49" si="10">SUM(E50:E52)</f>
        <v>1917386</v>
      </c>
      <c r="F49" s="80">
        <f t="shared" si="10"/>
        <v>1917377</v>
      </c>
      <c r="G49" s="80">
        <f t="shared" si="10"/>
        <v>-1941264</v>
      </c>
      <c r="H49" s="80">
        <f t="shared" si="10"/>
        <v>5685086</v>
      </c>
      <c r="I49" s="81">
        <f t="shared" si="10"/>
        <v>1917386</v>
      </c>
      <c r="J49" s="1007">
        <f>SUM(J50:J52)</f>
        <v>0</v>
      </c>
      <c r="K49" s="82">
        <f t="shared" si="10"/>
        <v>3483078.63</v>
      </c>
      <c r="L49" s="80">
        <f t="shared" si="10"/>
        <v>3695670.26248</v>
      </c>
      <c r="M49" s="83">
        <f t="shared" si="10"/>
        <v>3908692.1782288002</v>
      </c>
    </row>
    <row r="50" spans="1:13">
      <c r="A50" s="97" t="s">
        <v>276</v>
      </c>
      <c r="B50" s="13"/>
      <c r="C50" s="13"/>
      <c r="D50" s="84">
        <f>-'A7-CFlow'!C14</f>
        <v>0</v>
      </c>
      <c r="E50" s="84">
        <f>-'A7-CFlow'!D14</f>
        <v>0</v>
      </c>
      <c r="F50" s="84">
        <f>-'A7-CFlow'!E14</f>
        <v>-9</v>
      </c>
      <c r="G50" s="84">
        <f>-'A7-CFlow'!F14</f>
        <v>-3858650</v>
      </c>
      <c r="H50" s="84">
        <f>-'A7-CFlow'!G14</f>
        <v>3767700</v>
      </c>
      <c r="I50" s="85">
        <f>-'A7-CFlow'!H14</f>
        <v>0</v>
      </c>
      <c r="J50" s="1010">
        <f>-'A7-CFlow'!I14</f>
        <v>0</v>
      </c>
      <c r="K50" s="86">
        <f>-'A7-CFlow'!J14</f>
        <v>3483078.63</v>
      </c>
      <c r="L50" s="84">
        <f>-'A7-CFlow'!K14</f>
        <v>3695670.26248</v>
      </c>
      <c r="M50" s="87">
        <f>-'A7-CFlow'!L14</f>
        <v>3908692.1782288002</v>
      </c>
    </row>
    <row r="51" spans="1:13">
      <c r="A51" s="70" t="str">
        <f>A21</f>
        <v>Public corporations and private enterprises</v>
      </c>
      <c r="B51" s="13"/>
      <c r="C51" s="13"/>
      <c r="D51" s="76">
        <v>0</v>
      </c>
      <c r="E51" s="76">
        <v>0</v>
      </c>
      <c r="F51" s="76">
        <v>0</v>
      </c>
      <c r="G51" s="76">
        <v>0</v>
      </c>
      <c r="H51" s="76">
        <v>0</v>
      </c>
      <c r="I51" s="77">
        <v>0</v>
      </c>
      <c r="J51" s="1006">
        <v>0</v>
      </c>
      <c r="K51" s="78">
        <v>0</v>
      </c>
      <c r="L51" s="76">
        <v>0</v>
      </c>
      <c r="M51" s="79">
        <v>0</v>
      </c>
    </row>
    <row r="52" spans="1:13">
      <c r="A52" s="70" t="s">
        <v>277</v>
      </c>
      <c r="B52" s="13"/>
      <c r="C52" s="13"/>
      <c r="D52" s="88">
        <f>'A10-SerDel'!C78</f>
        <v>0</v>
      </c>
      <c r="E52" s="88">
        <f>'A10-SerDel'!D78</f>
        <v>1917386</v>
      </c>
      <c r="F52" s="88">
        <f>'A10-SerDel'!E78</f>
        <v>1917386</v>
      </c>
      <c r="G52" s="88">
        <f>'A10-SerDel'!F78</f>
        <v>1917386</v>
      </c>
      <c r="H52" s="88">
        <f>'A10-SerDel'!G78</f>
        <v>1917386</v>
      </c>
      <c r="I52" s="89">
        <f>'A10-SerDel'!H78</f>
        <v>1917386</v>
      </c>
      <c r="J52" s="1011">
        <f>'A10-SerDel'!I78</f>
        <v>0</v>
      </c>
      <c r="K52" s="90">
        <f>'A10-SerDel'!I78</f>
        <v>0</v>
      </c>
      <c r="L52" s="88">
        <f>'A10-SerDel'!J78</f>
        <v>0</v>
      </c>
      <c r="M52" s="91">
        <f>'A10-SerDel'!K78</f>
        <v>0</v>
      </c>
    </row>
    <row r="53" spans="1:13">
      <c r="A53" s="69" t="s">
        <v>278</v>
      </c>
      <c r="B53" s="13"/>
      <c r="C53" s="13"/>
      <c r="D53" s="80">
        <f>SUM(D54:D57)</f>
        <v>5366646</v>
      </c>
      <c r="E53" s="80">
        <f t="shared" ref="E53:M53" si="11">SUM(E54:E57)</f>
        <v>16634242</v>
      </c>
      <c r="F53" s="80">
        <f t="shared" si="11"/>
        <v>0</v>
      </c>
      <c r="G53" s="80">
        <f t="shared" si="11"/>
        <v>10922955</v>
      </c>
      <c r="H53" s="80">
        <f t="shared" si="11"/>
        <v>10922955</v>
      </c>
      <c r="I53" s="81">
        <f t="shared" si="11"/>
        <v>0</v>
      </c>
      <c r="J53" s="1007">
        <f>SUM(J54:J57)</f>
        <v>0</v>
      </c>
      <c r="K53" s="82">
        <f t="shared" si="11"/>
        <v>9488000</v>
      </c>
      <c r="L53" s="80">
        <f t="shared" si="11"/>
        <v>11537000</v>
      </c>
      <c r="M53" s="83">
        <f t="shared" si="11"/>
        <v>12171000</v>
      </c>
    </row>
    <row r="54" spans="1:13">
      <c r="A54" s="70" t="s">
        <v>283</v>
      </c>
      <c r="B54" s="13"/>
      <c r="C54" s="13"/>
      <c r="D54" s="84">
        <f>-'A7-CFlow'!C24-NERF!D55-NERF!D56-NERF!D57</f>
        <v>5366646</v>
      </c>
      <c r="E54" s="84">
        <f>-'A7-CFlow'!D24-NERF!E55-NERF!E56-NERF!E57</f>
        <v>16634242</v>
      </c>
      <c r="F54" s="84">
        <f>-'A7-CFlow'!E24-NERF!F55-NERF!F56-NERF!F57</f>
        <v>0</v>
      </c>
      <c r="G54" s="84">
        <f>-'A7-CFlow'!F24-NERF!G55-NERF!G56-NERF!G57</f>
        <v>10922955</v>
      </c>
      <c r="H54" s="84">
        <f>-'A7-CFlow'!G24-NERF!H55-NERF!H56-NERF!H57</f>
        <v>10922955</v>
      </c>
      <c r="I54" s="85">
        <f>-'A7-CFlow'!H24-NERF!I55-NERF!I56-NERF!I57</f>
        <v>0</v>
      </c>
      <c r="J54" s="1010">
        <f>-'A7-CFlow'!I24-NERF!J55-NERF!J56-NERF!J57</f>
        <v>0</v>
      </c>
      <c r="K54" s="86">
        <f>-'A7-CFlow'!J24-NERF!K55-NERF!K56-NERF!K57</f>
        <v>9488000</v>
      </c>
      <c r="L54" s="84">
        <f>-'A7-CFlow'!K24-NERF!L55-NERF!L56-NERF!L57</f>
        <v>11537000</v>
      </c>
      <c r="M54" s="87">
        <f>-'A7-CFlow'!L24-NERF!M55-NERF!M56-NERF!M57</f>
        <v>12171000</v>
      </c>
    </row>
    <row r="55" spans="1:13">
      <c r="A55" s="70" t="s">
        <v>279</v>
      </c>
      <c r="B55" s="13"/>
      <c r="C55" s="13"/>
      <c r="D55" s="76">
        <f>SA34a!C52+SA34a!C54+SA34a!C55+SA34a!C56</f>
        <v>0</v>
      </c>
      <c r="E55" s="76">
        <f>SA34a!D52+SA34a!D54+SA34a!D55+SA34a!D56</f>
        <v>0</v>
      </c>
      <c r="F55" s="76">
        <f>SA34a!E52+SA34a!E54+SA34a!E55+SA34a!E56</f>
        <v>0</v>
      </c>
      <c r="G55" s="76">
        <f>SA34a!F52+SA34a!F54+SA34a!F55+SA34a!F56</f>
        <v>0</v>
      </c>
      <c r="H55" s="76">
        <f>SA34a!G52+SA34a!G54+SA34a!G55+SA34a!G56</f>
        <v>0</v>
      </c>
      <c r="I55" s="77">
        <f>SA34a!H52+SA34a!H54+SA34a!H55+SA34a!H56</f>
        <v>0</v>
      </c>
      <c r="J55" s="1006">
        <f>SA34a!I52+SA34a!I54+SA34a!I55+SA34a!I56</f>
        <v>0</v>
      </c>
      <c r="K55" s="78">
        <f>SA34a!I52+SA34a!I54+SA34a!I55+SA34a!I56</f>
        <v>0</v>
      </c>
      <c r="L55" s="76">
        <f>SA34a!J52+SA34a!J54+SA34a!J55+SA34a!J56</f>
        <v>0</v>
      </c>
      <c r="M55" s="79">
        <f>SA34a!K52+SA34a!K54+SA34a!K55+SA34a!K56</f>
        <v>0</v>
      </c>
    </row>
    <row r="56" spans="1:13">
      <c r="A56" s="70" t="s">
        <v>280</v>
      </c>
      <c r="B56" s="13"/>
      <c r="C56" s="13"/>
      <c r="D56" s="76">
        <f>'A9-Asset'!C48</f>
        <v>0</v>
      </c>
      <c r="E56" s="76">
        <f>'A9-Asset'!D48</f>
        <v>0</v>
      </c>
      <c r="F56" s="76">
        <f>'A9-Asset'!E48</f>
        <v>0</v>
      </c>
      <c r="G56" s="76">
        <f>'A9-Asset'!F48</f>
        <v>0</v>
      </c>
      <c r="H56" s="76">
        <f>'A9-Asset'!G48</f>
        <v>0</v>
      </c>
      <c r="I56" s="77">
        <f>'A9-Asset'!H48</f>
        <v>0</v>
      </c>
      <c r="J56" s="1006">
        <f>'A9-Asset'!I48</f>
        <v>0</v>
      </c>
      <c r="K56" s="78">
        <f>'A9-Asset'!I48</f>
        <v>0</v>
      </c>
      <c r="L56" s="76">
        <f>'A9-Asset'!J48</f>
        <v>0</v>
      </c>
      <c r="M56" s="79">
        <f>'A9-Asset'!K48</f>
        <v>0</v>
      </c>
    </row>
    <row r="57" spans="1:13">
      <c r="A57" s="70" t="s">
        <v>640</v>
      </c>
      <c r="B57" s="13"/>
      <c r="C57" s="13"/>
      <c r="D57" s="76">
        <f>SA34a!C61</f>
        <v>0</v>
      </c>
      <c r="E57" s="76">
        <f>SA34a!D61</f>
        <v>0</v>
      </c>
      <c r="F57" s="76">
        <f>SA34a!E61</f>
        <v>0</v>
      </c>
      <c r="G57" s="76">
        <f>SA34a!F61</f>
        <v>0</v>
      </c>
      <c r="H57" s="76">
        <f>SA34a!G61</f>
        <v>0</v>
      </c>
      <c r="I57" s="77">
        <f>SA34a!H61</f>
        <v>0</v>
      </c>
      <c r="J57" s="1006">
        <f>SA34a!I61</f>
        <v>0</v>
      </c>
      <c r="K57" s="78">
        <f>SA34a!I61</f>
        <v>0</v>
      </c>
      <c r="L57" s="76">
        <f>SA34a!J61</f>
        <v>0</v>
      </c>
      <c r="M57" s="79">
        <f>SA34a!K61</f>
        <v>0</v>
      </c>
    </row>
    <row r="58" spans="1:13">
      <c r="A58" s="8" t="s">
        <v>270</v>
      </c>
      <c r="B58" s="68"/>
      <c r="C58" s="68"/>
      <c r="D58" s="92" t="e">
        <f>SUM(D34,D37,D43,D47,D48,D49,D53)</f>
        <v>#REF!</v>
      </c>
      <c r="E58" s="92" t="e">
        <f t="shared" ref="E58:M58" si="12">SUM(E34,E37,E43,E47,E48,E49,E53)</f>
        <v>#REF!</v>
      </c>
      <c r="F58" s="92" t="e">
        <f t="shared" si="12"/>
        <v>#REF!</v>
      </c>
      <c r="G58" s="92" t="e">
        <f t="shared" si="12"/>
        <v>#REF!</v>
      </c>
      <c r="H58" s="92" t="e">
        <f t="shared" si="12"/>
        <v>#REF!</v>
      </c>
      <c r="I58" s="93" t="e">
        <f t="shared" si="12"/>
        <v>#REF!</v>
      </c>
      <c r="J58" s="1013" t="e">
        <f>SUM(J34,J37,J43,J47,J48,J49,J53)</f>
        <v>#REF!</v>
      </c>
      <c r="K58" s="94" t="e">
        <f t="shared" si="12"/>
        <v>#REF!</v>
      </c>
      <c r="L58" s="92" t="e">
        <f t="shared" si="12"/>
        <v>#REF!</v>
      </c>
      <c r="M58" s="95" t="e">
        <f t="shared" si="12"/>
        <v>#REF!</v>
      </c>
    </row>
    <row r="59" spans="1:13">
      <c r="A59" s="15" t="s">
        <v>281</v>
      </c>
      <c r="B59" s="13"/>
      <c r="C59" s="13"/>
      <c r="D59" s="80" t="e">
        <f>D31-D58</f>
        <v>#REF!</v>
      </c>
      <c r="E59" s="80" t="e">
        <f t="shared" ref="E59:M59" si="13">E31-E58</f>
        <v>#REF!</v>
      </c>
      <c r="F59" s="80" t="e">
        <f t="shared" si="13"/>
        <v>#REF!</v>
      </c>
      <c r="G59" s="80" t="e">
        <f t="shared" si="13"/>
        <v>#REF!</v>
      </c>
      <c r="H59" s="80" t="e">
        <f t="shared" si="13"/>
        <v>#REF!</v>
      </c>
      <c r="I59" s="81" t="e">
        <f t="shared" si="13"/>
        <v>#REF!</v>
      </c>
      <c r="J59" s="1007" t="e">
        <f t="shared" si="13"/>
        <v>#REF!</v>
      </c>
      <c r="K59" s="82" t="e">
        <f t="shared" si="13"/>
        <v>#REF!</v>
      </c>
      <c r="L59" s="80" t="e">
        <f t="shared" si="13"/>
        <v>#REF!</v>
      </c>
      <c r="M59" s="83" t="e">
        <f t="shared" si="13"/>
        <v>#REF!</v>
      </c>
    </row>
    <row r="60" spans="1:13">
      <c r="A60" s="69" t="s">
        <v>1534</v>
      </c>
      <c r="B60" s="13"/>
      <c r="C60" s="13"/>
      <c r="D60" s="80"/>
      <c r="E60" s="80"/>
      <c r="F60" s="80"/>
      <c r="G60" s="80"/>
      <c r="H60" s="80"/>
      <c r="I60" s="81"/>
      <c r="J60" s="1007"/>
      <c r="K60" s="82"/>
      <c r="L60" s="80"/>
      <c r="M60" s="83"/>
    </row>
    <row r="61" spans="1:13">
      <c r="A61" s="97" t="str">
        <f>'A7-CFlow'!A30</f>
        <v>Borrowing long term/refinancing</v>
      </c>
      <c r="B61" s="13"/>
      <c r="C61" s="13"/>
      <c r="D61" s="110">
        <f>SUM('A7-CFlow'!C29,'A7-CFlow'!C30)</f>
        <v>0</v>
      </c>
      <c r="E61" s="110">
        <f>SUM('A7-CFlow'!D29,'A7-CFlow'!D30)</f>
        <v>0</v>
      </c>
      <c r="F61" s="110">
        <f>SUM('A7-CFlow'!E29,'A7-CFlow'!E30)</f>
        <v>177073</v>
      </c>
      <c r="G61" s="110">
        <f>SUM('A7-CFlow'!F29,'A7-CFlow'!F30)</f>
        <v>0</v>
      </c>
      <c r="H61" s="110">
        <f>SUM('A7-CFlow'!G29,'A7-CFlow'!G30)</f>
        <v>0</v>
      </c>
      <c r="I61" s="111">
        <f>SUM('A7-CFlow'!H29,'A7-CFlow'!H30)</f>
        <v>0</v>
      </c>
      <c r="J61" s="1012">
        <f>SUM('A7-CFlow'!I29,'A7-CFlow'!I30)</f>
        <v>0</v>
      </c>
      <c r="K61" s="112">
        <f>SUM('A7-CFlow'!J29,'A7-CFlow'!J30)</f>
        <v>0</v>
      </c>
      <c r="L61" s="110">
        <f>SUM('A7-CFlow'!K29,'A7-CFlow'!K30)</f>
        <v>0</v>
      </c>
      <c r="M61" s="116">
        <f>SUM('A7-CFlow'!L29,'A7-CFlow'!L30)</f>
        <v>0</v>
      </c>
    </row>
    <row r="62" spans="1:13">
      <c r="A62" s="70" t="s">
        <v>1614</v>
      </c>
      <c r="B62" s="13"/>
      <c r="C62" s="13"/>
      <c r="D62" s="110">
        <f>'A7-CFlow'!C31</f>
        <v>0</v>
      </c>
      <c r="E62" s="110">
        <f>'A7-CFlow'!D31</f>
        <v>0</v>
      </c>
      <c r="F62" s="110">
        <f>'A7-CFlow'!E31</f>
        <v>29734</v>
      </c>
      <c r="G62" s="110">
        <f>'A7-CFlow'!F31</f>
        <v>0</v>
      </c>
      <c r="H62" s="110">
        <f>'A7-CFlow'!G31</f>
        <v>0</v>
      </c>
      <c r="I62" s="111">
        <f>'A7-CFlow'!H31</f>
        <v>0</v>
      </c>
      <c r="J62" s="1012">
        <f>'A7-CFlow'!I31</f>
        <v>0</v>
      </c>
      <c r="K62" s="112">
        <f>'A7-CFlow'!J31</f>
        <v>173000</v>
      </c>
      <c r="L62" s="110">
        <f>'A7-CFlow'!K31</f>
        <v>183380</v>
      </c>
      <c r="M62" s="116">
        <f>'A7-CFlow'!L31</f>
        <v>173000</v>
      </c>
    </row>
    <row r="63" spans="1:13">
      <c r="A63" s="70" t="s">
        <v>1056</v>
      </c>
      <c r="B63" s="13"/>
      <c r="C63" s="13"/>
      <c r="D63" s="110">
        <f>IF('A7-CFlow'!C22&gt;0,'A7-CFlow'!C22,0)</f>
        <v>0</v>
      </c>
      <c r="E63" s="110">
        <f>IF('A7-CFlow'!D22&gt;0,'A7-CFlow'!D22,0)</f>
        <v>0</v>
      </c>
      <c r="F63" s="110">
        <f>IF('A7-CFlow'!E22&gt;0,'A7-CFlow'!E22,0)</f>
        <v>567481</v>
      </c>
      <c r="G63" s="110">
        <f>IF('A7-CFlow'!F22&gt;0,'A7-CFlow'!F22,0)</f>
        <v>0</v>
      </c>
      <c r="H63" s="110">
        <f>IF('A7-CFlow'!G22&gt;0,'A7-CFlow'!G22,0)</f>
        <v>0</v>
      </c>
      <c r="I63" s="111">
        <f>IF('A7-CFlow'!H22&gt;0,'A7-CFlow'!H22,0)</f>
        <v>0</v>
      </c>
      <c r="J63" s="1012">
        <f>IF('A7-CFlow'!I22&gt;0,'A7-CFlow'!I22,0)</f>
        <v>0</v>
      </c>
      <c r="K63" s="112">
        <f>IF('A7-CFlow'!J22&gt;0,'A7-CFlow'!J22,0)</f>
        <v>0</v>
      </c>
      <c r="L63" s="110">
        <f>IF('A7-CFlow'!K22&gt;0,'A7-CFlow'!K22,0)</f>
        <v>0</v>
      </c>
      <c r="M63" s="116">
        <f>IF('A7-CFlow'!L22&gt;0,'A7-CFlow'!L22,0)</f>
        <v>0</v>
      </c>
    </row>
    <row r="64" spans="1:13">
      <c r="A64" s="70" t="s">
        <v>356</v>
      </c>
      <c r="B64" s="13"/>
      <c r="C64" s="13"/>
      <c r="D64" s="110">
        <f>IF('A7-CFlow'!C22&lt;0,'A7-CFlow'!C22,0)</f>
        <v>0</v>
      </c>
      <c r="E64" s="110">
        <f>IF('A7-CFlow'!D22&lt;0,'A7-CFlow'!D22,0)</f>
        <v>0</v>
      </c>
      <c r="F64" s="110">
        <f>IF('A7-CFlow'!E22&lt;0,'A7-CFlow'!E22,0)</f>
        <v>0</v>
      </c>
      <c r="G64" s="110">
        <f>IF('A7-CFlow'!F22&lt;0,'A7-CFlow'!F22,0)</f>
        <v>0</v>
      </c>
      <c r="H64" s="110">
        <f>IF('A7-CFlow'!G22&lt;0,'A7-CFlow'!G22,0)</f>
        <v>0</v>
      </c>
      <c r="I64" s="111">
        <f>IF('A7-CFlow'!H22&lt;0,'A7-CFlow'!H22,0)</f>
        <v>0</v>
      </c>
      <c r="J64" s="1012">
        <f>IF('A7-CFlow'!I22&lt;0,'A7-CFlow'!I22,0)</f>
        <v>0</v>
      </c>
      <c r="K64" s="112">
        <f>IF('A7-CFlow'!J22&lt;0,'A7-CFlow'!J22,0)</f>
        <v>0</v>
      </c>
      <c r="L64" s="110">
        <f>IF('A7-CFlow'!K22&lt;0,'A7-CFlow'!K22,0)</f>
        <v>0</v>
      </c>
      <c r="M64" s="116">
        <f>IF('A7-CFlow'!L22&lt;0,'A7-CFlow'!L22,0)</f>
        <v>0</v>
      </c>
    </row>
    <row r="65" spans="1:13">
      <c r="A65" s="70" t="str">
        <f>'A7-CFlow'!A33</f>
        <v>Repayment of borrowing</v>
      </c>
      <c r="B65" s="13"/>
      <c r="C65" s="13"/>
      <c r="D65" s="110">
        <f>'A7-CFlow'!C33</f>
        <v>-224773</v>
      </c>
      <c r="E65" s="110">
        <f>'A7-CFlow'!D33</f>
        <v>-51157</v>
      </c>
      <c r="F65" s="110">
        <f>'A7-CFlow'!E33</f>
        <v>-169023</v>
      </c>
      <c r="G65" s="110">
        <f>'A7-CFlow'!F33</f>
        <v>-324000</v>
      </c>
      <c r="H65" s="110">
        <f>'A7-CFlow'!G33</f>
        <v>0</v>
      </c>
      <c r="I65" s="111">
        <f>'A7-CFlow'!H33</f>
        <v>0</v>
      </c>
      <c r="J65" s="1012">
        <f>'A7-CFlow'!I33</f>
        <v>0</v>
      </c>
      <c r="K65" s="112">
        <f>'A7-CFlow'!J33</f>
        <v>-1889000</v>
      </c>
      <c r="L65" s="110">
        <f>'A7-CFlow'!K33</f>
        <v>-1889000</v>
      </c>
      <c r="M65" s="116">
        <f>'A7-CFlow'!L33</f>
        <v>-1889000</v>
      </c>
    </row>
    <row r="66" spans="1:13">
      <c r="A66" s="37" t="str">
        <f>A59&amp;" and Financing"</f>
        <v>Receipts less payments and Financing</v>
      </c>
      <c r="B66" s="13"/>
      <c r="C66" s="13"/>
      <c r="D66" s="80" t="e">
        <f>SUM(D59:D65)</f>
        <v>#REF!</v>
      </c>
      <c r="E66" s="80" t="e">
        <f t="shared" ref="E66:M66" si="14">SUM(E59:E65)</f>
        <v>#REF!</v>
      </c>
      <c r="F66" s="80" t="e">
        <f t="shared" si="14"/>
        <v>#REF!</v>
      </c>
      <c r="G66" s="80" t="e">
        <f t="shared" si="14"/>
        <v>#REF!</v>
      </c>
      <c r="H66" s="80" t="e">
        <f t="shared" si="14"/>
        <v>#REF!</v>
      </c>
      <c r="I66" s="81" t="e">
        <f t="shared" si="14"/>
        <v>#REF!</v>
      </c>
      <c r="J66" s="1007" t="e">
        <f t="shared" si="14"/>
        <v>#REF!</v>
      </c>
      <c r="K66" s="82" t="e">
        <f t="shared" si="14"/>
        <v>#REF!</v>
      </c>
      <c r="L66" s="80" t="e">
        <f t="shared" si="14"/>
        <v>#REF!</v>
      </c>
      <c r="M66" s="83" t="e">
        <f t="shared" si="14"/>
        <v>#REF!</v>
      </c>
    </row>
    <row r="67" spans="1:13">
      <c r="A67" s="15" t="s">
        <v>282</v>
      </c>
      <c r="B67" s="13"/>
      <c r="C67" s="13"/>
      <c r="D67" s="80">
        <f>'A7-CFlow'!C36</f>
        <v>-7212271</v>
      </c>
      <c r="E67" s="80">
        <f>'A7-CFlow'!D36</f>
        <v>-6750574</v>
      </c>
      <c r="F67" s="80">
        <f>'A7-CFlow'!E36</f>
        <v>21129725</v>
      </c>
      <c r="G67" s="80">
        <f>'A7-CFlow'!F36</f>
        <v>79761022.882499993</v>
      </c>
      <c r="H67" s="80">
        <f>'A7-CFlow'!G36</f>
        <v>757335</v>
      </c>
      <c r="I67" s="81">
        <f>'A7-CFlow'!H36</f>
        <v>0</v>
      </c>
      <c r="J67" s="1007">
        <f>'A7-CFlow'!I36</f>
        <v>0</v>
      </c>
      <c r="K67" s="82">
        <f>'A7-CFlow'!J36</f>
        <v>2483503.1380800009</v>
      </c>
      <c r="L67" s="80">
        <f>'A7-CFlow'!K36</f>
        <v>-19457276.138590984</v>
      </c>
      <c r="M67" s="83">
        <f>'A7-CFlow'!L36</f>
        <v>-18987993.190473914</v>
      </c>
    </row>
    <row r="68" spans="1:13" ht="12" thickBot="1">
      <c r="A68" s="14"/>
      <c r="B68" s="14"/>
      <c r="C68" s="14"/>
      <c r="D68" s="96" t="e">
        <f>D66-D67</f>
        <v>#REF!</v>
      </c>
      <c r="E68" s="96" t="e">
        <f t="shared" ref="E68:M68" si="15">E66-E67</f>
        <v>#REF!</v>
      </c>
      <c r="F68" s="96" t="e">
        <f t="shared" si="15"/>
        <v>#REF!</v>
      </c>
      <c r="G68" s="96" t="e">
        <f t="shared" si="15"/>
        <v>#REF!</v>
      </c>
      <c r="H68" s="96" t="e">
        <f t="shared" si="15"/>
        <v>#REF!</v>
      </c>
      <c r="I68" s="126" t="e">
        <f t="shared" si="15"/>
        <v>#REF!</v>
      </c>
      <c r="J68" s="1016" t="e">
        <f t="shared" si="15"/>
        <v>#REF!</v>
      </c>
      <c r="K68" s="127" t="e">
        <f t="shared" si="15"/>
        <v>#REF!</v>
      </c>
      <c r="L68" s="128" t="e">
        <f t="shared" si="15"/>
        <v>#REF!</v>
      </c>
      <c r="M68" s="129" t="e">
        <f t="shared" si="15"/>
        <v>#REF!</v>
      </c>
    </row>
    <row r="70" spans="1:13">
      <c r="A70" s="2" t="s">
        <v>271</v>
      </c>
      <c r="C70" s="73"/>
      <c r="D70" s="72">
        <f>'A7-CFlow'!C20+'A7-CFlow'!C21-NERF!D74</f>
        <v>1106021.6666666663</v>
      </c>
      <c r="E70" s="72">
        <f>'A7-CFlow'!D20+'A7-CFlow'!D21-NERF!E74</f>
        <v>-4290592</v>
      </c>
      <c r="F70" s="72">
        <f>'A7-CFlow'!E20+'A7-CFlow'!E21-NERF!F74</f>
        <v>776240</v>
      </c>
      <c r="G70" s="72">
        <f>'A7-CFlow'!F20+'A7-CFlow'!F21-NERF!G74</f>
        <v>-228740.52000000002</v>
      </c>
      <c r="H70" s="72">
        <f>'A7-CFlow'!G20+'A7-CFlow'!G21-NERF!H74</f>
        <v>4041082.52</v>
      </c>
      <c r="I70" s="72">
        <f>'A7-CFlow'!H20+'A7-CFlow'!H21-NERF!I74</f>
        <v>0</v>
      </c>
      <c r="J70" s="72">
        <f>'A7-CFlow'!I20+'A7-CFlow'!I21-NERF!J74</f>
        <v>0</v>
      </c>
      <c r="K70" s="72">
        <f>'A7-CFlow'!J20+'A7-CFlow'!J21-NERF!K74</f>
        <v>-4301223.4800000004</v>
      </c>
      <c r="L70" s="72">
        <f>'A7-CFlow'!K20+'A7-CFlow'!K21-NERF!L74</f>
        <v>3780941.56</v>
      </c>
      <c r="M70" s="72">
        <f>'A7-CFlow'!L20+'A7-CFlow'!L21-NERF!M74</f>
        <v>-275749.41760000004</v>
      </c>
    </row>
    <row r="71" spans="1:13">
      <c r="A71" s="2" t="s">
        <v>1706</v>
      </c>
      <c r="C71" s="77"/>
      <c r="D71" s="124">
        <f t="shared" ref="D71:M71" si="16">IF(ISERROR(ROUND(D70*D76,0)),0,(ROUND(D70*D76,0)))</f>
        <v>228946</v>
      </c>
      <c r="E71" s="76">
        <f t="shared" si="16"/>
        <v>-819503</v>
      </c>
      <c r="F71" s="76">
        <f t="shared" si="16"/>
        <v>176206</v>
      </c>
      <c r="G71" s="76">
        <f t="shared" si="16"/>
        <v>-43003</v>
      </c>
      <c r="H71" s="76">
        <f t="shared" si="16"/>
        <v>763765</v>
      </c>
      <c r="I71" s="76">
        <f t="shared" si="16"/>
        <v>0</v>
      </c>
      <c r="J71" s="76">
        <f t="shared" si="16"/>
        <v>0</v>
      </c>
      <c r="K71" s="76">
        <f t="shared" si="16"/>
        <v>-1079607</v>
      </c>
      <c r="L71" s="76">
        <f t="shared" si="16"/>
        <v>778874</v>
      </c>
      <c r="M71" s="76">
        <f t="shared" si="16"/>
        <v>-55701</v>
      </c>
    </row>
    <row r="72" spans="1:13">
      <c r="A72" s="2" t="s">
        <v>1708</v>
      </c>
      <c r="C72" s="10"/>
      <c r="D72" s="76">
        <f>D70-D71</f>
        <v>877075.66666666628</v>
      </c>
      <c r="E72" s="76">
        <f t="shared" ref="E72:M72" si="17">E70-E71</f>
        <v>-3471089</v>
      </c>
      <c r="F72" s="76">
        <f t="shared" si="17"/>
        <v>600034</v>
      </c>
      <c r="G72" s="76">
        <f t="shared" si="17"/>
        <v>-185737.52000000002</v>
      </c>
      <c r="H72" s="76">
        <f t="shared" si="17"/>
        <v>3277317.52</v>
      </c>
      <c r="I72" s="76">
        <f t="shared" si="17"/>
        <v>0</v>
      </c>
      <c r="J72" s="76">
        <f t="shared" si="17"/>
        <v>0</v>
      </c>
      <c r="K72" s="76">
        <f t="shared" si="17"/>
        <v>-3221616.4800000004</v>
      </c>
      <c r="L72" s="76">
        <f t="shared" si="17"/>
        <v>3002067.56</v>
      </c>
      <c r="M72" s="76">
        <f t="shared" si="17"/>
        <v>-220048.41760000004</v>
      </c>
    </row>
    <row r="73" spans="1:13">
      <c r="A73" s="2" t="str">
        <f>'A6-FinPos'!A9</f>
        <v>Other debtors</v>
      </c>
      <c r="C73" s="77">
        <f>TREND(D73:F73)</f>
        <v>902119.66666666628</v>
      </c>
      <c r="D73" s="76">
        <f>'A6-FinPos'!C9</f>
        <v>0</v>
      </c>
      <c r="E73" s="76">
        <f>'A6-FinPos'!D9</f>
        <v>4612530</v>
      </c>
      <c r="F73" s="76">
        <f>'A6-FinPos'!E9</f>
        <v>3812342</v>
      </c>
      <c r="G73" s="76">
        <f>'A6-FinPos'!F9</f>
        <v>4041082.52</v>
      </c>
      <c r="H73" s="76">
        <f>'A6-FinPos'!G9</f>
        <v>0</v>
      </c>
      <c r="I73" s="76">
        <f>'A6-FinPos'!H9</f>
        <v>0</v>
      </c>
      <c r="J73" s="76">
        <f>'A6-FinPos'!I9</f>
        <v>0</v>
      </c>
      <c r="K73" s="76">
        <f>'A6-FinPos'!J9</f>
        <v>4041082.52</v>
      </c>
      <c r="L73" s="76">
        <f>'A6-FinPos'!K9</f>
        <v>0</v>
      </c>
      <c r="M73" s="76">
        <f>'A6-FinPos'!L9</f>
        <v>0</v>
      </c>
    </row>
    <row r="74" spans="1:13">
      <c r="A74" s="2" t="s">
        <v>272</v>
      </c>
      <c r="C74" s="77"/>
      <c r="D74" s="76">
        <f>D73-C73</f>
        <v>-902119.66666666628</v>
      </c>
      <c r="E74" s="76">
        <f t="shared" ref="E74:M74" si="18">E73-D73</f>
        <v>4612530</v>
      </c>
      <c r="F74" s="76">
        <f t="shared" si="18"/>
        <v>-800188</v>
      </c>
      <c r="G74" s="76">
        <f t="shared" si="18"/>
        <v>228740.52000000002</v>
      </c>
      <c r="H74" s="76">
        <f t="shared" si="18"/>
        <v>-4041082.52</v>
      </c>
      <c r="I74" s="76">
        <f t="shared" si="18"/>
        <v>0</v>
      </c>
      <c r="J74" s="76">
        <f t="shared" si="18"/>
        <v>0</v>
      </c>
      <c r="K74" s="76">
        <f>K73-I73</f>
        <v>4041082.52</v>
      </c>
      <c r="L74" s="76">
        <f t="shared" si="18"/>
        <v>-4041082.52</v>
      </c>
      <c r="M74" s="76">
        <f t="shared" si="18"/>
        <v>0</v>
      </c>
    </row>
    <row r="75" spans="1:13">
      <c r="C75" s="10"/>
      <c r="D75" s="13"/>
      <c r="E75" s="13"/>
      <c r="F75" s="13"/>
      <c r="G75" s="13"/>
      <c r="H75" s="13"/>
      <c r="I75" s="13"/>
      <c r="J75" s="13"/>
      <c r="K75" s="13"/>
      <c r="L75" s="13"/>
      <c r="M75" s="13"/>
    </row>
    <row r="76" spans="1:13">
      <c r="A76" s="2" t="s">
        <v>1707</v>
      </c>
      <c r="C76" s="10"/>
      <c r="D76" s="56">
        <f>IF(ISERROR(ROUND(('A4-FinPerf RE'!C5+'A4-FinPerf RE'!C6)/SUM('A4-FinPerf RE'!C5:C11),3)),0,(ROUND(('A4-FinPerf RE'!C5+'A4-FinPerf RE'!C6)/SUM('A4-FinPerf RE'!C5:C11),3)))</f>
        <v>0.20699999999999999</v>
      </c>
      <c r="E76" s="56">
        <f>IF(ISERROR(ROUND(('A4-FinPerf RE'!D5+'A4-FinPerf RE'!D6)/SUM('A4-FinPerf RE'!D5:D11),3)),0,(ROUND(('A4-FinPerf RE'!D5+'A4-FinPerf RE'!D6)/SUM('A4-FinPerf RE'!D5:D11),3)))</f>
        <v>0.191</v>
      </c>
      <c r="F76" s="56">
        <f>IF(ISERROR(ROUND(('A4-FinPerf RE'!E5+'A4-FinPerf RE'!E6)/SUM('A4-FinPerf RE'!E5:E11),3)),0,(ROUND(('A4-FinPerf RE'!E5+'A4-FinPerf RE'!E6)/SUM('A4-FinPerf RE'!E5:E11),3)))</f>
        <v>0.22700000000000001</v>
      </c>
      <c r="G76" s="56">
        <f>IF(ISERROR(ROUND(('A4-FinPerf RE'!F5+'A4-FinPerf RE'!F6)/SUM('A4-FinPerf RE'!F5:F11),3)),0,(ROUND(('A4-FinPerf RE'!F5+'A4-FinPerf RE'!F6)/SUM('A4-FinPerf RE'!F5:F11),3)))</f>
        <v>0.188</v>
      </c>
      <c r="H76" s="56">
        <f>IF(ISERROR(ROUND(('A4-FinPerf RE'!G5+'A4-FinPerf RE'!G6)/SUM('A4-FinPerf RE'!G5:G11),3)),0,(ROUND(('A4-FinPerf RE'!G5+'A4-FinPerf RE'!G6)/SUM('A4-FinPerf RE'!G5:G11),3)))</f>
        <v>0.189</v>
      </c>
      <c r="I76" s="56">
        <f>IF(ISERROR(ROUND(('A4-FinPerf RE'!H5+'A4-FinPerf RE'!H6)/SUM('A4-FinPerf RE'!H5:H11),3)),0,(ROUND(('A4-FinPerf RE'!H5+'A4-FinPerf RE'!H6)/SUM('A4-FinPerf RE'!H5:H11),3)))</f>
        <v>-0.34200000000000003</v>
      </c>
      <c r="J76" s="56">
        <f>IF(ISERROR(ROUND(('A4-FinPerf RE'!I5+'A4-FinPerf RE'!I6)/SUM('A4-FinPerf RE'!I5:I11),3)),0,(ROUND(('A4-FinPerf RE'!I5+'A4-FinPerf RE'!I6)/SUM('A4-FinPerf RE'!I5:I11),3)))</f>
        <v>-0.34200000000000003</v>
      </c>
      <c r="K76" s="56">
        <f>IF(ISERROR(ROUND(('A4-FinPerf RE'!J5+'A4-FinPerf RE'!J6)/SUM('A4-FinPerf RE'!J5:J11),3)),0,(ROUND(('A4-FinPerf RE'!J5+'A4-FinPerf RE'!J6)/SUM('A4-FinPerf RE'!J5:J11),3)))</f>
        <v>0.251</v>
      </c>
      <c r="L76" s="56">
        <f>IF(ISERROR(ROUND(('A4-FinPerf RE'!K5+'A4-FinPerf RE'!K6)/SUM('A4-FinPerf RE'!K5:K11),3)),0,(ROUND(('A4-FinPerf RE'!K5+'A4-FinPerf RE'!K6)/SUM('A4-FinPerf RE'!K5:K11),3)))</f>
        <v>0.20599999999999999</v>
      </c>
      <c r="M76" s="56">
        <f>IF(ISERROR(ROUND(('A4-FinPerf RE'!L5+'A4-FinPerf RE'!L6)/SUM('A4-FinPerf RE'!L5:L11),3)),0,(ROUND(('A4-FinPerf RE'!L5+'A4-FinPerf RE'!L6)/SUM('A4-FinPerf RE'!L5:L11),3)))</f>
        <v>0.20200000000000001</v>
      </c>
    </row>
    <row r="77" spans="1:13">
      <c r="A77" s="2" t="s">
        <v>1537</v>
      </c>
      <c r="C77" s="77"/>
      <c r="D77" s="76" t="e">
        <f>D31-'A7-CFlow'!C43</f>
        <v>#REF!</v>
      </c>
      <c r="E77" s="76" t="e">
        <f>E31-'A7-CFlow'!D43</f>
        <v>#REF!</v>
      </c>
      <c r="F77" s="76" t="e">
        <f>F31-'A7-CFlow'!E43</f>
        <v>#REF!</v>
      </c>
      <c r="G77" s="76" t="e">
        <f>G31-'A7-CFlow'!F43</f>
        <v>#REF!</v>
      </c>
      <c r="H77" s="76" t="e">
        <f>H31-'A7-CFlow'!G43</f>
        <v>#REF!</v>
      </c>
      <c r="I77" s="76" t="e">
        <f>I31-'A7-CFlow'!H43</f>
        <v>#REF!</v>
      </c>
      <c r="J77" s="76" t="e">
        <f>J31-'A7-CFlow'!I43</f>
        <v>#REF!</v>
      </c>
      <c r="K77" s="76" t="e">
        <f>K31-'A7-CFlow'!J43</f>
        <v>#REF!</v>
      </c>
      <c r="L77" s="76" t="e">
        <f>L31-'A7-CFlow'!K43</f>
        <v>#REF!</v>
      </c>
      <c r="M77" s="76" t="e">
        <f>M31-'A7-CFlow'!L43</f>
        <v>#REF!</v>
      </c>
    </row>
    <row r="78" spans="1:13">
      <c r="A78" s="2" t="s">
        <v>1535</v>
      </c>
      <c r="D78" s="76">
        <f>'A7-CFlow'!C20+'A7-CFlow'!C21-NERF!D71-NERF!D72-NERF!D74</f>
        <v>0</v>
      </c>
      <c r="E78" s="76">
        <f>'A7-CFlow'!D20+'A7-CFlow'!D21-NERF!E71-NERF!E72-NERF!E74</f>
        <v>0</v>
      </c>
      <c r="F78" s="76">
        <f>'A7-CFlow'!E20+'A7-CFlow'!E21-NERF!F71-NERF!F72-NERF!F74</f>
        <v>0</v>
      </c>
      <c r="G78" s="76">
        <f>'A7-CFlow'!F20+'A7-CFlow'!F21-NERF!G71-NERF!G72-NERF!G74</f>
        <v>0</v>
      </c>
      <c r="H78" s="76">
        <f>'A7-CFlow'!G20+'A7-CFlow'!G21-NERF!H71-NERF!H72-NERF!H74</f>
        <v>0</v>
      </c>
      <c r="I78" s="76">
        <f>'A7-CFlow'!H20+'A7-CFlow'!H21-NERF!I71-NERF!I72-NERF!I74</f>
        <v>0</v>
      </c>
      <c r="J78" s="76">
        <f>'A7-CFlow'!I20+'A7-CFlow'!I21-NERF!J71-NERF!J72-NERF!J74</f>
        <v>0</v>
      </c>
      <c r="K78" s="76">
        <f>'A7-CFlow'!J20+'A7-CFlow'!J21-NERF!K71-NERF!K72-NERF!K74</f>
        <v>0</v>
      </c>
      <c r="L78" s="76">
        <f>'A7-CFlow'!K20+'A7-CFlow'!K21-NERF!L71-NERF!L72-NERF!L74</f>
        <v>0</v>
      </c>
      <c r="M78" s="76">
        <f>'A7-CFlow'!L20+'A7-CFlow'!L21-NERF!M71-NERF!M72-NERF!M74</f>
        <v>0</v>
      </c>
    </row>
    <row r="79" spans="1:13">
      <c r="D79" s="13"/>
      <c r="E79" s="13"/>
      <c r="F79" s="13"/>
      <c r="G79" s="13"/>
      <c r="H79" s="13"/>
      <c r="I79" s="13"/>
      <c r="J79" s="13"/>
      <c r="K79" s="13"/>
      <c r="L79" s="13"/>
      <c r="M79" s="13"/>
    </row>
    <row r="80" spans="1:13">
      <c r="A80" s="2" t="s">
        <v>1536</v>
      </c>
      <c r="D80" s="76" t="e">
        <f>D58+'A7-CFlow'!C44</f>
        <v>#REF!</v>
      </c>
      <c r="E80" s="76" t="e">
        <f>E58+'A7-CFlow'!D44</f>
        <v>#REF!</v>
      </c>
      <c r="F80" s="76" t="e">
        <f>F58+'A7-CFlow'!E44</f>
        <v>#REF!</v>
      </c>
      <c r="G80" s="76" t="e">
        <f>G58+'A7-CFlow'!F44</f>
        <v>#REF!</v>
      </c>
      <c r="H80" s="76" t="e">
        <f>H58+'A7-CFlow'!G44</f>
        <v>#REF!</v>
      </c>
      <c r="I80" s="76" t="e">
        <f>I58+'A7-CFlow'!H44</f>
        <v>#REF!</v>
      </c>
      <c r="J80" s="76" t="e">
        <f>J58+'A7-CFlow'!I44</f>
        <v>#REF!</v>
      </c>
      <c r="K80" s="76" t="e">
        <f>K58+'A7-CFlow'!J44</f>
        <v>#REF!</v>
      </c>
      <c r="L80" s="76" t="e">
        <f>L58+'A7-CFlow'!K44</f>
        <v>#REF!</v>
      </c>
      <c r="M80" s="76" t="e">
        <f>M58+'A7-CFlow'!L44</f>
        <v>#REF!</v>
      </c>
    </row>
    <row r="81" spans="1:13">
      <c r="D81" s="13"/>
      <c r="E81" s="13"/>
      <c r="F81" s="13"/>
      <c r="G81" s="13"/>
      <c r="H81" s="13"/>
      <c r="I81" s="13"/>
      <c r="J81" s="13"/>
      <c r="K81" s="13"/>
      <c r="L81" s="13"/>
      <c r="M81" s="13"/>
    </row>
    <row r="82" spans="1:13">
      <c r="A82" s="2" t="s">
        <v>1538</v>
      </c>
      <c r="D82" s="14"/>
      <c r="E82" s="14"/>
      <c r="F82" s="14"/>
      <c r="G82" s="14"/>
      <c r="H82" s="14"/>
      <c r="I82" s="14"/>
      <c r="J82" s="14"/>
      <c r="K82" s="14"/>
      <c r="L82" s="14"/>
      <c r="M82" s="14"/>
    </row>
    <row r="83" spans="1:13">
      <c r="D83" s="123"/>
      <c r="E83" s="123"/>
      <c r="F83" s="123"/>
      <c r="G83" s="123"/>
      <c r="H83" s="123"/>
      <c r="I83" s="123"/>
      <c r="J83" s="123"/>
      <c r="K83" s="123"/>
      <c r="L83" s="123"/>
      <c r="M83" s="123"/>
    </row>
  </sheetData>
  <sheetProtection selectLockedCells="1"/>
  <mergeCells count="5">
    <mergeCell ref="A1:M1"/>
    <mergeCell ref="A3:A5"/>
    <mergeCell ref="B3:B4"/>
    <mergeCell ref="G3:I3"/>
    <mergeCell ref="K3:M3"/>
  </mergeCells>
  <phoneticPr fontId="3" type="noConversion"/>
  <printOptions horizontalCentered="1"/>
  <pageMargins left="0.35433070866141736" right="0.23622047244094491" top="0.78740157480314965" bottom="0.59055118110236227" header="0.51181102362204722" footer="0.39370078740157483"/>
  <pageSetup paperSize="9" scale="75"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tabColor indexed="45"/>
  </sheetPr>
  <dimension ref="A1:H37"/>
  <sheetViews>
    <sheetView workbookViewId="0">
      <pane xSplit="1" ySplit="3" topLeftCell="B4" activePane="bottomRight" state="frozen"/>
      <selection pane="topRight" activeCell="B1" sqref="B1"/>
      <selection pane="bottomLeft" activeCell="A3" sqref="A3"/>
      <selection pane="bottomRight" activeCell="F15" sqref="F15"/>
    </sheetView>
  </sheetViews>
  <sheetFormatPr defaultRowHeight="11.25"/>
  <cols>
    <col min="1" max="1" width="20.7109375" style="2" customWidth="1"/>
    <col min="2" max="2" width="33.5703125" style="2" bestFit="1" customWidth="1"/>
    <col min="3" max="3" width="33.5703125" style="2" customWidth="1"/>
    <col min="4" max="4" width="23.42578125" style="2" bestFit="1" customWidth="1"/>
    <col min="5" max="5" width="33.140625" style="2" bestFit="1" customWidth="1"/>
    <col min="6" max="6" width="29" style="2" bestFit="1" customWidth="1"/>
    <col min="7" max="7" width="38" style="2" bestFit="1" customWidth="1"/>
    <col min="8" max="8" width="16" style="2" bestFit="1" customWidth="1"/>
    <col min="9" max="16384" width="9.140625" style="2"/>
  </cols>
  <sheetData>
    <row r="1" spans="1:8" ht="12.75">
      <c r="A1" s="1190" t="s">
        <v>1957</v>
      </c>
    </row>
    <row r="2" spans="1:8" s="130" customFormat="1" ht="22.5">
      <c r="A2" s="131" t="s">
        <v>1832</v>
      </c>
      <c r="B2" s="2846" t="str">
        <f>'A4-FinPerf RE'!A4</f>
        <v>Revenue By Source</v>
      </c>
      <c r="C2" s="2847"/>
      <c r="D2" s="2846" t="str">
        <f>'A4-FinPerf RE'!A24</f>
        <v>Expenditure By Type</v>
      </c>
      <c r="E2" s="2847"/>
      <c r="F2" s="131" t="s">
        <v>1781</v>
      </c>
      <c r="G2" s="131" t="s">
        <v>1559</v>
      </c>
      <c r="H2" s="131" t="s">
        <v>1560</v>
      </c>
    </row>
    <row r="3" spans="1:8" s="130" customFormat="1">
      <c r="A3" s="133"/>
      <c r="B3" s="131" t="s">
        <v>1355</v>
      </c>
      <c r="C3" s="135" t="s">
        <v>1561</v>
      </c>
      <c r="D3" s="135" t="str">
        <f>B3</f>
        <v>Top level</v>
      </c>
      <c r="E3" s="135" t="str">
        <f>C3</f>
        <v>Supporting table level</v>
      </c>
      <c r="F3" s="135"/>
      <c r="G3" s="135"/>
      <c r="H3" s="134"/>
    </row>
    <row r="4" spans="1:8">
      <c r="A4" s="2" t="str">
        <f>'A2-FinPerf SC'!A5</f>
        <v>Governance and administration</v>
      </c>
      <c r="B4" s="2" t="str">
        <f>'A4-FinPerf RE'!A5</f>
        <v>Property rates</v>
      </c>
      <c r="D4" s="2" t="str">
        <f>'A4-FinPerf RE'!A25</f>
        <v>Employee related costs</v>
      </c>
      <c r="E4" s="2" t="str">
        <f>'SA1'!A40</f>
        <v>Salaries and Wages</v>
      </c>
      <c r="F4" s="3" t="str">
        <f>'A6-FinPos'!A4</f>
        <v>ASSETS</v>
      </c>
      <c r="G4" s="3" t="str">
        <f>'A7-CFlow'!A4</f>
        <v>CASH FLOW FROM OPERATING ACTIVITIES</v>
      </c>
      <c r="H4" s="2" t="str">
        <f>'A9-Asset'!A11</f>
        <v>Infrastructure</v>
      </c>
    </row>
    <row r="5" spans="1:8">
      <c r="A5" s="2" t="str">
        <f>'A2-FinPerf SC'!A6</f>
        <v>Executive and council</v>
      </c>
      <c r="B5" s="2" t="str">
        <f>'A4-FinPerf RE'!A6</f>
        <v>Property rates - penalties &amp; collection charges</v>
      </c>
      <c r="E5" s="2" t="str">
        <f>'SA1'!A41</f>
        <v>Contributions to UIF, pensions, medical aid</v>
      </c>
      <c r="F5" s="132" t="str">
        <f>'A6-FinPos'!A5</f>
        <v>Current assets</v>
      </c>
      <c r="G5" s="132" t="str">
        <f>'A7-CFlow'!A5</f>
        <v>Receipts</v>
      </c>
      <c r="H5" s="2" t="str">
        <f>'A9-Asset'!A12</f>
        <v>Community</v>
      </c>
    </row>
    <row r="6" spans="1:8">
      <c r="A6" s="2" t="str">
        <f>'A2-FinPerf SC'!A7</f>
        <v>Budget and treasury office</v>
      </c>
      <c r="B6" s="2" t="str">
        <f>'A4-FinPerf RE'!A7</f>
        <v>Service charges - electricity revenue</v>
      </c>
      <c r="E6" s="2" t="str">
        <f>'SA1'!A42</f>
        <v>Travel, motor car, accom; &amp; other allowances</v>
      </c>
      <c r="F6" s="2" t="str">
        <f>'A6-FinPos'!A6</f>
        <v>Cash</v>
      </c>
      <c r="G6" s="2" t="str">
        <f>'A7-CFlow'!A6</f>
        <v>Ratepayers and other</v>
      </c>
      <c r="H6" s="2" t="str">
        <f>'A9-Asset'!A13</f>
        <v>Heritage assets</v>
      </c>
    </row>
    <row r="7" spans="1:8">
      <c r="A7" s="2" t="str">
        <f>'A2-FinPerf SC'!A8</f>
        <v>Corporate services</v>
      </c>
      <c r="B7" s="2" t="str">
        <f>'A4-FinPerf RE'!A8</f>
        <v>Service charges - water revenue</v>
      </c>
      <c r="E7" s="2" t="str">
        <f>'SA1'!A44</f>
        <v>Overtime</v>
      </c>
      <c r="F7" s="2" t="str">
        <f>'A6-FinPos'!A7</f>
        <v>Call investment deposits</v>
      </c>
      <c r="G7" s="2" t="str">
        <f>'A7-CFlow'!A7</f>
        <v>Government - operating</v>
      </c>
      <c r="H7" s="2" t="str">
        <f>'A9-Asset'!A14</f>
        <v>Investment properties</v>
      </c>
    </row>
    <row r="8" spans="1:8">
      <c r="A8" s="2" t="str">
        <f>'A2-FinPerf SC'!A9</f>
        <v>Community and public safety</v>
      </c>
      <c r="B8" s="2" t="str">
        <f>'A4-FinPerf RE'!A9</f>
        <v>Service charges - sanitation revenue</v>
      </c>
      <c r="E8" s="2" t="str">
        <f>'SA1'!A45</f>
        <v>Performance bonus</v>
      </c>
      <c r="F8" s="2" t="str">
        <f>'A6-FinPos'!A8</f>
        <v>Consumer debtors</v>
      </c>
      <c r="G8" s="2" t="str">
        <f>'A7-CFlow'!A8</f>
        <v>Government - capital</v>
      </c>
      <c r="H8" s="2" t="str">
        <f>'A9-Asset'!A15</f>
        <v>Other assets</v>
      </c>
    </row>
    <row r="9" spans="1:8">
      <c r="A9" s="2" t="str">
        <f>'A2-FinPerf SC'!A10</f>
        <v>Community and social services</v>
      </c>
      <c r="B9" s="2" t="str">
        <f>'A4-FinPerf RE'!A10</f>
        <v>Service charges - refuse revenue</v>
      </c>
      <c r="C9" s="2" t="str">
        <f>'SA1'!A27</f>
        <v>Total refuse removal revenue</v>
      </c>
      <c r="E9" s="2" t="str">
        <f>'SA1'!A46</f>
        <v>Long service awards</v>
      </c>
      <c r="F9" s="2" t="str">
        <f>'A6-FinPos'!A9</f>
        <v>Other debtors</v>
      </c>
      <c r="G9" s="2" t="str">
        <f>'A7-CFlow'!A9</f>
        <v>Interest</v>
      </c>
      <c r="H9" s="2" t="str">
        <f>'A9-Asset'!A18</f>
        <v>Intangibles</v>
      </c>
    </row>
    <row r="10" spans="1:8">
      <c r="A10" s="2" t="str">
        <f>'A2-FinPerf SC'!A11</f>
        <v>Sport and recreation</v>
      </c>
      <c r="C10" s="2" t="e">
        <f>'SA1'!#REF!</f>
        <v>#REF!</v>
      </c>
      <c r="E10" s="2" t="str">
        <f>'SA1'!A47</f>
        <v>Payments in lieu of leave</v>
      </c>
      <c r="F10" s="2" t="str">
        <f>'A6-FinPos'!A10</f>
        <v>Current portion of long-term receivables</v>
      </c>
      <c r="G10" s="2" t="str">
        <f>'A7-CFlow'!A10</f>
        <v>Dividends</v>
      </c>
      <c r="H10" s="2" t="str">
        <f>'A9-Asset'!A17</f>
        <v>Biological assets</v>
      </c>
    </row>
    <row r="11" spans="1:8">
      <c r="A11" s="2" t="str">
        <f>'A2-FinPerf SC'!A12</f>
        <v>Public safety</v>
      </c>
      <c r="B11" s="2" t="str">
        <f>'A4-FinPerf RE'!A11</f>
        <v>Service charges - other</v>
      </c>
      <c r="E11" s="2" t="str">
        <f>'SA1'!A48</f>
        <v>Post-retirement benefit obligations</v>
      </c>
      <c r="F11" s="2" t="str">
        <f>'A6-FinPos'!A11</f>
        <v>Inventory</v>
      </c>
      <c r="G11" s="132" t="str">
        <f>'A7-CFlow'!A11</f>
        <v>Payments</v>
      </c>
    </row>
    <row r="12" spans="1:8">
      <c r="A12" s="2" t="str">
        <f>'A2-FinPerf SC'!A13</f>
        <v>Housing</v>
      </c>
      <c r="B12" s="2" t="str">
        <f>'A4-FinPerf RE'!A12</f>
        <v>Rental of facilities and equipment</v>
      </c>
      <c r="E12" s="2" t="str">
        <f>'SA1'!A50</f>
        <v>Less: Employees costs capitalised to PPE</v>
      </c>
      <c r="F12" s="132" t="str">
        <f>'A6-FinPos'!A14</f>
        <v>Non current assets</v>
      </c>
      <c r="G12" s="2" t="str">
        <f>'A7-CFlow'!A12</f>
        <v>Suppliers and employees</v>
      </c>
    </row>
    <row r="13" spans="1:8">
      <c r="A13" s="2" t="str">
        <f>'A2-FinPerf SC'!A14</f>
        <v>Health</v>
      </c>
      <c r="B13" s="2" t="str">
        <f>'A4-FinPerf RE'!A13</f>
        <v>Interest earned - external investments</v>
      </c>
      <c r="D13" s="2" t="str">
        <f>'A4-FinPerf RE'!A26</f>
        <v>Remuneration of councillors</v>
      </c>
      <c r="F13" s="2" t="str">
        <f>'A6-FinPos'!A15</f>
        <v>Long-term receivables</v>
      </c>
      <c r="G13" s="2" t="str">
        <f>'A7-CFlow'!A13</f>
        <v>Finance charges</v>
      </c>
    </row>
    <row r="14" spans="1:8">
      <c r="A14" s="2" t="str">
        <f>'A2-FinPerf SC'!A20</f>
        <v>Electricity</v>
      </c>
      <c r="B14" s="2" t="str">
        <f>'A4-FinPerf RE'!A14</f>
        <v>Interest earned - outstanding debtors</v>
      </c>
      <c r="D14" s="2" t="str">
        <f>'A4-FinPerf RE'!A27</f>
        <v>Debt impairment</v>
      </c>
      <c r="F14" s="2" t="str">
        <f>'A6-FinPos'!A16</f>
        <v>Investments</v>
      </c>
      <c r="G14" s="2" t="str">
        <f>'A7-CFlow'!A14</f>
        <v>Transfers and Grants</v>
      </c>
    </row>
    <row r="15" spans="1:8">
      <c r="A15" s="2" t="str">
        <f>'A2-FinPerf SC'!A21</f>
        <v>Water</v>
      </c>
      <c r="B15" s="2" t="str">
        <f>'A4-FinPerf RE'!A15</f>
        <v>Dividends received</v>
      </c>
      <c r="D15" s="2" t="str">
        <f>'A4-FinPerf RE'!A15</f>
        <v>Dividends received</v>
      </c>
      <c r="F15" s="2" t="str">
        <f>'A6-FinPos'!A17</f>
        <v>Investment property</v>
      </c>
      <c r="G15" s="3" t="str">
        <f>'A7-CFlow'!A17</f>
        <v>CASH FLOWS FROM INVESTING ACTIVITIES</v>
      </c>
    </row>
    <row r="16" spans="1:8">
      <c r="A16" s="2" t="str">
        <f>'A2-FinPerf SC'!A22</f>
        <v>Waste water management</v>
      </c>
      <c r="B16" s="2" t="str">
        <f>'A4-FinPerf RE'!A16</f>
        <v>Fines</v>
      </c>
      <c r="D16" s="2" t="str">
        <f>'A4-FinPerf RE'!A28</f>
        <v>Depreciation &amp; asset impairment</v>
      </c>
      <c r="E16" s="2" t="str">
        <f>'SA1'!A63</f>
        <v>Depreciation of Property, Plant &amp; Equipment</v>
      </c>
      <c r="F16" s="2" t="str">
        <f>'A6-FinPos'!A18</f>
        <v>Investment in Associate</v>
      </c>
      <c r="G16" s="132" t="str">
        <f>'A7-CFlow'!A18</f>
        <v>Receipts</v>
      </c>
    </row>
    <row r="17" spans="1:7">
      <c r="A17" s="2" t="str">
        <f>'A2-FinPerf SC'!A23</f>
        <v>Waste management</v>
      </c>
      <c r="B17" s="2" t="str">
        <f>'A4-FinPerf RE'!A17</f>
        <v>Licences and permits</v>
      </c>
      <c r="E17" s="2" t="str">
        <f>'SA1'!A65</f>
        <v>Capital asset impairment</v>
      </c>
      <c r="F17" s="2" t="str">
        <f>'A6-FinPos'!A19</f>
        <v>Property, plant and equipment</v>
      </c>
      <c r="G17" s="2" t="str">
        <f>'A7-CFlow'!A19</f>
        <v>Proceeds on disposal of PPE</v>
      </c>
    </row>
    <row r="18" spans="1:7">
      <c r="A18" s="2" t="str">
        <f>'A2-FinPerf SC'!A24</f>
        <v>Other</v>
      </c>
      <c r="B18" s="2" t="str">
        <f>'A4-FinPerf RE'!A18</f>
        <v>Agency services</v>
      </c>
      <c r="D18" s="2" t="str">
        <f>'A4-FinPerf RE'!A29</f>
        <v>Finance charges</v>
      </c>
      <c r="F18" s="2" t="str">
        <f>'A6-FinPos'!A21</f>
        <v>Biological</v>
      </c>
    </row>
    <row r="19" spans="1:7">
      <c r="B19" s="2" t="str">
        <f>'A4-FinPerf RE'!A19</f>
        <v>Transfers recognised - operational</v>
      </c>
      <c r="D19" s="2" t="str">
        <f>'A4-FinPerf RE'!A30</f>
        <v>Bulk purchases</v>
      </c>
      <c r="E19" s="2" t="str">
        <f>'SA1'!A69</f>
        <v>Electricity</v>
      </c>
      <c r="F19" s="2" t="str">
        <f>'A6-FinPos'!A22</f>
        <v>Intangible</v>
      </c>
      <c r="G19" s="2" t="str">
        <f>'A7-CFlow'!A20</f>
        <v>Decrease (Increase) in non-current debtors</v>
      </c>
    </row>
    <row r="20" spans="1:7">
      <c r="B20" s="2" t="str">
        <f>'A4-FinPerf RE'!A20</f>
        <v>Other revenue</v>
      </c>
      <c r="C20" s="2" t="str">
        <f>'SA1'!A33</f>
        <v>Fuel levy</v>
      </c>
      <c r="E20" s="2" t="str">
        <f>'SA1'!A70</f>
        <v>Water</v>
      </c>
      <c r="F20" s="2" t="str">
        <f>'A6-FinPos'!A23</f>
        <v>Other non-current assets</v>
      </c>
      <c r="G20" s="2" t="str">
        <f>'A7-CFlow'!A21</f>
        <v>Decrease (increase) other non-current receivables</v>
      </c>
    </row>
    <row r="21" spans="1:7">
      <c r="C21" s="2" t="e">
        <f>'SA1'!#REF!</f>
        <v>#REF!</v>
      </c>
      <c r="D21" s="2" t="str">
        <f>'A4-FinPerf RE'!A31</f>
        <v>Other materials</v>
      </c>
      <c r="F21" s="3" t="str">
        <f>'A6-FinPos'!A27</f>
        <v>LIABILITIES</v>
      </c>
    </row>
    <row r="22" spans="1:7">
      <c r="C22" s="2" t="str">
        <f>'SA1'!A35</f>
        <v>Other revenue</v>
      </c>
      <c r="D22" s="2" t="str">
        <f>'A4-FinPerf RE'!A32</f>
        <v>Contracted services</v>
      </c>
      <c r="E22" s="2" t="str">
        <f>'SA1'!A80</f>
        <v>Electricity</v>
      </c>
      <c r="F22" s="132" t="str">
        <f>'A6-FinPos'!A28</f>
        <v>Current liabilities</v>
      </c>
      <c r="G22" s="2" t="str">
        <f>'A7-CFlow'!A22</f>
        <v>Decrease (increase) in non-current investments</v>
      </c>
    </row>
    <row r="23" spans="1:7">
      <c r="B23" s="2" t="str">
        <f>'A4-FinPerf RE'!A21</f>
        <v>Gains on disposal of PPE</v>
      </c>
      <c r="E23" s="2" t="str">
        <f>'SA1'!A81</f>
        <v>Water</v>
      </c>
      <c r="F23" s="2" t="str">
        <f>'A6-FinPos'!A29</f>
        <v>Bank overdraft</v>
      </c>
      <c r="G23" s="132" t="str">
        <f>'A7-CFlow'!A23</f>
        <v>Payments</v>
      </c>
    </row>
    <row r="24" spans="1:7">
      <c r="B24" s="2" t="str">
        <f>'A4-FinPerf RE'!A39</f>
        <v>Transfers recognised - capital</v>
      </c>
      <c r="E24" s="2" t="str">
        <f>'SA1'!A82</f>
        <v>Sanitation</v>
      </c>
      <c r="F24" s="2" t="str">
        <f>'A6-FinPos'!A30</f>
        <v>Borrowing</v>
      </c>
      <c r="G24" s="1" t="str">
        <f>'A7-CFlow'!A24</f>
        <v>Capital assets</v>
      </c>
    </row>
    <row r="25" spans="1:7">
      <c r="B25" s="2" t="str">
        <f>'A4-FinPerf RE'!A40</f>
        <v>Contributions recognised - capital</v>
      </c>
      <c r="E25" s="2" t="str">
        <f>'SA1'!A83</f>
        <v>Other</v>
      </c>
      <c r="F25" s="2" t="str">
        <f>'A6-FinPos'!A31</f>
        <v>Consumer deposits</v>
      </c>
      <c r="G25" s="3" t="str">
        <f>'A7-CFlow'!A27</f>
        <v>CASH FLOWS FROM FINANCING ACTIVITIES</v>
      </c>
    </row>
    <row r="26" spans="1:7">
      <c r="B26" s="2" t="str">
        <f>'A4-FinPerf RE'!A41</f>
        <v>Contributed assets</v>
      </c>
      <c r="D26" s="2" t="str">
        <f>'A4-FinPerf RE'!A33</f>
        <v>Transfers and grants</v>
      </c>
      <c r="F26" s="2" t="str">
        <f>'A6-FinPos'!A32</f>
        <v>Trade and other payables</v>
      </c>
      <c r="G26" s="132" t="str">
        <f>'A7-CFlow'!A28</f>
        <v>Receipts</v>
      </c>
    </row>
    <row r="27" spans="1:7">
      <c r="B27" s="2" t="str">
        <f>'A4-FinPerf RE'!A43</f>
        <v>Taxation</v>
      </c>
      <c r="D27" s="2" t="str">
        <f>'A4-FinPerf RE'!A34</f>
        <v>Other expenditure</v>
      </c>
      <c r="E27" s="2" t="str">
        <f>'SA1'!A87</f>
        <v>Collection costs</v>
      </c>
      <c r="F27" s="2" t="e">
        <f>'A6-FinPos'!#REF!</f>
        <v>#REF!</v>
      </c>
      <c r="G27" s="2" t="str">
        <f>'A7-CFlow'!A29</f>
        <v>Short term loans</v>
      </c>
    </row>
    <row r="28" spans="1:7">
      <c r="B28" s="2" t="str">
        <f>'A4-FinPerf RE'!A45</f>
        <v>Attributable to minorities</v>
      </c>
      <c r="E28" s="2" t="str">
        <f>'SA1'!A88</f>
        <v>Contributions to 'other' provisions</v>
      </c>
      <c r="F28" s="2" t="str">
        <f>'A6-FinPos'!A33</f>
        <v>Provisions</v>
      </c>
      <c r="G28" s="2" t="str">
        <f>'A7-CFlow'!A30</f>
        <v>Borrowing long term/refinancing</v>
      </c>
    </row>
    <row r="29" spans="1:7">
      <c r="E29" s="2" t="e">
        <f>'SA1'!#REF!</f>
        <v>#REF!</v>
      </c>
      <c r="F29" s="132" t="str">
        <f>'A6-FinPos'!A36</f>
        <v>Non current liabilities</v>
      </c>
      <c r="G29" s="2" t="str">
        <f>'A7-CFlow'!A31</f>
        <v>Increase (decrease) in consumer deposits</v>
      </c>
    </row>
    <row r="30" spans="1:7">
      <c r="E30" s="2" t="e">
        <f>'SA1'!#REF!</f>
        <v>#REF!</v>
      </c>
      <c r="F30" s="2" t="str">
        <f>'A6-FinPos'!A37</f>
        <v>Borrowing</v>
      </c>
      <c r="G30" s="132" t="str">
        <f>'A7-CFlow'!A32</f>
        <v>Payments</v>
      </c>
    </row>
    <row r="31" spans="1:7">
      <c r="E31" s="2" t="str">
        <f>'SA1'!A89</f>
        <v>General expenses</v>
      </c>
      <c r="F31" s="2" t="str">
        <f>'A6-FinPos'!A38</f>
        <v>Provisions</v>
      </c>
      <c r="G31" s="2" t="str">
        <f>'A7-CFlow'!A33</f>
        <v>Repayment of borrowing</v>
      </c>
    </row>
    <row r="32" spans="1:7">
      <c r="D32" s="2" t="str">
        <f>'A4-FinPerf RE'!A35</f>
        <v>Loss on disposal of PPE</v>
      </c>
      <c r="F32" s="3" t="str">
        <f>'A6-FinPos'!A39</f>
        <v>Total non current liabilities</v>
      </c>
      <c r="G32" s="132" t="str">
        <f>'A7-CFlow'!A37</f>
        <v>Cash/cash equivalents at the year begin:</v>
      </c>
    </row>
    <row r="33" spans="6:7">
      <c r="F33" s="3" t="str">
        <f>'A6-FinPos'!A42</f>
        <v>NET ASSETS</v>
      </c>
      <c r="G33" s="132" t="str">
        <f>'A7-CFlow'!A38</f>
        <v>Cash/cash equivalents at the year end:</v>
      </c>
    </row>
    <row r="34" spans="6:7">
      <c r="F34" s="3" t="str">
        <f>'A6-FinPos'!A44</f>
        <v>COMMUNITY WEALTH/EQUITY</v>
      </c>
    </row>
    <row r="35" spans="6:7">
      <c r="F35" s="2" t="str">
        <f>'A6-FinPos'!A45</f>
        <v>Accumulated Surplus/(Deficit)</v>
      </c>
    </row>
    <row r="36" spans="6:7">
      <c r="F36" s="2" t="str">
        <f>'A6-FinPos'!A46</f>
        <v>Reserves</v>
      </c>
    </row>
    <row r="37" spans="6:7">
      <c r="F37" s="2" t="str">
        <f>'A6-FinPos'!A47</f>
        <v>Minorities' interests</v>
      </c>
    </row>
  </sheetData>
  <sheetProtection selectLockedCells="1"/>
  <mergeCells count="2">
    <mergeCell ref="B2:C2"/>
    <mergeCell ref="D2:E2"/>
  </mergeCells>
  <phoneticPr fontId="3" type="noConversion"/>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indexed="44"/>
  </sheetPr>
  <dimension ref="A1:Y1528"/>
  <sheetViews>
    <sheetView showGridLines="0" view="pageBreakPreview" topLeftCell="A19" zoomScale="60" workbookViewId="0">
      <selection activeCell="B22" sqref="B22"/>
    </sheetView>
  </sheetViews>
  <sheetFormatPr defaultRowHeight="12.75"/>
  <cols>
    <col min="1" max="1" width="20.7109375" style="1368" customWidth="1"/>
    <col min="2" max="2" width="40.7109375" style="1368" customWidth="1"/>
    <col min="3" max="3" width="20.7109375" style="1368" customWidth="1"/>
    <col min="4" max="4" width="40.7109375" style="1368" customWidth="1"/>
    <col min="5" max="5" width="8.85546875" style="1368" customWidth="1"/>
    <col min="6" max="10" width="8.7109375" style="1370" customWidth="1"/>
    <col min="11" max="15" width="12.85546875" style="1370" customWidth="1"/>
    <col min="16" max="17" width="30.7109375" style="1370" customWidth="1"/>
    <col min="18" max="16384" width="9.140625" style="1371"/>
  </cols>
  <sheetData>
    <row r="1" spans="1:17" ht="13.5" customHeight="1">
      <c r="A1" s="1366" t="str">
        <f>muni&amp;" - "&amp;" Contact Information"</f>
        <v>NC071 Ubuntu -  Contact Information</v>
      </c>
      <c r="B1" s="1367"/>
    </row>
    <row r="2" spans="1:17" ht="13.5" customHeight="1">
      <c r="A2" s="1372"/>
      <c r="B2" s="1373"/>
      <c r="C2" s="1372"/>
      <c r="D2" s="1372"/>
    </row>
    <row r="3" spans="1:17" ht="13.5" customHeight="1" thickBot="1">
      <c r="A3" s="1374" t="s">
        <v>1095</v>
      </c>
      <c r="B3" s="1375"/>
      <c r="C3" s="1372"/>
      <c r="D3" s="1372"/>
    </row>
    <row r="4" spans="1:17" ht="13.5" customHeight="1" thickTop="1">
      <c r="A4" s="1376" t="s">
        <v>1096</v>
      </c>
      <c r="B4" s="1791" t="str">
        <f>muni</f>
        <v>NC071 Ubuntu</v>
      </c>
      <c r="C4" s="1490" t="s">
        <v>777</v>
      </c>
      <c r="D4" s="1377"/>
      <c r="F4" s="1378"/>
      <c r="G4" s="1378"/>
      <c r="H4" s="1378"/>
      <c r="I4" s="1379"/>
      <c r="J4" s="1378"/>
      <c r="K4" s="1380"/>
      <c r="L4" s="1380"/>
      <c r="M4" s="1380"/>
      <c r="N4" s="1380"/>
      <c r="O4" s="1380"/>
      <c r="P4" s="1489"/>
      <c r="Q4" s="1382"/>
    </row>
    <row r="5" spans="1:17" ht="13.5" customHeight="1">
      <c r="A5" s="1383"/>
      <c r="B5" s="1384"/>
      <c r="C5" s="1377"/>
      <c r="D5" s="1377"/>
      <c r="F5" s="1378"/>
      <c r="G5" s="1378"/>
      <c r="H5" s="1378"/>
      <c r="I5" s="1379"/>
      <c r="J5" s="1378"/>
      <c r="K5" s="1380"/>
      <c r="L5" s="1380"/>
      <c r="M5" s="1380"/>
      <c r="N5" s="1380"/>
      <c r="O5" s="1380"/>
      <c r="P5" s="1489"/>
      <c r="Q5" s="1387"/>
    </row>
    <row r="6" spans="1:17" s="1388" customFormat="1" ht="13.5" customHeight="1">
      <c r="A6" s="1391" t="s">
        <v>116</v>
      </c>
      <c r="B6" s="1792">
        <v>2</v>
      </c>
      <c r="C6" s="1392" t="s">
        <v>117</v>
      </c>
      <c r="D6" s="1385"/>
      <c r="E6" s="1386"/>
      <c r="F6" s="1378"/>
      <c r="G6" s="1378"/>
      <c r="H6" s="1379"/>
      <c r="I6" s="1379"/>
      <c r="J6" s="1378"/>
      <c r="K6" s="1380"/>
      <c r="L6" s="1380"/>
      <c r="M6" s="1380"/>
      <c r="N6" s="1380"/>
      <c r="O6" s="1380"/>
      <c r="P6" s="1489"/>
      <c r="Q6" s="1382"/>
    </row>
    <row r="7" spans="1:17" s="1388" customFormat="1" ht="13.5" customHeight="1">
      <c r="A7" s="1389"/>
      <c r="B7" s="1390"/>
      <c r="C7" s="1385"/>
      <c r="D7" s="1385"/>
      <c r="E7" s="1386"/>
      <c r="F7" s="1378"/>
      <c r="G7" s="1378"/>
      <c r="H7" s="1379"/>
      <c r="I7" s="1379"/>
      <c r="J7" s="1378"/>
      <c r="K7" s="1380"/>
      <c r="L7" s="1380"/>
      <c r="M7" s="1380"/>
      <c r="N7" s="1380"/>
      <c r="O7" s="1380"/>
      <c r="P7" s="1489"/>
      <c r="Q7" s="1382"/>
    </row>
    <row r="8" spans="1:17" s="1388" customFormat="1" ht="13.5" customHeight="1">
      <c r="A8" s="1393" t="s">
        <v>118</v>
      </c>
      <c r="B8" s="1478" t="str">
        <f>IF(B4&gt;" ",VLOOKUP(B4,'Lookup and lists'!B29:C312,2)," ")</f>
        <v>NC NORTHERN CAPE</v>
      </c>
      <c r="C8" s="2761"/>
      <c r="D8" s="2761"/>
      <c r="E8" s="1386"/>
      <c r="F8" s="1378"/>
      <c r="G8" s="1378"/>
      <c r="H8" s="1379"/>
      <c r="I8" s="1379"/>
      <c r="J8" s="1378"/>
      <c r="K8" s="1380"/>
      <c r="L8" s="1380"/>
      <c r="M8" s="1380"/>
      <c r="N8" s="1380"/>
      <c r="O8" s="1380"/>
      <c r="P8" s="1489"/>
      <c r="Q8" s="1382"/>
    </row>
    <row r="9" spans="1:17" s="1388" customFormat="1" ht="13.5" customHeight="1">
      <c r="A9" s="1394"/>
      <c r="B9" s="1395"/>
      <c r="C9" s="1365"/>
      <c r="D9" s="1365"/>
      <c r="E9" s="1386"/>
      <c r="F9" s="1378"/>
      <c r="G9" s="1378"/>
      <c r="H9" s="1379"/>
      <c r="I9" s="1379"/>
      <c r="J9" s="1378"/>
      <c r="K9" s="1380"/>
      <c r="L9" s="1380"/>
      <c r="M9" s="1380"/>
      <c r="N9" s="1380"/>
      <c r="O9" s="1380"/>
      <c r="P9" s="1489"/>
      <c r="Q9" s="1382"/>
    </row>
    <row r="10" spans="1:17" ht="13.5" customHeight="1">
      <c r="A10" s="1396" t="s">
        <v>119</v>
      </c>
      <c r="B10" s="1793" t="s">
        <v>3044</v>
      </c>
      <c r="C10" s="1397"/>
      <c r="D10" s="1398"/>
      <c r="F10" s="1379"/>
      <c r="G10" s="1378"/>
      <c r="H10" s="1379"/>
      <c r="I10" s="1379"/>
      <c r="J10" s="1378"/>
      <c r="K10" s="1380"/>
      <c r="L10" s="1380"/>
      <c r="M10" s="1380"/>
      <c r="N10" s="1380"/>
      <c r="O10" s="1380"/>
      <c r="P10" s="1489"/>
      <c r="Q10" s="1382"/>
    </row>
    <row r="11" spans="1:17" ht="13.5" customHeight="1">
      <c r="A11" s="1399"/>
      <c r="B11" s="1400"/>
      <c r="C11" s="2766"/>
      <c r="D11" s="2767"/>
      <c r="F11" s="1379"/>
      <c r="G11" s="1378"/>
      <c r="H11" s="1379"/>
      <c r="I11" s="1379"/>
      <c r="J11" s="1378"/>
      <c r="K11" s="1380"/>
      <c r="L11" s="1380"/>
      <c r="M11" s="1380"/>
      <c r="N11" s="1380"/>
      <c r="O11" s="1380"/>
      <c r="P11" s="1489"/>
      <c r="Q11" s="1387"/>
    </row>
    <row r="12" spans="1:17" ht="13.5" customHeight="1">
      <c r="A12" s="1396" t="s">
        <v>1863</v>
      </c>
      <c r="B12" s="1794" t="s">
        <v>3065</v>
      </c>
      <c r="C12" s="1402"/>
      <c r="D12" s="1402"/>
      <c r="F12" s="1379"/>
      <c r="G12" s="1379"/>
      <c r="H12" s="1379"/>
      <c r="I12" s="1379"/>
      <c r="J12" s="1378"/>
      <c r="K12" s="1380"/>
      <c r="L12" s="1380"/>
      <c r="M12" s="1380"/>
      <c r="N12" s="1380"/>
      <c r="O12" s="1380"/>
      <c r="P12" s="1489"/>
      <c r="Q12" s="1382"/>
    </row>
    <row r="13" spans="1:17" ht="13.5" customHeight="1">
      <c r="A13" s="1487"/>
      <c r="B13" s="1488"/>
      <c r="C13" s="2768"/>
      <c r="D13" s="2768"/>
      <c r="F13" s="1379"/>
      <c r="G13" s="1379"/>
      <c r="H13" s="1379"/>
      <c r="I13" s="1401"/>
      <c r="J13" s="1379"/>
      <c r="K13" s="1380"/>
      <c r="L13" s="1380"/>
      <c r="M13" s="1380"/>
      <c r="N13" s="1380"/>
      <c r="O13" s="1380"/>
      <c r="P13" s="1489"/>
    </row>
    <row r="14" spans="1:17" ht="13.5" customHeight="1" thickBot="1">
      <c r="A14" s="2762" t="s">
        <v>1867</v>
      </c>
      <c r="B14" s="2763"/>
      <c r="C14" s="1386"/>
      <c r="D14" s="1386"/>
      <c r="F14" s="1379"/>
      <c r="G14" s="1379"/>
      <c r="H14" s="1401"/>
      <c r="I14" s="1403"/>
      <c r="J14" s="1379"/>
      <c r="K14" s="1380"/>
      <c r="L14" s="1380"/>
      <c r="M14" s="1380"/>
      <c r="N14" s="1380"/>
      <c r="O14" s="1380"/>
      <c r="P14" s="1489"/>
    </row>
    <row r="15" spans="1:17" ht="13.5" customHeight="1" thickTop="1">
      <c r="A15" s="1404" t="s">
        <v>1869</v>
      </c>
      <c r="B15" s="1405"/>
      <c r="F15" s="1401"/>
      <c r="G15" s="1379"/>
      <c r="H15" s="1403"/>
      <c r="I15" s="1403"/>
      <c r="J15" s="1379"/>
      <c r="K15" s="1380"/>
      <c r="L15" s="1380"/>
      <c r="M15" s="1380"/>
      <c r="N15" s="1380"/>
      <c r="O15" s="1380"/>
      <c r="P15" s="1489"/>
    </row>
    <row r="16" spans="1:17" s="1388" customFormat="1" ht="13.5" customHeight="1">
      <c r="A16" s="1406" t="s">
        <v>1871</v>
      </c>
      <c r="B16" s="1795" t="s">
        <v>3088</v>
      </c>
      <c r="C16" s="1368"/>
      <c r="D16" s="1368"/>
      <c r="E16" s="1386"/>
      <c r="F16" s="1403"/>
      <c r="G16" s="1401"/>
      <c r="H16" s="1403"/>
      <c r="I16" s="1403"/>
      <c r="J16" s="1379"/>
      <c r="K16" s="1380"/>
      <c r="L16" s="1380"/>
      <c r="M16" s="1380"/>
      <c r="N16" s="1380"/>
      <c r="O16" s="1380"/>
      <c r="P16" s="1489"/>
      <c r="Q16" s="1370"/>
    </row>
    <row r="17" spans="1:17" ht="13.5" customHeight="1">
      <c r="A17" s="1406" t="s">
        <v>1873</v>
      </c>
      <c r="B17" s="1795" t="s">
        <v>3045</v>
      </c>
      <c r="F17" s="1403"/>
      <c r="G17" s="1403"/>
      <c r="H17" s="1403"/>
      <c r="I17" s="1403"/>
      <c r="J17" s="1401"/>
      <c r="K17" s="1380"/>
      <c r="L17" s="1380"/>
      <c r="M17" s="1380"/>
      <c r="N17" s="1380"/>
      <c r="O17" s="1380"/>
      <c r="P17" s="1489"/>
    </row>
    <row r="18" spans="1:17" ht="13.5" customHeight="1">
      <c r="A18" s="1407" t="s">
        <v>1874</v>
      </c>
      <c r="B18" s="1796">
        <v>7070</v>
      </c>
      <c r="F18" s="1403"/>
      <c r="G18" s="1403"/>
      <c r="H18" s="1403"/>
      <c r="I18" s="1403"/>
      <c r="J18" s="1403"/>
      <c r="K18" s="1380"/>
      <c r="L18" s="1380"/>
      <c r="M18" s="1380"/>
      <c r="N18" s="1380"/>
      <c r="O18" s="1380"/>
      <c r="P18" s="1489"/>
    </row>
    <row r="19" spans="1:17" ht="13.5" customHeight="1">
      <c r="A19" s="1408"/>
      <c r="B19" s="1409"/>
      <c r="F19" s="1403"/>
      <c r="G19" s="1403"/>
      <c r="H19" s="1403"/>
      <c r="I19" s="1403"/>
      <c r="J19" s="1403"/>
      <c r="K19" s="1380"/>
      <c r="L19" s="1380"/>
      <c r="M19" s="1380"/>
      <c r="N19" s="1380"/>
      <c r="O19" s="1380"/>
      <c r="P19" s="1489"/>
    </row>
    <row r="20" spans="1:17" ht="13.5" customHeight="1">
      <c r="A20" s="1410" t="s">
        <v>1207</v>
      </c>
      <c r="B20" s="1411"/>
      <c r="F20" s="1403"/>
      <c r="G20" s="1403"/>
      <c r="H20" s="1403"/>
      <c r="I20" s="1403"/>
      <c r="J20" s="1403"/>
      <c r="K20" s="1380"/>
      <c r="L20" s="1380"/>
      <c r="M20" s="1380"/>
      <c r="N20" s="1380"/>
      <c r="O20" s="1380"/>
      <c r="P20" s="1489"/>
    </row>
    <row r="21" spans="1:17" ht="13.5" customHeight="1">
      <c r="A21" s="1406" t="s">
        <v>1209</v>
      </c>
      <c r="B21" s="1795"/>
      <c r="F21" s="1403"/>
      <c r="G21" s="1403"/>
      <c r="H21" s="1403"/>
      <c r="I21" s="1403"/>
      <c r="J21" s="1403"/>
      <c r="K21" s="1380"/>
      <c r="L21" s="1380"/>
      <c r="M21" s="1380"/>
      <c r="N21" s="1380"/>
      <c r="O21" s="1380"/>
      <c r="P21" s="1489"/>
    </row>
    <row r="22" spans="1:17" ht="13.5" customHeight="1">
      <c r="A22" s="1406" t="s">
        <v>1211</v>
      </c>
      <c r="B22" s="1795" t="s">
        <v>3066</v>
      </c>
      <c r="F22" s="1403"/>
      <c r="G22" s="1403"/>
      <c r="H22" s="1403"/>
      <c r="I22" s="1403"/>
      <c r="J22" s="1403"/>
      <c r="K22" s="1380"/>
      <c r="L22" s="1380"/>
      <c r="M22" s="1380"/>
      <c r="N22" s="1380"/>
      <c r="O22" s="1380"/>
      <c r="P22" s="1489"/>
    </row>
    <row r="23" spans="1:17" ht="13.5" customHeight="1">
      <c r="A23" s="1406" t="s">
        <v>1873</v>
      </c>
      <c r="B23" s="1795" t="s">
        <v>3045</v>
      </c>
      <c r="F23" s="1403"/>
      <c r="G23" s="1403"/>
      <c r="H23" s="1403"/>
      <c r="I23" s="1403"/>
      <c r="J23" s="1403"/>
      <c r="K23" s="1380"/>
      <c r="L23" s="1380"/>
      <c r="M23" s="1380"/>
      <c r="N23" s="1380"/>
      <c r="O23" s="1380"/>
      <c r="P23" s="1489"/>
    </row>
    <row r="24" spans="1:17" ht="13.5" customHeight="1">
      <c r="A24" s="1407" t="s">
        <v>1874</v>
      </c>
      <c r="B24" s="1796">
        <v>7070</v>
      </c>
      <c r="F24" s="1403"/>
      <c r="G24" s="1403"/>
      <c r="H24" s="1403"/>
      <c r="I24" s="1403"/>
      <c r="J24" s="1403"/>
      <c r="K24" s="1380"/>
      <c r="L24" s="1380"/>
      <c r="M24" s="1380"/>
      <c r="N24" s="1380"/>
      <c r="O24" s="1380"/>
      <c r="P24" s="1489"/>
    </row>
    <row r="25" spans="1:17" ht="13.5" customHeight="1">
      <c r="A25" s="1408"/>
      <c r="B25" s="1409"/>
      <c r="F25" s="1403"/>
      <c r="G25" s="1403"/>
      <c r="H25" s="1403"/>
      <c r="I25" s="1403"/>
      <c r="J25" s="1403"/>
      <c r="K25" s="1380"/>
      <c r="L25" s="1380"/>
      <c r="M25" s="1380"/>
      <c r="N25" s="1380"/>
      <c r="O25" s="1380"/>
      <c r="P25" s="1489"/>
    </row>
    <row r="26" spans="1:17" ht="13.5" customHeight="1">
      <c r="A26" s="1410" t="s">
        <v>1215</v>
      </c>
      <c r="B26" s="1412"/>
      <c r="F26" s="1403"/>
      <c r="G26" s="1403"/>
      <c r="H26" s="1403"/>
      <c r="I26" s="1403"/>
      <c r="J26" s="1403"/>
      <c r="K26" s="1380"/>
      <c r="L26" s="1380"/>
      <c r="M26" s="1380"/>
      <c r="N26" s="1380"/>
      <c r="O26" s="1380"/>
      <c r="P26" s="1489"/>
    </row>
    <row r="27" spans="1:17" ht="13.5" customHeight="1">
      <c r="A27" s="1406" t="s">
        <v>1217</v>
      </c>
      <c r="B27" s="1797" t="s">
        <v>3067</v>
      </c>
      <c r="F27" s="1403"/>
      <c r="G27" s="1403"/>
      <c r="H27" s="1403"/>
      <c r="I27" s="1403"/>
      <c r="J27" s="1403"/>
      <c r="K27" s="1380"/>
      <c r="L27" s="1380"/>
      <c r="M27" s="1380"/>
      <c r="N27" s="1380"/>
      <c r="O27" s="1380"/>
      <c r="P27" s="1489"/>
    </row>
    <row r="28" spans="1:17" ht="13.5" customHeight="1">
      <c r="A28" s="1407" t="s">
        <v>1219</v>
      </c>
      <c r="B28" s="1798" t="s">
        <v>3068</v>
      </c>
      <c r="I28" s="1413"/>
      <c r="J28" s="1403"/>
      <c r="K28" s="1403"/>
      <c r="L28" s="1403"/>
      <c r="M28" s="1403"/>
      <c r="N28" s="1403"/>
      <c r="O28" s="1403"/>
      <c r="P28" s="1489"/>
    </row>
    <row r="29" spans="1:17" ht="13.5" customHeight="1">
      <c r="A29" s="1408"/>
      <c r="B29" s="1414"/>
      <c r="I29" s="1413"/>
      <c r="J29" s="1413"/>
      <c r="K29" s="1413"/>
      <c r="L29" s="1413"/>
      <c r="M29" s="1413"/>
      <c r="N29" s="1413"/>
      <c r="O29" s="1413"/>
      <c r="P29" s="1489"/>
    </row>
    <row r="30" spans="1:17" ht="13.5" customHeight="1" thickBot="1">
      <c r="A30" s="2764" t="s">
        <v>1221</v>
      </c>
      <c r="B30" s="2765"/>
      <c r="C30" s="2748"/>
      <c r="D30" s="2749"/>
      <c r="I30" s="1413"/>
      <c r="J30" s="1413"/>
      <c r="K30" s="1413"/>
      <c r="L30" s="1413"/>
      <c r="M30" s="1413"/>
      <c r="N30" s="1413"/>
      <c r="O30" s="1413"/>
      <c r="P30" s="1489"/>
    </row>
    <row r="31" spans="1:17" ht="13.5" customHeight="1" thickTop="1">
      <c r="A31" s="1369" t="s">
        <v>1222</v>
      </c>
      <c r="B31" s="1411"/>
      <c r="C31" s="2757" t="s">
        <v>1223</v>
      </c>
      <c r="D31" s="2758"/>
      <c r="I31" s="1413"/>
      <c r="J31" s="1413"/>
      <c r="K31" s="1413"/>
      <c r="L31" s="1413"/>
      <c r="M31" s="1413"/>
      <c r="N31" s="1413"/>
      <c r="O31" s="1413"/>
      <c r="P31" s="1489"/>
      <c r="Q31" s="1381"/>
    </row>
    <row r="32" spans="1:17" ht="13.5" customHeight="1">
      <c r="A32" s="1406" t="s">
        <v>1225</v>
      </c>
      <c r="B32" s="1799"/>
      <c r="C32" s="1406" t="s">
        <v>1225</v>
      </c>
      <c r="D32" s="1799"/>
      <c r="I32" s="1413"/>
      <c r="J32" s="1413"/>
      <c r="K32" s="1413"/>
      <c r="L32" s="1413"/>
      <c r="M32" s="1413"/>
      <c r="N32" s="1413"/>
      <c r="O32" s="1413"/>
      <c r="P32" s="1489"/>
      <c r="Q32" s="1413"/>
    </row>
    <row r="33" spans="1:17" ht="13.5" customHeight="1">
      <c r="A33" s="1406" t="s">
        <v>1217</v>
      </c>
      <c r="B33" s="1800"/>
      <c r="C33" s="1406" t="s">
        <v>1217</v>
      </c>
      <c r="D33" s="1800"/>
      <c r="F33" s="1378"/>
      <c r="G33" s="1380"/>
      <c r="I33" s="1413"/>
      <c r="J33" s="1413"/>
      <c r="K33" s="1413"/>
      <c r="L33" s="1413"/>
      <c r="M33" s="1413"/>
      <c r="N33" s="1413"/>
      <c r="O33" s="1413"/>
      <c r="P33" s="1489"/>
      <c r="Q33" s="1413"/>
    </row>
    <row r="34" spans="1:17" ht="13.5" customHeight="1">
      <c r="A34" s="1406" t="s">
        <v>1229</v>
      </c>
      <c r="B34" s="1799"/>
      <c r="C34" s="1406" t="s">
        <v>1229</v>
      </c>
      <c r="D34" s="1799"/>
      <c r="F34" s="1378"/>
      <c r="G34" s="1380"/>
      <c r="I34" s="1413"/>
      <c r="J34" s="1413"/>
      <c r="K34" s="1413"/>
      <c r="L34" s="1413"/>
      <c r="M34" s="1413"/>
      <c r="N34" s="1413"/>
      <c r="O34" s="1413"/>
      <c r="P34" s="1489"/>
    </row>
    <row r="35" spans="1:17" ht="13.5" customHeight="1">
      <c r="A35" s="1406" t="s">
        <v>1219</v>
      </c>
      <c r="B35" s="1800"/>
      <c r="C35" s="1406" t="s">
        <v>1219</v>
      </c>
      <c r="D35" s="1800"/>
      <c r="F35" s="1379"/>
      <c r="G35" s="1380"/>
      <c r="I35" s="1413"/>
      <c r="J35" s="1413"/>
      <c r="K35" s="1413"/>
      <c r="L35" s="1413"/>
      <c r="M35" s="1413"/>
      <c r="N35" s="1413"/>
      <c r="O35" s="1413"/>
      <c r="P35" s="1489"/>
    </row>
    <row r="36" spans="1:17" ht="13.5" customHeight="1">
      <c r="A36" s="1406" t="s">
        <v>1232</v>
      </c>
      <c r="B36" s="1801"/>
      <c r="C36" s="1406" t="s">
        <v>1232</v>
      </c>
      <c r="D36" s="1801"/>
      <c r="F36" s="1379"/>
      <c r="G36" s="1380"/>
      <c r="I36" s="1413"/>
      <c r="J36" s="1413"/>
      <c r="K36" s="1413"/>
      <c r="L36" s="1413"/>
      <c r="M36" s="1413"/>
      <c r="N36" s="1413"/>
      <c r="O36" s="1413"/>
      <c r="P36" s="1489"/>
    </row>
    <row r="37" spans="1:17" ht="13.5" customHeight="1">
      <c r="A37" s="1406"/>
      <c r="B37" s="1799"/>
      <c r="C37" s="1406"/>
      <c r="D37" s="1799"/>
      <c r="F37" s="1379"/>
      <c r="G37" s="1380"/>
      <c r="I37" s="1413"/>
      <c r="J37" s="1413"/>
      <c r="K37" s="1413"/>
      <c r="L37" s="1413"/>
      <c r="M37" s="1413"/>
      <c r="N37" s="1413"/>
      <c r="O37" s="1413"/>
      <c r="P37" s="1489"/>
    </row>
    <row r="38" spans="1:17" ht="13.5" customHeight="1">
      <c r="A38" s="2750" t="s">
        <v>1235</v>
      </c>
      <c r="B38" s="2747"/>
      <c r="C38" s="2750" t="s">
        <v>1236</v>
      </c>
      <c r="D38" s="2747"/>
      <c r="F38" s="1379"/>
      <c r="G38" s="1380"/>
      <c r="I38" s="1413"/>
      <c r="J38" s="1413"/>
      <c r="K38" s="1413"/>
      <c r="L38" s="1413"/>
      <c r="M38" s="1413"/>
      <c r="N38" s="1413"/>
      <c r="O38" s="1413"/>
      <c r="P38" s="1489"/>
    </row>
    <row r="39" spans="1:17" ht="13.5" customHeight="1">
      <c r="A39" s="1406" t="s">
        <v>1225</v>
      </c>
      <c r="B39" s="1799" t="s">
        <v>3069</v>
      </c>
      <c r="C39" s="1406" t="s">
        <v>1225</v>
      </c>
      <c r="D39" s="1799" t="s">
        <v>3072</v>
      </c>
      <c r="F39" s="1379"/>
      <c r="G39" s="1380"/>
      <c r="I39" s="1413"/>
      <c r="J39" s="1413"/>
      <c r="K39" s="1413"/>
      <c r="L39" s="1413"/>
      <c r="M39" s="1413"/>
      <c r="N39" s="1413"/>
      <c r="O39" s="1413"/>
      <c r="P39" s="1489"/>
    </row>
    <row r="40" spans="1:17" ht="13.5" customHeight="1">
      <c r="A40" s="1406" t="s">
        <v>1217</v>
      </c>
      <c r="B40" s="1800" t="s">
        <v>3067</v>
      </c>
      <c r="C40" s="1406" t="s">
        <v>1217</v>
      </c>
      <c r="D40" s="1800" t="s">
        <v>3067</v>
      </c>
      <c r="F40" s="1401"/>
      <c r="G40" s="1380"/>
      <c r="I40" s="1413"/>
      <c r="J40" s="1413"/>
      <c r="K40" s="1413"/>
      <c r="L40" s="1413"/>
      <c r="M40" s="1413"/>
      <c r="N40" s="1413"/>
      <c r="O40" s="1413"/>
      <c r="P40" s="1489"/>
    </row>
    <row r="41" spans="1:17" ht="13.5" customHeight="1">
      <c r="A41" s="1406" t="s">
        <v>1229</v>
      </c>
      <c r="B41" s="1800" t="s">
        <v>3070</v>
      </c>
      <c r="C41" s="1406" t="s">
        <v>1229</v>
      </c>
      <c r="D41" s="1800" t="s">
        <v>3073</v>
      </c>
      <c r="F41" s="1403"/>
      <c r="G41" s="1380"/>
      <c r="I41" s="1413"/>
      <c r="J41" s="1413"/>
      <c r="K41" s="1413"/>
      <c r="L41" s="1413"/>
      <c r="M41" s="1413"/>
      <c r="N41" s="1413"/>
      <c r="O41" s="1413"/>
      <c r="P41" s="1489"/>
    </row>
    <row r="42" spans="1:17" ht="13.5" customHeight="1">
      <c r="A42" s="1406" t="s">
        <v>1219</v>
      </c>
      <c r="B42" s="1800" t="s">
        <v>3067</v>
      </c>
      <c r="C42" s="1406" t="s">
        <v>1219</v>
      </c>
      <c r="D42" s="1800" t="s">
        <v>3067</v>
      </c>
      <c r="F42" s="1403"/>
      <c r="G42" s="1380"/>
      <c r="I42" s="1413"/>
      <c r="J42" s="1413"/>
      <c r="K42" s="1413"/>
      <c r="L42" s="1413"/>
      <c r="M42" s="1413"/>
      <c r="N42" s="1413"/>
      <c r="O42" s="1413"/>
      <c r="P42" s="1489"/>
    </row>
    <row r="43" spans="1:17" ht="13.5" customHeight="1">
      <c r="A43" s="1415" t="s">
        <v>1232</v>
      </c>
      <c r="B43" s="1801" t="s">
        <v>3071</v>
      </c>
      <c r="C43" s="1415" t="s">
        <v>1232</v>
      </c>
      <c r="D43" s="1801" t="s">
        <v>3074</v>
      </c>
      <c r="F43" s="1403"/>
      <c r="G43" s="1380"/>
      <c r="I43" s="1413"/>
      <c r="J43" s="1413"/>
      <c r="K43" s="1413"/>
      <c r="L43" s="1413"/>
      <c r="M43" s="1413"/>
      <c r="N43" s="1413"/>
      <c r="O43" s="1413"/>
      <c r="P43" s="1489"/>
    </row>
    <row r="44" spans="1:17" ht="13.5" customHeight="1">
      <c r="A44" s="1408"/>
      <c r="B44" s="1414"/>
      <c r="C44" s="1408"/>
      <c r="D44" s="1414"/>
      <c r="F44" s="1403"/>
      <c r="G44" s="1380"/>
      <c r="I44" s="1413"/>
      <c r="J44" s="1413"/>
      <c r="K44" s="1413"/>
      <c r="L44" s="1413"/>
      <c r="M44" s="1413"/>
      <c r="N44" s="1413"/>
      <c r="O44" s="1413"/>
      <c r="P44" s="1489"/>
    </row>
    <row r="45" spans="1:17" ht="13.5" customHeight="1">
      <c r="A45" s="2750" t="s">
        <v>1243</v>
      </c>
      <c r="B45" s="2747"/>
      <c r="C45" s="2750" t="s">
        <v>1244</v>
      </c>
      <c r="D45" s="2747"/>
      <c r="F45" s="1403"/>
      <c r="G45" s="1380"/>
      <c r="I45" s="1413"/>
      <c r="J45" s="1413"/>
      <c r="K45" s="1413"/>
      <c r="L45" s="1413"/>
      <c r="M45" s="1413"/>
      <c r="N45" s="1413"/>
      <c r="O45" s="1413"/>
      <c r="P45" s="1489"/>
    </row>
    <row r="46" spans="1:17" ht="13.5" customHeight="1">
      <c r="A46" s="1406" t="s">
        <v>1225</v>
      </c>
      <c r="B46" s="1799"/>
      <c r="C46" s="1406" t="s">
        <v>1225</v>
      </c>
      <c r="D46" s="1795"/>
      <c r="F46" s="1403"/>
      <c r="G46" s="1380"/>
      <c r="I46" s="1413"/>
      <c r="J46" s="1413"/>
      <c r="K46" s="1413"/>
      <c r="L46" s="1413"/>
      <c r="M46" s="1413"/>
      <c r="N46" s="1413"/>
      <c r="O46" s="1413"/>
      <c r="P46" s="1489"/>
    </row>
    <row r="47" spans="1:17" s="1370" customFormat="1" ht="13.5" customHeight="1">
      <c r="A47" s="1406" t="s">
        <v>1217</v>
      </c>
      <c r="B47" s="1800"/>
      <c r="C47" s="1406" t="s">
        <v>1217</v>
      </c>
      <c r="D47" s="1795"/>
      <c r="E47" s="1368"/>
      <c r="F47" s="1403"/>
      <c r="G47" s="1380"/>
      <c r="I47" s="1413"/>
      <c r="J47" s="1413"/>
      <c r="K47" s="1413"/>
      <c r="L47" s="1413"/>
      <c r="M47" s="1413"/>
      <c r="N47" s="1413"/>
      <c r="O47" s="1413"/>
      <c r="P47" s="1489"/>
    </row>
    <row r="48" spans="1:17" s="1370" customFormat="1" ht="13.5" customHeight="1">
      <c r="A48" s="1406" t="s">
        <v>1229</v>
      </c>
      <c r="B48" s="1799"/>
      <c r="C48" s="1406" t="s">
        <v>1229</v>
      </c>
      <c r="D48" s="1795"/>
      <c r="E48" s="1368"/>
      <c r="F48" s="1403"/>
      <c r="G48" s="1380"/>
      <c r="I48" s="1413"/>
      <c r="J48" s="1413"/>
      <c r="K48" s="1413"/>
      <c r="L48" s="1413"/>
      <c r="M48" s="1413"/>
      <c r="N48" s="1413"/>
      <c r="O48" s="1413"/>
      <c r="P48" s="1489"/>
    </row>
    <row r="49" spans="1:17" s="1370" customFormat="1" ht="13.5" customHeight="1">
      <c r="A49" s="1406" t="s">
        <v>1219</v>
      </c>
      <c r="B49" s="1800"/>
      <c r="C49" s="1406" t="s">
        <v>1219</v>
      </c>
      <c r="D49" s="1795"/>
      <c r="E49" s="1368"/>
      <c r="F49" s="1403"/>
      <c r="G49" s="1380"/>
      <c r="I49" s="1413"/>
      <c r="J49" s="1413"/>
      <c r="K49" s="1413"/>
      <c r="L49" s="1413"/>
      <c r="M49" s="1413"/>
      <c r="N49" s="1413"/>
      <c r="O49" s="1413"/>
      <c r="P49" s="1489"/>
    </row>
    <row r="50" spans="1:17" s="1370" customFormat="1" ht="13.5" customHeight="1">
      <c r="A50" s="1407" t="s">
        <v>1232</v>
      </c>
      <c r="B50" s="1801"/>
      <c r="C50" s="1407" t="s">
        <v>1232</v>
      </c>
      <c r="D50" s="1802"/>
      <c r="E50" s="1368"/>
      <c r="F50" s="1403"/>
      <c r="G50" s="1380"/>
      <c r="I50" s="1413"/>
      <c r="J50" s="1413"/>
      <c r="K50" s="1413"/>
      <c r="L50" s="1413"/>
      <c r="M50" s="1413"/>
      <c r="N50" s="1413"/>
      <c r="O50" s="1413"/>
      <c r="P50" s="1489"/>
    </row>
    <row r="51" spans="1:17" s="1370" customFormat="1" ht="13.5" customHeight="1">
      <c r="A51" s="1408"/>
      <c r="B51" s="1414"/>
      <c r="C51" s="1408"/>
      <c r="D51" s="1414"/>
      <c r="E51" s="1368"/>
      <c r="F51" s="1403"/>
      <c r="G51" s="1380"/>
      <c r="I51" s="1413"/>
      <c r="J51" s="1413"/>
      <c r="K51" s="1413"/>
      <c r="L51" s="1413"/>
      <c r="M51" s="1413"/>
      <c r="N51" s="1413"/>
      <c r="O51" s="1413"/>
      <c r="P51" s="1489"/>
    </row>
    <row r="52" spans="1:17" s="1370" customFormat="1" ht="13.5" customHeight="1" thickBot="1">
      <c r="A52" s="2753" t="s">
        <v>1246</v>
      </c>
      <c r="B52" s="2754"/>
      <c r="C52" s="2759"/>
      <c r="D52" s="2760"/>
      <c r="E52" s="1368"/>
      <c r="F52" s="1403"/>
      <c r="G52" s="1380"/>
      <c r="I52" s="1413"/>
      <c r="J52" s="1413"/>
      <c r="K52" s="1413"/>
      <c r="L52" s="1413"/>
      <c r="M52" s="1413"/>
      <c r="N52" s="1413"/>
      <c r="O52" s="1413"/>
      <c r="P52" s="1489"/>
    </row>
    <row r="53" spans="1:17" s="1418" customFormat="1" ht="13.5" customHeight="1" thickTop="1">
      <c r="A53" s="1369" t="s">
        <v>1247</v>
      </c>
      <c r="B53" s="1411"/>
      <c r="C53" s="2750" t="s">
        <v>1248</v>
      </c>
      <c r="D53" s="2747"/>
      <c r="E53" s="1372"/>
      <c r="F53" s="1416"/>
      <c r="G53" s="1417"/>
      <c r="I53" s="1419"/>
      <c r="J53" s="1419"/>
      <c r="K53" s="1419"/>
      <c r="L53" s="1419"/>
      <c r="M53" s="1419"/>
      <c r="N53" s="1419"/>
      <c r="O53" s="1419"/>
      <c r="P53" s="1489"/>
      <c r="Q53" s="1370"/>
    </row>
    <row r="54" spans="1:17" s="1418" customFormat="1" ht="13.5" customHeight="1">
      <c r="A54" s="1406" t="s">
        <v>1225</v>
      </c>
      <c r="B54" s="1799" t="s">
        <v>3075</v>
      </c>
      <c r="C54" s="1406" t="s">
        <v>1225</v>
      </c>
      <c r="D54" s="1799" t="s">
        <v>3078</v>
      </c>
      <c r="E54" s="1372"/>
      <c r="F54" s="1416"/>
      <c r="G54" s="1417"/>
      <c r="I54" s="1419"/>
      <c r="J54" s="1419"/>
      <c r="K54" s="1419"/>
      <c r="L54" s="1419"/>
      <c r="M54" s="1419"/>
      <c r="N54" s="1419"/>
      <c r="O54" s="1419"/>
      <c r="P54" s="1489"/>
      <c r="Q54" s="1370"/>
    </row>
    <row r="55" spans="1:17" s="1370" customFormat="1" ht="13.5" customHeight="1">
      <c r="A55" s="1406" t="s">
        <v>1217</v>
      </c>
      <c r="B55" s="1800" t="s">
        <v>3067</v>
      </c>
      <c r="C55" s="1406" t="s">
        <v>1217</v>
      </c>
      <c r="D55" s="1800" t="s">
        <v>3067</v>
      </c>
      <c r="E55" s="1368"/>
      <c r="F55" s="1403"/>
      <c r="G55" s="1380"/>
      <c r="I55" s="1413"/>
      <c r="J55" s="1413"/>
      <c r="K55" s="1413"/>
      <c r="L55" s="1413"/>
      <c r="M55" s="1413"/>
      <c r="N55" s="1413"/>
      <c r="O55" s="1413"/>
      <c r="P55" s="1489"/>
    </row>
    <row r="56" spans="1:17" s="1370" customFormat="1" ht="13.5" customHeight="1">
      <c r="A56" s="1406" t="s">
        <v>1229</v>
      </c>
      <c r="B56" s="1800" t="s">
        <v>3076</v>
      </c>
      <c r="C56" s="1406" t="s">
        <v>1229</v>
      </c>
      <c r="D56" s="1800" t="s">
        <v>3079</v>
      </c>
      <c r="E56" s="1368"/>
      <c r="F56" s="1403"/>
      <c r="G56" s="1380"/>
      <c r="I56" s="1413"/>
      <c r="J56" s="1413"/>
      <c r="K56" s="1413"/>
      <c r="L56" s="1413"/>
      <c r="M56" s="1413"/>
      <c r="N56" s="1413"/>
      <c r="O56" s="1413"/>
      <c r="P56" s="1489"/>
    </row>
    <row r="57" spans="1:17" s="1370" customFormat="1" ht="13.5" customHeight="1">
      <c r="A57" s="1406" t="s">
        <v>1219</v>
      </c>
      <c r="B57" s="1800" t="s">
        <v>3068</v>
      </c>
      <c r="C57" s="1406" t="s">
        <v>1219</v>
      </c>
      <c r="D57" s="1800" t="s">
        <v>3068</v>
      </c>
      <c r="E57" s="1368"/>
      <c r="F57" s="1403"/>
      <c r="G57" s="1380"/>
      <c r="I57" s="1413"/>
      <c r="J57" s="1413"/>
      <c r="K57" s="1413"/>
      <c r="L57" s="1413"/>
      <c r="M57" s="1413"/>
      <c r="N57" s="1413"/>
      <c r="O57" s="1413"/>
      <c r="P57" s="1489"/>
    </row>
    <row r="58" spans="1:17" ht="13.5" customHeight="1">
      <c r="A58" s="1407" t="s">
        <v>1232</v>
      </c>
      <c r="B58" s="1801" t="s">
        <v>3077</v>
      </c>
      <c r="C58" s="1407" t="s">
        <v>1232</v>
      </c>
      <c r="D58" s="1801" t="s">
        <v>3080</v>
      </c>
      <c r="F58" s="1403"/>
      <c r="G58" s="1380"/>
      <c r="I58" s="1413"/>
      <c r="J58" s="1413"/>
      <c r="K58" s="1413"/>
      <c r="L58" s="1413"/>
      <c r="M58" s="1413"/>
      <c r="N58" s="1413"/>
      <c r="O58" s="1413"/>
      <c r="P58" s="1489"/>
    </row>
    <row r="59" spans="1:17" ht="13.5" customHeight="1">
      <c r="A59" s="1408"/>
      <c r="B59" s="1414"/>
      <c r="C59" s="1408"/>
      <c r="D59" s="1414"/>
      <c r="F59" s="1403"/>
      <c r="G59" s="1380"/>
      <c r="I59" s="1413"/>
      <c r="J59" s="1413"/>
      <c r="K59" s="1413"/>
      <c r="L59" s="1413"/>
      <c r="M59" s="1413"/>
      <c r="N59" s="1413"/>
      <c r="O59" s="1413"/>
      <c r="P59" s="1489"/>
    </row>
    <row r="60" spans="1:17" ht="13.5" customHeight="1">
      <c r="A60" s="1491" t="s">
        <v>1249</v>
      </c>
      <c r="B60" s="1412"/>
      <c r="C60" s="2750" t="s">
        <v>1250</v>
      </c>
      <c r="D60" s="2747"/>
      <c r="F60" s="1403"/>
      <c r="G60" s="1380"/>
      <c r="I60" s="1413"/>
      <c r="J60" s="1413"/>
      <c r="K60" s="1413"/>
      <c r="L60" s="1413"/>
      <c r="M60" s="1413"/>
      <c r="N60" s="1413"/>
      <c r="O60" s="1413"/>
      <c r="P60" s="1489"/>
    </row>
    <row r="61" spans="1:17" s="1420" customFormat="1" ht="13.5" customHeight="1">
      <c r="A61" s="1406" t="s">
        <v>1225</v>
      </c>
      <c r="B61" s="1795" t="s">
        <v>3081</v>
      </c>
      <c r="C61" s="1406" t="s">
        <v>1225</v>
      </c>
      <c r="D61" s="1795" t="s">
        <v>3082</v>
      </c>
      <c r="E61" s="1372"/>
      <c r="F61" s="1416"/>
      <c r="G61" s="1417"/>
      <c r="H61" s="1418"/>
      <c r="I61" s="1419"/>
      <c r="J61" s="1419"/>
      <c r="K61" s="1419"/>
      <c r="L61" s="1419"/>
      <c r="M61" s="1419"/>
      <c r="N61" s="1419"/>
      <c r="O61" s="1419"/>
      <c r="P61" s="1489"/>
      <c r="Q61" s="1370"/>
    </row>
    <row r="62" spans="1:17" ht="13.5" customHeight="1">
      <c r="A62" s="1421" t="s">
        <v>1217</v>
      </c>
      <c r="B62" s="1803" t="s">
        <v>3067</v>
      </c>
      <c r="C62" s="1421" t="s">
        <v>1217</v>
      </c>
      <c r="D62" s="1803" t="s">
        <v>3067</v>
      </c>
      <c r="F62" s="1403"/>
      <c r="G62" s="1380"/>
      <c r="I62" s="1413"/>
      <c r="J62" s="1413"/>
      <c r="K62" s="1413"/>
      <c r="L62" s="1413"/>
      <c r="M62" s="1413"/>
      <c r="N62" s="1413"/>
      <c r="O62" s="1413"/>
      <c r="P62" s="1489"/>
    </row>
    <row r="63" spans="1:17" ht="13.5" customHeight="1">
      <c r="A63" s="1406" t="s">
        <v>1229</v>
      </c>
      <c r="B63" s="1803" t="s">
        <v>3083</v>
      </c>
      <c r="C63" s="1406" t="s">
        <v>1229</v>
      </c>
      <c r="D63" s="1803" t="s">
        <v>3084</v>
      </c>
      <c r="F63" s="1403"/>
      <c r="G63" s="1380"/>
      <c r="I63" s="1413"/>
      <c r="J63" s="1413"/>
      <c r="K63" s="1413"/>
      <c r="L63" s="1413"/>
      <c r="M63" s="1413"/>
      <c r="N63" s="1413"/>
      <c r="O63" s="1413"/>
      <c r="P63" s="1489"/>
    </row>
    <row r="64" spans="1:17" ht="13.5" customHeight="1">
      <c r="A64" s="1406" t="s">
        <v>1219</v>
      </c>
      <c r="B64" s="1803" t="s">
        <v>3087</v>
      </c>
      <c r="C64" s="1406" t="s">
        <v>1219</v>
      </c>
      <c r="D64" s="1803" t="s">
        <v>3068</v>
      </c>
      <c r="F64" s="1403"/>
      <c r="G64" s="1380"/>
      <c r="I64" s="1413"/>
      <c r="J64" s="1413"/>
      <c r="K64" s="1413"/>
      <c r="L64" s="1413"/>
      <c r="M64" s="1413"/>
      <c r="N64" s="1413"/>
      <c r="O64" s="1413"/>
      <c r="P64" s="1489"/>
    </row>
    <row r="65" spans="1:17" ht="13.5" customHeight="1">
      <c r="A65" s="1407" t="s">
        <v>1232</v>
      </c>
      <c r="B65" s="1804" t="s">
        <v>3085</v>
      </c>
      <c r="C65" s="1407" t="s">
        <v>1232</v>
      </c>
      <c r="D65" s="1804" t="s">
        <v>3086</v>
      </c>
      <c r="F65" s="1403"/>
      <c r="G65" s="1380"/>
      <c r="I65" s="1413"/>
      <c r="J65" s="1413"/>
      <c r="K65" s="1413"/>
      <c r="L65" s="1413"/>
      <c r="M65" s="1413"/>
      <c r="N65" s="1413"/>
      <c r="O65" s="1413"/>
      <c r="P65" s="1489"/>
    </row>
    <row r="66" spans="1:17" ht="13.5" customHeight="1">
      <c r="A66" s="1408"/>
      <c r="B66" s="1414"/>
      <c r="C66" s="1408"/>
      <c r="D66" s="1414"/>
      <c r="F66" s="1403"/>
      <c r="G66" s="1380"/>
      <c r="I66" s="1413"/>
      <c r="J66" s="1413"/>
      <c r="K66" s="1413"/>
      <c r="L66" s="1413"/>
      <c r="M66" s="1413"/>
      <c r="N66" s="1413"/>
      <c r="O66" s="1413"/>
      <c r="P66" s="1489"/>
    </row>
    <row r="67" spans="1:17" ht="13.5" customHeight="1">
      <c r="A67" s="2746" t="s">
        <v>1251</v>
      </c>
      <c r="B67" s="2747"/>
      <c r="C67" s="2755"/>
      <c r="D67" s="2756"/>
      <c r="F67" s="1403"/>
      <c r="G67" s="1380"/>
      <c r="I67" s="1413"/>
      <c r="J67" s="1413"/>
      <c r="K67" s="1413"/>
      <c r="L67" s="1413"/>
      <c r="M67" s="1413"/>
      <c r="N67" s="1413"/>
      <c r="O67" s="1413"/>
      <c r="P67" s="1489"/>
    </row>
    <row r="68" spans="1:17" s="1420" customFormat="1" ht="13.5" customHeight="1">
      <c r="A68" s="1406" t="s">
        <v>1225</v>
      </c>
      <c r="B68" s="1795"/>
      <c r="C68" s="1474"/>
      <c r="D68" s="1475"/>
      <c r="E68" s="1372"/>
      <c r="F68" s="1416"/>
      <c r="G68" s="1417"/>
      <c r="H68" s="1418"/>
      <c r="I68" s="1419"/>
      <c r="J68" s="1419"/>
      <c r="K68" s="1419"/>
      <c r="L68" s="1419"/>
      <c r="M68" s="1419"/>
      <c r="N68" s="1419"/>
      <c r="O68" s="1419"/>
      <c r="P68" s="1489"/>
      <c r="Q68" s="1370"/>
    </row>
    <row r="69" spans="1:17" ht="13.5" customHeight="1">
      <c r="A69" s="1421" t="s">
        <v>1217</v>
      </c>
      <c r="B69" s="1795"/>
      <c r="C69" s="1476"/>
      <c r="D69" s="1475"/>
      <c r="F69" s="1403"/>
      <c r="G69" s="1380"/>
      <c r="I69" s="1413"/>
      <c r="J69" s="1413"/>
      <c r="K69" s="1413"/>
      <c r="L69" s="1413"/>
      <c r="M69" s="1413"/>
      <c r="N69" s="1413"/>
      <c r="O69" s="1413"/>
      <c r="P69" s="1489"/>
    </row>
    <row r="70" spans="1:17" ht="13.5" customHeight="1">
      <c r="A70" s="1406" t="s">
        <v>1229</v>
      </c>
      <c r="B70" s="1795"/>
      <c r="C70" s="1474"/>
      <c r="D70" s="1475"/>
      <c r="F70" s="1403"/>
      <c r="G70" s="1380"/>
      <c r="I70" s="1413"/>
      <c r="J70" s="1413"/>
      <c r="K70" s="1413"/>
      <c r="L70" s="1413"/>
      <c r="M70" s="1413"/>
      <c r="N70" s="1413"/>
      <c r="O70" s="1413"/>
      <c r="P70" s="1489"/>
    </row>
    <row r="71" spans="1:17" ht="13.5" customHeight="1">
      <c r="A71" s="1406" t="s">
        <v>1219</v>
      </c>
      <c r="B71" s="1795"/>
      <c r="C71" s="1474"/>
      <c r="D71" s="1475"/>
      <c r="F71" s="1403"/>
      <c r="G71" s="1380"/>
      <c r="I71" s="1413"/>
      <c r="J71" s="1413"/>
      <c r="K71" s="1413"/>
      <c r="L71" s="1413"/>
      <c r="M71" s="1413"/>
      <c r="N71" s="1413"/>
      <c r="O71" s="1413"/>
      <c r="P71" s="1489"/>
    </row>
    <row r="72" spans="1:17" ht="13.5" customHeight="1">
      <c r="A72" s="1406" t="s">
        <v>1232</v>
      </c>
      <c r="B72" s="1804"/>
      <c r="C72" s="1474"/>
      <c r="D72" s="1475"/>
      <c r="F72" s="1403"/>
      <c r="G72" s="1380"/>
      <c r="I72" s="1413"/>
      <c r="J72" s="1413"/>
      <c r="K72" s="1413"/>
      <c r="L72" s="1413"/>
      <c r="M72" s="1413"/>
      <c r="N72" s="1413"/>
      <c r="O72" s="1413"/>
      <c r="P72" s="1489"/>
    </row>
    <row r="73" spans="1:17" ht="13.5" customHeight="1">
      <c r="A73" s="2746" t="s">
        <v>1251</v>
      </c>
      <c r="B73" s="2747"/>
      <c r="C73" s="2751"/>
      <c r="D73" s="2752"/>
      <c r="F73" s="1403"/>
      <c r="G73" s="1380"/>
      <c r="I73" s="1413"/>
      <c r="J73" s="1413"/>
      <c r="K73" s="1413"/>
      <c r="L73" s="1413"/>
      <c r="M73" s="1413"/>
      <c r="N73" s="1413"/>
      <c r="O73" s="1413"/>
      <c r="P73" s="1489"/>
    </row>
    <row r="74" spans="1:17" ht="13.5" customHeight="1">
      <c r="A74" s="1406" t="s">
        <v>1225</v>
      </c>
      <c r="B74" s="1795"/>
      <c r="C74" s="1474"/>
      <c r="D74" s="1475"/>
      <c r="F74" s="1403"/>
      <c r="G74" s="1380"/>
      <c r="I74" s="1413"/>
      <c r="J74" s="1413"/>
      <c r="K74" s="1413"/>
      <c r="L74" s="1413"/>
      <c r="M74" s="1413"/>
      <c r="N74" s="1413"/>
      <c r="O74" s="1413"/>
      <c r="P74" s="1489"/>
    </row>
    <row r="75" spans="1:17" ht="13.5" customHeight="1">
      <c r="A75" s="1421" t="s">
        <v>1217</v>
      </c>
      <c r="B75" s="1795"/>
      <c r="C75" s="1476"/>
      <c r="D75" s="1475"/>
      <c r="F75" s="1403"/>
      <c r="G75" s="1380"/>
      <c r="I75" s="1413"/>
      <c r="J75" s="1413"/>
      <c r="K75" s="1413"/>
      <c r="L75" s="1413"/>
      <c r="M75" s="1413"/>
      <c r="N75" s="1413"/>
      <c r="O75" s="1413"/>
      <c r="P75" s="1489"/>
    </row>
    <row r="76" spans="1:17" s="1370" customFormat="1" ht="13.5" customHeight="1">
      <c r="A76" s="1406" t="s">
        <v>1229</v>
      </c>
      <c r="B76" s="1795"/>
      <c r="C76" s="1474"/>
      <c r="D76" s="1475"/>
      <c r="E76" s="1368"/>
      <c r="F76" s="1403"/>
      <c r="G76" s="1380"/>
      <c r="I76" s="1413"/>
      <c r="J76" s="1413"/>
      <c r="K76" s="1413"/>
      <c r="L76" s="1413"/>
      <c r="M76" s="1413"/>
      <c r="N76" s="1413"/>
      <c r="O76" s="1413"/>
      <c r="P76" s="1489"/>
    </row>
    <row r="77" spans="1:17" s="1370" customFormat="1" ht="13.5" customHeight="1">
      <c r="A77" s="1406" t="s">
        <v>1219</v>
      </c>
      <c r="B77" s="1795"/>
      <c r="C77" s="1474"/>
      <c r="D77" s="1475"/>
      <c r="E77" s="1368"/>
      <c r="F77" s="1403"/>
      <c r="G77" s="1380"/>
      <c r="I77" s="1413"/>
      <c r="J77" s="1413"/>
      <c r="K77" s="1413"/>
      <c r="L77" s="1413"/>
      <c r="M77" s="1413"/>
      <c r="N77" s="1413"/>
      <c r="O77" s="1413"/>
      <c r="P77" s="1489"/>
    </row>
    <row r="78" spans="1:17" s="1370" customFormat="1" ht="13.5" customHeight="1">
      <c r="A78" s="1406" t="s">
        <v>1232</v>
      </c>
      <c r="B78" s="1795"/>
      <c r="C78" s="1474"/>
      <c r="D78" s="1475"/>
      <c r="E78" s="1368"/>
      <c r="F78" s="1403"/>
      <c r="G78" s="1380"/>
      <c r="I78" s="1413"/>
      <c r="J78" s="1413"/>
      <c r="K78" s="1413"/>
      <c r="L78" s="1413"/>
      <c r="M78" s="1413"/>
      <c r="N78" s="1413"/>
      <c r="O78" s="1413"/>
      <c r="P78" s="1489"/>
    </row>
    <row r="79" spans="1:17" s="1370" customFormat="1" ht="13.5" customHeight="1">
      <c r="A79" s="2746" t="s">
        <v>1251</v>
      </c>
      <c r="B79" s="2747"/>
      <c r="C79" s="2751"/>
      <c r="D79" s="2752"/>
      <c r="E79" s="1368"/>
      <c r="F79" s="1403"/>
      <c r="G79" s="1380"/>
      <c r="I79" s="1413"/>
      <c r="J79" s="1413"/>
      <c r="K79" s="1413"/>
      <c r="L79" s="1413"/>
      <c r="M79" s="1413"/>
      <c r="N79" s="1413"/>
      <c r="O79" s="1413"/>
      <c r="P79" s="1489"/>
    </row>
    <row r="80" spans="1:17" s="1370" customFormat="1" ht="13.5" customHeight="1">
      <c r="A80" s="1406" t="s">
        <v>1225</v>
      </c>
      <c r="B80" s="1795"/>
      <c r="C80" s="1474"/>
      <c r="D80" s="1475"/>
      <c r="E80" s="1368"/>
      <c r="F80" s="1403"/>
      <c r="G80" s="1380"/>
      <c r="I80" s="1413"/>
      <c r="J80" s="1413"/>
      <c r="K80" s="1413"/>
      <c r="L80" s="1413"/>
      <c r="M80" s="1413"/>
      <c r="N80" s="1413"/>
      <c r="O80" s="1413"/>
      <c r="P80" s="1489"/>
    </row>
    <row r="81" spans="1:25" s="1370" customFormat="1" ht="13.5" customHeight="1">
      <c r="A81" s="1421" t="s">
        <v>1217</v>
      </c>
      <c r="B81" s="1795"/>
      <c r="C81" s="1476"/>
      <c r="D81" s="1475"/>
      <c r="E81" s="1368"/>
      <c r="F81" s="1403"/>
      <c r="G81" s="1380"/>
      <c r="I81" s="1413"/>
      <c r="J81" s="1413"/>
      <c r="K81" s="1413"/>
      <c r="L81" s="1413"/>
      <c r="M81" s="1413"/>
      <c r="N81" s="1413"/>
      <c r="O81" s="1413"/>
      <c r="P81" s="1489"/>
    </row>
    <row r="82" spans="1:25" s="1370" customFormat="1" ht="13.5" customHeight="1">
      <c r="A82" s="1406" t="s">
        <v>1229</v>
      </c>
      <c r="B82" s="1795"/>
      <c r="C82" s="1474"/>
      <c r="D82" s="1475"/>
      <c r="E82" s="1368"/>
      <c r="F82" s="1403"/>
      <c r="G82" s="1380"/>
      <c r="I82" s="1413"/>
      <c r="J82" s="1413"/>
      <c r="K82" s="1413"/>
      <c r="L82" s="1413"/>
      <c r="M82" s="1413"/>
      <c r="N82" s="1413"/>
      <c r="O82" s="1413"/>
      <c r="P82" s="1489"/>
    </row>
    <row r="83" spans="1:25" s="1370" customFormat="1" ht="13.5" customHeight="1">
      <c r="A83" s="1406" t="s">
        <v>1219</v>
      </c>
      <c r="B83" s="1795"/>
      <c r="C83" s="1474"/>
      <c r="D83" s="1475"/>
      <c r="E83" s="1368"/>
      <c r="F83" s="1403"/>
      <c r="G83" s="1380"/>
      <c r="I83" s="1413"/>
      <c r="J83" s="1413"/>
      <c r="K83" s="1413"/>
      <c r="L83" s="1413"/>
      <c r="M83" s="1413"/>
      <c r="N83" s="1413"/>
      <c r="O83" s="1413"/>
      <c r="P83" s="1489"/>
    </row>
    <row r="84" spans="1:25" s="1370" customFormat="1" ht="13.5" customHeight="1">
      <c r="A84" s="1406" t="s">
        <v>1232</v>
      </c>
      <c r="B84" s="1795"/>
      <c r="C84" s="1408"/>
      <c r="D84" s="1414"/>
      <c r="E84" s="1368"/>
      <c r="F84" s="1403"/>
      <c r="G84" s="1380"/>
      <c r="I84" s="1413"/>
      <c r="J84" s="1413"/>
      <c r="K84" s="1413"/>
      <c r="L84" s="1413"/>
      <c r="M84" s="1413"/>
      <c r="N84" s="1413"/>
      <c r="O84" s="1413"/>
      <c r="P84" s="1489"/>
    </row>
    <row r="85" spans="1:25" s="1370" customFormat="1" ht="12.75" customHeight="1">
      <c r="A85" s="1422"/>
      <c r="C85" s="1368"/>
      <c r="D85" s="1368"/>
      <c r="E85" s="1368"/>
      <c r="F85" s="1403"/>
      <c r="G85" s="1380"/>
      <c r="I85" s="1413"/>
      <c r="J85" s="1413"/>
      <c r="K85" s="1413"/>
      <c r="L85" s="1413"/>
      <c r="M85" s="1413"/>
      <c r="N85" s="1413"/>
      <c r="O85" s="1413"/>
      <c r="P85" s="1489"/>
    </row>
    <row r="86" spans="1:25" s="1370" customFormat="1" ht="12.75" customHeight="1">
      <c r="E86" s="1368"/>
      <c r="F86" s="1403"/>
      <c r="G86" s="1380"/>
      <c r="I86" s="1413"/>
      <c r="J86" s="1413"/>
      <c r="K86" s="1413"/>
      <c r="L86" s="1413"/>
      <c r="M86" s="1413"/>
      <c r="N86" s="1413"/>
      <c r="O86" s="1413"/>
      <c r="P86" s="1489"/>
    </row>
    <row r="87" spans="1:25" s="1370" customFormat="1" ht="12.75" customHeight="1">
      <c r="A87" s="1392"/>
      <c r="B87" s="1423"/>
      <c r="C87" s="1423"/>
      <c r="D87" s="1423"/>
      <c r="E87" s="1368"/>
      <c r="F87" s="1403"/>
      <c r="G87" s="1380"/>
      <c r="I87" s="1413"/>
      <c r="J87" s="1413"/>
      <c r="K87" s="1413"/>
      <c r="L87" s="1413"/>
      <c r="M87" s="1413"/>
      <c r="N87" s="1413"/>
      <c r="O87" s="1413"/>
      <c r="P87" s="1489"/>
    </row>
    <row r="88" spans="1:25" s="1370" customFormat="1" ht="12.75" customHeight="1">
      <c r="A88" s="1413"/>
      <c r="B88" s="1413"/>
      <c r="C88" s="1413"/>
      <c r="D88" s="1413"/>
      <c r="E88" s="1368"/>
      <c r="F88" s="1403"/>
      <c r="G88" s="1380"/>
      <c r="I88" s="1413"/>
      <c r="J88" s="1413"/>
      <c r="K88" s="1413"/>
      <c r="L88" s="1413"/>
      <c r="M88" s="1413"/>
      <c r="N88" s="1413"/>
      <c r="O88" s="1413"/>
      <c r="P88" s="1489"/>
    </row>
    <row r="89" spans="1:25" s="1423" customFormat="1" ht="12.75" customHeight="1">
      <c r="A89" s="1425"/>
      <c r="B89" s="1425"/>
      <c r="C89" s="1425"/>
      <c r="D89" s="1425"/>
      <c r="E89" s="1424"/>
      <c r="F89" s="1403"/>
      <c r="G89" s="1380"/>
      <c r="I89" s="1413"/>
      <c r="J89" s="1413"/>
      <c r="K89" s="1413"/>
      <c r="L89" s="1413"/>
      <c r="M89" s="1413"/>
      <c r="N89" s="1413"/>
      <c r="O89" s="1413"/>
      <c r="P89" s="1489"/>
      <c r="Q89" s="1370"/>
    </row>
    <row r="90" spans="1:25" s="1413" customFormat="1" ht="12.75" customHeight="1">
      <c r="A90" s="1368"/>
      <c r="B90" s="1368"/>
      <c r="C90" s="1368"/>
      <c r="D90" s="1368"/>
      <c r="E90" s="1425"/>
      <c r="F90" s="1403"/>
      <c r="G90" s="1380"/>
      <c r="P90" s="1489"/>
      <c r="Q90" s="1370"/>
    </row>
    <row r="91" spans="1:25" s="1413" customFormat="1" ht="12.75" customHeight="1">
      <c r="A91" s="1368"/>
      <c r="B91" s="1368"/>
      <c r="C91" s="1368"/>
      <c r="D91" s="1368"/>
      <c r="E91" s="1425"/>
      <c r="F91" s="1403"/>
      <c r="G91" s="1380"/>
      <c r="P91" s="1489"/>
      <c r="Q91" s="1370"/>
    </row>
    <row r="92" spans="1:25" s="1370" customFormat="1" ht="12.75" customHeight="1">
      <c r="A92" s="1426"/>
      <c r="B92" s="1368"/>
      <c r="C92" s="1368"/>
      <c r="D92" s="1368"/>
      <c r="E92" s="1368"/>
      <c r="I92" s="1413"/>
      <c r="J92" s="1413"/>
      <c r="K92" s="1413"/>
      <c r="L92" s="1413"/>
      <c r="M92" s="1413"/>
      <c r="N92" s="1413"/>
      <c r="O92" s="1413"/>
      <c r="P92" s="1489"/>
    </row>
    <row r="93" spans="1:25" s="1370" customFormat="1" ht="12.75" customHeight="1">
      <c r="A93" s="1427"/>
      <c r="B93" s="1368"/>
      <c r="C93" s="1368"/>
      <c r="D93" s="1368"/>
      <c r="E93" s="1368"/>
      <c r="I93" s="1413"/>
      <c r="J93" s="1413"/>
      <c r="K93" s="1413"/>
      <c r="L93" s="1413"/>
      <c r="M93" s="1413"/>
      <c r="N93" s="1413"/>
      <c r="O93" s="1413"/>
      <c r="P93" s="1489"/>
    </row>
    <row r="94" spans="1:25" s="1370" customFormat="1" ht="12.75" customHeight="1">
      <c r="A94" s="1427"/>
      <c r="B94" s="1368"/>
      <c r="C94" s="1368"/>
      <c r="D94" s="1368"/>
      <c r="E94" s="1368"/>
      <c r="I94" s="1413"/>
      <c r="J94" s="1413"/>
      <c r="K94" s="1413"/>
      <c r="L94" s="1413"/>
      <c r="M94" s="1413"/>
      <c r="N94" s="1413"/>
      <c r="O94" s="1413"/>
      <c r="P94" s="1489"/>
    </row>
    <row r="95" spans="1:25" s="1370" customFormat="1" ht="12.75" customHeight="1">
      <c r="A95" s="1427"/>
      <c r="B95" s="1368"/>
      <c r="C95" s="1368"/>
      <c r="D95" s="1368"/>
      <c r="E95" s="1368"/>
      <c r="I95" s="1413"/>
      <c r="J95" s="1413"/>
      <c r="K95" s="1413"/>
      <c r="L95" s="1413"/>
      <c r="M95" s="1413"/>
      <c r="N95" s="1413"/>
      <c r="O95" s="1413"/>
      <c r="P95" s="1489"/>
    </row>
    <row r="96" spans="1:25" ht="12.75" customHeight="1">
      <c r="A96" s="1427"/>
      <c r="E96" s="1428"/>
      <c r="I96" s="1413"/>
      <c r="J96" s="1413"/>
      <c r="K96" s="1413"/>
      <c r="L96" s="1413"/>
      <c r="M96" s="1413"/>
      <c r="N96" s="1413"/>
      <c r="O96" s="1413"/>
      <c r="P96" s="1489"/>
      <c r="R96" s="1429"/>
      <c r="S96" s="1429"/>
      <c r="T96" s="1429"/>
      <c r="U96" s="1429"/>
      <c r="V96" s="1429"/>
      <c r="W96" s="1429"/>
      <c r="X96" s="1429"/>
      <c r="Y96" s="1429"/>
    </row>
    <row r="97" spans="1:25" ht="12.75" customHeight="1">
      <c r="A97" s="1430"/>
      <c r="B97" s="1428"/>
      <c r="C97" s="1428"/>
      <c r="D97" s="1428"/>
      <c r="E97" s="1428"/>
      <c r="I97" s="1413"/>
      <c r="J97" s="1413"/>
      <c r="K97" s="1413"/>
      <c r="L97" s="1413"/>
      <c r="M97" s="1413"/>
      <c r="N97" s="1413"/>
      <c r="O97" s="1413"/>
      <c r="P97" s="1489"/>
      <c r="R97" s="1429"/>
      <c r="S97" s="1429"/>
      <c r="T97" s="1429"/>
      <c r="U97" s="1429"/>
      <c r="V97" s="1429"/>
      <c r="W97" s="1429"/>
      <c r="X97" s="1429"/>
      <c r="Y97" s="1429"/>
    </row>
    <row r="98" spans="1:25" ht="12.75" customHeight="1">
      <c r="A98" s="1430"/>
      <c r="B98" s="1428"/>
      <c r="C98" s="1428"/>
      <c r="D98" s="1428"/>
      <c r="E98" s="1428"/>
      <c r="I98" s="1413"/>
      <c r="J98" s="1413"/>
      <c r="K98" s="1413"/>
      <c r="L98" s="1413"/>
      <c r="M98" s="1413"/>
      <c r="N98" s="1413"/>
      <c r="O98" s="1413"/>
      <c r="P98" s="1489"/>
      <c r="R98" s="1429"/>
      <c r="S98" s="1429"/>
      <c r="T98" s="1429"/>
      <c r="U98" s="1429"/>
      <c r="V98" s="1429"/>
      <c r="W98" s="1429"/>
      <c r="X98" s="1429"/>
      <c r="Y98" s="1429"/>
    </row>
    <row r="99" spans="1:25" ht="12.75" customHeight="1">
      <c r="A99" s="1430"/>
      <c r="B99" s="1428"/>
      <c r="C99" s="1428"/>
      <c r="D99" s="1428"/>
      <c r="E99" s="1428"/>
      <c r="I99" s="1413"/>
      <c r="J99" s="1413"/>
      <c r="K99" s="1413"/>
      <c r="L99" s="1413"/>
      <c r="M99" s="1413"/>
      <c r="N99" s="1413"/>
      <c r="O99" s="1413"/>
      <c r="P99" s="1489"/>
      <c r="R99" s="1429"/>
      <c r="S99" s="1429"/>
      <c r="T99" s="1429"/>
      <c r="U99" s="1429"/>
      <c r="V99" s="1429"/>
      <c r="W99" s="1429"/>
      <c r="X99" s="1429"/>
      <c r="Y99" s="1429"/>
    </row>
    <row r="100" spans="1:25" ht="12.75" customHeight="1">
      <c r="A100" s="1430"/>
      <c r="B100" s="1428"/>
      <c r="C100" s="1428"/>
      <c r="D100" s="1428"/>
      <c r="E100" s="1428"/>
      <c r="I100" s="1413"/>
      <c r="J100" s="1413"/>
      <c r="K100" s="1413"/>
      <c r="L100" s="1413"/>
      <c r="M100" s="1413"/>
      <c r="N100" s="1413"/>
      <c r="O100" s="1413"/>
      <c r="P100" s="1489"/>
      <c r="R100" s="1429"/>
      <c r="S100" s="1429"/>
      <c r="T100" s="1429"/>
      <c r="U100" s="1429"/>
      <c r="V100" s="1429"/>
      <c r="W100" s="1429"/>
      <c r="X100" s="1429"/>
      <c r="Y100" s="1429"/>
    </row>
    <row r="101" spans="1:25" ht="12.75" customHeight="1">
      <c r="A101" s="1430"/>
      <c r="B101" s="1428"/>
      <c r="C101" s="1428"/>
      <c r="D101" s="1428"/>
      <c r="E101" s="1428"/>
      <c r="I101" s="1413"/>
      <c r="J101" s="1413"/>
      <c r="K101" s="1413"/>
      <c r="L101" s="1413"/>
      <c r="M101" s="1413"/>
      <c r="N101" s="1413"/>
      <c r="O101" s="1413"/>
      <c r="P101" s="1489"/>
      <c r="R101" s="1429"/>
      <c r="S101" s="1429"/>
      <c r="T101" s="1429"/>
      <c r="U101" s="1429"/>
      <c r="V101" s="1429"/>
      <c r="W101" s="1429"/>
      <c r="X101" s="1429"/>
      <c r="Y101" s="1429"/>
    </row>
    <row r="102" spans="1:25" ht="12.75" customHeight="1">
      <c r="A102" s="1430"/>
      <c r="B102" s="1428"/>
      <c r="C102" s="1428"/>
      <c r="D102" s="1428"/>
      <c r="E102" s="1428"/>
      <c r="I102" s="1413"/>
      <c r="J102" s="1413"/>
      <c r="K102" s="1413"/>
      <c r="L102" s="1413"/>
      <c r="M102" s="1413"/>
      <c r="N102" s="1413"/>
      <c r="O102" s="1413"/>
      <c r="P102" s="1489"/>
      <c r="R102" s="1429"/>
      <c r="S102" s="1429"/>
      <c r="T102" s="1429"/>
      <c r="U102" s="1429"/>
      <c r="V102" s="1429"/>
      <c r="W102" s="1429"/>
      <c r="X102" s="1429"/>
      <c r="Y102" s="1429"/>
    </row>
    <row r="103" spans="1:25" ht="12.75" customHeight="1">
      <c r="A103" s="1430"/>
      <c r="B103" s="1428"/>
      <c r="C103" s="1428"/>
      <c r="D103" s="1428"/>
      <c r="E103" s="1428"/>
      <c r="I103" s="1413"/>
      <c r="J103" s="1413"/>
      <c r="K103" s="1413"/>
      <c r="L103" s="1413"/>
      <c r="M103" s="1413"/>
      <c r="N103" s="1413"/>
      <c r="O103" s="1413"/>
      <c r="P103" s="1489"/>
      <c r="R103" s="1429"/>
      <c r="S103" s="1429"/>
      <c r="T103" s="1429"/>
      <c r="U103" s="1429"/>
      <c r="V103" s="1429"/>
      <c r="W103" s="1429"/>
      <c r="X103" s="1429"/>
      <c r="Y103" s="1429"/>
    </row>
    <row r="104" spans="1:25" ht="12.75" customHeight="1">
      <c r="A104" s="1430"/>
      <c r="B104" s="1428"/>
      <c r="C104" s="1428"/>
      <c r="D104" s="1428"/>
      <c r="E104" s="1428"/>
      <c r="I104" s="1413"/>
      <c r="J104" s="1413"/>
      <c r="K104" s="1413"/>
      <c r="L104" s="1413"/>
      <c r="M104" s="1413"/>
      <c r="N104" s="1413"/>
      <c r="O104" s="1413"/>
      <c r="P104" s="1489"/>
      <c r="R104" s="1429"/>
      <c r="S104" s="1429"/>
      <c r="T104" s="1429"/>
      <c r="U104" s="1429"/>
      <c r="V104" s="1429"/>
      <c r="W104" s="1429"/>
      <c r="X104" s="1429"/>
      <c r="Y104" s="1429"/>
    </row>
    <row r="105" spans="1:25" ht="12.75" customHeight="1">
      <c r="A105" s="1430"/>
      <c r="B105" s="1428"/>
      <c r="C105" s="1428"/>
      <c r="D105" s="1428"/>
      <c r="E105" s="1428"/>
      <c r="I105" s="1413"/>
      <c r="J105" s="1413"/>
      <c r="K105" s="1413"/>
      <c r="L105" s="1413"/>
      <c r="M105" s="1413"/>
      <c r="N105" s="1413"/>
      <c r="O105" s="1413"/>
      <c r="P105" s="1489"/>
      <c r="R105" s="1429"/>
      <c r="S105" s="1429"/>
      <c r="T105" s="1429"/>
      <c r="U105" s="1429"/>
      <c r="V105" s="1429"/>
      <c r="W105" s="1429"/>
      <c r="X105" s="1429"/>
      <c r="Y105" s="1429"/>
    </row>
    <row r="106" spans="1:25" ht="12.75" customHeight="1">
      <c r="A106" s="1430"/>
      <c r="B106" s="1428"/>
      <c r="C106" s="1428"/>
      <c r="D106" s="1428"/>
      <c r="E106" s="1428"/>
      <c r="I106" s="1413"/>
      <c r="J106" s="1413"/>
      <c r="K106" s="1413"/>
      <c r="L106" s="1413"/>
      <c r="M106" s="1413"/>
      <c r="N106" s="1413"/>
      <c r="O106" s="1413"/>
      <c r="P106" s="1489"/>
      <c r="R106" s="1429"/>
      <c r="S106" s="1429"/>
      <c r="T106" s="1429"/>
      <c r="U106" s="1429"/>
      <c r="V106" s="1429"/>
      <c r="W106" s="1429"/>
      <c r="X106" s="1429"/>
      <c r="Y106" s="1429"/>
    </row>
    <row r="107" spans="1:25" ht="12.75" customHeight="1">
      <c r="A107" s="1430"/>
      <c r="B107" s="1428"/>
      <c r="C107" s="1428"/>
      <c r="D107" s="1428"/>
      <c r="E107" s="1428"/>
      <c r="I107" s="1413"/>
      <c r="J107" s="1413"/>
      <c r="K107" s="1413"/>
      <c r="L107" s="1413"/>
      <c r="M107" s="1413"/>
      <c r="N107" s="1413"/>
      <c r="O107" s="1413"/>
      <c r="P107" s="1489"/>
      <c r="R107" s="1429"/>
      <c r="S107" s="1429"/>
      <c r="T107" s="1429"/>
      <c r="U107" s="1429"/>
      <c r="V107" s="1429"/>
      <c r="W107" s="1429"/>
      <c r="X107" s="1429"/>
      <c r="Y107" s="1429"/>
    </row>
    <row r="108" spans="1:25" ht="12.75" customHeight="1">
      <c r="A108" s="1430"/>
      <c r="B108" s="1428"/>
      <c r="C108" s="1428"/>
      <c r="D108" s="1428"/>
      <c r="E108" s="1428"/>
      <c r="I108" s="1413"/>
      <c r="J108" s="1413"/>
      <c r="K108" s="1413"/>
      <c r="L108" s="1413"/>
      <c r="M108" s="1413"/>
      <c r="N108" s="1413"/>
      <c r="O108" s="1413"/>
      <c r="P108" s="1489"/>
      <c r="R108" s="1429"/>
      <c r="S108" s="1429"/>
      <c r="T108" s="1429"/>
      <c r="U108" s="1429"/>
      <c r="V108" s="1429"/>
      <c r="W108" s="1429"/>
      <c r="X108" s="1429"/>
      <c r="Y108" s="1429"/>
    </row>
    <row r="109" spans="1:25" ht="12.75" customHeight="1">
      <c r="A109" s="1430"/>
      <c r="B109" s="1428"/>
      <c r="C109" s="1428"/>
      <c r="D109" s="1428"/>
      <c r="E109" s="1428"/>
      <c r="I109" s="1413"/>
      <c r="J109" s="1413"/>
      <c r="K109" s="1413"/>
      <c r="L109" s="1413"/>
      <c r="M109" s="1413"/>
      <c r="N109" s="1413"/>
      <c r="O109" s="1413"/>
      <c r="P109" s="1489"/>
      <c r="R109" s="1429"/>
      <c r="S109" s="1429"/>
      <c r="T109" s="1429"/>
      <c r="U109" s="1429"/>
      <c r="V109" s="1429"/>
      <c r="W109" s="1429"/>
      <c r="X109" s="1429"/>
      <c r="Y109" s="1429"/>
    </row>
    <row r="110" spans="1:25" ht="12.75" customHeight="1">
      <c r="A110" s="1430"/>
      <c r="B110" s="1428"/>
      <c r="C110" s="1428"/>
      <c r="D110" s="1428"/>
      <c r="E110" s="1428"/>
      <c r="I110" s="1413"/>
      <c r="J110" s="1413"/>
      <c r="K110" s="1413"/>
      <c r="L110" s="1413"/>
      <c r="M110" s="1413"/>
      <c r="N110" s="1413"/>
      <c r="O110" s="1413"/>
      <c r="P110" s="1489"/>
      <c r="R110" s="1429"/>
      <c r="S110" s="1429"/>
      <c r="T110" s="1429"/>
      <c r="U110" s="1429"/>
      <c r="V110" s="1429"/>
      <c r="W110" s="1429"/>
      <c r="X110" s="1429"/>
      <c r="Y110" s="1429"/>
    </row>
    <row r="111" spans="1:25" ht="12.75" customHeight="1">
      <c r="A111" s="1430"/>
      <c r="B111" s="1428"/>
      <c r="C111" s="1428"/>
      <c r="D111" s="1428"/>
      <c r="E111" s="1428"/>
      <c r="I111" s="1413"/>
      <c r="J111" s="1413"/>
      <c r="K111" s="1413"/>
      <c r="L111" s="1413"/>
      <c r="M111" s="1413"/>
      <c r="N111" s="1413"/>
      <c r="O111" s="1413"/>
      <c r="P111" s="1489"/>
      <c r="R111" s="1429"/>
      <c r="S111" s="1429"/>
      <c r="T111" s="1429"/>
      <c r="U111" s="1429"/>
      <c r="V111" s="1429"/>
      <c r="W111" s="1429"/>
      <c r="X111" s="1429"/>
      <c r="Y111" s="1429"/>
    </row>
    <row r="112" spans="1:25" ht="12.75" customHeight="1">
      <c r="A112" s="1430"/>
      <c r="B112" s="1428"/>
      <c r="C112" s="1428"/>
      <c r="D112" s="1428"/>
      <c r="E112" s="1428"/>
      <c r="I112" s="1413"/>
      <c r="J112" s="1413"/>
      <c r="K112" s="1413"/>
      <c r="L112" s="1413"/>
      <c r="M112" s="1413"/>
      <c r="N112" s="1413"/>
      <c r="O112" s="1413"/>
      <c r="P112" s="1489"/>
      <c r="R112" s="1429"/>
      <c r="S112" s="1429"/>
      <c r="T112" s="1429"/>
      <c r="U112" s="1429"/>
      <c r="V112" s="1429"/>
      <c r="W112" s="1429"/>
      <c r="X112" s="1429"/>
      <c r="Y112" s="1429"/>
    </row>
    <row r="113" spans="1:25" ht="12.75" customHeight="1">
      <c r="A113" s="1430"/>
      <c r="B113" s="1428"/>
      <c r="C113" s="1428"/>
      <c r="D113" s="1428"/>
      <c r="E113" s="1428"/>
      <c r="I113" s="1413"/>
      <c r="J113" s="1413"/>
      <c r="K113" s="1413"/>
      <c r="L113" s="1413"/>
      <c r="M113" s="1413"/>
      <c r="N113" s="1413"/>
      <c r="O113" s="1413"/>
      <c r="P113" s="1489"/>
      <c r="R113" s="1429"/>
      <c r="S113" s="1429"/>
      <c r="T113" s="1429"/>
      <c r="U113" s="1429"/>
      <c r="V113" s="1429"/>
      <c r="W113" s="1429"/>
      <c r="X113" s="1429"/>
      <c r="Y113" s="1429"/>
    </row>
    <row r="114" spans="1:25" ht="12.75" customHeight="1">
      <c r="A114" s="1430"/>
      <c r="B114" s="1428"/>
      <c r="C114" s="1428"/>
      <c r="D114" s="1428"/>
      <c r="E114" s="1428"/>
      <c r="I114" s="1413"/>
      <c r="J114" s="1413"/>
      <c r="K114" s="1413"/>
      <c r="L114" s="1413"/>
      <c r="M114" s="1413"/>
      <c r="N114" s="1413"/>
      <c r="O114" s="1413"/>
      <c r="P114" s="1489"/>
      <c r="R114" s="1429"/>
      <c r="S114" s="1429"/>
      <c r="T114" s="1429"/>
      <c r="U114" s="1429"/>
      <c r="V114" s="1429"/>
      <c r="W114" s="1429"/>
      <c r="X114" s="1429"/>
      <c r="Y114" s="1429"/>
    </row>
    <row r="115" spans="1:25" ht="12.75" customHeight="1">
      <c r="A115" s="1430"/>
      <c r="B115" s="1428"/>
      <c r="C115" s="1428"/>
      <c r="D115" s="1428"/>
      <c r="E115" s="1428"/>
      <c r="I115" s="1413"/>
      <c r="J115" s="1413"/>
      <c r="K115" s="1413"/>
      <c r="L115" s="1413"/>
      <c r="M115" s="1413"/>
      <c r="N115" s="1413"/>
      <c r="O115" s="1413"/>
      <c r="P115" s="1489"/>
      <c r="R115" s="1429"/>
      <c r="S115" s="1429"/>
      <c r="T115" s="1429"/>
      <c r="U115" s="1429"/>
      <c r="V115" s="1429"/>
      <c r="W115" s="1429"/>
      <c r="X115" s="1429"/>
      <c r="Y115" s="1429"/>
    </row>
    <row r="116" spans="1:25" ht="12.75" customHeight="1">
      <c r="A116" s="1430"/>
      <c r="B116" s="1428"/>
      <c r="C116" s="1428"/>
      <c r="D116" s="1428"/>
      <c r="E116" s="1428"/>
      <c r="I116" s="1413"/>
      <c r="J116" s="1413"/>
      <c r="K116" s="1413"/>
      <c r="L116" s="1413"/>
      <c r="M116" s="1413"/>
      <c r="N116" s="1413"/>
      <c r="O116" s="1413"/>
      <c r="P116" s="1489"/>
      <c r="R116" s="1429"/>
      <c r="S116" s="1429"/>
      <c r="T116" s="1429"/>
      <c r="U116" s="1429"/>
      <c r="V116" s="1429"/>
      <c r="W116" s="1429"/>
      <c r="X116" s="1429"/>
      <c r="Y116" s="1429"/>
    </row>
    <row r="117" spans="1:25" ht="12.75" customHeight="1">
      <c r="A117" s="1430"/>
      <c r="B117" s="1428"/>
      <c r="C117" s="1428"/>
      <c r="D117" s="1428"/>
      <c r="E117" s="1428"/>
      <c r="I117" s="1413"/>
      <c r="J117" s="1413"/>
      <c r="K117" s="1413"/>
      <c r="L117" s="1413"/>
      <c r="M117" s="1413"/>
      <c r="N117" s="1413"/>
      <c r="O117" s="1413"/>
      <c r="P117" s="1489"/>
      <c r="R117" s="1429"/>
      <c r="S117" s="1429"/>
      <c r="T117" s="1429"/>
      <c r="U117" s="1429"/>
      <c r="V117" s="1429"/>
      <c r="W117" s="1429"/>
      <c r="X117" s="1429"/>
      <c r="Y117" s="1429"/>
    </row>
    <row r="118" spans="1:25" ht="12.75" customHeight="1">
      <c r="A118" s="1430"/>
      <c r="B118" s="1428"/>
      <c r="C118" s="1428"/>
      <c r="D118" s="1428"/>
      <c r="E118" s="1428"/>
      <c r="I118" s="1413"/>
      <c r="J118" s="1413"/>
      <c r="K118" s="1413"/>
      <c r="L118" s="1413"/>
      <c r="M118" s="1413"/>
      <c r="N118" s="1413"/>
      <c r="O118" s="1413"/>
      <c r="P118" s="1489"/>
      <c r="R118" s="1429"/>
      <c r="S118" s="1429"/>
      <c r="T118" s="1429"/>
      <c r="U118" s="1429"/>
      <c r="V118" s="1429"/>
      <c r="W118" s="1429"/>
      <c r="X118" s="1429"/>
      <c r="Y118" s="1429"/>
    </row>
    <row r="119" spans="1:25" ht="12.75" customHeight="1">
      <c r="A119" s="1428"/>
      <c r="B119" s="1428"/>
      <c r="C119" s="1428"/>
      <c r="D119" s="1428"/>
      <c r="E119" s="1428"/>
      <c r="I119" s="1413"/>
      <c r="J119" s="1413"/>
      <c r="K119" s="1413"/>
      <c r="L119" s="1413"/>
      <c r="M119" s="1413"/>
      <c r="N119" s="1413"/>
      <c r="O119" s="1413"/>
      <c r="P119" s="1489"/>
      <c r="R119" s="1429"/>
      <c r="S119" s="1429"/>
      <c r="T119" s="1429"/>
      <c r="U119" s="1429"/>
      <c r="V119" s="1429"/>
      <c r="W119" s="1429"/>
      <c r="X119" s="1429"/>
      <c r="Y119" s="1429"/>
    </row>
    <row r="120" spans="1:25" ht="12.75" customHeight="1">
      <c r="A120" s="1428"/>
      <c r="B120" s="1428"/>
      <c r="C120" s="1428"/>
      <c r="D120" s="1428"/>
      <c r="E120" s="1428"/>
      <c r="I120" s="1413"/>
      <c r="J120" s="1413"/>
      <c r="K120" s="1413"/>
      <c r="L120" s="1413"/>
      <c r="M120" s="1413"/>
      <c r="N120" s="1413"/>
      <c r="O120" s="1413"/>
      <c r="P120" s="1489"/>
      <c r="R120" s="1429"/>
      <c r="S120" s="1429"/>
      <c r="T120" s="1429"/>
      <c r="U120" s="1429"/>
      <c r="V120" s="1429"/>
      <c r="W120" s="1429"/>
      <c r="X120" s="1429"/>
      <c r="Y120" s="1429"/>
    </row>
    <row r="121" spans="1:25" ht="12.75" customHeight="1">
      <c r="A121" s="1428"/>
      <c r="B121" s="1428"/>
      <c r="C121" s="1428"/>
      <c r="D121" s="1428"/>
      <c r="E121" s="1428"/>
      <c r="I121" s="1413"/>
      <c r="J121" s="1413"/>
      <c r="K121" s="1413"/>
      <c r="L121" s="1413"/>
      <c r="M121" s="1413"/>
      <c r="N121" s="1413"/>
      <c r="O121" s="1413"/>
      <c r="P121" s="1489"/>
      <c r="R121" s="1429"/>
      <c r="S121" s="1429"/>
      <c r="T121" s="1429"/>
      <c r="U121" s="1429"/>
      <c r="V121" s="1429"/>
      <c r="W121" s="1429"/>
      <c r="X121" s="1429"/>
      <c r="Y121" s="1429"/>
    </row>
    <row r="122" spans="1:25" ht="12.75" customHeight="1">
      <c r="A122" s="1428"/>
      <c r="B122" s="1428"/>
      <c r="C122" s="1428"/>
      <c r="D122" s="1428"/>
      <c r="E122" s="1428"/>
      <c r="I122" s="1413"/>
      <c r="J122" s="1413"/>
      <c r="K122" s="1413"/>
      <c r="L122" s="1413"/>
      <c r="M122" s="1413"/>
      <c r="N122" s="1413"/>
      <c r="O122" s="1413"/>
      <c r="P122" s="1489"/>
      <c r="R122" s="1429"/>
      <c r="S122" s="1429"/>
      <c r="T122" s="1429"/>
      <c r="U122" s="1429"/>
      <c r="V122" s="1429"/>
      <c r="W122" s="1429"/>
      <c r="X122" s="1429"/>
      <c r="Y122" s="1429"/>
    </row>
    <row r="123" spans="1:25" ht="12.75" customHeight="1">
      <c r="A123" s="1428"/>
      <c r="B123" s="1428"/>
      <c r="C123" s="1428"/>
      <c r="D123" s="1428"/>
      <c r="E123" s="1428"/>
      <c r="I123" s="1413"/>
      <c r="J123" s="1413"/>
      <c r="K123" s="1413"/>
      <c r="L123" s="1413"/>
      <c r="M123" s="1413"/>
      <c r="N123" s="1413"/>
      <c r="O123" s="1413"/>
      <c r="P123" s="1489"/>
      <c r="R123" s="1429"/>
      <c r="S123" s="1429"/>
      <c r="T123" s="1429"/>
      <c r="U123" s="1429"/>
      <c r="V123" s="1429"/>
      <c r="W123" s="1429"/>
      <c r="X123" s="1429"/>
      <c r="Y123" s="1429"/>
    </row>
    <row r="124" spans="1:25" ht="12.75" customHeight="1">
      <c r="A124" s="1428"/>
      <c r="B124" s="1428"/>
      <c r="C124" s="1428"/>
      <c r="D124" s="1428"/>
      <c r="E124" s="1428"/>
      <c r="I124" s="1413"/>
      <c r="J124" s="1413"/>
      <c r="K124" s="1413"/>
      <c r="L124" s="1413"/>
      <c r="M124" s="1413"/>
      <c r="N124" s="1413"/>
      <c r="O124" s="1413"/>
      <c r="P124" s="1489"/>
      <c r="R124" s="1429"/>
      <c r="S124" s="1429"/>
      <c r="T124" s="1429"/>
      <c r="U124" s="1429"/>
      <c r="V124" s="1429"/>
      <c r="W124" s="1429"/>
      <c r="X124" s="1429"/>
      <c r="Y124" s="1429"/>
    </row>
    <row r="125" spans="1:25" ht="12.75" customHeight="1">
      <c r="A125" s="1428"/>
      <c r="B125" s="1428"/>
      <c r="C125" s="1428"/>
      <c r="D125" s="1428"/>
      <c r="E125" s="1428"/>
      <c r="I125" s="1413"/>
      <c r="J125" s="1413"/>
      <c r="K125" s="1413"/>
      <c r="L125" s="1413"/>
      <c r="M125" s="1413"/>
      <c r="N125" s="1413"/>
      <c r="O125" s="1413"/>
      <c r="P125" s="1489"/>
      <c r="R125" s="1429"/>
      <c r="S125" s="1429"/>
      <c r="T125" s="1429"/>
      <c r="U125" s="1429"/>
      <c r="V125" s="1429"/>
      <c r="W125" s="1429"/>
      <c r="X125" s="1429"/>
      <c r="Y125" s="1429"/>
    </row>
    <row r="126" spans="1:25" ht="12.75" customHeight="1">
      <c r="A126" s="1428"/>
      <c r="B126" s="1428"/>
      <c r="C126" s="1428"/>
      <c r="D126" s="1428"/>
      <c r="E126" s="1428"/>
      <c r="I126" s="1413"/>
      <c r="J126" s="1413"/>
      <c r="K126" s="1413"/>
      <c r="L126" s="1413"/>
      <c r="M126" s="1413"/>
      <c r="N126" s="1413"/>
      <c r="O126" s="1413"/>
      <c r="P126" s="1489"/>
      <c r="R126" s="1429"/>
      <c r="S126" s="1429"/>
      <c r="T126" s="1429"/>
      <c r="U126" s="1429"/>
      <c r="V126" s="1429"/>
      <c r="W126" s="1429"/>
      <c r="X126" s="1429"/>
      <c r="Y126" s="1429"/>
    </row>
    <row r="127" spans="1:25" ht="12.75" customHeight="1">
      <c r="A127" s="1428"/>
      <c r="B127" s="1428"/>
      <c r="C127" s="1428"/>
      <c r="D127" s="1428"/>
      <c r="E127" s="1428"/>
      <c r="I127" s="1413"/>
      <c r="J127" s="1413"/>
      <c r="K127" s="1413"/>
      <c r="L127" s="1413"/>
      <c r="M127" s="1413"/>
      <c r="N127" s="1413"/>
      <c r="O127" s="1413"/>
      <c r="P127" s="1489"/>
      <c r="R127" s="1429"/>
      <c r="S127" s="1429"/>
      <c r="T127" s="1429"/>
      <c r="U127" s="1429"/>
      <c r="V127" s="1429"/>
      <c r="W127" s="1429"/>
      <c r="X127" s="1429"/>
      <c r="Y127" s="1429"/>
    </row>
    <row r="128" spans="1:25">
      <c r="A128" s="1428"/>
      <c r="B128" s="1428"/>
      <c r="C128" s="1428"/>
      <c r="D128" s="1428"/>
      <c r="E128" s="1428"/>
      <c r="I128" s="1413"/>
      <c r="J128" s="1413"/>
      <c r="K128" s="1413"/>
      <c r="L128" s="1413"/>
      <c r="M128" s="1413"/>
      <c r="N128" s="1413"/>
      <c r="O128" s="1413"/>
      <c r="P128" s="1489"/>
      <c r="R128" s="1429"/>
      <c r="S128" s="1429"/>
      <c r="T128" s="1429"/>
      <c r="U128" s="1429"/>
      <c r="V128" s="1429"/>
      <c r="W128" s="1429"/>
      <c r="X128" s="1429"/>
      <c r="Y128" s="1429"/>
    </row>
    <row r="129" spans="1:25">
      <c r="A129" s="1428"/>
      <c r="B129" s="1428"/>
      <c r="C129" s="1428"/>
      <c r="D129" s="1428"/>
      <c r="E129" s="1428"/>
      <c r="I129" s="1413"/>
      <c r="J129" s="1413"/>
      <c r="K129" s="1413"/>
      <c r="L129" s="1413"/>
      <c r="M129" s="1413"/>
      <c r="N129" s="1413"/>
      <c r="O129" s="1413"/>
      <c r="P129" s="1489"/>
      <c r="R129" s="1429"/>
      <c r="S129" s="1429"/>
      <c r="T129" s="1429"/>
      <c r="U129" s="1429"/>
      <c r="V129" s="1429"/>
      <c r="W129" s="1429"/>
      <c r="X129" s="1429"/>
      <c r="Y129" s="1429"/>
    </row>
    <row r="130" spans="1:25">
      <c r="A130" s="1428"/>
      <c r="B130" s="1428"/>
      <c r="C130" s="1428"/>
      <c r="D130" s="1428"/>
      <c r="E130" s="1428"/>
      <c r="I130" s="1413"/>
      <c r="J130" s="1413"/>
      <c r="K130" s="1413"/>
      <c r="L130" s="1413"/>
      <c r="M130" s="1413"/>
      <c r="N130" s="1413"/>
      <c r="O130" s="1413"/>
      <c r="P130" s="1489"/>
      <c r="R130" s="1429"/>
      <c r="S130" s="1429"/>
      <c r="T130" s="1429"/>
      <c r="U130" s="1429"/>
      <c r="V130" s="1429"/>
      <c r="W130" s="1429"/>
      <c r="X130" s="1429"/>
      <c r="Y130" s="1429"/>
    </row>
    <row r="131" spans="1:25">
      <c r="A131" s="1428"/>
      <c r="B131" s="1428"/>
      <c r="C131" s="1428"/>
      <c r="D131" s="1428"/>
      <c r="E131" s="1428"/>
      <c r="I131" s="1413"/>
      <c r="J131" s="1413"/>
      <c r="K131" s="1413"/>
      <c r="L131" s="1413"/>
      <c r="M131" s="1413"/>
      <c r="N131" s="1413"/>
      <c r="O131" s="1413"/>
      <c r="P131" s="1489"/>
      <c r="R131" s="1429"/>
      <c r="S131" s="1429"/>
      <c r="T131" s="1429"/>
      <c r="U131" s="1429"/>
      <c r="V131" s="1429"/>
      <c r="W131" s="1429"/>
      <c r="X131" s="1429"/>
      <c r="Y131" s="1429"/>
    </row>
    <row r="132" spans="1:25">
      <c r="A132" s="1428"/>
      <c r="B132" s="1428"/>
      <c r="C132" s="1428"/>
      <c r="D132" s="1428"/>
      <c r="E132" s="1428"/>
      <c r="I132" s="1413"/>
      <c r="J132" s="1413"/>
      <c r="K132" s="1413"/>
      <c r="L132" s="1413"/>
      <c r="M132" s="1413"/>
      <c r="N132" s="1413"/>
      <c r="O132" s="1413"/>
      <c r="P132" s="1489"/>
      <c r="R132" s="1429"/>
      <c r="S132" s="1429"/>
      <c r="T132" s="1429"/>
      <c r="U132" s="1429"/>
      <c r="V132" s="1429"/>
      <c r="W132" s="1429"/>
      <c r="X132" s="1429"/>
      <c r="Y132" s="1429"/>
    </row>
    <row r="133" spans="1:25">
      <c r="A133" s="1428"/>
      <c r="B133" s="1428"/>
      <c r="C133" s="1428"/>
      <c r="D133" s="1428"/>
      <c r="E133" s="1428"/>
      <c r="I133" s="1413"/>
      <c r="J133" s="1413"/>
      <c r="K133" s="1413"/>
      <c r="L133" s="1413"/>
      <c r="M133" s="1413"/>
      <c r="N133" s="1413"/>
      <c r="O133" s="1413"/>
      <c r="P133" s="1489"/>
      <c r="R133" s="1429"/>
      <c r="S133" s="1429"/>
      <c r="T133" s="1429"/>
      <c r="U133" s="1429"/>
      <c r="V133" s="1429"/>
      <c r="W133" s="1429"/>
      <c r="X133" s="1429"/>
      <c r="Y133" s="1429"/>
    </row>
    <row r="134" spans="1:25">
      <c r="A134" s="1428"/>
      <c r="B134" s="1428"/>
      <c r="C134" s="1428"/>
      <c r="D134" s="1428"/>
      <c r="E134" s="1428"/>
      <c r="I134" s="1413"/>
      <c r="J134" s="1413"/>
      <c r="K134" s="1413"/>
      <c r="L134" s="1413"/>
      <c r="M134" s="1413"/>
      <c r="N134" s="1413"/>
      <c r="O134" s="1413"/>
      <c r="P134" s="1489"/>
      <c r="R134" s="1429"/>
      <c r="S134" s="1429"/>
      <c r="T134" s="1429"/>
      <c r="U134" s="1429"/>
      <c r="V134" s="1429"/>
      <c r="W134" s="1429"/>
      <c r="X134" s="1429"/>
      <c r="Y134" s="1429"/>
    </row>
    <row r="135" spans="1:25">
      <c r="A135" s="1428"/>
      <c r="B135" s="1428"/>
      <c r="C135" s="1428"/>
      <c r="D135" s="1428"/>
      <c r="E135" s="1428"/>
      <c r="I135" s="1413"/>
      <c r="J135" s="1413"/>
      <c r="K135" s="1413"/>
      <c r="L135" s="1413"/>
      <c r="M135" s="1413"/>
      <c r="N135" s="1413"/>
      <c r="O135" s="1413"/>
      <c r="P135" s="1489"/>
      <c r="R135" s="1429"/>
      <c r="S135" s="1429"/>
      <c r="T135" s="1429"/>
      <c r="U135" s="1429"/>
      <c r="V135" s="1429"/>
      <c r="W135" s="1429"/>
      <c r="X135" s="1429"/>
      <c r="Y135" s="1429"/>
    </row>
    <row r="136" spans="1:25">
      <c r="A136" s="1428"/>
      <c r="B136" s="1428"/>
      <c r="C136" s="1428"/>
      <c r="D136" s="1428"/>
      <c r="E136" s="1428"/>
      <c r="I136" s="1413"/>
      <c r="J136" s="1413"/>
      <c r="K136" s="1413"/>
      <c r="L136" s="1413"/>
      <c r="M136" s="1413"/>
      <c r="N136" s="1413"/>
      <c r="O136" s="1413"/>
      <c r="P136" s="1489"/>
      <c r="R136" s="1429"/>
      <c r="S136" s="1429"/>
      <c r="T136" s="1429"/>
      <c r="U136" s="1429"/>
      <c r="V136" s="1429"/>
      <c r="W136" s="1429"/>
      <c r="X136" s="1429"/>
      <c r="Y136" s="1429"/>
    </row>
    <row r="137" spans="1:25">
      <c r="A137" s="1428"/>
      <c r="B137" s="1428"/>
      <c r="C137" s="1428"/>
      <c r="D137" s="1428"/>
      <c r="E137" s="1428"/>
      <c r="I137" s="1413"/>
      <c r="J137" s="1413"/>
      <c r="K137" s="1413"/>
      <c r="L137" s="1413"/>
      <c r="M137" s="1413"/>
      <c r="N137" s="1413"/>
      <c r="O137" s="1413"/>
      <c r="P137" s="1489"/>
      <c r="R137" s="1429"/>
      <c r="S137" s="1429"/>
      <c r="T137" s="1429"/>
      <c r="U137" s="1429"/>
      <c r="V137" s="1429"/>
      <c r="W137" s="1429"/>
      <c r="X137" s="1429"/>
      <c r="Y137" s="1429"/>
    </row>
    <row r="138" spans="1:25">
      <c r="A138" s="1428"/>
      <c r="B138" s="1428"/>
      <c r="C138" s="1428"/>
      <c r="D138" s="1428"/>
      <c r="E138" s="1428"/>
      <c r="I138" s="1413"/>
      <c r="J138" s="1413"/>
      <c r="K138" s="1413"/>
      <c r="L138" s="1413"/>
      <c r="M138" s="1413"/>
      <c r="N138" s="1413"/>
      <c r="O138" s="1413"/>
      <c r="P138" s="1489"/>
      <c r="R138" s="1429"/>
      <c r="S138" s="1429"/>
      <c r="T138" s="1429"/>
      <c r="U138" s="1429"/>
      <c r="V138" s="1429"/>
      <c r="W138" s="1429"/>
      <c r="X138" s="1429"/>
      <c r="Y138" s="1429"/>
    </row>
    <row r="139" spans="1:25">
      <c r="A139" s="1428"/>
      <c r="B139" s="1428"/>
      <c r="C139" s="1428"/>
      <c r="D139" s="1428"/>
      <c r="E139" s="1428"/>
      <c r="I139" s="1413"/>
      <c r="J139" s="1413"/>
      <c r="K139" s="1413"/>
      <c r="L139" s="1413"/>
      <c r="M139" s="1413"/>
      <c r="N139" s="1413"/>
      <c r="O139" s="1413"/>
      <c r="P139" s="1489"/>
      <c r="R139" s="1429"/>
      <c r="S139" s="1429"/>
      <c r="T139" s="1429"/>
      <c r="U139" s="1429"/>
      <c r="V139" s="1429"/>
      <c r="W139" s="1429"/>
      <c r="X139" s="1429"/>
      <c r="Y139" s="1429"/>
    </row>
    <row r="140" spans="1:25">
      <c r="A140" s="1428"/>
      <c r="B140" s="1428"/>
      <c r="C140" s="1428"/>
      <c r="D140" s="1428"/>
      <c r="E140" s="1428"/>
      <c r="I140" s="1413"/>
      <c r="J140" s="1413"/>
      <c r="K140" s="1413"/>
      <c r="L140" s="1413"/>
      <c r="M140" s="1413"/>
      <c r="N140" s="1413"/>
      <c r="O140" s="1413"/>
      <c r="P140" s="1489"/>
      <c r="R140" s="1429"/>
      <c r="S140" s="1429"/>
      <c r="T140" s="1429"/>
      <c r="U140" s="1429"/>
      <c r="V140" s="1429"/>
      <c r="W140" s="1429"/>
      <c r="X140" s="1429"/>
      <c r="Y140" s="1429"/>
    </row>
    <row r="141" spans="1:25">
      <c r="A141" s="1428"/>
      <c r="B141" s="1428"/>
      <c r="C141" s="1428"/>
      <c r="D141" s="1428"/>
      <c r="E141" s="1428"/>
      <c r="I141" s="1413"/>
      <c r="J141" s="1413"/>
      <c r="K141" s="1413"/>
      <c r="L141" s="1413"/>
      <c r="M141" s="1413"/>
      <c r="N141" s="1413"/>
      <c r="O141" s="1413"/>
      <c r="P141" s="1489"/>
      <c r="R141" s="1429"/>
      <c r="S141" s="1429"/>
      <c r="T141" s="1429"/>
      <c r="U141" s="1429"/>
      <c r="V141" s="1429"/>
      <c r="W141" s="1429"/>
      <c r="X141" s="1429"/>
      <c r="Y141" s="1429"/>
    </row>
    <row r="142" spans="1:25">
      <c r="A142" s="1428"/>
      <c r="B142" s="1428"/>
      <c r="C142" s="1428"/>
      <c r="D142" s="1428"/>
      <c r="E142" s="1428"/>
      <c r="I142" s="1413"/>
      <c r="J142" s="1413"/>
      <c r="K142" s="1413"/>
      <c r="L142" s="1413"/>
      <c r="M142" s="1413"/>
      <c r="N142" s="1413"/>
      <c r="O142" s="1413"/>
      <c r="P142" s="1489"/>
      <c r="R142" s="1429"/>
      <c r="S142" s="1429"/>
      <c r="T142" s="1429"/>
      <c r="U142" s="1429"/>
      <c r="V142" s="1429"/>
      <c r="W142" s="1429"/>
      <c r="X142" s="1429"/>
      <c r="Y142" s="1429"/>
    </row>
    <row r="143" spans="1:25">
      <c r="A143" s="1428"/>
      <c r="B143" s="1428"/>
      <c r="C143" s="1428"/>
      <c r="D143" s="1428"/>
      <c r="E143" s="1428"/>
      <c r="I143" s="1413"/>
      <c r="J143" s="1413"/>
      <c r="K143" s="1413"/>
      <c r="L143" s="1413"/>
      <c r="M143" s="1413"/>
      <c r="N143" s="1413"/>
      <c r="O143" s="1413"/>
      <c r="P143" s="1489"/>
      <c r="R143" s="1429"/>
      <c r="S143" s="1429"/>
      <c r="T143" s="1429"/>
      <c r="U143" s="1429"/>
      <c r="V143" s="1429"/>
      <c r="W143" s="1429"/>
      <c r="X143" s="1429"/>
      <c r="Y143" s="1429"/>
    </row>
    <row r="144" spans="1:25">
      <c r="A144" s="1428"/>
      <c r="B144" s="1428"/>
      <c r="C144" s="1428"/>
      <c r="D144" s="1428"/>
      <c r="E144" s="1428"/>
      <c r="I144" s="1413"/>
      <c r="J144" s="1413"/>
      <c r="K144" s="1413"/>
      <c r="L144" s="1413"/>
      <c r="M144" s="1413"/>
      <c r="N144" s="1413"/>
      <c r="O144" s="1413"/>
      <c r="P144" s="1489"/>
      <c r="R144" s="1429"/>
      <c r="S144" s="1429"/>
      <c r="T144" s="1429"/>
      <c r="U144" s="1429"/>
      <c r="V144" s="1429"/>
      <c r="W144" s="1429"/>
      <c r="X144" s="1429"/>
      <c r="Y144" s="1429"/>
    </row>
    <row r="145" spans="1:25">
      <c r="A145" s="1428"/>
      <c r="B145" s="1428"/>
      <c r="C145" s="1428"/>
      <c r="D145" s="1428"/>
      <c r="E145" s="1428"/>
      <c r="I145" s="1413"/>
      <c r="J145" s="1413"/>
      <c r="K145" s="1413"/>
      <c r="L145" s="1413"/>
      <c r="M145" s="1413"/>
      <c r="N145" s="1413"/>
      <c r="O145" s="1413"/>
      <c r="P145" s="1489"/>
      <c r="R145" s="1429"/>
      <c r="S145" s="1429"/>
      <c r="T145" s="1429"/>
      <c r="U145" s="1429"/>
      <c r="V145" s="1429"/>
      <c r="W145" s="1429"/>
      <c r="X145" s="1429"/>
      <c r="Y145" s="1429"/>
    </row>
    <row r="146" spans="1:25">
      <c r="A146" s="1428"/>
      <c r="B146" s="1428"/>
      <c r="C146" s="1428"/>
      <c r="D146" s="1428"/>
      <c r="E146" s="1428"/>
      <c r="I146" s="1413"/>
      <c r="J146" s="1413"/>
      <c r="K146" s="1413"/>
      <c r="L146" s="1413"/>
      <c r="M146" s="1413"/>
      <c r="N146" s="1413"/>
      <c r="O146" s="1413"/>
      <c r="P146" s="1489"/>
      <c r="R146" s="1429"/>
      <c r="S146" s="1429"/>
      <c r="T146" s="1429"/>
      <c r="U146" s="1429"/>
      <c r="V146" s="1429"/>
      <c r="W146" s="1429"/>
      <c r="X146" s="1429"/>
      <c r="Y146" s="1429"/>
    </row>
    <row r="147" spans="1:25">
      <c r="A147" s="1428"/>
      <c r="B147" s="1428"/>
      <c r="C147" s="1428"/>
      <c r="D147" s="1428"/>
      <c r="E147" s="1428"/>
      <c r="I147" s="1413"/>
      <c r="J147" s="1413"/>
      <c r="K147" s="1413"/>
      <c r="L147" s="1413"/>
      <c r="M147" s="1413"/>
      <c r="N147" s="1413"/>
      <c r="O147" s="1413"/>
      <c r="P147" s="1489"/>
      <c r="R147" s="1429"/>
      <c r="S147" s="1429"/>
      <c r="T147" s="1429"/>
      <c r="U147" s="1429"/>
      <c r="V147" s="1429"/>
      <c r="W147" s="1429"/>
      <c r="X147" s="1429"/>
      <c r="Y147" s="1429"/>
    </row>
    <row r="148" spans="1:25">
      <c r="A148" s="1428"/>
      <c r="B148" s="1428"/>
      <c r="C148" s="1428"/>
      <c r="D148" s="1428"/>
      <c r="E148" s="1428"/>
      <c r="I148" s="1413"/>
      <c r="J148" s="1413"/>
      <c r="K148" s="1413"/>
      <c r="L148" s="1413"/>
      <c r="M148" s="1413"/>
      <c r="N148" s="1413"/>
      <c r="O148" s="1413"/>
      <c r="P148" s="1489"/>
      <c r="R148" s="1429"/>
      <c r="S148" s="1429"/>
      <c r="T148" s="1429"/>
      <c r="U148" s="1429"/>
      <c r="V148" s="1429"/>
      <c r="W148" s="1429"/>
      <c r="X148" s="1429"/>
      <c r="Y148" s="1429"/>
    </row>
    <row r="149" spans="1:25">
      <c r="A149" s="1428"/>
      <c r="B149" s="1428"/>
      <c r="C149" s="1428"/>
      <c r="D149" s="1428"/>
      <c r="E149" s="1428"/>
      <c r="I149" s="1413"/>
      <c r="J149" s="1413"/>
      <c r="K149" s="1413"/>
      <c r="L149" s="1413"/>
      <c r="M149" s="1413"/>
      <c r="N149" s="1413"/>
      <c r="O149" s="1413"/>
      <c r="P149" s="1489"/>
      <c r="R149" s="1429"/>
      <c r="S149" s="1429"/>
      <c r="T149" s="1429"/>
      <c r="U149" s="1429"/>
      <c r="V149" s="1429"/>
      <c r="W149" s="1429"/>
      <c r="X149" s="1429"/>
      <c r="Y149" s="1429"/>
    </row>
    <row r="150" spans="1:25">
      <c r="A150" s="1428"/>
      <c r="B150" s="1428"/>
      <c r="C150" s="1428"/>
      <c r="D150" s="1428"/>
      <c r="E150" s="1428"/>
      <c r="I150" s="1413"/>
      <c r="J150" s="1413"/>
      <c r="K150" s="1413"/>
      <c r="L150" s="1413"/>
      <c r="M150" s="1413"/>
      <c r="N150" s="1413"/>
      <c r="O150" s="1413"/>
      <c r="P150" s="1489"/>
      <c r="R150" s="1429"/>
      <c r="S150" s="1429"/>
      <c r="T150" s="1429"/>
      <c r="U150" s="1429"/>
      <c r="V150" s="1429"/>
      <c r="W150" s="1429"/>
      <c r="X150" s="1429"/>
      <c r="Y150" s="1429"/>
    </row>
    <row r="151" spans="1:25">
      <c r="A151" s="1428"/>
      <c r="B151" s="1428"/>
      <c r="C151" s="1428"/>
      <c r="D151" s="1428"/>
      <c r="E151" s="1428"/>
      <c r="I151" s="1413"/>
      <c r="J151" s="1413"/>
      <c r="K151" s="1413"/>
      <c r="L151" s="1413"/>
      <c r="M151" s="1413"/>
      <c r="N151" s="1413"/>
      <c r="O151" s="1413"/>
      <c r="P151" s="1489"/>
      <c r="R151" s="1429"/>
      <c r="S151" s="1429"/>
      <c r="T151" s="1429"/>
      <c r="U151" s="1429"/>
      <c r="V151" s="1429"/>
      <c r="W151" s="1429"/>
      <c r="X151" s="1429"/>
      <c r="Y151" s="1429"/>
    </row>
    <row r="152" spans="1:25">
      <c r="A152" s="1428"/>
      <c r="B152" s="1428"/>
      <c r="C152" s="1428"/>
      <c r="D152" s="1428"/>
      <c r="E152" s="1428"/>
      <c r="I152" s="1413"/>
      <c r="J152" s="1413"/>
      <c r="K152" s="1413"/>
      <c r="L152" s="1413"/>
      <c r="M152" s="1413"/>
      <c r="N152" s="1413"/>
      <c r="O152" s="1413"/>
      <c r="P152" s="1489"/>
      <c r="R152" s="1429"/>
      <c r="S152" s="1429"/>
      <c r="T152" s="1429"/>
      <c r="U152" s="1429"/>
      <c r="V152" s="1429"/>
      <c r="W152" s="1429"/>
      <c r="X152" s="1429"/>
      <c r="Y152" s="1429"/>
    </row>
    <row r="153" spans="1:25">
      <c r="A153" s="1428"/>
      <c r="B153" s="1428"/>
      <c r="C153" s="1428"/>
      <c r="D153" s="1428"/>
      <c r="E153" s="1428"/>
      <c r="I153" s="1413"/>
      <c r="J153" s="1413"/>
      <c r="K153" s="1413"/>
      <c r="L153" s="1413"/>
      <c r="M153" s="1413"/>
      <c r="N153" s="1413"/>
      <c r="O153" s="1413"/>
      <c r="P153" s="1489"/>
      <c r="R153" s="1429"/>
      <c r="S153" s="1429"/>
      <c r="T153" s="1429"/>
      <c r="U153" s="1429"/>
      <c r="V153" s="1429"/>
      <c r="W153" s="1429"/>
      <c r="X153" s="1429"/>
      <c r="Y153" s="1429"/>
    </row>
    <row r="154" spans="1:25">
      <c r="A154" s="1428"/>
      <c r="B154" s="1428"/>
      <c r="C154" s="1428"/>
      <c r="D154" s="1428"/>
      <c r="E154" s="1428"/>
      <c r="I154" s="1413"/>
      <c r="J154" s="1413"/>
      <c r="K154" s="1413"/>
      <c r="L154" s="1413"/>
      <c r="M154" s="1413"/>
      <c r="N154" s="1413"/>
      <c r="O154" s="1413"/>
      <c r="P154" s="1489"/>
      <c r="R154" s="1429"/>
      <c r="S154" s="1429"/>
      <c r="T154" s="1429"/>
      <c r="U154" s="1429"/>
      <c r="V154" s="1429"/>
      <c r="W154" s="1429"/>
      <c r="X154" s="1429"/>
      <c r="Y154" s="1429"/>
    </row>
    <row r="155" spans="1:25">
      <c r="A155" s="1428"/>
      <c r="B155" s="1428"/>
      <c r="C155" s="1428"/>
      <c r="D155" s="1428"/>
      <c r="E155" s="1428"/>
      <c r="I155" s="1413"/>
      <c r="J155" s="1413"/>
      <c r="K155" s="1413"/>
      <c r="L155" s="1413"/>
      <c r="M155" s="1413"/>
      <c r="N155" s="1413"/>
      <c r="O155" s="1413"/>
      <c r="P155" s="1489"/>
      <c r="R155" s="1429"/>
      <c r="S155" s="1429"/>
      <c r="T155" s="1429"/>
      <c r="U155" s="1429"/>
      <c r="V155" s="1429"/>
      <c r="W155" s="1429"/>
      <c r="X155" s="1429"/>
      <c r="Y155" s="1429"/>
    </row>
    <row r="156" spans="1:25">
      <c r="A156" s="1428"/>
      <c r="B156" s="1428"/>
      <c r="C156" s="1428"/>
      <c r="D156" s="1428"/>
      <c r="E156" s="1428"/>
      <c r="I156" s="1413"/>
      <c r="J156" s="1413"/>
      <c r="K156" s="1413"/>
      <c r="L156" s="1413"/>
      <c r="M156" s="1413"/>
      <c r="N156" s="1413"/>
      <c r="O156" s="1413"/>
      <c r="P156" s="1489"/>
      <c r="R156" s="1429"/>
      <c r="S156" s="1429"/>
      <c r="T156" s="1429"/>
      <c r="U156" s="1429"/>
      <c r="V156" s="1429"/>
      <c r="W156" s="1429"/>
      <c r="X156" s="1429"/>
      <c r="Y156" s="1429"/>
    </row>
    <row r="157" spans="1:25">
      <c r="A157" s="1428"/>
      <c r="B157" s="1428"/>
      <c r="C157" s="1428"/>
      <c r="D157" s="1428"/>
      <c r="E157" s="1428"/>
      <c r="I157" s="1413"/>
      <c r="J157" s="1413"/>
      <c r="K157" s="1413"/>
      <c r="L157" s="1413"/>
      <c r="M157" s="1413"/>
      <c r="N157" s="1413"/>
      <c r="O157" s="1413"/>
      <c r="P157" s="1489"/>
      <c r="R157" s="1429"/>
      <c r="S157" s="1429"/>
      <c r="T157" s="1429"/>
      <c r="U157" s="1429"/>
      <c r="V157" s="1429"/>
      <c r="W157" s="1429"/>
      <c r="X157" s="1429"/>
      <c r="Y157" s="1429"/>
    </row>
    <row r="158" spans="1:25">
      <c r="A158" s="1428"/>
      <c r="B158" s="1428"/>
      <c r="C158" s="1428"/>
      <c r="D158" s="1428"/>
      <c r="E158" s="1428"/>
      <c r="I158" s="1413"/>
      <c r="J158" s="1413"/>
      <c r="K158" s="1413"/>
      <c r="L158" s="1413"/>
      <c r="M158" s="1413"/>
      <c r="N158" s="1413"/>
      <c r="O158" s="1413"/>
      <c r="P158" s="1489"/>
      <c r="R158" s="1429"/>
      <c r="S158" s="1429"/>
      <c r="T158" s="1429"/>
      <c r="U158" s="1429"/>
      <c r="V158" s="1429"/>
      <c r="W158" s="1429"/>
      <c r="X158" s="1429"/>
      <c r="Y158" s="1429"/>
    </row>
    <row r="159" spans="1:25">
      <c r="A159" s="1428"/>
      <c r="B159" s="1428"/>
      <c r="C159" s="1428"/>
      <c r="D159" s="1428"/>
      <c r="E159" s="1428"/>
      <c r="I159" s="1413"/>
      <c r="J159" s="1413"/>
      <c r="K159" s="1413"/>
      <c r="L159" s="1413"/>
      <c r="M159" s="1413"/>
      <c r="N159" s="1413"/>
      <c r="O159" s="1413"/>
      <c r="P159" s="1489"/>
      <c r="R159" s="1429"/>
      <c r="S159" s="1429"/>
      <c r="T159" s="1429"/>
      <c r="U159" s="1429"/>
      <c r="V159" s="1429"/>
      <c r="W159" s="1429"/>
      <c r="X159" s="1429"/>
      <c r="Y159" s="1429"/>
    </row>
    <row r="160" spans="1:25">
      <c r="A160" s="1428"/>
      <c r="B160" s="1428"/>
      <c r="C160" s="1428"/>
      <c r="D160" s="1428"/>
      <c r="E160" s="1428"/>
      <c r="I160" s="1413"/>
      <c r="J160" s="1413"/>
      <c r="K160" s="1413"/>
      <c r="L160" s="1413"/>
      <c r="M160" s="1413"/>
      <c r="N160" s="1413"/>
      <c r="O160" s="1413"/>
      <c r="P160" s="1489"/>
      <c r="R160" s="1429"/>
      <c r="S160" s="1429"/>
      <c r="T160" s="1429"/>
      <c r="U160" s="1429"/>
      <c r="V160" s="1429"/>
      <c r="W160" s="1429"/>
      <c r="X160" s="1429"/>
      <c r="Y160" s="1429"/>
    </row>
    <row r="161" spans="1:25">
      <c r="A161" s="1428"/>
      <c r="B161" s="1428"/>
      <c r="C161" s="1428"/>
      <c r="D161" s="1428"/>
      <c r="E161" s="1428"/>
      <c r="I161" s="1413"/>
      <c r="J161" s="1413"/>
      <c r="K161" s="1413"/>
      <c r="L161" s="1413"/>
      <c r="M161" s="1413"/>
      <c r="N161" s="1413"/>
      <c r="O161" s="1413"/>
      <c r="P161" s="1489"/>
      <c r="R161" s="1429"/>
      <c r="S161" s="1429"/>
      <c r="T161" s="1429"/>
      <c r="U161" s="1429"/>
      <c r="V161" s="1429"/>
      <c r="W161" s="1429"/>
      <c r="X161" s="1429"/>
      <c r="Y161" s="1429"/>
    </row>
    <row r="162" spans="1:25">
      <c r="A162" s="1428"/>
      <c r="B162" s="1428"/>
      <c r="C162" s="1428"/>
      <c r="D162" s="1428"/>
      <c r="E162" s="1428"/>
      <c r="I162" s="1413"/>
      <c r="J162" s="1413"/>
      <c r="K162" s="1413"/>
      <c r="L162" s="1413"/>
      <c r="M162" s="1413"/>
      <c r="N162" s="1413"/>
      <c r="O162" s="1413"/>
      <c r="P162" s="1489"/>
      <c r="R162" s="1429"/>
      <c r="S162" s="1429"/>
      <c r="T162" s="1429"/>
      <c r="U162" s="1429"/>
      <c r="V162" s="1429"/>
      <c r="W162" s="1429"/>
      <c r="X162" s="1429"/>
      <c r="Y162" s="1429"/>
    </row>
    <row r="163" spans="1:25">
      <c r="A163" s="1428"/>
      <c r="B163" s="1428"/>
      <c r="C163" s="1428"/>
      <c r="D163" s="1428"/>
      <c r="E163" s="1428"/>
      <c r="I163" s="1413"/>
      <c r="J163" s="1413"/>
      <c r="K163" s="1413"/>
      <c r="L163" s="1413"/>
      <c r="M163" s="1413"/>
      <c r="N163" s="1413"/>
      <c r="O163" s="1413"/>
      <c r="P163" s="1489"/>
      <c r="R163" s="1429"/>
      <c r="S163" s="1429"/>
      <c r="T163" s="1429"/>
      <c r="U163" s="1429"/>
      <c r="V163" s="1429"/>
      <c r="W163" s="1429"/>
      <c r="X163" s="1429"/>
      <c r="Y163" s="1429"/>
    </row>
    <row r="164" spans="1:25">
      <c r="A164" s="1428"/>
      <c r="B164" s="1428"/>
      <c r="C164" s="1428"/>
      <c r="D164" s="1428"/>
      <c r="E164" s="1428"/>
      <c r="I164" s="1413"/>
      <c r="J164" s="1413"/>
      <c r="K164" s="1413"/>
      <c r="L164" s="1413"/>
      <c r="M164" s="1413"/>
      <c r="N164" s="1413"/>
      <c r="O164" s="1413"/>
      <c r="P164" s="1489"/>
      <c r="R164" s="1429"/>
      <c r="S164" s="1429"/>
      <c r="T164" s="1429"/>
      <c r="U164" s="1429"/>
      <c r="V164" s="1429"/>
      <c r="W164" s="1429"/>
      <c r="X164" s="1429"/>
      <c r="Y164" s="1429"/>
    </row>
    <row r="165" spans="1:25">
      <c r="A165" s="1428"/>
      <c r="B165" s="1428"/>
      <c r="C165" s="1428"/>
      <c r="D165" s="1428"/>
      <c r="E165" s="1428"/>
      <c r="I165" s="1413"/>
      <c r="J165" s="1413"/>
      <c r="K165" s="1413"/>
      <c r="L165" s="1413"/>
      <c r="M165" s="1413"/>
      <c r="N165" s="1413"/>
      <c r="O165" s="1413"/>
      <c r="P165" s="1489"/>
      <c r="R165" s="1429"/>
      <c r="S165" s="1429"/>
      <c r="T165" s="1429"/>
      <c r="U165" s="1429"/>
      <c r="V165" s="1429"/>
      <c r="W165" s="1429"/>
      <c r="X165" s="1429"/>
      <c r="Y165" s="1429"/>
    </row>
    <row r="166" spans="1:25">
      <c r="A166" s="1428"/>
      <c r="B166" s="1428"/>
      <c r="C166" s="1428"/>
      <c r="D166" s="1428"/>
      <c r="E166" s="1428"/>
      <c r="I166" s="1413"/>
      <c r="J166" s="1413"/>
      <c r="K166" s="1413"/>
      <c r="L166" s="1413"/>
      <c r="M166" s="1413"/>
      <c r="N166" s="1413"/>
      <c r="O166" s="1413"/>
      <c r="P166" s="1489"/>
      <c r="R166" s="1429"/>
      <c r="S166" s="1429"/>
      <c r="T166" s="1429"/>
      <c r="U166" s="1429"/>
      <c r="V166" s="1429"/>
      <c r="W166" s="1429"/>
      <c r="X166" s="1429"/>
      <c r="Y166" s="1429"/>
    </row>
    <row r="167" spans="1:25">
      <c r="A167" s="1428"/>
      <c r="B167" s="1428"/>
      <c r="C167" s="1428"/>
      <c r="D167" s="1428"/>
      <c r="E167" s="1428"/>
      <c r="I167" s="1413"/>
      <c r="J167" s="1413"/>
      <c r="K167" s="1413"/>
      <c r="L167" s="1413"/>
      <c r="M167" s="1413"/>
      <c r="N167" s="1413"/>
      <c r="O167" s="1413"/>
      <c r="P167" s="1489"/>
      <c r="R167" s="1429"/>
      <c r="S167" s="1429"/>
      <c r="T167" s="1429"/>
      <c r="U167" s="1429"/>
      <c r="V167" s="1429"/>
      <c r="W167" s="1429"/>
      <c r="X167" s="1429"/>
      <c r="Y167" s="1429"/>
    </row>
    <row r="168" spans="1:25">
      <c r="A168" s="1428"/>
      <c r="B168" s="1428"/>
      <c r="C168" s="1428"/>
      <c r="D168" s="1428"/>
      <c r="E168" s="1428"/>
      <c r="I168" s="1413"/>
      <c r="J168" s="1413"/>
      <c r="K168" s="1413"/>
      <c r="L168" s="1413"/>
      <c r="M168" s="1413"/>
      <c r="N168" s="1413"/>
      <c r="O168" s="1413"/>
      <c r="P168" s="1489"/>
      <c r="R168" s="1429"/>
      <c r="S168" s="1429"/>
      <c r="T168" s="1429"/>
      <c r="U168" s="1429"/>
      <c r="V168" s="1429"/>
      <c r="W168" s="1429"/>
      <c r="X168" s="1429"/>
      <c r="Y168" s="1429"/>
    </row>
    <row r="169" spans="1:25">
      <c r="A169" s="1428"/>
      <c r="B169" s="1428"/>
      <c r="C169" s="1428"/>
      <c r="D169" s="1428"/>
      <c r="E169" s="1428"/>
      <c r="I169" s="1413"/>
      <c r="J169" s="1413"/>
      <c r="K169" s="1413"/>
      <c r="L169" s="1413"/>
      <c r="M169" s="1413"/>
      <c r="N169" s="1413"/>
      <c r="O169" s="1413"/>
      <c r="P169" s="1489"/>
      <c r="R169" s="1429"/>
      <c r="S169" s="1429"/>
      <c r="T169" s="1429"/>
      <c r="U169" s="1429"/>
      <c r="V169" s="1429"/>
      <c r="W169" s="1429"/>
      <c r="X169" s="1429"/>
      <c r="Y169" s="1429"/>
    </row>
    <row r="170" spans="1:25">
      <c r="A170" s="1428"/>
      <c r="B170" s="1428"/>
      <c r="C170" s="1428"/>
      <c r="D170" s="1428"/>
      <c r="E170" s="1428"/>
      <c r="I170" s="1413"/>
      <c r="J170" s="1413"/>
      <c r="K170" s="1413"/>
      <c r="L170" s="1413"/>
      <c r="M170" s="1413"/>
      <c r="N170" s="1413"/>
      <c r="O170" s="1413"/>
      <c r="P170" s="1489"/>
      <c r="R170" s="1429"/>
      <c r="S170" s="1429"/>
      <c r="T170" s="1429"/>
      <c r="U170" s="1429"/>
      <c r="V170" s="1429"/>
      <c r="W170" s="1429"/>
      <c r="X170" s="1429"/>
      <c r="Y170" s="1429"/>
    </row>
    <row r="171" spans="1:25">
      <c r="A171" s="1428"/>
      <c r="B171" s="1428"/>
      <c r="C171" s="1428"/>
      <c r="D171" s="1428"/>
      <c r="E171" s="1428"/>
      <c r="I171" s="1413"/>
      <c r="J171" s="1413"/>
      <c r="K171" s="1413"/>
      <c r="L171" s="1413"/>
      <c r="M171" s="1413"/>
      <c r="N171" s="1413"/>
      <c r="O171" s="1413"/>
      <c r="P171" s="1489"/>
      <c r="R171" s="1429"/>
      <c r="S171" s="1429"/>
      <c r="T171" s="1429"/>
      <c r="U171" s="1429"/>
      <c r="V171" s="1429"/>
      <c r="W171" s="1429"/>
      <c r="X171" s="1429"/>
      <c r="Y171" s="1429"/>
    </row>
    <row r="172" spans="1:25">
      <c r="A172" s="1428"/>
      <c r="B172" s="1428"/>
      <c r="C172" s="1428"/>
      <c r="D172" s="1428"/>
      <c r="E172" s="1428"/>
      <c r="I172" s="1413"/>
      <c r="J172" s="1413"/>
      <c r="K172" s="1413"/>
      <c r="L172" s="1413"/>
      <c r="M172" s="1413"/>
      <c r="N172" s="1413"/>
      <c r="O172" s="1413"/>
      <c r="P172" s="1489"/>
      <c r="R172" s="1429"/>
      <c r="S172" s="1429"/>
      <c r="T172" s="1429"/>
      <c r="U172" s="1429"/>
      <c r="V172" s="1429"/>
      <c r="W172" s="1429"/>
      <c r="X172" s="1429"/>
      <c r="Y172" s="1429"/>
    </row>
    <row r="173" spans="1:25">
      <c r="A173" s="1428"/>
      <c r="B173" s="1428"/>
      <c r="C173" s="1428"/>
      <c r="D173" s="1428"/>
      <c r="E173" s="1428"/>
      <c r="I173" s="1413"/>
      <c r="J173" s="1413"/>
      <c r="K173" s="1413"/>
      <c r="L173" s="1413"/>
      <c r="M173" s="1413"/>
      <c r="N173" s="1413"/>
      <c r="O173" s="1413"/>
      <c r="P173" s="1489"/>
      <c r="R173" s="1429"/>
      <c r="S173" s="1429"/>
      <c r="T173" s="1429"/>
      <c r="U173" s="1429"/>
      <c r="V173" s="1429"/>
      <c r="W173" s="1429"/>
      <c r="X173" s="1429"/>
      <c r="Y173" s="1429"/>
    </row>
    <row r="174" spans="1:25">
      <c r="A174" s="1428"/>
      <c r="B174" s="1428"/>
      <c r="C174" s="1428"/>
      <c r="D174" s="1428"/>
      <c r="E174" s="1428"/>
      <c r="I174" s="1413"/>
      <c r="J174" s="1413"/>
      <c r="K174" s="1413"/>
      <c r="L174" s="1413"/>
      <c r="M174" s="1413"/>
      <c r="N174" s="1413"/>
      <c r="O174" s="1413"/>
      <c r="P174" s="1489"/>
      <c r="R174" s="1429"/>
      <c r="S174" s="1429"/>
      <c r="T174" s="1429"/>
      <c r="U174" s="1429"/>
      <c r="V174" s="1429"/>
      <c r="W174" s="1429"/>
      <c r="X174" s="1429"/>
      <c r="Y174" s="1429"/>
    </row>
    <row r="175" spans="1:25">
      <c r="A175" s="1428"/>
      <c r="B175" s="1428"/>
      <c r="C175" s="1428"/>
      <c r="D175" s="1428"/>
      <c r="E175" s="1428"/>
      <c r="I175" s="1413"/>
      <c r="J175" s="1413"/>
      <c r="K175" s="1413"/>
      <c r="L175" s="1413"/>
      <c r="M175" s="1413"/>
      <c r="N175" s="1413"/>
      <c r="O175" s="1413"/>
      <c r="P175" s="1489"/>
      <c r="R175" s="1429"/>
      <c r="S175" s="1429"/>
      <c r="T175" s="1429"/>
      <c r="U175" s="1429"/>
      <c r="V175" s="1429"/>
      <c r="W175" s="1429"/>
      <c r="X175" s="1429"/>
      <c r="Y175" s="1429"/>
    </row>
    <row r="176" spans="1:25">
      <c r="A176" s="1428"/>
      <c r="B176" s="1428"/>
      <c r="C176" s="1428"/>
      <c r="D176" s="1428"/>
      <c r="E176" s="1428"/>
      <c r="I176" s="1413"/>
      <c r="J176" s="1413"/>
      <c r="K176" s="1413"/>
      <c r="L176" s="1413"/>
      <c r="M176" s="1413"/>
      <c r="N176" s="1413"/>
      <c r="O176" s="1413"/>
      <c r="P176" s="1489"/>
      <c r="R176" s="1429"/>
      <c r="S176" s="1429"/>
      <c r="T176" s="1429"/>
      <c r="U176" s="1429"/>
      <c r="V176" s="1429"/>
      <c r="W176" s="1429"/>
      <c r="X176" s="1429"/>
      <c r="Y176" s="1429"/>
    </row>
    <row r="177" spans="1:25">
      <c r="A177" s="1428"/>
      <c r="B177" s="1428"/>
      <c r="C177" s="1428"/>
      <c r="D177" s="1428"/>
      <c r="E177" s="1428"/>
      <c r="I177" s="1413"/>
      <c r="J177" s="1413"/>
      <c r="K177" s="1413"/>
      <c r="L177" s="1413"/>
      <c r="M177" s="1413"/>
      <c r="N177" s="1413"/>
      <c r="O177" s="1413"/>
      <c r="P177" s="1489"/>
      <c r="R177" s="1429"/>
      <c r="S177" s="1429"/>
      <c r="T177" s="1429"/>
      <c r="U177" s="1429"/>
      <c r="V177" s="1429"/>
      <c r="W177" s="1429"/>
      <c r="X177" s="1429"/>
      <c r="Y177" s="1429"/>
    </row>
    <row r="178" spans="1:25">
      <c r="A178" s="1428"/>
      <c r="B178" s="1428"/>
      <c r="C178" s="1428"/>
      <c r="D178" s="1428"/>
      <c r="E178" s="1428"/>
      <c r="I178" s="1413"/>
      <c r="J178" s="1413"/>
      <c r="K178" s="1413"/>
      <c r="L178" s="1413"/>
      <c r="M178" s="1413"/>
      <c r="N178" s="1413"/>
      <c r="O178" s="1413"/>
      <c r="P178" s="1489"/>
      <c r="R178" s="1429"/>
      <c r="S178" s="1429"/>
      <c r="T178" s="1429"/>
      <c r="U178" s="1429"/>
      <c r="V178" s="1429"/>
      <c r="W178" s="1429"/>
      <c r="X178" s="1429"/>
      <c r="Y178" s="1429"/>
    </row>
    <row r="179" spans="1:25">
      <c r="A179" s="1428"/>
      <c r="B179" s="1428"/>
      <c r="C179" s="1428"/>
      <c r="D179" s="1428"/>
      <c r="E179" s="1428"/>
      <c r="I179" s="1413"/>
      <c r="J179" s="1413"/>
      <c r="K179" s="1413"/>
      <c r="L179" s="1413"/>
      <c r="M179" s="1413"/>
      <c r="N179" s="1413"/>
      <c r="O179" s="1413"/>
      <c r="P179" s="1489"/>
      <c r="R179" s="1429"/>
      <c r="S179" s="1429"/>
      <c r="T179" s="1429"/>
      <c r="U179" s="1429"/>
      <c r="V179" s="1429"/>
      <c r="W179" s="1429"/>
      <c r="X179" s="1429"/>
      <c r="Y179" s="1429"/>
    </row>
    <row r="180" spans="1:25">
      <c r="A180" s="1428"/>
      <c r="B180" s="1428"/>
      <c r="C180" s="1428"/>
      <c r="D180" s="1428"/>
      <c r="E180" s="1428"/>
      <c r="I180" s="1413"/>
      <c r="J180" s="1413"/>
      <c r="K180" s="1413"/>
      <c r="L180" s="1413"/>
      <c r="M180" s="1413"/>
      <c r="N180" s="1413"/>
      <c r="O180" s="1413"/>
      <c r="P180" s="1489"/>
      <c r="R180" s="1429"/>
      <c r="S180" s="1429"/>
      <c r="T180" s="1429"/>
      <c r="U180" s="1429"/>
      <c r="V180" s="1429"/>
      <c r="W180" s="1429"/>
      <c r="X180" s="1429"/>
      <c r="Y180" s="1429"/>
    </row>
    <row r="181" spans="1:25">
      <c r="A181" s="1428"/>
      <c r="B181" s="1428"/>
      <c r="C181" s="1428"/>
      <c r="D181" s="1428"/>
      <c r="E181" s="1428"/>
      <c r="I181" s="1413"/>
      <c r="J181" s="1413"/>
      <c r="K181" s="1413"/>
      <c r="L181" s="1413"/>
      <c r="M181" s="1413"/>
      <c r="N181" s="1413"/>
      <c r="O181" s="1413"/>
      <c r="P181" s="1489"/>
      <c r="R181" s="1429"/>
      <c r="S181" s="1429"/>
      <c r="T181" s="1429"/>
      <c r="U181" s="1429"/>
      <c r="V181" s="1429"/>
      <c r="W181" s="1429"/>
      <c r="X181" s="1429"/>
      <c r="Y181" s="1429"/>
    </row>
    <row r="182" spans="1:25">
      <c r="A182" s="1428"/>
      <c r="B182" s="1428"/>
      <c r="C182" s="1428"/>
      <c r="D182" s="1428"/>
      <c r="E182" s="1428"/>
      <c r="I182" s="1413"/>
      <c r="J182" s="1413"/>
      <c r="K182" s="1413"/>
      <c r="L182" s="1413"/>
      <c r="M182" s="1413"/>
      <c r="N182" s="1413"/>
      <c r="O182" s="1413"/>
      <c r="P182" s="1489"/>
      <c r="R182" s="1429"/>
      <c r="S182" s="1429"/>
      <c r="T182" s="1429"/>
      <c r="U182" s="1429"/>
      <c r="V182" s="1429"/>
      <c r="W182" s="1429"/>
      <c r="X182" s="1429"/>
      <c r="Y182" s="1429"/>
    </row>
    <row r="183" spans="1:25">
      <c r="A183" s="1428"/>
      <c r="B183" s="1428"/>
      <c r="C183" s="1428"/>
      <c r="D183" s="1428"/>
      <c r="E183" s="1428"/>
      <c r="I183" s="1413"/>
      <c r="J183" s="1413"/>
      <c r="K183" s="1413"/>
      <c r="L183" s="1413"/>
      <c r="M183" s="1413"/>
      <c r="N183" s="1413"/>
      <c r="O183" s="1413"/>
      <c r="P183" s="1489"/>
      <c r="R183" s="1429"/>
      <c r="S183" s="1429"/>
      <c r="T183" s="1429"/>
      <c r="U183" s="1429"/>
      <c r="V183" s="1429"/>
      <c r="W183" s="1429"/>
      <c r="X183" s="1429"/>
      <c r="Y183" s="1429"/>
    </row>
    <row r="184" spans="1:25">
      <c r="A184" s="1428"/>
      <c r="B184" s="1428"/>
      <c r="C184" s="1428"/>
      <c r="D184" s="1428"/>
      <c r="E184" s="1428"/>
      <c r="I184" s="1413"/>
      <c r="J184" s="1413"/>
      <c r="K184" s="1413"/>
      <c r="L184" s="1413"/>
      <c r="M184" s="1413"/>
      <c r="N184" s="1413"/>
      <c r="O184" s="1413"/>
      <c r="P184" s="1489"/>
      <c r="R184" s="1429"/>
      <c r="S184" s="1429"/>
      <c r="T184" s="1429"/>
      <c r="U184" s="1429"/>
      <c r="V184" s="1429"/>
      <c r="W184" s="1429"/>
      <c r="X184" s="1429"/>
      <c r="Y184" s="1429"/>
    </row>
    <row r="185" spans="1:25">
      <c r="A185" s="1428"/>
      <c r="B185" s="1428"/>
      <c r="C185" s="1428"/>
      <c r="D185" s="1428"/>
      <c r="E185" s="1428"/>
      <c r="I185" s="1413"/>
      <c r="J185" s="1413"/>
      <c r="K185" s="1413"/>
      <c r="L185" s="1413"/>
      <c r="M185" s="1413"/>
      <c r="N185" s="1413"/>
      <c r="O185" s="1413"/>
      <c r="P185" s="1489"/>
      <c r="R185" s="1429"/>
      <c r="S185" s="1429"/>
      <c r="T185" s="1429"/>
      <c r="U185" s="1429"/>
      <c r="V185" s="1429"/>
      <c r="W185" s="1429"/>
      <c r="X185" s="1429"/>
      <c r="Y185" s="1429"/>
    </row>
    <row r="186" spans="1:25">
      <c r="A186" s="1428"/>
      <c r="B186" s="1428"/>
      <c r="C186" s="1428"/>
      <c r="D186" s="1428"/>
      <c r="E186" s="1428"/>
      <c r="I186" s="1413"/>
      <c r="J186" s="1413"/>
      <c r="K186" s="1413"/>
      <c r="L186" s="1413"/>
      <c r="M186" s="1413"/>
      <c r="N186" s="1413"/>
      <c r="O186" s="1413"/>
      <c r="P186" s="1489"/>
      <c r="R186" s="1429"/>
      <c r="S186" s="1429"/>
      <c r="T186" s="1429"/>
      <c r="U186" s="1429"/>
      <c r="V186" s="1429"/>
      <c r="W186" s="1429"/>
      <c r="X186" s="1429"/>
      <c r="Y186" s="1429"/>
    </row>
    <row r="187" spans="1:25">
      <c r="A187" s="1428"/>
      <c r="B187" s="1428"/>
      <c r="C187" s="1428"/>
      <c r="D187" s="1428"/>
      <c r="E187" s="1428"/>
      <c r="I187" s="1413"/>
      <c r="J187" s="1413"/>
      <c r="K187" s="1413"/>
      <c r="L187" s="1413"/>
      <c r="M187" s="1413"/>
      <c r="N187" s="1413"/>
      <c r="O187" s="1413"/>
      <c r="P187" s="1489"/>
      <c r="R187" s="1429"/>
      <c r="S187" s="1429"/>
      <c r="T187" s="1429"/>
      <c r="U187" s="1429"/>
      <c r="V187" s="1429"/>
      <c r="W187" s="1429"/>
      <c r="X187" s="1429"/>
      <c r="Y187" s="1429"/>
    </row>
    <row r="188" spans="1:25">
      <c r="A188" s="1428"/>
      <c r="B188" s="1428"/>
      <c r="C188" s="1428"/>
      <c r="D188" s="1428"/>
      <c r="E188" s="1428"/>
      <c r="I188" s="1413"/>
      <c r="J188" s="1413"/>
      <c r="K188" s="1413"/>
      <c r="L188" s="1413"/>
      <c r="M188" s="1413"/>
      <c r="N188" s="1413"/>
      <c r="O188" s="1413"/>
      <c r="P188" s="1489"/>
      <c r="R188" s="1429"/>
      <c r="S188" s="1429"/>
      <c r="T188" s="1429"/>
      <c r="U188" s="1429"/>
      <c r="V188" s="1429"/>
      <c r="W188" s="1429"/>
      <c r="X188" s="1429"/>
      <c r="Y188" s="1429"/>
    </row>
    <row r="189" spans="1:25">
      <c r="A189" s="1428"/>
      <c r="B189" s="1428"/>
      <c r="C189" s="1428"/>
      <c r="D189" s="1428"/>
      <c r="E189" s="1428"/>
      <c r="I189" s="1413"/>
      <c r="J189" s="1413"/>
      <c r="K189" s="1413"/>
      <c r="L189" s="1413"/>
      <c r="M189" s="1413"/>
      <c r="N189" s="1413"/>
      <c r="O189" s="1413"/>
      <c r="P189" s="1489"/>
      <c r="R189" s="1429"/>
      <c r="S189" s="1429"/>
      <c r="T189" s="1429"/>
      <c r="U189" s="1429"/>
      <c r="V189" s="1429"/>
      <c r="W189" s="1429"/>
      <c r="X189" s="1429"/>
      <c r="Y189" s="1429"/>
    </row>
    <row r="190" spans="1:25">
      <c r="A190" s="1428"/>
      <c r="B190" s="1428"/>
      <c r="C190" s="1428"/>
      <c r="D190" s="1428"/>
      <c r="E190" s="1428"/>
      <c r="I190" s="1413"/>
      <c r="J190" s="1413"/>
      <c r="K190" s="1413"/>
      <c r="L190" s="1413"/>
      <c r="M190" s="1413"/>
      <c r="N190" s="1413"/>
      <c r="O190" s="1413"/>
      <c r="P190" s="1489"/>
      <c r="R190" s="1429"/>
      <c r="S190" s="1429"/>
      <c r="T190" s="1429"/>
      <c r="U190" s="1429"/>
      <c r="V190" s="1429"/>
      <c r="W190" s="1429"/>
      <c r="X190" s="1429"/>
      <c r="Y190" s="1429"/>
    </row>
    <row r="191" spans="1:25">
      <c r="A191" s="1428"/>
      <c r="B191" s="1428"/>
      <c r="C191" s="1428"/>
      <c r="D191" s="1428"/>
      <c r="E191" s="1428"/>
      <c r="I191" s="1413"/>
      <c r="J191" s="1413"/>
      <c r="K191" s="1413"/>
      <c r="L191" s="1413"/>
      <c r="M191" s="1413"/>
      <c r="N191" s="1413"/>
      <c r="O191" s="1413"/>
      <c r="P191" s="1489"/>
      <c r="R191" s="1429"/>
      <c r="S191" s="1429"/>
      <c r="T191" s="1429"/>
      <c r="U191" s="1429"/>
      <c r="V191" s="1429"/>
      <c r="W191" s="1429"/>
      <c r="X191" s="1429"/>
      <c r="Y191" s="1429"/>
    </row>
    <row r="192" spans="1:25">
      <c r="A192" s="1428"/>
      <c r="B192" s="1428"/>
      <c r="C192" s="1428"/>
      <c r="D192" s="1428"/>
      <c r="E192" s="1428"/>
      <c r="I192" s="1413"/>
      <c r="J192" s="1413"/>
      <c r="K192" s="1413"/>
      <c r="L192" s="1413"/>
      <c r="M192" s="1413"/>
      <c r="N192" s="1413"/>
      <c r="O192" s="1413"/>
      <c r="P192" s="1489"/>
      <c r="R192" s="1429"/>
      <c r="S192" s="1429"/>
      <c r="T192" s="1429"/>
      <c r="U192" s="1429"/>
      <c r="V192" s="1429"/>
      <c r="W192" s="1429"/>
      <c r="X192" s="1429"/>
      <c r="Y192" s="1429"/>
    </row>
    <row r="193" spans="1:25">
      <c r="A193" s="1428"/>
      <c r="B193" s="1428"/>
      <c r="C193" s="1428"/>
      <c r="D193" s="1428"/>
      <c r="E193" s="1428"/>
      <c r="I193" s="1413"/>
      <c r="J193" s="1413"/>
      <c r="K193" s="1413"/>
      <c r="L193" s="1413"/>
      <c r="M193" s="1413"/>
      <c r="N193" s="1413"/>
      <c r="O193" s="1413"/>
      <c r="P193" s="1489"/>
      <c r="R193" s="1429"/>
      <c r="S193" s="1429"/>
      <c r="T193" s="1429"/>
      <c r="U193" s="1429"/>
      <c r="V193" s="1429"/>
      <c r="W193" s="1429"/>
      <c r="X193" s="1429"/>
      <c r="Y193" s="1429"/>
    </row>
    <row r="194" spans="1:25">
      <c r="A194" s="1428"/>
      <c r="B194" s="1428"/>
      <c r="C194" s="1428"/>
      <c r="D194" s="1428"/>
      <c r="E194" s="1428"/>
      <c r="I194" s="1413"/>
      <c r="J194" s="1413"/>
      <c r="K194" s="1413"/>
      <c r="L194" s="1413"/>
      <c r="M194" s="1413"/>
      <c r="N194" s="1413"/>
      <c r="O194" s="1413"/>
      <c r="P194" s="1489"/>
      <c r="R194" s="1429"/>
      <c r="S194" s="1429"/>
      <c r="T194" s="1429"/>
      <c r="U194" s="1429"/>
      <c r="V194" s="1429"/>
      <c r="W194" s="1429"/>
      <c r="X194" s="1429"/>
      <c r="Y194" s="1429"/>
    </row>
    <row r="195" spans="1:25">
      <c r="A195" s="1428"/>
      <c r="B195" s="1428"/>
      <c r="C195" s="1428"/>
      <c r="D195" s="1428"/>
      <c r="E195" s="1428"/>
      <c r="I195" s="1413"/>
      <c r="J195" s="1413"/>
      <c r="K195" s="1413"/>
      <c r="L195" s="1413"/>
      <c r="M195" s="1413"/>
      <c r="N195" s="1413"/>
      <c r="O195" s="1413"/>
      <c r="P195" s="1489"/>
      <c r="R195" s="1429"/>
      <c r="S195" s="1429"/>
      <c r="T195" s="1429"/>
      <c r="U195" s="1429"/>
      <c r="V195" s="1429"/>
      <c r="W195" s="1429"/>
      <c r="X195" s="1429"/>
      <c r="Y195" s="1429"/>
    </row>
    <row r="196" spans="1:25">
      <c r="A196" s="1428"/>
      <c r="B196" s="1428"/>
      <c r="C196" s="1428"/>
      <c r="D196" s="1428"/>
      <c r="E196" s="1428"/>
      <c r="I196" s="1413"/>
      <c r="J196" s="1413"/>
      <c r="K196" s="1413"/>
      <c r="L196" s="1413"/>
      <c r="M196" s="1413"/>
      <c r="N196" s="1413"/>
      <c r="O196" s="1413"/>
      <c r="P196" s="1489"/>
      <c r="R196" s="1429"/>
      <c r="S196" s="1429"/>
      <c r="T196" s="1429"/>
      <c r="U196" s="1429"/>
      <c r="V196" s="1429"/>
      <c r="W196" s="1429"/>
      <c r="X196" s="1429"/>
      <c r="Y196" s="1429"/>
    </row>
    <row r="197" spans="1:25">
      <c r="A197" s="1428"/>
      <c r="B197" s="1428"/>
      <c r="C197" s="1428"/>
      <c r="D197" s="1428"/>
      <c r="E197" s="1428"/>
      <c r="I197" s="1413"/>
      <c r="J197" s="1413"/>
      <c r="K197" s="1413"/>
      <c r="L197" s="1413"/>
      <c r="M197" s="1413"/>
      <c r="N197" s="1413"/>
      <c r="O197" s="1413"/>
      <c r="P197" s="1489"/>
      <c r="R197" s="1429"/>
      <c r="S197" s="1429"/>
      <c r="T197" s="1429"/>
      <c r="U197" s="1429"/>
      <c r="V197" s="1429"/>
      <c r="W197" s="1429"/>
      <c r="X197" s="1429"/>
      <c r="Y197" s="1429"/>
    </row>
    <row r="198" spans="1:25">
      <c r="A198" s="1428"/>
      <c r="B198" s="1428"/>
      <c r="C198" s="1428"/>
      <c r="D198" s="1428"/>
      <c r="E198" s="1428"/>
      <c r="I198" s="1413"/>
      <c r="J198" s="1413"/>
      <c r="K198" s="1413"/>
      <c r="L198" s="1413"/>
      <c r="M198" s="1413"/>
      <c r="N198" s="1413"/>
      <c r="O198" s="1413"/>
      <c r="P198" s="1489"/>
      <c r="R198" s="1429"/>
      <c r="S198" s="1429"/>
      <c r="T198" s="1429"/>
      <c r="U198" s="1429"/>
      <c r="V198" s="1429"/>
      <c r="W198" s="1429"/>
      <c r="X198" s="1429"/>
      <c r="Y198" s="1429"/>
    </row>
    <row r="199" spans="1:25">
      <c r="A199" s="1428"/>
      <c r="B199" s="1428"/>
      <c r="C199" s="1428"/>
      <c r="D199" s="1428"/>
      <c r="E199" s="1428"/>
      <c r="I199" s="1413"/>
      <c r="J199" s="1413"/>
      <c r="K199" s="1413"/>
      <c r="L199" s="1413"/>
      <c r="M199" s="1413"/>
      <c r="N199" s="1413"/>
      <c r="O199" s="1413"/>
      <c r="P199" s="1489"/>
      <c r="R199" s="1429"/>
      <c r="S199" s="1429"/>
      <c r="T199" s="1429"/>
      <c r="U199" s="1429"/>
      <c r="V199" s="1429"/>
      <c r="W199" s="1429"/>
      <c r="X199" s="1429"/>
      <c r="Y199" s="1429"/>
    </row>
    <row r="200" spans="1:25">
      <c r="A200" s="1428"/>
      <c r="B200" s="1428"/>
      <c r="C200" s="1428"/>
      <c r="D200" s="1428"/>
      <c r="E200" s="1428"/>
      <c r="I200" s="1413"/>
      <c r="J200" s="1413"/>
      <c r="K200" s="1413"/>
      <c r="L200" s="1413"/>
      <c r="M200" s="1413"/>
      <c r="N200" s="1413"/>
      <c r="O200" s="1413"/>
      <c r="P200" s="1489"/>
      <c r="R200" s="1429"/>
      <c r="S200" s="1429"/>
      <c r="T200" s="1429"/>
      <c r="U200" s="1429"/>
      <c r="V200" s="1429"/>
      <c r="W200" s="1429"/>
      <c r="X200" s="1429"/>
      <c r="Y200" s="1429"/>
    </row>
    <row r="201" spans="1:25">
      <c r="A201" s="1428"/>
      <c r="B201" s="1428"/>
      <c r="C201" s="1428"/>
      <c r="D201" s="1428"/>
      <c r="E201" s="1428"/>
      <c r="I201" s="1413"/>
      <c r="J201" s="1413"/>
      <c r="K201" s="1413"/>
      <c r="L201" s="1413"/>
      <c r="M201" s="1413"/>
      <c r="N201" s="1413"/>
      <c r="O201" s="1413"/>
      <c r="P201" s="1489"/>
      <c r="R201" s="1429"/>
      <c r="S201" s="1429"/>
      <c r="T201" s="1429"/>
      <c r="U201" s="1429"/>
      <c r="V201" s="1429"/>
      <c r="W201" s="1429"/>
      <c r="X201" s="1429"/>
      <c r="Y201" s="1429"/>
    </row>
    <row r="202" spans="1:25">
      <c r="A202" s="1428"/>
      <c r="B202" s="1428"/>
      <c r="C202" s="1428"/>
      <c r="D202" s="1428"/>
      <c r="E202" s="1428"/>
      <c r="I202" s="1413"/>
      <c r="J202" s="1413"/>
      <c r="K202" s="1413"/>
      <c r="L202" s="1413"/>
      <c r="M202" s="1413"/>
      <c r="N202" s="1413"/>
      <c r="O202" s="1413"/>
      <c r="P202" s="1489"/>
      <c r="R202" s="1429"/>
      <c r="S202" s="1429"/>
      <c r="T202" s="1429"/>
      <c r="U202" s="1429"/>
      <c r="V202" s="1429"/>
      <c r="W202" s="1429"/>
      <c r="X202" s="1429"/>
      <c r="Y202" s="1429"/>
    </row>
    <row r="203" spans="1:25">
      <c r="A203" s="1428"/>
      <c r="B203" s="1428"/>
      <c r="C203" s="1428"/>
      <c r="D203" s="1428"/>
      <c r="E203" s="1428"/>
      <c r="I203" s="1413"/>
      <c r="J203" s="1413"/>
      <c r="K203" s="1413"/>
      <c r="L203" s="1413"/>
      <c r="M203" s="1413"/>
      <c r="N203" s="1413"/>
      <c r="O203" s="1413"/>
      <c r="P203" s="1489"/>
      <c r="R203" s="1429"/>
      <c r="S203" s="1429"/>
      <c r="T203" s="1429"/>
      <c r="U203" s="1429"/>
      <c r="V203" s="1429"/>
      <c r="W203" s="1429"/>
      <c r="X203" s="1429"/>
      <c r="Y203" s="1429"/>
    </row>
    <row r="204" spans="1:25">
      <c r="A204" s="1428"/>
      <c r="B204" s="1428"/>
      <c r="C204" s="1428"/>
      <c r="D204" s="1428"/>
      <c r="E204" s="1428"/>
      <c r="I204" s="1413"/>
      <c r="J204" s="1413"/>
      <c r="K204" s="1413"/>
      <c r="L204" s="1413"/>
      <c r="M204" s="1413"/>
      <c r="N204" s="1413"/>
      <c r="O204" s="1413"/>
      <c r="P204" s="1489"/>
      <c r="R204" s="1429"/>
      <c r="S204" s="1429"/>
      <c r="T204" s="1429"/>
      <c r="U204" s="1429"/>
      <c r="V204" s="1429"/>
      <c r="W204" s="1429"/>
      <c r="X204" s="1429"/>
      <c r="Y204" s="1429"/>
    </row>
    <row r="205" spans="1:25">
      <c r="A205" s="1428"/>
      <c r="B205" s="1428"/>
      <c r="C205" s="1428"/>
      <c r="D205" s="1428"/>
      <c r="E205" s="1428"/>
      <c r="I205" s="1413"/>
      <c r="J205" s="1413"/>
      <c r="K205" s="1413"/>
      <c r="L205" s="1413"/>
      <c r="M205" s="1413"/>
      <c r="N205" s="1413"/>
      <c r="O205" s="1413"/>
      <c r="P205" s="1489"/>
      <c r="R205" s="1429"/>
      <c r="S205" s="1429"/>
      <c r="T205" s="1429"/>
      <c r="U205" s="1429"/>
      <c r="V205" s="1429"/>
      <c r="W205" s="1429"/>
      <c r="X205" s="1429"/>
      <c r="Y205" s="1429"/>
    </row>
    <row r="206" spans="1:25">
      <c r="A206" s="1428"/>
      <c r="B206" s="1428"/>
      <c r="C206" s="1428"/>
      <c r="D206" s="1428"/>
      <c r="E206" s="1428"/>
      <c r="I206" s="1413"/>
      <c r="J206" s="1413"/>
      <c r="K206" s="1413"/>
      <c r="L206" s="1413"/>
      <c r="M206" s="1413"/>
      <c r="N206" s="1413"/>
      <c r="O206" s="1413"/>
      <c r="P206" s="1489"/>
      <c r="R206" s="1429"/>
      <c r="S206" s="1429"/>
      <c r="T206" s="1429"/>
      <c r="U206" s="1429"/>
      <c r="V206" s="1429"/>
      <c r="W206" s="1429"/>
      <c r="X206" s="1429"/>
      <c r="Y206" s="1429"/>
    </row>
    <row r="207" spans="1:25">
      <c r="A207" s="1428"/>
      <c r="B207" s="1428"/>
      <c r="C207" s="1428"/>
      <c r="D207" s="1428"/>
      <c r="E207" s="1428"/>
      <c r="I207" s="1413"/>
      <c r="J207" s="1413"/>
      <c r="K207" s="1413"/>
      <c r="L207" s="1413"/>
      <c r="M207" s="1413"/>
      <c r="N207" s="1413"/>
      <c r="O207" s="1413"/>
      <c r="P207" s="1489"/>
      <c r="R207" s="1429"/>
      <c r="S207" s="1429"/>
      <c r="T207" s="1429"/>
      <c r="U207" s="1429"/>
      <c r="V207" s="1429"/>
      <c r="W207" s="1429"/>
      <c r="X207" s="1429"/>
      <c r="Y207" s="1429"/>
    </row>
    <row r="208" spans="1:25">
      <c r="A208" s="1428"/>
      <c r="B208" s="1428"/>
      <c r="C208" s="1428"/>
      <c r="D208" s="1428"/>
      <c r="E208" s="1428"/>
      <c r="I208" s="1413"/>
      <c r="J208" s="1413"/>
      <c r="K208" s="1413"/>
      <c r="L208" s="1413"/>
      <c r="M208" s="1413"/>
      <c r="N208" s="1413"/>
      <c r="O208" s="1413"/>
      <c r="P208" s="1489"/>
      <c r="R208" s="1429"/>
      <c r="S208" s="1429"/>
      <c r="T208" s="1429"/>
      <c r="U208" s="1429"/>
      <c r="V208" s="1429"/>
      <c r="W208" s="1429"/>
      <c r="X208" s="1429"/>
      <c r="Y208" s="1429"/>
    </row>
    <row r="209" spans="1:25">
      <c r="A209" s="1428"/>
      <c r="B209" s="1428"/>
      <c r="C209" s="1428"/>
      <c r="D209" s="1428"/>
      <c r="E209" s="1428"/>
      <c r="I209" s="1413"/>
      <c r="J209" s="1413"/>
      <c r="K209" s="1413"/>
      <c r="L209" s="1413"/>
      <c r="M209" s="1413"/>
      <c r="N209" s="1413"/>
      <c r="O209" s="1413"/>
      <c r="P209" s="1489"/>
      <c r="R209" s="1429"/>
      <c r="S209" s="1429"/>
      <c r="T209" s="1429"/>
      <c r="U209" s="1429"/>
      <c r="V209" s="1429"/>
      <c r="W209" s="1429"/>
      <c r="X209" s="1429"/>
      <c r="Y209" s="1429"/>
    </row>
    <row r="210" spans="1:25">
      <c r="A210" s="1428"/>
      <c r="B210" s="1428"/>
      <c r="C210" s="1428"/>
      <c r="D210" s="1428"/>
      <c r="E210" s="1428"/>
      <c r="I210" s="1413"/>
      <c r="J210" s="1413"/>
      <c r="K210" s="1413"/>
      <c r="L210" s="1413"/>
      <c r="M210" s="1413"/>
      <c r="N210" s="1413"/>
      <c r="O210" s="1413"/>
      <c r="P210" s="1489"/>
      <c r="R210" s="1429"/>
      <c r="S210" s="1429"/>
      <c r="T210" s="1429"/>
      <c r="U210" s="1429"/>
      <c r="V210" s="1429"/>
      <c r="W210" s="1429"/>
      <c r="X210" s="1429"/>
      <c r="Y210" s="1429"/>
    </row>
    <row r="211" spans="1:25">
      <c r="A211" s="1428"/>
      <c r="B211" s="1428"/>
      <c r="C211" s="1428"/>
      <c r="D211" s="1428"/>
      <c r="E211" s="1428"/>
      <c r="I211" s="1413"/>
      <c r="J211" s="1413"/>
      <c r="K211" s="1413"/>
      <c r="L211" s="1413"/>
      <c r="M211" s="1413"/>
      <c r="N211" s="1413"/>
      <c r="O211" s="1413"/>
      <c r="P211" s="1489"/>
      <c r="R211" s="1429"/>
      <c r="S211" s="1429"/>
      <c r="T211" s="1429"/>
      <c r="U211" s="1429"/>
      <c r="V211" s="1429"/>
      <c r="W211" s="1429"/>
      <c r="X211" s="1429"/>
      <c r="Y211" s="1429"/>
    </row>
    <row r="212" spans="1:25">
      <c r="A212" s="1428"/>
      <c r="B212" s="1428"/>
      <c r="C212" s="1428"/>
      <c r="D212" s="1428"/>
      <c r="E212" s="1428"/>
      <c r="I212" s="1413"/>
      <c r="J212" s="1413"/>
      <c r="K212" s="1413"/>
      <c r="L212" s="1413"/>
      <c r="M212" s="1413"/>
      <c r="N212" s="1413"/>
      <c r="O212" s="1413"/>
      <c r="P212" s="1489"/>
      <c r="R212" s="1429"/>
      <c r="S212" s="1429"/>
      <c r="T212" s="1429"/>
      <c r="U212" s="1429"/>
      <c r="V212" s="1429"/>
      <c r="W212" s="1429"/>
      <c r="X212" s="1429"/>
      <c r="Y212" s="1429"/>
    </row>
    <row r="213" spans="1:25">
      <c r="A213" s="1428"/>
      <c r="B213" s="1428"/>
      <c r="C213" s="1428"/>
      <c r="D213" s="1428"/>
      <c r="E213" s="1428"/>
      <c r="I213" s="1413"/>
      <c r="J213" s="1413"/>
      <c r="K213" s="1413"/>
      <c r="L213" s="1413"/>
      <c r="M213" s="1413"/>
      <c r="N213" s="1413"/>
      <c r="O213" s="1413"/>
      <c r="P213" s="1489"/>
      <c r="R213" s="1429"/>
      <c r="S213" s="1429"/>
      <c r="T213" s="1429"/>
      <c r="U213" s="1429"/>
      <c r="V213" s="1429"/>
      <c r="W213" s="1429"/>
      <c r="X213" s="1429"/>
      <c r="Y213" s="1429"/>
    </row>
    <row r="214" spans="1:25">
      <c r="A214" s="1428"/>
      <c r="B214" s="1428"/>
      <c r="C214" s="1428"/>
      <c r="D214" s="1428"/>
      <c r="E214" s="1428"/>
      <c r="I214" s="1413"/>
      <c r="J214" s="1413"/>
      <c r="K214" s="1413"/>
      <c r="L214" s="1413"/>
      <c r="M214" s="1413"/>
      <c r="N214" s="1413"/>
      <c r="O214" s="1413"/>
      <c r="P214" s="1489"/>
      <c r="R214" s="1429"/>
      <c r="S214" s="1429"/>
      <c r="T214" s="1429"/>
      <c r="U214" s="1429"/>
      <c r="V214" s="1429"/>
      <c r="W214" s="1429"/>
      <c r="X214" s="1429"/>
      <c r="Y214" s="1429"/>
    </row>
    <row r="215" spans="1:25">
      <c r="A215" s="1428"/>
      <c r="B215" s="1428"/>
      <c r="C215" s="1428"/>
      <c r="D215" s="1428"/>
      <c r="E215" s="1428"/>
      <c r="I215" s="1413"/>
      <c r="J215" s="1413"/>
      <c r="K215" s="1413"/>
      <c r="L215" s="1413"/>
      <c r="M215" s="1413"/>
      <c r="N215" s="1413"/>
      <c r="O215" s="1413"/>
      <c r="P215" s="1489"/>
      <c r="R215" s="1429"/>
      <c r="S215" s="1429"/>
      <c r="T215" s="1429"/>
      <c r="U215" s="1429"/>
      <c r="V215" s="1429"/>
      <c r="W215" s="1429"/>
      <c r="X215" s="1429"/>
      <c r="Y215" s="1429"/>
    </row>
    <row r="216" spans="1:25">
      <c r="A216" s="1428"/>
      <c r="B216" s="1428"/>
      <c r="C216" s="1428"/>
      <c r="D216" s="1428"/>
      <c r="E216" s="1428"/>
      <c r="I216" s="1413"/>
      <c r="J216" s="1413"/>
      <c r="K216" s="1413"/>
      <c r="L216" s="1413"/>
      <c r="M216" s="1413"/>
      <c r="N216" s="1413"/>
      <c r="O216" s="1413"/>
      <c r="P216" s="1489"/>
      <c r="R216" s="1429"/>
      <c r="S216" s="1429"/>
      <c r="T216" s="1429"/>
      <c r="U216" s="1429"/>
      <c r="V216" s="1429"/>
      <c r="W216" s="1429"/>
      <c r="X216" s="1429"/>
      <c r="Y216" s="1429"/>
    </row>
    <row r="217" spans="1:25">
      <c r="A217" s="1428"/>
      <c r="B217" s="1428"/>
      <c r="C217" s="1428"/>
      <c r="D217" s="1428"/>
      <c r="E217" s="1428"/>
      <c r="I217" s="1413"/>
      <c r="J217" s="1413"/>
      <c r="K217" s="1413"/>
      <c r="L217" s="1413"/>
      <c r="M217" s="1413"/>
      <c r="N217" s="1413"/>
      <c r="O217" s="1413"/>
      <c r="P217" s="1489"/>
      <c r="R217" s="1429"/>
      <c r="S217" s="1429"/>
      <c r="T217" s="1429"/>
      <c r="U217" s="1429"/>
      <c r="V217" s="1429"/>
      <c r="W217" s="1429"/>
      <c r="X217" s="1429"/>
      <c r="Y217" s="1429"/>
    </row>
    <row r="218" spans="1:25">
      <c r="A218" s="1428"/>
      <c r="B218" s="1428"/>
      <c r="C218" s="1428"/>
      <c r="D218" s="1428"/>
      <c r="E218" s="1428"/>
      <c r="I218" s="1413"/>
      <c r="J218" s="1413"/>
      <c r="K218" s="1413"/>
      <c r="L218" s="1413"/>
      <c r="M218" s="1413"/>
      <c r="N218" s="1413"/>
      <c r="O218" s="1413"/>
      <c r="P218" s="1489"/>
      <c r="R218" s="1429"/>
      <c r="S218" s="1429"/>
      <c r="T218" s="1429"/>
      <c r="U218" s="1429"/>
      <c r="V218" s="1429"/>
      <c r="W218" s="1429"/>
      <c r="X218" s="1429"/>
      <c r="Y218" s="1429"/>
    </row>
    <row r="219" spans="1:25">
      <c r="A219" s="1428"/>
      <c r="B219" s="1428"/>
      <c r="C219" s="1428"/>
      <c r="D219" s="1428"/>
      <c r="E219" s="1428"/>
      <c r="I219" s="1413"/>
      <c r="J219" s="1413"/>
      <c r="K219" s="1413"/>
      <c r="L219" s="1413"/>
      <c r="M219" s="1413"/>
      <c r="N219" s="1413"/>
      <c r="O219" s="1413"/>
      <c r="P219" s="1489"/>
      <c r="R219" s="1429"/>
      <c r="S219" s="1429"/>
      <c r="T219" s="1429"/>
      <c r="U219" s="1429"/>
      <c r="V219" s="1429"/>
      <c r="W219" s="1429"/>
      <c r="X219" s="1429"/>
      <c r="Y219" s="1429"/>
    </row>
    <row r="220" spans="1:25">
      <c r="A220" s="1428"/>
      <c r="B220" s="1428"/>
      <c r="C220" s="1428"/>
      <c r="D220" s="1428"/>
      <c r="E220" s="1428"/>
      <c r="I220" s="1413"/>
      <c r="J220" s="1413"/>
      <c r="K220" s="1413"/>
      <c r="L220" s="1413"/>
      <c r="M220" s="1413"/>
      <c r="N220" s="1413"/>
      <c r="O220" s="1413"/>
      <c r="P220" s="1489"/>
      <c r="R220" s="1429"/>
      <c r="S220" s="1429"/>
      <c r="T220" s="1429"/>
      <c r="U220" s="1429"/>
      <c r="V220" s="1429"/>
      <c r="W220" s="1429"/>
      <c r="X220" s="1429"/>
      <c r="Y220" s="1429"/>
    </row>
    <row r="221" spans="1:25">
      <c r="A221" s="1428"/>
      <c r="B221" s="1428"/>
      <c r="C221" s="1428"/>
      <c r="D221" s="1428"/>
      <c r="E221" s="1428"/>
      <c r="I221" s="1413"/>
      <c r="J221" s="1413"/>
      <c r="K221" s="1413"/>
      <c r="L221" s="1413"/>
      <c r="M221" s="1413"/>
      <c r="N221" s="1413"/>
      <c r="O221" s="1413"/>
      <c r="P221" s="1489"/>
      <c r="R221" s="1429"/>
      <c r="S221" s="1429"/>
      <c r="T221" s="1429"/>
      <c r="U221" s="1429"/>
      <c r="V221" s="1429"/>
      <c r="W221" s="1429"/>
      <c r="X221" s="1429"/>
      <c r="Y221" s="1429"/>
    </row>
    <row r="222" spans="1:25">
      <c r="A222" s="1428"/>
      <c r="B222" s="1428"/>
      <c r="C222" s="1428"/>
      <c r="D222" s="1428"/>
      <c r="E222" s="1428"/>
      <c r="I222" s="1413"/>
      <c r="J222" s="1413"/>
      <c r="K222" s="1413"/>
      <c r="L222" s="1413"/>
      <c r="M222" s="1413"/>
      <c r="N222" s="1413"/>
      <c r="O222" s="1413"/>
      <c r="P222" s="1489"/>
      <c r="R222" s="1429"/>
      <c r="S222" s="1429"/>
      <c r="T222" s="1429"/>
      <c r="U222" s="1429"/>
      <c r="V222" s="1429"/>
      <c r="W222" s="1429"/>
      <c r="X222" s="1429"/>
      <c r="Y222" s="1429"/>
    </row>
    <row r="223" spans="1:25">
      <c r="A223" s="1428"/>
      <c r="B223" s="1428"/>
      <c r="C223" s="1428"/>
      <c r="D223" s="1428"/>
      <c r="E223" s="1428"/>
      <c r="I223" s="1413"/>
      <c r="J223" s="1413"/>
      <c r="K223" s="1413"/>
      <c r="L223" s="1413"/>
      <c r="M223" s="1413"/>
      <c r="N223" s="1413"/>
      <c r="O223" s="1413"/>
      <c r="P223" s="1489"/>
      <c r="R223" s="1429"/>
      <c r="S223" s="1429"/>
      <c r="T223" s="1429"/>
      <c r="U223" s="1429"/>
      <c r="V223" s="1429"/>
      <c r="W223" s="1429"/>
      <c r="X223" s="1429"/>
      <c r="Y223" s="1429"/>
    </row>
    <row r="224" spans="1:25">
      <c r="A224" s="1428"/>
      <c r="B224" s="1428"/>
      <c r="C224" s="1428"/>
      <c r="D224" s="1428"/>
      <c r="E224" s="1428"/>
      <c r="I224" s="1413"/>
      <c r="J224" s="1413"/>
      <c r="K224" s="1413"/>
      <c r="L224" s="1413"/>
      <c r="M224" s="1413"/>
      <c r="N224" s="1413"/>
      <c r="O224" s="1413"/>
      <c r="P224" s="1489"/>
      <c r="R224" s="1429"/>
      <c r="S224" s="1429"/>
      <c r="T224" s="1429"/>
      <c r="U224" s="1429"/>
      <c r="V224" s="1429"/>
      <c r="W224" s="1429"/>
      <c r="X224" s="1429"/>
      <c r="Y224" s="1429"/>
    </row>
    <row r="225" spans="1:25">
      <c r="A225" s="1428"/>
      <c r="B225" s="1428"/>
      <c r="C225" s="1428"/>
      <c r="D225" s="1428"/>
      <c r="E225" s="1428"/>
      <c r="I225" s="1413"/>
      <c r="J225" s="1413"/>
      <c r="K225" s="1413"/>
      <c r="L225" s="1413"/>
      <c r="M225" s="1413"/>
      <c r="N225" s="1413"/>
      <c r="O225" s="1413"/>
      <c r="P225" s="1489"/>
      <c r="R225" s="1429"/>
      <c r="S225" s="1429"/>
      <c r="T225" s="1429"/>
      <c r="U225" s="1429"/>
      <c r="V225" s="1429"/>
      <c r="W225" s="1429"/>
      <c r="X225" s="1429"/>
      <c r="Y225" s="1429"/>
    </row>
    <row r="226" spans="1:25">
      <c r="A226" s="1428"/>
      <c r="B226" s="1428"/>
      <c r="C226" s="1428"/>
      <c r="D226" s="1428"/>
      <c r="E226" s="1428"/>
      <c r="I226" s="1413"/>
      <c r="J226" s="1413"/>
      <c r="K226" s="1413"/>
      <c r="L226" s="1413"/>
      <c r="M226" s="1413"/>
      <c r="N226" s="1413"/>
      <c r="O226" s="1413"/>
      <c r="P226" s="1489"/>
      <c r="R226" s="1429"/>
      <c r="S226" s="1429"/>
      <c r="T226" s="1429"/>
      <c r="U226" s="1429"/>
      <c r="V226" s="1429"/>
      <c r="W226" s="1429"/>
      <c r="X226" s="1429"/>
      <c r="Y226" s="1429"/>
    </row>
    <row r="227" spans="1:25">
      <c r="A227" s="1428"/>
      <c r="B227" s="1428"/>
      <c r="C227" s="1428"/>
      <c r="D227" s="1428"/>
      <c r="E227" s="1428"/>
      <c r="I227" s="1413"/>
      <c r="J227" s="1413"/>
      <c r="K227" s="1413"/>
      <c r="L227" s="1413"/>
      <c r="M227" s="1413"/>
      <c r="N227" s="1413"/>
      <c r="O227" s="1413"/>
      <c r="P227" s="1489"/>
      <c r="R227" s="1429"/>
      <c r="S227" s="1429"/>
      <c r="T227" s="1429"/>
      <c r="U227" s="1429"/>
      <c r="V227" s="1429"/>
      <c r="W227" s="1429"/>
      <c r="X227" s="1429"/>
      <c r="Y227" s="1429"/>
    </row>
    <row r="228" spans="1:25">
      <c r="A228" s="1428"/>
      <c r="B228" s="1428"/>
      <c r="C228" s="1428"/>
      <c r="D228" s="1428"/>
      <c r="E228" s="1428"/>
      <c r="I228" s="1413"/>
      <c r="J228" s="1413"/>
      <c r="K228" s="1413"/>
      <c r="L228" s="1413"/>
      <c r="M228" s="1413"/>
      <c r="N228" s="1413"/>
      <c r="O228" s="1413"/>
      <c r="P228" s="1489"/>
      <c r="R228" s="1429"/>
      <c r="S228" s="1429"/>
      <c r="T228" s="1429"/>
      <c r="U228" s="1429"/>
      <c r="V228" s="1429"/>
      <c r="W228" s="1429"/>
      <c r="X228" s="1429"/>
      <c r="Y228" s="1429"/>
    </row>
    <row r="229" spans="1:25">
      <c r="A229" s="1428"/>
      <c r="B229" s="1428"/>
      <c r="C229" s="1428"/>
      <c r="D229" s="1428"/>
      <c r="E229" s="1428"/>
      <c r="I229" s="1413"/>
      <c r="J229" s="1413"/>
      <c r="K229" s="1413"/>
      <c r="L229" s="1413"/>
      <c r="M229" s="1413"/>
      <c r="N229" s="1413"/>
      <c r="O229" s="1413"/>
      <c r="P229" s="1489"/>
      <c r="R229" s="1429"/>
      <c r="S229" s="1429"/>
      <c r="T229" s="1429"/>
      <c r="U229" s="1429"/>
      <c r="V229" s="1429"/>
      <c r="W229" s="1429"/>
      <c r="X229" s="1429"/>
      <c r="Y229" s="1429"/>
    </row>
    <row r="230" spans="1:25">
      <c r="A230" s="1428"/>
      <c r="B230" s="1428"/>
      <c r="C230" s="1428"/>
      <c r="D230" s="1428"/>
      <c r="E230" s="1428"/>
      <c r="I230" s="1413"/>
      <c r="J230" s="1413"/>
      <c r="K230" s="1413"/>
      <c r="L230" s="1413"/>
      <c r="M230" s="1413"/>
      <c r="N230" s="1413"/>
      <c r="O230" s="1413"/>
      <c r="P230" s="1489"/>
      <c r="R230" s="1429"/>
      <c r="S230" s="1429"/>
      <c r="T230" s="1429"/>
      <c r="U230" s="1429"/>
      <c r="V230" s="1429"/>
      <c r="W230" s="1429"/>
      <c r="X230" s="1429"/>
      <c r="Y230" s="1429"/>
    </row>
    <row r="231" spans="1:25">
      <c r="A231" s="1428"/>
      <c r="B231" s="1428"/>
      <c r="C231" s="1428"/>
      <c r="D231" s="1428"/>
      <c r="E231" s="1428"/>
      <c r="I231" s="1413"/>
      <c r="J231" s="1413"/>
      <c r="K231" s="1413"/>
      <c r="L231" s="1413"/>
      <c r="M231" s="1413"/>
      <c r="N231" s="1413"/>
      <c r="O231" s="1413"/>
      <c r="P231" s="1489"/>
      <c r="R231" s="1429"/>
      <c r="S231" s="1429"/>
      <c r="T231" s="1429"/>
      <c r="U231" s="1429"/>
      <c r="V231" s="1429"/>
      <c r="W231" s="1429"/>
      <c r="X231" s="1429"/>
      <c r="Y231" s="1429"/>
    </row>
    <row r="232" spans="1:25">
      <c r="A232" s="1428"/>
      <c r="B232" s="1428"/>
      <c r="C232" s="1428"/>
      <c r="D232" s="1428"/>
      <c r="E232" s="1428"/>
      <c r="I232" s="1413"/>
      <c r="J232" s="1413"/>
      <c r="K232" s="1413"/>
      <c r="L232" s="1413"/>
      <c r="M232" s="1413"/>
      <c r="N232" s="1413"/>
      <c r="O232" s="1413"/>
      <c r="P232" s="1489"/>
      <c r="R232" s="1429"/>
      <c r="S232" s="1429"/>
      <c r="T232" s="1429"/>
      <c r="U232" s="1429"/>
      <c r="V232" s="1429"/>
      <c r="W232" s="1429"/>
      <c r="X232" s="1429"/>
      <c r="Y232" s="1429"/>
    </row>
    <row r="233" spans="1:25">
      <c r="A233" s="1428"/>
      <c r="B233" s="1428"/>
      <c r="C233" s="1428"/>
      <c r="D233" s="1428"/>
      <c r="E233" s="1428"/>
      <c r="I233" s="1413"/>
      <c r="J233" s="1413"/>
      <c r="K233" s="1413"/>
      <c r="L233" s="1413"/>
      <c r="M233" s="1413"/>
      <c r="N233" s="1413"/>
      <c r="O233" s="1413"/>
      <c r="P233" s="1489"/>
      <c r="R233" s="1429"/>
      <c r="S233" s="1429"/>
      <c r="T233" s="1429"/>
      <c r="U233" s="1429"/>
      <c r="V233" s="1429"/>
      <c r="W233" s="1429"/>
      <c r="X233" s="1429"/>
      <c r="Y233" s="1429"/>
    </row>
    <row r="234" spans="1:25">
      <c r="A234" s="1428"/>
      <c r="B234" s="1428"/>
      <c r="C234" s="1428"/>
      <c r="D234" s="1428"/>
      <c r="E234" s="1428"/>
      <c r="I234" s="1413"/>
      <c r="J234" s="1413"/>
      <c r="K234" s="1413"/>
      <c r="L234" s="1413"/>
      <c r="M234" s="1413"/>
      <c r="N234" s="1413"/>
      <c r="O234" s="1413"/>
      <c r="P234" s="1489"/>
      <c r="R234" s="1429"/>
      <c r="S234" s="1429"/>
      <c r="T234" s="1429"/>
      <c r="U234" s="1429"/>
      <c r="V234" s="1429"/>
      <c r="W234" s="1429"/>
      <c r="X234" s="1429"/>
      <c r="Y234" s="1429"/>
    </row>
    <row r="235" spans="1:25">
      <c r="A235" s="1428"/>
      <c r="B235" s="1428"/>
      <c r="C235" s="1428"/>
      <c r="D235" s="1428"/>
      <c r="E235" s="1428"/>
      <c r="I235" s="1413"/>
      <c r="J235" s="1413"/>
      <c r="K235" s="1413"/>
      <c r="L235" s="1413"/>
      <c r="M235" s="1413"/>
      <c r="N235" s="1413"/>
      <c r="O235" s="1413"/>
      <c r="P235" s="1489"/>
      <c r="R235" s="1429"/>
      <c r="S235" s="1429"/>
      <c r="T235" s="1429"/>
      <c r="U235" s="1429"/>
      <c r="V235" s="1429"/>
      <c r="W235" s="1429"/>
      <c r="X235" s="1429"/>
      <c r="Y235" s="1429"/>
    </row>
    <row r="236" spans="1:25">
      <c r="A236" s="1428"/>
      <c r="B236" s="1428"/>
      <c r="C236" s="1428"/>
      <c r="D236" s="1428"/>
      <c r="E236" s="1428"/>
      <c r="I236" s="1413"/>
      <c r="J236" s="1413"/>
      <c r="K236" s="1413"/>
      <c r="L236" s="1413"/>
      <c r="M236" s="1413"/>
      <c r="N236" s="1413"/>
      <c r="O236" s="1413"/>
      <c r="P236" s="1489"/>
      <c r="R236" s="1429"/>
      <c r="S236" s="1429"/>
      <c r="T236" s="1429"/>
      <c r="U236" s="1429"/>
      <c r="V236" s="1429"/>
      <c r="W236" s="1429"/>
      <c r="X236" s="1429"/>
      <c r="Y236" s="1429"/>
    </row>
    <row r="237" spans="1:25">
      <c r="A237" s="1428"/>
      <c r="B237" s="1428"/>
      <c r="C237" s="1428"/>
      <c r="D237" s="1428"/>
      <c r="E237" s="1428"/>
      <c r="I237" s="1413"/>
      <c r="J237" s="1413"/>
      <c r="K237" s="1413"/>
      <c r="L237" s="1413"/>
      <c r="M237" s="1413"/>
      <c r="N237" s="1413"/>
      <c r="O237" s="1413"/>
      <c r="P237" s="1489"/>
      <c r="R237" s="1429"/>
      <c r="S237" s="1429"/>
      <c r="T237" s="1429"/>
      <c r="U237" s="1429"/>
      <c r="V237" s="1429"/>
      <c r="W237" s="1429"/>
      <c r="X237" s="1429"/>
      <c r="Y237" s="1429"/>
    </row>
    <row r="238" spans="1:25">
      <c r="A238" s="1428"/>
      <c r="B238" s="1428"/>
      <c r="C238" s="1428"/>
      <c r="D238" s="1428"/>
      <c r="E238" s="1428"/>
      <c r="I238" s="1413"/>
      <c r="J238" s="1413"/>
      <c r="K238" s="1413"/>
      <c r="L238" s="1413"/>
      <c r="M238" s="1413"/>
      <c r="N238" s="1413"/>
      <c r="O238" s="1413"/>
      <c r="P238" s="1489"/>
      <c r="R238" s="1429"/>
      <c r="S238" s="1429"/>
      <c r="T238" s="1429"/>
      <c r="U238" s="1429"/>
      <c r="V238" s="1429"/>
      <c r="W238" s="1429"/>
      <c r="X238" s="1429"/>
      <c r="Y238" s="1429"/>
    </row>
    <row r="239" spans="1:25">
      <c r="A239" s="1428"/>
      <c r="B239" s="1428"/>
      <c r="C239" s="1428"/>
      <c r="D239" s="1428"/>
      <c r="E239" s="1428"/>
      <c r="I239" s="1413"/>
      <c r="J239" s="1413"/>
      <c r="K239" s="1413"/>
      <c r="L239" s="1413"/>
      <c r="M239" s="1413"/>
      <c r="N239" s="1413"/>
      <c r="O239" s="1413"/>
      <c r="P239" s="1489"/>
      <c r="R239" s="1429"/>
      <c r="S239" s="1429"/>
      <c r="T239" s="1429"/>
      <c r="U239" s="1429"/>
      <c r="V239" s="1429"/>
      <c r="W239" s="1429"/>
      <c r="X239" s="1429"/>
      <c r="Y239" s="1429"/>
    </row>
    <row r="240" spans="1:25">
      <c r="A240" s="1428"/>
      <c r="B240" s="1428"/>
      <c r="C240" s="1428"/>
      <c r="D240" s="1428"/>
      <c r="E240" s="1428"/>
      <c r="I240" s="1413"/>
      <c r="J240" s="1413"/>
      <c r="K240" s="1413"/>
      <c r="L240" s="1413"/>
      <c r="M240" s="1413"/>
      <c r="N240" s="1413"/>
      <c r="O240" s="1413"/>
      <c r="P240" s="1489"/>
      <c r="R240" s="1429"/>
      <c r="S240" s="1429"/>
      <c r="T240" s="1429"/>
      <c r="U240" s="1429"/>
      <c r="V240" s="1429"/>
      <c r="W240" s="1429"/>
      <c r="X240" s="1429"/>
      <c r="Y240" s="1429"/>
    </row>
    <row r="241" spans="1:25">
      <c r="A241" s="1428"/>
      <c r="B241" s="1428"/>
      <c r="C241" s="1428"/>
      <c r="D241" s="1428"/>
      <c r="E241" s="1428"/>
      <c r="I241" s="1413"/>
      <c r="J241" s="1413"/>
      <c r="K241" s="1413"/>
      <c r="L241" s="1413"/>
      <c r="M241" s="1413"/>
      <c r="N241" s="1413"/>
      <c r="O241" s="1413"/>
      <c r="P241" s="1489"/>
      <c r="R241" s="1429"/>
      <c r="S241" s="1429"/>
      <c r="T241" s="1429"/>
      <c r="U241" s="1429"/>
      <c r="V241" s="1429"/>
      <c r="W241" s="1429"/>
      <c r="X241" s="1429"/>
      <c r="Y241" s="1429"/>
    </row>
    <row r="242" spans="1:25">
      <c r="A242" s="1428"/>
      <c r="B242" s="1428"/>
      <c r="C242" s="1428"/>
      <c r="D242" s="1428"/>
      <c r="E242" s="1428"/>
      <c r="I242" s="1413"/>
      <c r="J242" s="1413"/>
      <c r="K242" s="1413"/>
      <c r="L242" s="1413"/>
      <c r="M242" s="1413"/>
      <c r="N242" s="1413"/>
      <c r="O242" s="1413"/>
      <c r="P242" s="1489"/>
      <c r="R242" s="1429"/>
      <c r="S242" s="1429"/>
      <c r="T242" s="1429"/>
      <c r="U242" s="1429"/>
      <c r="V242" s="1429"/>
      <c r="W242" s="1429"/>
      <c r="X242" s="1429"/>
      <c r="Y242" s="1429"/>
    </row>
    <row r="243" spans="1:25">
      <c r="A243" s="1428"/>
      <c r="B243" s="1428"/>
      <c r="C243" s="1428"/>
      <c r="D243" s="1428"/>
      <c r="E243" s="1428"/>
      <c r="I243" s="1413"/>
      <c r="J243" s="1413"/>
      <c r="K243" s="1413"/>
      <c r="L243" s="1413"/>
      <c r="M243" s="1413"/>
      <c r="N243" s="1413"/>
      <c r="O243" s="1413"/>
      <c r="P243" s="1489"/>
      <c r="R243" s="1429"/>
      <c r="S243" s="1429"/>
      <c r="T243" s="1429"/>
      <c r="U243" s="1429"/>
      <c r="V243" s="1429"/>
      <c r="W243" s="1429"/>
      <c r="X243" s="1429"/>
      <c r="Y243" s="1429"/>
    </row>
    <row r="244" spans="1:25">
      <c r="A244" s="1428"/>
      <c r="B244" s="1428"/>
      <c r="C244" s="1428"/>
      <c r="D244" s="1428"/>
      <c r="E244" s="1428"/>
      <c r="I244" s="1413"/>
      <c r="J244" s="1413"/>
      <c r="K244" s="1413"/>
      <c r="L244" s="1413"/>
      <c r="M244" s="1413"/>
      <c r="N244" s="1413"/>
      <c r="O244" s="1413"/>
      <c r="P244" s="1489"/>
      <c r="R244" s="1429"/>
      <c r="S244" s="1429"/>
      <c r="T244" s="1429"/>
      <c r="U244" s="1429"/>
      <c r="V244" s="1429"/>
      <c r="W244" s="1429"/>
      <c r="X244" s="1429"/>
      <c r="Y244" s="1429"/>
    </row>
    <row r="245" spans="1:25">
      <c r="A245" s="1428"/>
      <c r="B245" s="1428"/>
      <c r="C245" s="1428"/>
      <c r="D245" s="1428"/>
      <c r="E245" s="1428"/>
      <c r="I245" s="1413"/>
      <c r="J245" s="1413"/>
      <c r="K245" s="1413"/>
      <c r="L245" s="1413"/>
      <c r="M245" s="1413"/>
      <c r="N245" s="1413"/>
      <c r="O245" s="1413"/>
      <c r="P245" s="1489"/>
      <c r="R245" s="1429"/>
      <c r="S245" s="1429"/>
      <c r="T245" s="1429"/>
      <c r="U245" s="1429"/>
      <c r="V245" s="1429"/>
      <c r="W245" s="1429"/>
      <c r="X245" s="1429"/>
      <c r="Y245" s="1429"/>
    </row>
    <row r="246" spans="1:25">
      <c r="A246" s="1428"/>
      <c r="B246" s="1428"/>
      <c r="C246" s="1428"/>
      <c r="D246" s="1428"/>
      <c r="E246" s="1428"/>
      <c r="I246" s="1413"/>
      <c r="J246" s="1413"/>
      <c r="K246" s="1413"/>
      <c r="L246" s="1413"/>
      <c r="M246" s="1413"/>
      <c r="N246" s="1413"/>
      <c r="O246" s="1413"/>
      <c r="P246" s="1489"/>
      <c r="R246" s="1429"/>
      <c r="S246" s="1429"/>
      <c r="T246" s="1429"/>
      <c r="U246" s="1429"/>
      <c r="V246" s="1429"/>
      <c r="W246" s="1429"/>
      <c r="X246" s="1429"/>
      <c r="Y246" s="1429"/>
    </row>
    <row r="247" spans="1:25">
      <c r="A247" s="1428"/>
      <c r="B247" s="1428"/>
      <c r="C247" s="1428"/>
      <c r="D247" s="1428"/>
      <c r="E247" s="1428"/>
      <c r="I247" s="1413"/>
      <c r="J247" s="1413"/>
      <c r="K247" s="1413"/>
      <c r="L247" s="1413"/>
      <c r="M247" s="1413"/>
      <c r="N247" s="1413"/>
      <c r="O247" s="1413"/>
      <c r="P247" s="1489"/>
      <c r="R247" s="1429"/>
      <c r="S247" s="1429"/>
      <c r="T247" s="1429"/>
      <c r="U247" s="1429"/>
      <c r="V247" s="1429"/>
      <c r="W247" s="1429"/>
      <c r="X247" s="1429"/>
      <c r="Y247" s="1429"/>
    </row>
    <row r="248" spans="1:25">
      <c r="A248" s="1428"/>
      <c r="B248" s="1428"/>
      <c r="C248" s="1428"/>
      <c r="D248" s="1428"/>
      <c r="E248" s="1428"/>
      <c r="I248" s="1413"/>
      <c r="J248" s="1413"/>
      <c r="K248" s="1413"/>
      <c r="L248" s="1413"/>
      <c r="M248" s="1413"/>
      <c r="N248" s="1413"/>
      <c r="O248" s="1413"/>
      <c r="P248" s="1489"/>
      <c r="R248" s="1429"/>
      <c r="S248" s="1429"/>
      <c r="T248" s="1429"/>
      <c r="U248" s="1429"/>
      <c r="V248" s="1429"/>
      <c r="W248" s="1429"/>
      <c r="X248" s="1429"/>
      <c r="Y248" s="1429"/>
    </row>
    <row r="249" spans="1:25">
      <c r="A249" s="1428"/>
      <c r="B249" s="1428"/>
      <c r="C249" s="1428"/>
      <c r="D249" s="1428"/>
      <c r="E249" s="1428"/>
      <c r="I249" s="1413"/>
      <c r="J249" s="1413"/>
      <c r="K249" s="1413"/>
      <c r="L249" s="1413"/>
      <c r="M249" s="1413"/>
      <c r="N249" s="1413"/>
      <c r="O249" s="1413"/>
      <c r="P249" s="1489"/>
      <c r="R249" s="1429"/>
      <c r="S249" s="1429"/>
      <c r="T249" s="1429"/>
      <c r="U249" s="1429"/>
      <c r="V249" s="1429"/>
      <c r="W249" s="1429"/>
      <c r="X249" s="1429"/>
      <c r="Y249" s="1429"/>
    </row>
    <row r="250" spans="1:25">
      <c r="A250" s="1428"/>
      <c r="B250" s="1428"/>
      <c r="C250" s="1428"/>
      <c r="D250" s="1428"/>
      <c r="E250" s="1428"/>
      <c r="I250" s="1413"/>
      <c r="J250" s="1413"/>
      <c r="K250" s="1413"/>
      <c r="L250" s="1413"/>
      <c r="M250" s="1413"/>
      <c r="N250" s="1413"/>
      <c r="O250" s="1413"/>
      <c r="P250" s="1489"/>
      <c r="R250" s="1429"/>
      <c r="S250" s="1429"/>
      <c r="T250" s="1429"/>
      <c r="U250" s="1429"/>
      <c r="V250" s="1429"/>
      <c r="W250" s="1429"/>
      <c r="X250" s="1429"/>
      <c r="Y250" s="1429"/>
    </row>
    <row r="251" spans="1:25">
      <c r="A251" s="1428"/>
      <c r="B251" s="1428"/>
      <c r="C251" s="1428"/>
      <c r="D251" s="1428"/>
      <c r="E251" s="1428"/>
      <c r="I251" s="1413"/>
      <c r="J251" s="1413"/>
      <c r="K251" s="1413"/>
      <c r="L251" s="1413"/>
      <c r="M251" s="1413"/>
      <c r="N251" s="1413"/>
      <c r="O251" s="1413"/>
      <c r="P251" s="1489"/>
      <c r="R251" s="1429"/>
      <c r="S251" s="1429"/>
      <c r="T251" s="1429"/>
      <c r="U251" s="1429"/>
      <c r="V251" s="1429"/>
      <c r="W251" s="1429"/>
      <c r="X251" s="1429"/>
      <c r="Y251" s="1429"/>
    </row>
    <row r="252" spans="1:25">
      <c r="A252" s="1428"/>
      <c r="B252" s="1428"/>
      <c r="C252" s="1428"/>
      <c r="D252" s="1428"/>
      <c r="E252" s="1428"/>
      <c r="I252" s="1413"/>
      <c r="J252" s="1413"/>
      <c r="K252" s="1413"/>
      <c r="L252" s="1413"/>
      <c r="M252" s="1413"/>
      <c r="N252" s="1413"/>
      <c r="O252" s="1413"/>
      <c r="P252" s="1489"/>
      <c r="R252" s="1429"/>
      <c r="S252" s="1429"/>
      <c r="T252" s="1429"/>
      <c r="U252" s="1429"/>
      <c r="V252" s="1429"/>
      <c r="W252" s="1429"/>
      <c r="X252" s="1429"/>
      <c r="Y252" s="1429"/>
    </row>
    <row r="253" spans="1:25">
      <c r="A253" s="1428"/>
      <c r="B253" s="1428"/>
      <c r="C253" s="1428"/>
      <c r="D253" s="1428"/>
      <c r="E253" s="1428"/>
      <c r="I253" s="1413"/>
      <c r="J253" s="1413"/>
      <c r="K253" s="1413"/>
      <c r="L253" s="1413"/>
      <c r="M253" s="1413"/>
      <c r="N253" s="1413"/>
      <c r="O253" s="1413"/>
      <c r="P253" s="1489"/>
      <c r="R253" s="1429"/>
      <c r="S253" s="1429"/>
      <c r="T253" s="1429"/>
      <c r="U253" s="1429"/>
      <c r="V253" s="1429"/>
      <c r="W253" s="1429"/>
      <c r="X253" s="1429"/>
      <c r="Y253" s="1429"/>
    </row>
    <row r="254" spans="1:25">
      <c r="A254" s="1428"/>
      <c r="B254" s="1428"/>
      <c r="C254" s="1428"/>
      <c r="D254" s="1428"/>
      <c r="E254" s="1428"/>
      <c r="I254" s="1413"/>
      <c r="J254" s="1413"/>
      <c r="K254" s="1413"/>
      <c r="L254" s="1413"/>
      <c r="M254" s="1413"/>
      <c r="N254" s="1413"/>
      <c r="O254" s="1413"/>
      <c r="P254" s="1489"/>
      <c r="R254" s="1429"/>
      <c r="S254" s="1429"/>
      <c r="T254" s="1429"/>
      <c r="U254" s="1429"/>
      <c r="V254" s="1429"/>
      <c r="W254" s="1429"/>
      <c r="X254" s="1429"/>
      <c r="Y254" s="1429"/>
    </row>
    <row r="255" spans="1:25">
      <c r="A255" s="1428"/>
      <c r="B255" s="1428"/>
      <c r="C255" s="1428"/>
      <c r="D255" s="1428"/>
      <c r="E255" s="1428"/>
      <c r="I255" s="1413"/>
      <c r="J255" s="1413"/>
      <c r="K255" s="1413"/>
      <c r="L255" s="1413"/>
      <c r="M255" s="1413"/>
      <c r="N255" s="1413"/>
      <c r="O255" s="1413"/>
      <c r="P255" s="1489"/>
      <c r="R255" s="1429"/>
      <c r="S255" s="1429"/>
      <c r="T255" s="1429"/>
      <c r="U255" s="1429"/>
      <c r="V255" s="1429"/>
      <c r="W255" s="1429"/>
      <c r="X255" s="1429"/>
      <c r="Y255" s="1429"/>
    </row>
    <row r="256" spans="1:25">
      <c r="A256" s="1428"/>
      <c r="B256" s="1428"/>
      <c r="C256" s="1428"/>
      <c r="D256" s="1428"/>
      <c r="E256" s="1428"/>
      <c r="I256" s="1413"/>
      <c r="J256" s="1413"/>
      <c r="K256" s="1413"/>
      <c r="L256" s="1413"/>
      <c r="M256" s="1413"/>
      <c r="N256" s="1413"/>
      <c r="O256" s="1413"/>
      <c r="P256" s="1489"/>
      <c r="R256" s="1429"/>
      <c r="S256" s="1429"/>
      <c r="T256" s="1429"/>
      <c r="U256" s="1429"/>
      <c r="V256" s="1429"/>
      <c r="W256" s="1429"/>
      <c r="X256" s="1429"/>
      <c r="Y256" s="1429"/>
    </row>
    <row r="257" spans="1:25">
      <c r="A257" s="1428"/>
      <c r="B257" s="1428"/>
      <c r="C257" s="1428"/>
      <c r="D257" s="1428"/>
      <c r="E257" s="1428"/>
      <c r="I257" s="1413"/>
      <c r="J257" s="1413"/>
      <c r="K257" s="1413"/>
      <c r="L257" s="1413"/>
      <c r="M257" s="1413"/>
      <c r="N257" s="1413"/>
      <c r="O257" s="1413"/>
      <c r="P257" s="1489"/>
      <c r="R257" s="1429"/>
      <c r="S257" s="1429"/>
      <c r="T257" s="1429"/>
      <c r="U257" s="1429"/>
      <c r="V257" s="1429"/>
      <c r="W257" s="1429"/>
      <c r="X257" s="1429"/>
      <c r="Y257" s="1429"/>
    </row>
    <row r="258" spans="1:25">
      <c r="A258" s="1428"/>
      <c r="B258" s="1428"/>
      <c r="C258" s="1428"/>
      <c r="D258" s="1428"/>
      <c r="E258" s="1428"/>
      <c r="I258" s="1413"/>
      <c r="J258" s="1413"/>
      <c r="K258" s="1413"/>
      <c r="L258" s="1413"/>
      <c r="M258" s="1413"/>
      <c r="N258" s="1413"/>
      <c r="O258" s="1413"/>
      <c r="P258" s="1489"/>
      <c r="R258" s="1429"/>
      <c r="S258" s="1429"/>
      <c r="T258" s="1429"/>
      <c r="U258" s="1429"/>
      <c r="V258" s="1429"/>
      <c r="W258" s="1429"/>
      <c r="X258" s="1429"/>
      <c r="Y258" s="1429"/>
    </row>
    <row r="259" spans="1:25">
      <c r="A259" s="1428"/>
      <c r="B259" s="1428"/>
      <c r="C259" s="1428"/>
      <c r="D259" s="1428"/>
      <c r="E259" s="1428"/>
      <c r="I259" s="1413"/>
      <c r="J259" s="1413"/>
      <c r="K259" s="1413"/>
      <c r="L259" s="1413"/>
      <c r="M259" s="1413"/>
      <c r="N259" s="1413"/>
      <c r="O259" s="1413"/>
      <c r="P259" s="1489"/>
      <c r="R259" s="1429"/>
      <c r="S259" s="1429"/>
      <c r="T259" s="1429"/>
      <c r="U259" s="1429"/>
      <c r="V259" s="1429"/>
      <c r="W259" s="1429"/>
      <c r="X259" s="1429"/>
      <c r="Y259" s="1429"/>
    </row>
    <row r="260" spans="1:25">
      <c r="A260" s="1428"/>
      <c r="B260" s="1428"/>
      <c r="C260" s="1428"/>
      <c r="D260" s="1428"/>
      <c r="E260" s="1428"/>
      <c r="I260" s="1413"/>
      <c r="J260" s="1413"/>
      <c r="K260" s="1413"/>
      <c r="L260" s="1413"/>
      <c r="M260" s="1413"/>
      <c r="N260" s="1413"/>
      <c r="O260" s="1413"/>
      <c r="P260" s="1489"/>
      <c r="R260" s="1429"/>
      <c r="S260" s="1429"/>
      <c r="T260" s="1429"/>
      <c r="U260" s="1429"/>
      <c r="V260" s="1429"/>
      <c r="W260" s="1429"/>
      <c r="X260" s="1429"/>
      <c r="Y260" s="1429"/>
    </row>
    <row r="261" spans="1:25">
      <c r="A261" s="1428"/>
      <c r="B261" s="1428"/>
      <c r="C261" s="1428"/>
      <c r="D261" s="1428"/>
      <c r="E261" s="1428"/>
      <c r="I261" s="1413"/>
      <c r="J261" s="1413"/>
      <c r="K261" s="1413"/>
      <c r="L261" s="1413"/>
      <c r="M261" s="1413"/>
      <c r="N261" s="1413"/>
      <c r="O261" s="1413"/>
      <c r="P261" s="1489"/>
      <c r="R261" s="1429"/>
      <c r="S261" s="1429"/>
      <c r="T261" s="1429"/>
      <c r="U261" s="1429"/>
      <c r="V261" s="1429"/>
      <c r="W261" s="1429"/>
      <c r="X261" s="1429"/>
      <c r="Y261" s="1429"/>
    </row>
    <row r="262" spans="1:25">
      <c r="A262" s="1428"/>
      <c r="B262" s="1428"/>
      <c r="C262" s="1428"/>
      <c r="D262" s="1428"/>
      <c r="E262" s="1428"/>
      <c r="I262" s="1413"/>
      <c r="J262" s="1413"/>
      <c r="K262" s="1413"/>
      <c r="L262" s="1413"/>
      <c r="M262" s="1413"/>
      <c r="N262" s="1413"/>
      <c r="O262" s="1413"/>
      <c r="P262" s="1489"/>
      <c r="R262" s="1429"/>
      <c r="S262" s="1429"/>
      <c r="T262" s="1429"/>
      <c r="U262" s="1429"/>
      <c r="V262" s="1429"/>
      <c r="W262" s="1429"/>
      <c r="X262" s="1429"/>
      <c r="Y262" s="1429"/>
    </row>
    <row r="263" spans="1:25">
      <c r="A263" s="1428"/>
      <c r="B263" s="1428"/>
      <c r="C263" s="1428"/>
      <c r="D263" s="1428"/>
      <c r="E263" s="1428"/>
      <c r="I263" s="1413"/>
      <c r="J263" s="1413"/>
      <c r="K263" s="1413"/>
      <c r="L263" s="1413"/>
      <c r="M263" s="1413"/>
      <c r="N263" s="1413"/>
      <c r="O263" s="1413"/>
      <c r="P263" s="1489"/>
      <c r="R263" s="1429"/>
      <c r="S263" s="1429"/>
      <c r="T263" s="1429"/>
      <c r="U263" s="1429"/>
      <c r="V263" s="1429"/>
      <c r="W263" s="1429"/>
      <c r="X263" s="1429"/>
      <c r="Y263" s="1429"/>
    </row>
    <row r="264" spans="1:25">
      <c r="A264" s="1428"/>
      <c r="B264" s="1428"/>
      <c r="C264" s="1428"/>
      <c r="D264" s="1428"/>
      <c r="E264" s="1428"/>
      <c r="I264" s="1413"/>
      <c r="J264" s="1413"/>
      <c r="K264" s="1413"/>
      <c r="L264" s="1413"/>
      <c r="M264" s="1413"/>
      <c r="N264" s="1413"/>
      <c r="O264" s="1413"/>
      <c r="P264" s="1489"/>
      <c r="R264" s="1429"/>
      <c r="S264" s="1429"/>
      <c r="T264" s="1429"/>
      <c r="U264" s="1429"/>
      <c r="V264" s="1429"/>
      <c r="W264" s="1429"/>
      <c r="X264" s="1429"/>
      <c r="Y264" s="1429"/>
    </row>
    <row r="265" spans="1:25">
      <c r="A265" s="1428"/>
      <c r="B265" s="1428"/>
      <c r="C265" s="1428"/>
      <c r="D265" s="1428"/>
      <c r="E265" s="1428"/>
      <c r="I265" s="1413"/>
      <c r="J265" s="1413"/>
      <c r="K265" s="1413"/>
      <c r="L265" s="1413"/>
      <c r="M265" s="1413"/>
      <c r="N265" s="1413"/>
      <c r="O265" s="1413"/>
      <c r="P265" s="1489"/>
      <c r="R265" s="1429"/>
      <c r="S265" s="1429"/>
      <c r="T265" s="1429"/>
      <c r="U265" s="1429"/>
      <c r="V265" s="1429"/>
      <c r="W265" s="1429"/>
      <c r="X265" s="1429"/>
      <c r="Y265" s="1429"/>
    </row>
    <row r="266" spans="1:25">
      <c r="A266" s="1428"/>
      <c r="B266" s="1428"/>
      <c r="C266" s="1428"/>
      <c r="D266" s="1428"/>
      <c r="E266" s="1428"/>
      <c r="I266" s="1413"/>
      <c r="J266" s="1413"/>
      <c r="K266" s="1413"/>
      <c r="L266" s="1413"/>
      <c r="M266" s="1413"/>
      <c r="N266" s="1413"/>
      <c r="O266" s="1413"/>
      <c r="P266" s="1489"/>
      <c r="R266" s="1429"/>
      <c r="S266" s="1429"/>
      <c r="T266" s="1429"/>
      <c r="U266" s="1429"/>
      <c r="V266" s="1429"/>
      <c r="W266" s="1429"/>
      <c r="X266" s="1429"/>
      <c r="Y266" s="1429"/>
    </row>
    <row r="267" spans="1:25">
      <c r="A267" s="1428"/>
      <c r="B267" s="1428"/>
      <c r="C267" s="1428"/>
      <c r="D267" s="1428"/>
      <c r="E267" s="1428"/>
      <c r="I267" s="1413"/>
      <c r="J267" s="1413"/>
      <c r="K267" s="1413"/>
      <c r="L267" s="1413"/>
      <c r="M267" s="1413"/>
      <c r="N267" s="1413"/>
      <c r="O267" s="1413"/>
      <c r="P267" s="1489"/>
      <c r="R267" s="1429"/>
      <c r="S267" s="1429"/>
      <c r="T267" s="1429"/>
      <c r="U267" s="1429"/>
      <c r="V267" s="1429"/>
      <c r="W267" s="1429"/>
      <c r="X267" s="1429"/>
      <c r="Y267" s="1429"/>
    </row>
    <row r="268" spans="1:25">
      <c r="A268" s="1428"/>
      <c r="B268" s="1428"/>
      <c r="C268" s="1428"/>
      <c r="D268" s="1428"/>
      <c r="E268" s="1428"/>
      <c r="I268" s="1413"/>
      <c r="J268" s="1413"/>
      <c r="K268" s="1413"/>
      <c r="L268" s="1413"/>
      <c r="M268" s="1413"/>
      <c r="N268" s="1413"/>
      <c r="O268" s="1413"/>
      <c r="P268" s="1489"/>
      <c r="R268" s="1429"/>
      <c r="S268" s="1429"/>
      <c r="T268" s="1429"/>
      <c r="U268" s="1429"/>
      <c r="V268" s="1429"/>
      <c r="W268" s="1429"/>
      <c r="X268" s="1429"/>
      <c r="Y268" s="1429"/>
    </row>
    <row r="269" spans="1:25">
      <c r="A269" s="1428"/>
      <c r="B269" s="1428"/>
      <c r="C269" s="1428"/>
      <c r="D269" s="1428"/>
      <c r="E269" s="1428"/>
      <c r="I269" s="1413"/>
      <c r="J269" s="1413"/>
      <c r="K269" s="1413"/>
      <c r="L269" s="1413"/>
      <c r="M269" s="1413"/>
      <c r="N269" s="1413"/>
      <c r="O269" s="1413"/>
      <c r="P269" s="1489"/>
      <c r="R269" s="1429"/>
      <c r="S269" s="1429"/>
      <c r="T269" s="1429"/>
      <c r="U269" s="1429"/>
      <c r="V269" s="1429"/>
      <c r="W269" s="1429"/>
      <c r="X269" s="1429"/>
      <c r="Y269" s="1429"/>
    </row>
    <row r="270" spans="1:25">
      <c r="A270" s="1428"/>
      <c r="B270" s="1428"/>
      <c r="C270" s="1428"/>
      <c r="D270" s="1428"/>
      <c r="E270" s="1428"/>
      <c r="I270" s="1413"/>
      <c r="J270" s="1413"/>
      <c r="K270" s="1413"/>
      <c r="L270" s="1413"/>
      <c r="M270" s="1413"/>
      <c r="N270" s="1413"/>
      <c r="O270" s="1413"/>
      <c r="P270" s="1489"/>
      <c r="R270" s="1429"/>
      <c r="S270" s="1429"/>
      <c r="T270" s="1429"/>
      <c r="U270" s="1429"/>
      <c r="V270" s="1429"/>
      <c r="W270" s="1429"/>
      <c r="X270" s="1429"/>
      <c r="Y270" s="1429"/>
    </row>
    <row r="271" spans="1:25">
      <c r="A271" s="1428"/>
      <c r="B271" s="1428"/>
      <c r="C271" s="1428"/>
      <c r="D271" s="1428"/>
      <c r="E271" s="1428"/>
      <c r="I271" s="1413"/>
      <c r="J271" s="1413"/>
      <c r="K271" s="1413"/>
      <c r="L271" s="1413"/>
      <c r="M271" s="1413"/>
      <c r="N271" s="1413"/>
      <c r="O271" s="1413"/>
      <c r="P271" s="1489"/>
      <c r="R271" s="1429"/>
      <c r="S271" s="1429"/>
      <c r="T271" s="1429"/>
      <c r="U271" s="1429"/>
      <c r="V271" s="1429"/>
      <c r="W271" s="1429"/>
      <c r="X271" s="1429"/>
      <c r="Y271" s="1429"/>
    </row>
    <row r="272" spans="1:25">
      <c r="A272" s="1428"/>
      <c r="B272" s="1428"/>
      <c r="C272" s="1428"/>
      <c r="D272" s="1428"/>
      <c r="E272" s="1428"/>
      <c r="I272" s="1413"/>
      <c r="J272" s="1413"/>
      <c r="K272" s="1413"/>
      <c r="L272" s="1413"/>
      <c r="M272" s="1413"/>
      <c r="N272" s="1413"/>
      <c r="O272" s="1413"/>
      <c r="P272" s="1489"/>
      <c r="R272" s="1429"/>
      <c r="S272" s="1429"/>
      <c r="T272" s="1429"/>
      <c r="U272" s="1429"/>
      <c r="V272" s="1429"/>
      <c r="W272" s="1429"/>
      <c r="X272" s="1429"/>
      <c r="Y272" s="1429"/>
    </row>
    <row r="273" spans="1:25">
      <c r="A273" s="1428"/>
      <c r="B273" s="1428"/>
      <c r="C273" s="1428"/>
      <c r="D273" s="1428"/>
      <c r="E273" s="1428"/>
      <c r="I273" s="1413"/>
      <c r="J273" s="1413"/>
      <c r="K273" s="1413"/>
      <c r="L273" s="1413"/>
      <c r="M273" s="1413"/>
      <c r="N273" s="1413"/>
      <c r="O273" s="1413"/>
      <c r="P273" s="1489"/>
      <c r="R273" s="1429"/>
      <c r="S273" s="1429"/>
      <c r="T273" s="1429"/>
      <c r="U273" s="1429"/>
      <c r="V273" s="1429"/>
      <c r="W273" s="1429"/>
      <c r="X273" s="1429"/>
      <c r="Y273" s="1429"/>
    </row>
    <row r="274" spans="1:25">
      <c r="A274" s="1428"/>
      <c r="B274" s="1428"/>
      <c r="C274" s="1428"/>
      <c r="D274" s="1428"/>
      <c r="E274" s="1428"/>
      <c r="I274" s="1413"/>
      <c r="J274" s="1413"/>
      <c r="K274" s="1413"/>
      <c r="L274" s="1413"/>
      <c r="M274" s="1413"/>
      <c r="N274" s="1413"/>
      <c r="O274" s="1413"/>
      <c r="P274" s="1489"/>
      <c r="R274" s="1429"/>
      <c r="S274" s="1429"/>
      <c r="T274" s="1429"/>
      <c r="U274" s="1429"/>
      <c r="V274" s="1429"/>
      <c r="W274" s="1429"/>
      <c r="X274" s="1429"/>
      <c r="Y274" s="1429"/>
    </row>
    <row r="275" spans="1:25">
      <c r="A275" s="1428"/>
      <c r="B275" s="1428"/>
      <c r="C275" s="1428"/>
      <c r="D275" s="1428"/>
      <c r="E275" s="1428"/>
      <c r="I275" s="1413"/>
      <c r="J275" s="1413"/>
      <c r="K275" s="1413"/>
      <c r="L275" s="1413"/>
      <c r="M275" s="1413"/>
      <c r="N275" s="1413"/>
      <c r="O275" s="1413"/>
      <c r="P275" s="1489"/>
      <c r="R275" s="1429"/>
      <c r="S275" s="1429"/>
      <c r="T275" s="1429"/>
      <c r="U275" s="1429"/>
      <c r="V275" s="1429"/>
      <c r="W275" s="1429"/>
      <c r="X275" s="1429"/>
      <c r="Y275" s="1429"/>
    </row>
    <row r="276" spans="1:25">
      <c r="A276" s="1428"/>
      <c r="B276" s="1428"/>
      <c r="C276" s="1428"/>
      <c r="D276" s="1428"/>
      <c r="E276" s="1428"/>
      <c r="I276" s="1413"/>
      <c r="J276" s="1413"/>
      <c r="K276" s="1413"/>
      <c r="L276" s="1413"/>
      <c r="M276" s="1413"/>
      <c r="N276" s="1413"/>
      <c r="O276" s="1413"/>
      <c r="P276" s="1489"/>
      <c r="R276" s="1429"/>
      <c r="S276" s="1429"/>
      <c r="T276" s="1429"/>
      <c r="U276" s="1429"/>
      <c r="V276" s="1429"/>
      <c r="W276" s="1429"/>
      <c r="X276" s="1429"/>
      <c r="Y276" s="1429"/>
    </row>
    <row r="277" spans="1:25">
      <c r="A277" s="1428"/>
      <c r="B277" s="1428"/>
      <c r="C277" s="1428"/>
      <c r="D277" s="1428"/>
      <c r="E277" s="1428"/>
      <c r="I277" s="1413"/>
      <c r="J277" s="1413"/>
      <c r="K277" s="1413"/>
      <c r="L277" s="1413"/>
      <c r="M277" s="1413"/>
      <c r="N277" s="1413"/>
      <c r="O277" s="1413"/>
      <c r="P277" s="1489"/>
      <c r="R277" s="1429"/>
      <c r="S277" s="1429"/>
      <c r="T277" s="1429"/>
      <c r="U277" s="1429"/>
      <c r="V277" s="1429"/>
      <c r="W277" s="1429"/>
      <c r="X277" s="1429"/>
      <c r="Y277" s="1429"/>
    </row>
    <row r="278" spans="1:25">
      <c r="A278" s="1428"/>
      <c r="B278" s="1428"/>
      <c r="C278" s="1428"/>
      <c r="D278" s="1428"/>
      <c r="E278" s="1428"/>
      <c r="I278" s="1413"/>
      <c r="J278" s="1413"/>
      <c r="K278" s="1413"/>
      <c r="L278" s="1413"/>
      <c r="M278" s="1413"/>
      <c r="N278" s="1413"/>
      <c r="O278" s="1413"/>
      <c r="P278" s="1489"/>
      <c r="R278" s="1429"/>
      <c r="S278" s="1429"/>
      <c r="T278" s="1429"/>
      <c r="U278" s="1429"/>
      <c r="V278" s="1429"/>
      <c r="W278" s="1429"/>
      <c r="X278" s="1429"/>
      <c r="Y278" s="1429"/>
    </row>
    <row r="279" spans="1:25">
      <c r="A279" s="1428"/>
      <c r="B279" s="1428"/>
      <c r="C279" s="1428"/>
      <c r="D279" s="1428"/>
      <c r="E279" s="1428"/>
      <c r="I279" s="1413"/>
      <c r="J279" s="1413"/>
      <c r="K279" s="1413"/>
      <c r="L279" s="1413"/>
      <c r="M279" s="1413"/>
      <c r="N279" s="1413"/>
      <c r="O279" s="1413"/>
      <c r="P279" s="1489"/>
      <c r="R279" s="1429"/>
      <c r="S279" s="1429"/>
      <c r="T279" s="1429"/>
      <c r="U279" s="1429"/>
      <c r="V279" s="1429"/>
      <c r="W279" s="1429"/>
      <c r="X279" s="1429"/>
      <c r="Y279" s="1429"/>
    </row>
    <row r="280" spans="1:25">
      <c r="A280" s="1428"/>
      <c r="B280" s="1428"/>
      <c r="C280" s="1428"/>
      <c r="D280" s="1428"/>
      <c r="E280" s="1428"/>
      <c r="I280" s="1413"/>
      <c r="J280" s="1413"/>
      <c r="K280" s="1413"/>
      <c r="L280" s="1413"/>
      <c r="M280" s="1413"/>
      <c r="N280" s="1413"/>
      <c r="O280" s="1413"/>
      <c r="P280" s="1489"/>
      <c r="R280" s="1429"/>
      <c r="S280" s="1429"/>
      <c r="T280" s="1429"/>
      <c r="U280" s="1429"/>
      <c r="V280" s="1429"/>
      <c r="W280" s="1429"/>
      <c r="X280" s="1429"/>
      <c r="Y280" s="1429"/>
    </row>
    <row r="281" spans="1:25">
      <c r="A281" s="1428"/>
      <c r="B281" s="1428"/>
      <c r="C281" s="1428"/>
      <c r="D281" s="1428"/>
      <c r="E281" s="1428"/>
      <c r="I281" s="1413"/>
      <c r="J281" s="1413"/>
      <c r="K281" s="1413"/>
      <c r="L281" s="1413"/>
      <c r="M281" s="1413"/>
      <c r="N281" s="1413"/>
      <c r="O281" s="1413"/>
      <c r="P281" s="1489"/>
      <c r="R281" s="1429"/>
      <c r="S281" s="1429"/>
      <c r="T281" s="1429"/>
      <c r="U281" s="1429"/>
      <c r="V281" s="1429"/>
      <c r="W281" s="1429"/>
      <c r="X281" s="1429"/>
      <c r="Y281" s="1429"/>
    </row>
    <row r="282" spans="1:25">
      <c r="A282" s="1428"/>
      <c r="B282" s="1428"/>
      <c r="C282" s="1428"/>
      <c r="D282" s="1428"/>
      <c r="E282" s="1428"/>
      <c r="I282" s="1413"/>
      <c r="J282" s="1413"/>
      <c r="K282" s="1413"/>
      <c r="L282" s="1413"/>
      <c r="M282" s="1413"/>
      <c r="N282" s="1413"/>
      <c r="O282" s="1413"/>
      <c r="P282" s="1489"/>
      <c r="R282" s="1429"/>
      <c r="S282" s="1429"/>
      <c r="T282" s="1429"/>
      <c r="U282" s="1429"/>
      <c r="V282" s="1429"/>
      <c r="W282" s="1429"/>
      <c r="X282" s="1429"/>
      <c r="Y282" s="1429"/>
    </row>
    <row r="283" spans="1:25">
      <c r="A283" s="1428"/>
      <c r="B283" s="1428"/>
      <c r="C283" s="1428"/>
      <c r="D283" s="1428"/>
      <c r="E283" s="1428"/>
      <c r="I283" s="1413"/>
      <c r="J283" s="1413"/>
      <c r="K283" s="1413"/>
      <c r="L283" s="1413"/>
      <c r="M283" s="1413"/>
      <c r="N283" s="1413"/>
      <c r="O283" s="1413"/>
      <c r="P283" s="1489"/>
      <c r="R283" s="1429"/>
      <c r="S283" s="1429"/>
      <c r="T283" s="1429"/>
      <c r="U283" s="1429"/>
      <c r="V283" s="1429"/>
      <c r="W283" s="1429"/>
      <c r="X283" s="1429"/>
      <c r="Y283" s="1429"/>
    </row>
    <row r="284" spans="1:25">
      <c r="A284" s="1428"/>
      <c r="B284" s="1428"/>
      <c r="C284" s="1428"/>
      <c r="D284" s="1428"/>
      <c r="E284" s="1428"/>
      <c r="I284" s="1413"/>
      <c r="J284" s="1413"/>
      <c r="K284" s="1413"/>
      <c r="L284" s="1413"/>
      <c r="M284" s="1413"/>
      <c r="N284" s="1413"/>
      <c r="O284" s="1413"/>
      <c r="P284" s="1489"/>
      <c r="R284" s="1429"/>
      <c r="S284" s="1429"/>
      <c r="T284" s="1429"/>
      <c r="U284" s="1429"/>
      <c r="V284" s="1429"/>
      <c r="W284" s="1429"/>
      <c r="X284" s="1429"/>
      <c r="Y284" s="1429"/>
    </row>
    <row r="285" spans="1:25">
      <c r="A285" s="1428"/>
      <c r="B285" s="1428"/>
      <c r="C285" s="1428"/>
      <c r="D285" s="1428"/>
      <c r="E285" s="1428"/>
      <c r="I285" s="1413"/>
      <c r="J285" s="1413"/>
      <c r="K285" s="1413"/>
      <c r="L285" s="1413"/>
      <c r="M285" s="1413"/>
      <c r="N285" s="1413"/>
      <c r="O285" s="1413"/>
      <c r="P285" s="1489"/>
      <c r="R285" s="1429"/>
      <c r="S285" s="1429"/>
      <c r="T285" s="1429"/>
      <c r="U285" s="1429"/>
      <c r="V285" s="1429"/>
      <c r="W285" s="1429"/>
      <c r="X285" s="1429"/>
      <c r="Y285" s="1429"/>
    </row>
    <row r="286" spans="1:25">
      <c r="A286" s="1428"/>
      <c r="B286" s="1428"/>
      <c r="C286" s="1428"/>
      <c r="D286" s="1428"/>
      <c r="E286" s="1428"/>
      <c r="I286" s="1413"/>
      <c r="J286" s="1413"/>
      <c r="K286" s="1413"/>
      <c r="L286" s="1413"/>
      <c r="M286" s="1413"/>
      <c r="N286" s="1413"/>
      <c r="O286" s="1413"/>
      <c r="P286" s="1489"/>
      <c r="R286" s="1429"/>
      <c r="S286" s="1429"/>
      <c r="T286" s="1429"/>
      <c r="U286" s="1429"/>
      <c r="V286" s="1429"/>
      <c r="W286" s="1429"/>
      <c r="X286" s="1429"/>
      <c r="Y286" s="1429"/>
    </row>
    <row r="287" spans="1:25">
      <c r="A287" s="1428"/>
      <c r="B287" s="1428"/>
      <c r="C287" s="1428"/>
      <c r="D287" s="1428"/>
      <c r="E287" s="1428"/>
      <c r="I287" s="1413"/>
      <c r="J287" s="1413"/>
      <c r="K287" s="1413"/>
      <c r="L287" s="1413"/>
      <c r="M287" s="1413"/>
      <c r="N287" s="1413"/>
      <c r="O287" s="1413"/>
      <c r="P287" s="1381"/>
      <c r="R287" s="1429"/>
      <c r="S287" s="1429"/>
      <c r="T287" s="1429"/>
      <c r="U287" s="1429"/>
      <c r="V287" s="1429"/>
      <c r="W287" s="1429"/>
      <c r="X287" s="1429"/>
      <c r="Y287" s="1429"/>
    </row>
    <row r="288" spans="1:25">
      <c r="A288" s="1428"/>
      <c r="B288" s="1428"/>
      <c r="C288" s="1428"/>
      <c r="D288" s="1428"/>
      <c r="E288" s="1428"/>
      <c r="I288" s="1413"/>
      <c r="J288" s="1413"/>
      <c r="K288" s="1413"/>
      <c r="L288" s="1413"/>
      <c r="M288" s="1413"/>
      <c r="N288" s="1413"/>
      <c r="O288" s="1413"/>
      <c r="P288" s="1381"/>
      <c r="R288" s="1429"/>
      <c r="S288" s="1429"/>
      <c r="T288" s="1429"/>
      <c r="U288" s="1429"/>
      <c r="V288" s="1429"/>
      <c r="W288" s="1429"/>
      <c r="X288" s="1429"/>
      <c r="Y288" s="1429"/>
    </row>
    <row r="289" spans="1:25">
      <c r="A289" s="1428"/>
      <c r="B289" s="1428"/>
      <c r="C289" s="1428"/>
      <c r="D289" s="1428"/>
      <c r="E289" s="1428"/>
      <c r="I289" s="1413"/>
      <c r="J289" s="1413"/>
      <c r="K289" s="1413"/>
      <c r="L289" s="1413"/>
      <c r="M289" s="1413"/>
      <c r="N289" s="1413"/>
      <c r="O289" s="1413"/>
      <c r="P289" s="1381"/>
      <c r="R289" s="1429"/>
      <c r="S289" s="1429"/>
      <c r="T289" s="1429"/>
      <c r="U289" s="1429"/>
      <c r="V289" s="1429"/>
      <c r="W289" s="1429"/>
      <c r="X289" s="1429"/>
      <c r="Y289" s="1429"/>
    </row>
    <row r="290" spans="1:25">
      <c r="A290" s="1428"/>
      <c r="B290" s="1428"/>
      <c r="C290" s="1428"/>
      <c r="D290" s="1428"/>
      <c r="E290" s="1428"/>
      <c r="I290" s="1413"/>
      <c r="J290" s="1413"/>
      <c r="K290" s="1413"/>
      <c r="L290" s="1413"/>
      <c r="M290" s="1413"/>
      <c r="N290" s="1413"/>
      <c r="O290" s="1413"/>
      <c r="P290" s="1381"/>
      <c r="R290" s="1429"/>
      <c r="S290" s="1429"/>
      <c r="T290" s="1429"/>
      <c r="U290" s="1429"/>
      <c r="V290" s="1429"/>
      <c r="W290" s="1429"/>
      <c r="X290" s="1429"/>
      <c r="Y290" s="1429"/>
    </row>
    <row r="291" spans="1:25">
      <c r="A291" s="1428"/>
      <c r="B291" s="1428"/>
      <c r="C291" s="1428"/>
      <c r="D291" s="1428"/>
      <c r="E291" s="1428"/>
      <c r="I291" s="1413"/>
      <c r="J291" s="1413"/>
      <c r="K291" s="1413"/>
      <c r="L291" s="1413"/>
      <c r="M291" s="1413"/>
      <c r="N291" s="1413"/>
      <c r="O291" s="1413"/>
      <c r="P291" s="1381"/>
      <c r="R291" s="1429"/>
      <c r="S291" s="1429"/>
      <c r="T291" s="1429"/>
      <c r="U291" s="1429"/>
      <c r="V291" s="1429"/>
      <c r="W291" s="1429"/>
      <c r="X291" s="1429"/>
      <c r="Y291" s="1429"/>
    </row>
    <row r="292" spans="1:25">
      <c r="A292" s="1428"/>
      <c r="B292" s="1428"/>
      <c r="C292" s="1428"/>
      <c r="D292" s="1428"/>
      <c r="E292" s="1428"/>
      <c r="I292" s="1413"/>
      <c r="J292" s="1413"/>
      <c r="K292" s="1413"/>
      <c r="L292" s="1413"/>
      <c r="M292" s="1413"/>
      <c r="N292" s="1413"/>
      <c r="O292" s="1413"/>
      <c r="P292" s="1381"/>
      <c r="R292" s="1429"/>
      <c r="S292" s="1429"/>
      <c r="T292" s="1429"/>
      <c r="U292" s="1429"/>
      <c r="V292" s="1429"/>
      <c r="W292" s="1429"/>
      <c r="X292" s="1429"/>
      <c r="Y292" s="1429"/>
    </row>
    <row r="293" spans="1:25">
      <c r="A293" s="1428"/>
      <c r="B293" s="1428"/>
      <c r="C293" s="1428"/>
      <c r="D293" s="1428"/>
      <c r="E293" s="1428"/>
      <c r="I293" s="1413"/>
      <c r="J293" s="1413"/>
      <c r="K293" s="1413"/>
      <c r="L293" s="1413"/>
      <c r="M293" s="1413"/>
      <c r="N293" s="1413"/>
      <c r="O293" s="1413"/>
      <c r="P293" s="1381"/>
      <c r="R293" s="1429"/>
      <c r="S293" s="1429"/>
      <c r="T293" s="1429"/>
      <c r="U293" s="1429"/>
      <c r="V293" s="1429"/>
      <c r="W293" s="1429"/>
      <c r="X293" s="1429"/>
      <c r="Y293" s="1429"/>
    </row>
    <row r="294" spans="1:25">
      <c r="A294" s="1428"/>
      <c r="B294" s="1428"/>
      <c r="C294" s="1428"/>
      <c r="D294" s="1428"/>
      <c r="E294" s="1428"/>
      <c r="I294" s="1413"/>
      <c r="J294" s="1413"/>
      <c r="K294" s="1413"/>
      <c r="L294" s="1413"/>
      <c r="M294" s="1413"/>
      <c r="N294" s="1413"/>
      <c r="O294" s="1413"/>
      <c r="P294" s="1381"/>
      <c r="R294" s="1429"/>
      <c r="S294" s="1429"/>
      <c r="T294" s="1429"/>
      <c r="U294" s="1429"/>
      <c r="V294" s="1429"/>
      <c r="W294" s="1429"/>
      <c r="X294" s="1429"/>
      <c r="Y294" s="1429"/>
    </row>
    <row r="295" spans="1:25">
      <c r="A295" s="1428"/>
      <c r="B295" s="1428"/>
      <c r="C295" s="1428"/>
      <c r="D295" s="1428"/>
      <c r="E295" s="1428"/>
      <c r="I295" s="1413"/>
      <c r="J295" s="1413"/>
      <c r="K295" s="1413"/>
      <c r="L295" s="1413"/>
      <c r="M295" s="1413"/>
      <c r="N295" s="1413"/>
      <c r="O295" s="1413"/>
      <c r="P295" s="1381"/>
      <c r="R295" s="1429"/>
      <c r="S295" s="1429"/>
      <c r="T295" s="1429"/>
      <c r="U295" s="1429"/>
      <c r="V295" s="1429"/>
      <c r="W295" s="1429"/>
      <c r="X295" s="1429"/>
      <c r="Y295" s="1429"/>
    </row>
    <row r="296" spans="1:25">
      <c r="A296" s="1428"/>
      <c r="B296" s="1428"/>
      <c r="C296" s="1428"/>
      <c r="D296" s="1428"/>
      <c r="E296" s="1428"/>
      <c r="I296" s="1413"/>
      <c r="J296" s="1413"/>
      <c r="K296" s="1413"/>
      <c r="L296" s="1413"/>
      <c r="M296" s="1413"/>
      <c r="N296" s="1413"/>
      <c r="O296" s="1413"/>
      <c r="P296" s="1381"/>
      <c r="R296" s="1429"/>
      <c r="S296" s="1429"/>
      <c r="T296" s="1429"/>
      <c r="U296" s="1429"/>
      <c r="V296" s="1429"/>
      <c r="W296" s="1429"/>
      <c r="X296" s="1429"/>
      <c r="Y296" s="1429"/>
    </row>
    <row r="297" spans="1:25">
      <c r="A297" s="1428"/>
      <c r="B297" s="1428"/>
      <c r="C297" s="1428"/>
      <c r="D297" s="1428"/>
      <c r="E297" s="1428"/>
      <c r="I297" s="1413"/>
      <c r="J297" s="1413"/>
      <c r="K297" s="1413"/>
      <c r="L297" s="1413"/>
      <c r="M297" s="1413"/>
      <c r="N297" s="1413"/>
      <c r="O297" s="1413"/>
      <c r="P297" s="1381"/>
      <c r="R297" s="1429"/>
      <c r="S297" s="1429"/>
      <c r="T297" s="1429"/>
      <c r="U297" s="1429"/>
      <c r="V297" s="1429"/>
      <c r="W297" s="1429"/>
      <c r="X297" s="1429"/>
      <c r="Y297" s="1429"/>
    </row>
    <row r="298" spans="1:25">
      <c r="A298" s="1428"/>
      <c r="B298" s="1428"/>
      <c r="C298" s="1428"/>
      <c r="D298" s="1428"/>
      <c r="E298" s="1428"/>
      <c r="I298" s="1413"/>
      <c r="J298" s="1413"/>
      <c r="K298" s="1413"/>
      <c r="L298" s="1413"/>
      <c r="M298" s="1413"/>
      <c r="N298" s="1413"/>
      <c r="O298" s="1413"/>
      <c r="P298" s="1381"/>
      <c r="R298" s="1429"/>
      <c r="S298" s="1429"/>
      <c r="T298" s="1429"/>
      <c r="U298" s="1429"/>
      <c r="V298" s="1429"/>
      <c r="W298" s="1429"/>
      <c r="X298" s="1429"/>
      <c r="Y298" s="1429"/>
    </row>
    <row r="299" spans="1:25">
      <c r="A299" s="1428"/>
      <c r="B299" s="1428"/>
      <c r="C299" s="1428"/>
      <c r="D299" s="1428"/>
      <c r="E299" s="1428"/>
      <c r="I299" s="1413"/>
      <c r="J299" s="1413"/>
      <c r="K299" s="1413"/>
      <c r="L299" s="1413"/>
      <c r="M299" s="1413"/>
      <c r="N299" s="1413"/>
      <c r="O299" s="1413"/>
      <c r="P299" s="1381"/>
      <c r="R299" s="1429"/>
      <c r="S299" s="1429"/>
      <c r="T299" s="1429"/>
      <c r="U299" s="1429"/>
      <c r="V299" s="1429"/>
      <c r="W299" s="1429"/>
      <c r="X299" s="1429"/>
      <c r="Y299" s="1429"/>
    </row>
    <row r="300" spans="1:25">
      <c r="A300" s="1428"/>
      <c r="B300" s="1428"/>
      <c r="C300" s="1428"/>
      <c r="D300" s="1428"/>
      <c r="E300" s="1428"/>
      <c r="I300" s="1413"/>
      <c r="J300" s="1413"/>
      <c r="K300" s="1413"/>
      <c r="L300" s="1413"/>
      <c r="M300" s="1413"/>
      <c r="N300" s="1413"/>
      <c r="O300" s="1413"/>
      <c r="P300" s="1381"/>
      <c r="R300" s="1429"/>
      <c r="S300" s="1429"/>
      <c r="T300" s="1429"/>
      <c r="U300" s="1429"/>
      <c r="V300" s="1429"/>
      <c r="W300" s="1429"/>
      <c r="X300" s="1429"/>
      <c r="Y300" s="1429"/>
    </row>
    <row r="301" spans="1:25">
      <c r="A301" s="1428"/>
      <c r="B301" s="1428"/>
      <c r="C301" s="1428"/>
      <c r="D301" s="1428"/>
      <c r="E301" s="1428"/>
      <c r="I301" s="1413"/>
      <c r="J301" s="1413"/>
      <c r="K301" s="1413"/>
      <c r="L301" s="1413"/>
      <c r="M301" s="1413"/>
      <c r="N301" s="1413"/>
      <c r="O301" s="1413"/>
      <c r="P301" s="1431"/>
      <c r="R301" s="1429"/>
      <c r="S301" s="1429"/>
      <c r="T301" s="1429"/>
      <c r="U301" s="1429"/>
      <c r="V301" s="1429"/>
      <c r="W301" s="1429"/>
      <c r="X301" s="1429"/>
      <c r="Y301" s="1429"/>
    </row>
    <row r="302" spans="1:25">
      <c r="A302" s="1428"/>
      <c r="B302" s="1428"/>
      <c r="C302" s="1428"/>
      <c r="D302" s="1428"/>
      <c r="E302" s="1428"/>
      <c r="I302" s="1413"/>
      <c r="J302" s="1413"/>
      <c r="K302" s="1413"/>
      <c r="L302" s="1413"/>
      <c r="M302" s="1413"/>
      <c r="N302" s="1413"/>
      <c r="O302" s="1413"/>
      <c r="P302" s="1381"/>
      <c r="R302" s="1429"/>
      <c r="S302" s="1429"/>
      <c r="T302" s="1429"/>
      <c r="U302" s="1429"/>
      <c r="V302" s="1429"/>
      <c r="W302" s="1429"/>
      <c r="X302" s="1429"/>
      <c r="Y302" s="1429"/>
    </row>
    <row r="303" spans="1:25">
      <c r="A303" s="1428"/>
      <c r="B303" s="1428"/>
      <c r="C303" s="1428"/>
      <c r="D303" s="1428"/>
      <c r="E303" s="1428"/>
      <c r="I303" s="1413"/>
      <c r="J303" s="1413"/>
      <c r="K303" s="1413"/>
      <c r="L303" s="1413"/>
      <c r="M303" s="1413"/>
      <c r="N303" s="1413"/>
      <c r="O303" s="1413"/>
      <c r="P303" s="1381"/>
      <c r="R303" s="1429"/>
      <c r="S303" s="1429"/>
      <c r="T303" s="1429"/>
      <c r="U303" s="1429"/>
      <c r="V303" s="1429"/>
      <c r="W303" s="1429"/>
      <c r="X303" s="1429"/>
      <c r="Y303" s="1429"/>
    </row>
    <row r="304" spans="1:25">
      <c r="A304" s="1428"/>
      <c r="B304" s="1428"/>
      <c r="C304" s="1428"/>
      <c r="D304" s="1428"/>
      <c r="E304" s="1428"/>
      <c r="I304" s="1413"/>
      <c r="J304" s="1413"/>
      <c r="K304" s="1413"/>
      <c r="L304" s="1413"/>
      <c r="M304" s="1413"/>
      <c r="N304" s="1413"/>
      <c r="O304" s="1413"/>
      <c r="P304" s="1381"/>
      <c r="R304" s="1429"/>
      <c r="S304" s="1429"/>
      <c r="T304" s="1429"/>
      <c r="U304" s="1429"/>
      <c r="V304" s="1429"/>
      <c r="W304" s="1429"/>
      <c r="X304" s="1429"/>
      <c r="Y304" s="1429"/>
    </row>
    <row r="305" spans="1:25">
      <c r="A305" s="1428"/>
      <c r="B305" s="1428"/>
      <c r="C305" s="1428"/>
      <c r="D305" s="1428"/>
      <c r="E305" s="1428"/>
      <c r="I305" s="1413"/>
      <c r="J305" s="1413"/>
      <c r="K305" s="1413"/>
      <c r="L305" s="1413"/>
      <c r="M305" s="1413"/>
      <c r="N305" s="1413"/>
      <c r="O305" s="1413"/>
      <c r="P305" s="1381"/>
      <c r="R305" s="1429"/>
      <c r="S305" s="1429"/>
      <c r="T305" s="1429"/>
      <c r="U305" s="1429"/>
      <c r="V305" s="1429"/>
      <c r="W305" s="1429"/>
      <c r="X305" s="1429"/>
      <c r="Y305" s="1429"/>
    </row>
    <row r="306" spans="1:25">
      <c r="A306" s="1428"/>
      <c r="B306" s="1428"/>
      <c r="C306" s="1428"/>
      <c r="D306" s="1428"/>
      <c r="E306" s="1428"/>
      <c r="I306" s="1413"/>
      <c r="J306" s="1413"/>
      <c r="K306" s="1413"/>
      <c r="L306" s="1413"/>
      <c r="M306" s="1413"/>
      <c r="N306" s="1413"/>
      <c r="O306" s="1413"/>
      <c r="P306" s="1381"/>
      <c r="R306" s="1429"/>
      <c r="S306" s="1429"/>
      <c r="T306" s="1429"/>
      <c r="U306" s="1429"/>
      <c r="V306" s="1429"/>
      <c r="W306" s="1429"/>
      <c r="X306" s="1429"/>
      <c r="Y306" s="1429"/>
    </row>
    <row r="307" spans="1:25">
      <c r="A307" s="1428"/>
      <c r="B307" s="1428"/>
      <c r="C307" s="1428"/>
      <c r="D307" s="1428"/>
      <c r="E307" s="1428"/>
      <c r="I307" s="1413"/>
      <c r="J307" s="1413"/>
      <c r="K307" s="1413"/>
      <c r="L307" s="1413"/>
      <c r="M307" s="1413"/>
      <c r="N307" s="1413"/>
      <c r="O307" s="1413"/>
      <c r="P307" s="1381"/>
      <c r="R307" s="1429"/>
      <c r="S307" s="1429"/>
      <c r="T307" s="1429"/>
      <c r="U307" s="1429"/>
      <c r="V307" s="1429"/>
      <c r="W307" s="1429"/>
      <c r="X307" s="1429"/>
      <c r="Y307" s="1429"/>
    </row>
    <row r="308" spans="1:25">
      <c r="A308" s="1428"/>
      <c r="B308" s="1428"/>
      <c r="C308" s="1428"/>
      <c r="D308" s="1428"/>
      <c r="E308" s="1428"/>
      <c r="I308" s="1413"/>
      <c r="J308" s="1413"/>
      <c r="K308" s="1413"/>
      <c r="L308" s="1413"/>
      <c r="M308" s="1413"/>
      <c r="N308" s="1413"/>
      <c r="O308" s="1413"/>
      <c r="P308" s="1381"/>
      <c r="R308" s="1429"/>
      <c r="S308" s="1429"/>
      <c r="T308" s="1429"/>
      <c r="U308" s="1429"/>
      <c r="V308" s="1429"/>
      <c r="W308" s="1429"/>
      <c r="X308" s="1429"/>
      <c r="Y308" s="1429"/>
    </row>
    <row r="309" spans="1:25">
      <c r="A309" s="1428"/>
      <c r="B309" s="1428"/>
      <c r="C309" s="1428"/>
      <c r="D309" s="1428"/>
      <c r="E309" s="1428"/>
      <c r="I309" s="1413"/>
      <c r="J309" s="1413"/>
      <c r="K309" s="1413"/>
      <c r="L309" s="1413"/>
      <c r="M309" s="1413"/>
      <c r="N309" s="1413"/>
      <c r="O309" s="1413"/>
      <c r="P309" s="1381"/>
      <c r="R309" s="1429"/>
      <c r="S309" s="1429"/>
      <c r="T309" s="1429"/>
      <c r="U309" s="1429"/>
      <c r="V309" s="1429"/>
      <c r="W309" s="1429"/>
      <c r="X309" s="1429"/>
      <c r="Y309" s="1429"/>
    </row>
    <row r="310" spans="1:25">
      <c r="A310" s="1428"/>
      <c r="B310" s="1428"/>
      <c r="C310" s="1428"/>
      <c r="D310" s="1428"/>
      <c r="E310" s="1428"/>
      <c r="I310" s="1413"/>
      <c r="J310" s="1413"/>
      <c r="K310" s="1413"/>
      <c r="L310" s="1413"/>
      <c r="M310" s="1413"/>
      <c r="N310" s="1413"/>
      <c r="O310" s="1413"/>
      <c r="P310" s="1431"/>
      <c r="R310" s="1429"/>
      <c r="S310" s="1429"/>
      <c r="T310" s="1429"/>
      <c r="U310" s="1429"/>
      <c r="V310" s="1429"/>
      <c r="W310" s="1429"/>
      <c r="X310" s="1429"/>
      <c r="Y310" s="1429"/>
    </row>
    <row r="311" spans="1:25">
      <c r="A311" s="1428"/>
      <c r="B311" s="1428"/>
      <c r="C311" s="1428"/>
      <c r="D311" s="1428"/>
      <c r="E311" s="1428"/>
      <c r="I311" s="1413"/>
      <c r="J311" s="1413"/>
      <c r="K311" s="1413"/>
      <c r="L311" s="1413"/>
      <c r="M311" s="1413"/>
      <c r="N311" s="1413"/>
      <c r="O311" s="1413"/>
      <c r="P311" s="1381"/>
      <c r="R311" s="1429"/>
      <c r="S311" s="1429"/>
      <c r="T311" s="1429"/>
      <c r="U311" s="1429"/>
      <c r="V311" s="1429"/>
      <c r="W311" s="1429"/>
      <c r="X311" s="1429"/>
      <c r="Y311" s="1429"/>
    </row>
    <row r="312" spans="1:25">
      <c r="A312" s="1428"/>
      <c r="B312" s="1428"/>
      <c r="C312" s="1428"/>
      <c r="D312" s="1428"/>
      <c r="E312" s="1428"/>
      <c r="I312" s="1413"/>
      <c r="J312" s="1413"/>
      <c r="K312" s="1413"/>
      <c r="L312" s="1413"/>
      <c r="M312" s="1413"/>
      <c r="N312" s="1413"/>
      <c r="O312" s="1413"/>
      <c r="P312" s="1381"/>
      <c r="R312" s="1429"/>
      <c r="S312" s="1429"/>
      <c r="T312" s="1429"/>
      <c r="U312" s="1429"/>
      <c r="V312" s="1429"/>
      <c r="W312" s="1429"/>
      <c r="X312" s="1429"/>
      <c r="Y312" s="1429"/>
    </row>
    <row r="313" spans="1:25">
      <c r="A313" s="1428"/>
      <c r="B313" s="1428"/>
      <c r="C313" s="1428"/>
      <c r="D313" s="1428"/>
      <c r="E313" s="1428"/>
      <c r="I313" s="1413"/>
      <c r="J313" s="1413"/>
      <c r="K313" s="1413"/>
      <c r="L313" s="1413"/>
      <c r="M313" s="1413"/>
      <c r="N313" s="1413"/>
      <c r="O313" s="1413"/>
      <c r="P313" s="1381"/>
      <c r="R313" s="1429"/>
      <c r="S313" s="1429"/>
      <c r="T313" s="1429"/>
      <c r="U313" s="1429"/>
      <c r="V313" s="1429"/>
      <c r="W313" s="1429"/>
      <c r="X313" s="1429"/>
      <c r="Y313" s="1429"/>
    </row>
    <row r="314" spans="1:25">
      <c r="A314" s="1428"/>
      <c r="B314" s="1428"/>
      <c r="C314" s="1428"/>
      <c r="D314" s="1428"/>
      <c r="E314" s="1428"/>
      <c r="I314" s="1413"/>
      <c r="J314" s="1413"/>
      <c r="K314" s="1413"/>
      <c r="L314" s="1413"/>
      <c r="M314" s="1413"/>
      <c r="N314" s="1413"/>
      <c r="O314" s="1413"/>
      <c r="P314" s="1381"/>
      <c r="R314" s="1429"/>
      <c r="S314" s="1429"/>
      <c r="T314" s="1429"/>
      <c r="U314" s="1429"/>
      <c r="V314" s="1429"/>
      <c r="W314" s="1429"/>
      <c r="X314" s="1429"/>
      <c r="Y314" s="1429"/>
    </row>
    <row r="315" spans="1:25">
      <c r="A315" s="1428"/>
      <c r="B315" s="1428"/>
      <c r="C315" s="1428"/>
      <c r="D315" s="1428"/>
      <c r="E315" s="1428"/>
      <c r="I315" s="1413"/>
      <c r="J315" s="1413"/>
      <c r="K315" s="1413"/>
      <c r="L315" s="1413"/>
      <c r="M315" s="1413"/>
      <c r="N315" s="1413"/>
      <c r="O315" s="1413"/>
      <c r="P315" s="1381"/>
      <c r="R315" s="1429"/>
      <c r="S315" s="1429"/>
      <c r="T315" s="1429"/>
      <c r="U315" s="1429"/>
      <c r="V315" s="1429"/>
      <c r="W315" s="1429"/>
      <c r="X315" s="1429"/>
      <c r="Y315" s="1429"/>
    </row>
    <row r="316" spans="1:25">
      <c r="A316" s="1428"/>
      <c r="B316" s="1428"/>
      <c r="C316" s="1428"/>
      <c r="D316" s="1428"/>
      <c r="E316" s="1428"/>
      <c r="I316" s="1413"/>
      <c r="J316" s="1413"/>
      <c r="K316" s="1413"/>
      <c r="L316" s="1413"/>
      <c r="M316" s="1413"/>
      <c r="N316" s="1413"/>
      <c r="O316" s="1413"/>
      <c r="P316" s="1381"/>
      <c r="R316" s="1429"/>
      <c r="S316" s="1429"/>
      <c r="T316" s="1429"/>
      <c r="U316" s="1429"/>
      <c r="V316" s="1429"/>
      <c r="W316" s="1429"/>
      <c r="X316" s="1429"/>
      <c r="Y316" s="1429"/>
    </row>
    <row r="317" spans="1:25">
      <c r="A317" s="1428"/>
      <c r="B317" s="1428"/>
      <c r="C317" s="1428"/>
      <c r="D317" s="1428"/>
      <c r="E317" s="1428"/>
      <c r="I317" s="1413"/>
      <c r="J317" s="1413"/>
      <c r="K317" s="1413"/>
      <c r="L317" s="1413"/>
      <c r="M317" s="1413"/>
      <c r="N317" s="1413"/>
      <c r="O317" s="1413"/>
      <c r="P317" s="1381"/>
      <c r="R317" s="1429"/>
      <c r="S317" s="1429"/>
      <c r="T317" s="1429"/>
      <c r="U317" s="1429"/>
      <c r="V317" s="1429"/>
      <c r="W317" s="1429"/>
      <c r="X317" s="1429"/>
      <c r="Y317" s="1429"/>
    </row>
    <row r="318" spans="1:25">
      <c r="A318" s="1428"/>
      <c r="B318" s="1428"/>
      <c r="C318" s="1428"/>
      <c r="D318" s="1428"/>
      <c r="E318" s="1428"/>
      <c r="I318" s="1413"/>
      <c r="J318" s="1413"/>
      <c r="K318" s="1413"/>
      <c r="L318" s="1413"/>
      <c r="M318" s="1413"/>
      <c r="N318" s="1413"/>
      <c r="O318" s="1413"/>
      <c r="P318" s="1381"/>
      <c r="R318" s="1429"/>
      <c r="S318" s="1429"/>
      <c r="T318" s="1429"/>
      <c r="U318" s="1429"/>
      <c r="V318" s="1429"/>
      <c r="W318" s="1429"/>
      <c r="X318" s="1429"/>
      <c r="Y318" s="1429"/>
    </row>
    <row r="319" spans="1:25">
      <c r="A319" s="1428"/>
      <c r="B319" s="1428"/>
      <c r="C319" s="1428"/>
      <c r="D319" s="1428"/>
      <c r="E319" s="1428"/>
      <c r="I319" s="1413"/>
      <c r="J319" s="1413"/>
      <c r="K319" s="1413"/>
      <c r="L319" s="1413"/>
      <c r="M319" s="1413"/>
      <c r="N319" s="1413"/>
      <c r="O319" s="1413"/>
      <c r="P319" s="1381"/>
      <c r="R319" s="1429"/>
      <c r="S319" s="1429"/>
      <c r="T319" s="1429"/>
      <c r="U319" s="1429"/>
      <c r="V319" s="1429"/>
      <c r="W319" s="1429"/>
      <c r="X319" s="1429"/>
      <c r="Y319" s="1429"/>
    </row>
    <row r="320" spans="1:25">
      <c r="A320" s="1428"/>
      <c r="B320" s="1428"/>
      <c r="C320" s="1428"/>
      <c r="D320" s="1428"/>
      <c r="E320" s="1428"/>
      <c r="I320" s="1413"/>
      <c r="J320" s="1413"/>
      <c r="K320" s="1413"/>
      <c r="L320" s="1413"/>
      <c r="M320" s="1413"/>
      <c r="N320" s="1413"/>
      <c r="O320" s="1413"/>
      <c r="P320" s="1381"/>
      <c r="R320" s="1429"/>
      <c r="S320" s="1429"/>
      <c r="T320" s="1429"/>
      <c r="U320" s="1429"/>
      <c r="V320" s="1429"/>
      <c r="W320" s="1429"/>
      <c r="X320" s="1429"/>
      <c r="Y320" s="1429"/>
    </row>
    <row r="321" spans="1:25">
      <c r="A321" s="1428"/>
      <c r="B321" s="1428"/>
      <c r="C321" s="1428"/>
      <c r="D321" s="1428"/>
      <c r="E321" s="1428"/>
      <c r="I321" s="1413"/>
      <c r="J321" s="1413"/>
      <c r="K321" s="1413"/>
      <c r="L321" s="1413"/>
      <c r="M321" s="1413"/>
      <c r="N321" s="1413"/>
      <c r="O321" s="1413"/>
      <c r="P321" s="1381"/>
      <c r="R321" s="1429"/>
      <c r="S321" s="1429"/>
      <c r="T321" s="1429"/>
      <c r="U321" s="1429"/>
      <c r="V321" s="1429"/>
      <c r="W321" s="1429"/>
      <c r="X321" s="1429"/>
      <c r="Y321" s="1429"/>
    </row>
    <row r="322" spans="1:25">
      <c r="A322" s="1428"/>
      <c r="B322" s="1428"/>
      <c r="C322" s="1428"/>
      <c r="D322" s="1428"/>
      <c r="E322" s="1428"/>
      <c r="I322" s="1413"/>
      <c r="J322" s="1413"/>
      <c r="K322" s="1413"/>
      <c r="L322" s="1413"/>
      <c r="M322" s="1413"/>
      <c r="N322" s="1413"/>
      <c r="O322" s="1413"/>
      <c r="P322" s="1381"/>
      <c r="R322" s="1429"/>
      <c r="S322" s="1429"/>
      <c r="T322" s="1429"/>
      <c r="U322" s="1429"/>
      <c r="V322" s="1429"/>
      <c r="W322" s="1429"/>
      <c r="X322" s="1429"/>
      <c r="Y322" s="1429"/>
    </row>
    <row r="323" spans="1:25">
      <c r="A323" s="1428"/>
      <c r="B323" s="1428"/>
      <c r="C323" s="1428"/>
      <c r="D323" s="1428"/>
      <c r="E323" s="1428"/>
      <c r="I323" s="1413"/>
      <c r="J323" s="1413"/>
      <c r="K323" s="1413"/>
      <c r="L323" s="1413"/>
      <c r="M323" s="1413"/>
      <c r="N323" s="1413"/>
      <c r="O323" s="1413"/>
      <c r="P323" s="1381"/>
      <c r="R323" s="1429"/>
      <c r="S323" s="1429"/>
      <c r="T323" s="1429"/>
      <c r="U323" s="1429"/>
      <c r="V323" s="1429"/>
      <c r="W323" s="1429"/>
      <c r="X323" s="1429"/>
      <c r="Y323" s="1429"/>
    </row>
    <row r="324" spans="1:25">
      <c r="A324" s="1428"/>
      <c r="B324" s="1428"/>
      <c r="C324" s="1428"/>
      <c r="D324" s="1428"/>
      <c r="E324" s="1428"/>
      <c r="I324" s="1413"/>
      <c r="J324" s="1413"/>
      <c r="K324" s="1413"/>
      <c r="L324" s="1413"/>
      <c r="M324" s="1413"/>
      <c r="N324" s="1413"/>
      <c r="O324" s="1413"/>
      <c r="P324" s="1381"/>
      <c r="R324" s="1429"/>
      <c r="S324" s="1429"/>
      <c r="T324" s="1429"/>
      <c r="U324" s="1429"/>
      <c r="V324" s="1429"/>
      <c r="W324" s="1429"/>
      <c r="X324" s="1429"/>
      <c r="Y324" s="1429"/>
    </row>
    <row r="325" spans="1:25">
      <c r="A325" s="1428"/>
      <c r="B325" s="1428"/>
      <c r="C325" s="1428"/>
      <c r="D325" s="1428"/>
      <c r="E325" s="1428"/>
      <c r="I325" s="1413"/>
      <c r="J325" s="1413"/>
      <c r="K325" s="1413"/>
      <c r="L325" s="1413"/>
      <c r="M325" s="1413"/>
      <c r="N325" s="1413"/>
      <c r="O325" s="1413"/>
      <c r="P325" s="1381"/>
      <c r="R325" s="1429"/>
      <c r="S325" s="1429"/>
      <c r="T325" s="1429"/>
      <c r="U325" s="1429"/>
      <c r="V325" s="1429"/>
      <c r="W325" s="1429"/>
      <c r="X325" s="1429"/>
      <c r="Y325" s="1429"/>
    </row>
    <row r="326" spans="1:25">
      <c r="A326" s="1428"/>
      <c r="B326" s="1428"/>
      <c r="C326" s="1428"/>
      <c r="D326" s="1428"/>
      <c r="E326" s="1428"/>
      <c r="I326" s="1413"/>
      <c r="J326" s="1413"/>
      <c r="K326" s="1413"/>
      <c r="L326" s="1413"/>
      <c r="M326" s="1413"/>
      <c r="N326" s="1413"/>
      <c r="O326" s="1413"/>
      <c r="P326" s="1381"/>
      <c r="R326" s="1429"/>
      <c r="S326" s="1429"/>
      <c r="T326" s="1429"/>
      <c r="U326" s="1429"/>
      <c r="V326" s="1429"/>
      <c r="W326" s="1429"/>
      <c r="X326" s="1429"/>
      <c r="Y326" s="1429"/>
    </row>
    <row r="327" spans="1:25">
      <c r="A327" s="1428"/>
      <c r="B327" s="1428"/>
      <c r="C327" s="1428"/>
      <c r="D327" s="1428"/>
      <c r="E327" s="1428"/>
      <c r="I327" s="1413"/>
      <c r="J327" s="1413"/>
      <c r="K327" s="1413"/>
      <c r="L327" s="1413"/>
      <c r="M327" s="1413"/>
      <c r="N327" s="1413"/>
      <c r="O327" s="1413"/>
      <c r="P327" s="1381"/>
      <c r="R327" s="1429"/>
      <c r="S327" s="1429"/>
      <c r="T327" s="1429"/>
      <c r="U327" s="1429"/>
      <c r="V327" s="1429"/>
      <c r="W327" s="1429"/>
      <c r="X327" s="1429"/>
      <c r="Y327" s="1429"/>
    </row>
    <row r="328" spans="1:25">
      <c r="A328" s="1428"/>
      <c r="B328" s="1428"/>
      <c r="C328" s="1428"/>
      <c r="D328" s="1428"/>
      <c r="E328" s="1428"/>
      <c r="I328" s="1413"/>
      <c r="J328" s="1413"/>
      <c r="K328" s="1413"/>
      <c r="L328" s="1413"/>
      <c r="M328" s="1413"/>
      <c r="N328" s="1413"/>
      <c r="O328" s="1413"/>
      <c r="P328" s="1381"/>
      <c r="R328" s="1429"/>
      <c r="S328" s="1429"/>
      <c r="T328" s="1429"/>
      <c r="U328" s="1429"/>
      <c r="V328" s="1429"/>
      <c r="W328" s="1429"/>
      <c r="X328" s="1429"/>
      <c r="Y328" s="1429"/>
    </row>
    <row r="329" spans="1:25">
      <c r="A329" s="1428"/>
      <c r="B329" s="1428"/>
      <c r="C329" s="1428"/>
      <c r="D329" s="1428"/>
      <c r="E329" s="1428"/>
      <c r="I329" s="1413"/>
      <c r="J329" s="1413"/>
      <c r="K329" s="1413"/>
      <c r="L329" s="1413"/>
      <c r="M329" s="1413"/>
      <c r="N329" s="1413"/>
      <c r="O329" s="1413"/>
      <c r="P329" s="1431"/>
      <c r="R329" s="1429"/>
      <c r="S329" s="1429"/>
      <c r="T329" s="1429"/>
      <c r="U329" s="1429"/>
      <c r="V329" s="1429"/>
      <c r="W329" s="1429"/>
      <c r="X329" s="1429"/>
      <c r="Y329" s="1429"/>
    </row>
    <row r="330" spans="1:25">
      <c r="A330" s="1428"/>
      <c r="B330" s="1428"/>
      <c r="C330" s="1428"/>
      <c r="D330" s="1428"/>
      <c r="E330" s="1428"/>
      <c r="I330" s="1413"/>
      <c r="J330" s="1413"/>
      <c r="K330" s="1413"/>
      <c r="L330" s="1413"/>
      <c r="M330" s="1413"/>
      <c r="N330" s="1413"/>
      <c r="O330" s="1413"/>
      <c r="P330" s="1381"/>
      <c r="R330" s="1429"/>
      <c r="S330" s="1429"/>
      <c r="T330" s="1429"/>
      <c r="U330" s="1429"/>
      <c r="V330" s="1429"/>
      <c r="W330" s="1429"/>
      <c r="X330" s="1429"/>
      <c r="Y330" s="1429"/>
    </row>
    <row r="331" spans="1:25">
      <c r="A331" s="1428"/>
      <c r="B331" s="1428"/>
      <c r="C331" s="1428"/>
      <c r="D331" s="1428"/>
      <c r="E331" s="1428"/>
      <c r="I331" s="1413"/>
      <c r="J331" s="1413"/>
      <c r="K331" s="1413"/>
      <c r="L331" s="1413"/>
      <c r="M331" s="1413"/>
      <c r="N331" s="1413"/>
      <c r="O331" s="1413"/>
      <c r="P331" s="1381"/>
      <c r="R331" s="1429"/>
      <c r="S331" s="1429"/>
      <c r="T331" s="1429"/>
      <c r="U331" s="1429"/>
      <c r="V331" s="1429"/>
      <c r="W331" s="1429"/>
      <c r="X331" s="1429"/>
      <c r="Y331" s="1429"/>
    </row>
    <row r="332" spans="1:25">
      <c r="A332" s="1428"/>
      <c r="B332" s="1428"/>
      <c r="C332" s="1428"/>
      <c r="D332" s="1428"/>
      <c r="E332" s="1428"/>
      <c r="I332" s="1413"/>
      <c r="J332" s="1413"/>
      <c r="K332" s="1413"/>
      <c r="L332" s="1413"/>
      <c r="M332" s="1413"/>
      <c r="N332" s="1413"/>
      <c r="O332" s="1413"/>
      <c r="P332" s="1381"/>
      <c r="R332" s="1429"/>
      <c r="S332" s="1429"/>
      <c r="T332" s="1429"/>
      <c r="U332" s="1429"/>
      <c r="V332" s="1429"/>
      <c r="W332" s="1429"/>
      <c r="X332" s="1429"/>
      <c r="Y332" s="1429"/>
    </row>
    <row r="333" spans="1:25">
      <c r="A333" s="1428"/>
      <c r="B333" s="1428"/>
      <c r="C333" s="1428"/>
      <c r="D333" s="1428"/>
      <c r="E333" s="1428"/>
      <c r="I333" s="1413"/>
      <c r="J333" s="1413"/>
      <c r="K333" s="1413"/>
      <c r="L333" s="1413"/>
      <c r="M333" s="1413"/>
      <c r="N333" s="1413"/>
      <c r="O333" s="1413"/>
      <c r="P333" s="1431"/>
      <c r="R333" s="1429"/>
      <c r="S333" s="1429"/>
      <c r="T333" s="1429"/>
      <c r="U333" s="1429"/>
      <c r="V333" s="1429"/>
      <c r="W333" s="1429"/>
      <c r="X333" s="1429"/>
      <c r="Y333" s="1429"/>
    </row>
    <row r="334" spans="1:25">
      <c r="A334" s="1428"/>
      <c r="B334" s="1428"/>
      <c r="C334" s="1428"/>
      <c r="D334" s="1428"/>
      <c r="E334" s="1428"/>
      <c r="I334" s="1413"/>
      <c r="J334" s="1413"/>
      <c r="K334" s="1413"/>
      <c r="L334" s="1413"/>
      <c r="M334" s="1413"/>
      <c r="N334" s="1413"/>
      <c r="O334" s="1413"/>
      <c r="P334" s="1381"/>
      <c r="R334" s="1429"/>
      <c r="S334" s="1429"/>
      <c r="T334" s="1429"/>
      <c r="U334" s="1429"/>
      <c r="V334" s="1429"/>
      <c r="W334" s="1429"/>
      <c r="X334" s="1429"/>
      <c r="Y334" s="1429"/>
    </row>
    <row r="335" spans="1:25">
      <c r="A335" s="1428"/>
      <c r="B335" s="1428"/>
      <c r="C335" s="1428"/>
      <c r="D335" s="1428"/>
      <c r="E335" s="1428"/>
      <c r="I335" s="1413"/>
      <c r="J335" s="1413"/>
      <c r="K335" s="1413"/>
      <c r="L335" s="1413"/>
      <c r="M335" s="1413"/>
      <c r="N335" s="1413"/>
      <c r="O335" s="1413"/>
      <c r="P335" s="1381"/>
      <c r="R335" s="1429"/>
      <c r="S335" s="1429"/>
      <c r="T335" s="1429"/>
      <c r="U335" s="1429"/>
      <c r="V335" s="1429"/>
      <c r="W335" s="1429"/>
      <c r="X335" s="1429"/>
      <c r="Y335" s="1429"/>
    </row>
    <row r="336" spans="1:25">
      <c r="A336" s="1428"/>
      <c r="B336" s="1428"/>
      <c r="C336" s="1428"/>
      <c r="D336" s="1428"/>
      <c r="E336" s="1428"/>
      <c r="I336" s="1413"/>
      <c r="J336" s="1413"/>
      <c r="K336" s="1413"/>
      <c r="L336" s="1413"/>
      <c r="M336" s="1413"/>
      <c r="N336" s="1413"/>
      <c r="O336" s="1413"/>
      <c r="P336" s="1381"/>
      <c r="R336" s="1429"/>
      <c r="S336" s="1429"/>
      <c r="T336" s="1429"/>
      <c r="U336" s="1429"/>
      <c r="V336" s="1429"/>
      <c r="W336" s="1429"/>
      <c r="X336" s="1429"/>
      <c r="Y336" s="1429"/>
    </row>
    <row r="337" spans="1:25">
      <c r="A337" s="1428"/>
      <c r="B337" s="1428"/>
      <c r="C337" s="1428"/>
      <c r="D337" s="1428"/>
      <c r="E337" s="1428"/>
      <c r="I337" s="1413"/>
      <c r="J337" s="1413"/>
      <c r="K337" s="1413"/>
      <c r="L337" s="1413"/>
      <c r="M337" s="1413"/>
      <c r="N337" s="1413"/>
      <c r="O337" s="1413"/>
      <c r="P337" s="1381"/>
      <c r="R337" s="1429"/>
      <c r="S337" s="1429"/>
      <c r="T337" s="1429"/>
      <c r="U337" s="1429"/>
      <c r="V337" s="1429"/>
      <c r="W337" s="1429"/>
      <c r="X337" s="1429"/>
      <c r="Y337" s="1429"/>
    </row>
    <row r="338" spans="1:25">
      <c r="A338" s="1428"/>
      <c r="B338" s="1428"/>
      <c r="C338" s="1428"/>
      <c r="D338" s="1428"/>
      <c r="E338" s="1428"/>
      <c r="I338" s="1413"/>
      <c r="J338" s="1413"/>
      <c r="K338" s="1413"/>
      <c r="L338" s="1413"/>
      <c r="M338" s="1413"/>
      <c r="N338" s="1413"/>
      <c r="O338" s="1413"/>
      <c r="P338" s="1381"/>
      <c r="R338" s="1429"/>
      <c r="S338" s="1429"/>
      <c r="T338" s="1429"/>
      <c r="U338" s="1429"/>
      <c r="V338" s="1429"/>
      <c r="W338" s="1429"/>
      <c r="X338" s="1429"/>
      <c r="Y338" s="1429"/>
    </row>
    <row r="339" spans="1:25">
      <c r="A339" s="1428"/>
      <c r="B339" s="1428"/>
      <c r="C339" s="1428"/>
      <c r="D339" s="1428"/>
      <c r="E339" s="1428"/>
      <c r="R339" s="1429"/>
      <c r="S339" s="1429"/>
      <c r="T339" s="1429"/>
      <c r="U339" s="1429"/>
      <c r="V339" s="1429"/>
      <c r="W339" s="1429"/>
      <c r="X339" s="1429"/>
      <c r="Y339" s="1429"/>
    </row>
    <row r="340" spans="1:25">
      <c r="A340" s="1428"/>
      <c r="B340" s="1428"/>
      <c r="C340" s="1428"/>
      <c r="D340" s="1428"/>
      <c r="E340" s="1428"/>
      <c r="R340" s="1429"/>
      <c r="S340" s="1429"/>
      <c r="T340" s="1429"/>
      <c r="U340" s="1429"/>
      <c r="V340" s="1429"/>
      <c r="W340" s="1429"/>
      <c r="X340" s="1429"/>
      <c r="Y340" s="1429"/>
    </row>
    <row r="341" spans="1:25">
      <c r="A341" s="1428"/>
      <c r="B341" s="1428"/>
      <c r="C341" s="1428"/>
      <c r="D341" s="1428"/>
      <c r="E341" s="1428"/>
      <c r="R341" s="1429"/>
      <c r="S341" s="1429"/>
      <c r="T341" s="1429"/>
      <c r="U341" s="1429"/>
      <c r="V341" s="1429"/>
      <c r="W341" s="1429"/>
      <c r="X341" s="1429"/>
      <c r="Y341" s="1429"/>
    </row>
    <row r="342" spans="1:25">
      <c r="A342" s="1428"/>
      <c r="B342" s="1428"/>
      <c r="C342" s="1428"/>
      <c r="D342" s="1428"/>
      <c r="E342" s="1428"/>
      <c r="R342" s="1429"/>
      <c r="S342" s="1429"/>
      <c r="T342" s="1429"/>
      <c r="U342" s="1429"/>
      <c r="V342" s="1429"/>
      <c r="W342" s="1429"/>
      <c r="X342" s="1429"/>
      <c r="Y342" s="1429"/>
    </row>
    <row r="343" spans="1:25">
      <c r="A343" s="1428"/>
      <c r="B343" s="1428"/>
      <c r="C343" s="1428"/>
      <c r="D343" s="1428"/>
      <c r="E343" s="1428"/>
      <c r="R343" s="1429"/>
      <c r="S343" s="1429"/>
      <c r="T343" s="1429"/>
      <c r="U343" s="1429"/>
      <c r="V343" s="1429"/>
      <c r="W343" s="1429"/>
      <c r="X343" s="1429"/>
      <c r="Y343" s="1429"/>
    </row>
    <row r="344" spans="1:25">
      <c r="A344" s="1428"/>
      <c r="B344" s="1428"/>
      <c r="C344" s="1428"/>
      <c r="D344" s="1428"/>
      <c r="E344" s="1428"/>
      <c r="R344" s="1429"/>
      <c r="S344" s="1429"/>
      <c r="T344" s="1429"/>
      <c r="U344" s="1429"/>
      <c r="V344" s="1429"/>
      <c r="W344" s="1429"/>
      <c r="X344" s="1429"/>
      <c r="Y344" s="1429"/>
    </row>
    <row r="345" spans="1:25">
      <c r="A345" s="1428"/>
      <c r="B345" s="1428"/>
      <c r="C345" s="1428"/>
      <c r="D345" s="1428"/>
      <c r="E345" s="1428"/>
      <c r="R345" s="1429"/>
      <c r="S345" s="1429"/>
      <c r="T345" s="1429"/>
      <c r="U345" s="1429"/>
      <c r="V345" s="1429"/>
      <c r="W345" s="1429"/>
      <c r="X345" s="1429"/>
      <c r="Y345" s="1429"/>
    </row>
    <row r="346" spans="1:25">
      <c r="A346" s="1428"/>
      <c r="B346" s="1428"/>
      <c r="C346" s="1428"/>
      <c r="D346" s="1428"/>
      <c r="E346" s="1428"/>
      <c r="R346" s="1429"/>
      <c r="S346" s="1429"/>
      <c r="T346" s="1429"/>
      <c r="U346" s="1429"/>
      <c r="V346" s="1429"/>
      <c r="W346" s="1429"/>
      <c r="X346" s="1429"/>
      <c r="Y346" s="1429"/>
    </row>
    <row r="347" spans="1:25">
      <c r="A347" s="1428"/>
      <c r="B347" s="1428"/>
      <c r="C347" s="1428"/>
      <c r="D347" s="1428"/>
      <c r="E347" s="1428"/>
      <c r="R347" s="1429"/>
      <c r="S347" s="1429"/>
      <c r="T347" s="1429"/>
      <c r="U347" s="1429"/>
      <c r="V347" s="1429"/>
      <c r="W347" s="1429"/>
      <c r="X347" s="1429"/>
      <c r="Y347" s="1429"/>
    </row>
    <row r="348" spans="1:25">
      <c r="A348" s="1428"/>
      <c r="B348" s="1428"/>
      <c r="C348" s="1428"/>
      <c r="D348" s="1428"/>
      <c r="E348" s="1428"/>
      <c r="R348" s="1429"/>
      <c r="S348" s="1429"/>
      <c r="T348" s="1429"/>
      <c r="U348" s="1429"/>
      <c r="V348" s="1429"/>
      <c r="W348" s="1429"/>
      <c r="X348" s="1429"/>
      <c r="Y348" s="1429"/>
    </row>
    <row r="349" spans="1:25">
      <c r="A349" s="1428"/>
      <c r="B349" s="1428"/>
      <c r="C349" s="1428"/>
      <c r="D349" s="1428"/>
      <c r="E349" s="1428"/>
      <c r="R349" s="1429"/>
      <c r="S349" s="1429"/>
      <c r="T349" s="1429"/>
      <c r="U349" s="1429"/>
      <c r="V349" s="1429"/>
      <c r="W349" s="1429"/>
      <c r="X349" s="1429"/>
      <c r="Y349" s="1429"/>
    </row>
    <row r="350" spans="1:25">
      <c r="A350" s="1428"/>
      <c r="B350" s="1428"/>
      <c r="C350" s="1428"/>
      <c r="D350" s="1428"/>
      <c r="E350" s="1428"/>
      <c r="R350" s="1429"/>
      <c r="S350" s="1429"/>
      <c r="T350" s="1429"/>
      <c r="U350" s="1429"/>
      <c r="V350" s="1429"/>
      <c r="W350" s="1429"/>
      <c r="X350" s="1429"/>
      <c r="Y350" s="1429"/>
    </row>
    <row r="351" spans="1:25">
      <c r="A351" s="1428"/>
      <c r="B351" s="1428"/>
      <c r="C351" s="1428"/>
      <c r="D351" s="1428"/>
      <c r="E351" s="1428"/>
      <c r="R351" s="1429"/>
      <c r="S351" s="1429"/>
      <c r="T351" s="1429"/>
      <c r="U351" s="1429"/>
      <c r="V351" s="1429"/>
      <c r="W351" s="1429"/>
      <c r="X351" s="1429"/>
      <c r="Y351" s="1429"/>
    </row>
    <row r="352" spans="1:25">
      <c r="A352" s="1428"/>
      <c r="B352" s="1428"/>
      <c r="C352" s="1428"/>
      <c r="D352" s="1428"/>
      <c r="E352" s="1428"/>
      <c r="R352" s="1429"/>
      <c r="S352" s="1429"/>
      <c r="T352" s="1429"/>
      <c r="U352" s="1429"/>
      <c r="V352" s="1429"/>
      <c r="W352" s="1429"/>
      <c r="X352" s="1429"/>
      <c r="Y352" s="1429"/>
    </row>
    <row r="353" spans="1:25">
      <c r="A353" s="1428"/>
      <c r="B353" s="1428"/>
      <c r="C353" s="1428"/>
      <c r="D353" s="1428"/>
      <c r="E353" s="1428"/>
      <c r="R353" s="1429"/>
      <c r="S353" s="1429"/>
      <c r="T353" s="1429"/>
      <c r="U353" s="1429"/>
      <c r="V353" s="1429"/>
      <c r="W353" s="1429"/>
      <c r="X353" s="1429"/>
      <c r="Y353" s="1429"/>
    </row>
    <row r="354" spans="1:25">
      <c r="A354" s="1428"/>
      <c r="B354" s="1428"/>
      <c r="C354" s="1428"/>
      <c r="D354" s="1428"/>
      <c r="E354" s="1428"/>
      <c r="R354" s="1429"/>
      <c r="S354" s="1429"/>
      <c r="T354" s="1429"/>
      <c r="U354" s="1429"/>
      <c r="V354" s="1429"/>
      <c r="W354" s="1429"/>
      <c r="X354" s="1429"/>
      <c r="Y354" s="1429"/>
    </row>
    <row r="355" spans="1:25">
      <c r="A355" s="1428"/>
      <c r="B355" s="1428"/>
      <c r="C355" s="1428"/>
      <c r="D355" s="1428"/>
      <c r="E355" s="1428"/>
      <c r="R355" s="1429"/>
      <c r="S355" s="1429"/>
      <c r="T355" s="1429"/>
      <c r="U355" s="1429"/>
      <c r="V355" s="1429"/>
      <c r="W355" s="1429"/>
      <c r="X355" s="1429"/>
      <c r="Y355" s="1429"/>
    </row>
    <row r="356" spans="1:25">
      <c r="A356" s="1428"/>
      <c r="B356" s="1428"/>
      <c r="C356" s="1428"/>
      <c r="D356" s="1428"/>
      <c r="E356" s="1428"/>
      <c r="R356" s="1429"/>
      <c r="S356" s="1429"/>
      <c r="T356" s="1429"/>
      <c r="U356" s="1429"/>
      <c r="V356" s="1429"/>
      <c r="W356" s="1429"/>
      <c r="X356" s="1429"/>
      <c r="Y356" s="1429"/>
    </row>
    <row r="357" spans="1:25">
      <c r="A357" s="1428"/>
      <c r="B357" s="1428"/>
      <c r="C357" s="1428"/>
      <c r="D357" s="1428"/>
      <c r="E357" s="1428"/>
      <c r="R357" s="1429"/>
      <c r="S357" s="1429"/>
      <c r="T357" s="1429"/>
      <c r="U357" s="1429"/>
      <c r="V357" s="1429"/>
      <c r="W357" s="1429"/>
      <c r="X357" s="1429"/>
      <c r="Y357" s="1429"/>
    </row>
    <row r="358" spans="1:25">
      <c r="A358" s="1428"/>
      <c r="B358" s="1428"/>
      <c r="C358" s="1428"/>
      <c r="D358" s="1428"/>
      <c r="E358" s="1428"/>
      <c r="R358" s="1429"/>
      <c r="S358" s="1429"/>
      <c r="T358" s="1429"/>
      <c r="U358" s="1429"/>
      <c r="V358" s="1429"/>
      <c r="W358" s="1429"/>
      <c r="X358" s="1429"/>
      <c r="Y358" s="1429"/>
    </row>
    <row r="359" spans="1:25">
      <c r="A359" s="1428"/>
      <c r="B359" s="1428"/>
      <c r="C359" s="1428"/>
      <c r="D359" s="1428"/>
      <c r="E359" s="1428"/>
      <c r="R359" s="1429"/>
      <c r="S359" s="1429"/>
      <c r="T359" s="1429"/>
      <c r="U359" s="1429"/>
      <c r="V359" s="1429"/>
      <c r="W359" s="1429"/>
      <c r="X359" s="1429"/>
      <c r="Y359" s="1429"/>
    </row>
    <row r="360" spans="1:25">
      <c r="A360" s="1428"/>
      <c r="B360" s="1428"/>
      <c r="C360" s="1428"/>
      <c r="D360" s="1428"/>
      <c r="E360" s="1428"/>
      <c r="R360" s="1429"/>
      <c r="S360" s="1429"/>
      <c r="T360" s="1429"/>
      <c r="U360" s="1429"/>
      <c r="V360" s="1429"/>
      <c r="W360" s="1429"/>
      <c r="X360" s="1429"/>
      <c r="Y360" s="1429"/>
    </row>
    <row r="361" spans="1:25">
      <c r="A361" s="1428"/>
      <c r="B361" s="1428"/>
      <c r="C361" s="1428"/>
      <c r="D361" s="1428"/>
      <c r="E361" s="1428"/>
      <c r="R361" s="1429"/>
      <c r="S361" s="1429"/>
      <c r="T361" s="1429"/>
      <c r="U361" s="1429"/>
      <c r="V361" s="1429"/>
      <c r="W361" s="1429"/>
      <c r="X361" s="1429"/>
      <c r="Y361" s="1429"/>
    </row>
    <row r="362" spans="1:25">
      <c r="A362" s="1428"/>
      <c r="B362" s="1428"/>
      <c r="C362" s="1428"/>
      <c r="D362" s="1428"/>
      <c r="E362" s="1428"/>
      <c r="R362" s="1429"/>
      <c r="S362" s="1429"/>
      <c r="T362" s="1429"/>
      <c r="U362" s="1429"/>
      <c r="V362" s="1429"/>
      <c r="W362" s="1429"/>
      <c r="X362" s="1429"/>
      <c r="Y362" s="1429"/>
    </row>
    <row r="363" spans="1:25">
      <c r="A363" s="1428"/>
      <c r="B363" s="1428"/>
      <c r="C363" s="1428"/>
      <c r="D363" s="1428"/>
      <c r="E363" s="1428"/>
      <c r="R363" s="1429"/>
      <c r="S363" s="1429"/>
      <c r="T363" s="1429"/>
      <c r="U363" s="1429"/>
      <c r="V363" s="1429"/>
      <c r="W363" s="1429"/>
      <c r="X363" s="1429"/>
      <c r="Y363" s="1429"/>
    </row>
    <row r="364" spans="1:25">
      <c r="A364" s="1428"/>
      <c r="B364" s="1428"/>
      <c r="C364" s="1428"/>
      <c r="D364" s="1428"/>
      <c r="E364" s="1428"/>
      <c r="R364" s="1429"/>
      <c r="S364" s="1429"/>
      <c r="T364" s="1429"/>
      <c r="U364" s="1429"/>
      <c r="V364" s="1429"/>
      <c r="W364" s="1429"/>
      <c r="X364" s="1429"/>
      <c r="Y364" s="1429"/>
    </row>
    <row r="365" spans="1:25">
      <c r="A365" s="1428"/>
      <c r="B365" s="1428"/>
      <c r="C365" s="1428"/>
      <c r="D365" s="1428"/>
      <c r="E365" s="1428"/>
      <c r="R365" s="1429"/>
      <c r="S365" s="1429"/>
      <c r="T365" s="1429"/>
      <c r="U365" s="1429"/>
      <c r="V365" s="1429"/>
      <c r="W365" s="1429"/>
      <c r="X365" s="1429"/>
      <c r="Y365" s="1429"/>
    </row>
    <row r="366" spans="1:25">
      <c r="A366" s="1428"/>
      <c r="B366" s="1428"/>
      <c r="C366" s="1428"/>
      <c r="D366" s="1428"/>
      <c r="E366" s="1428"/>
      <c r="R366" s="1429"/>
      <c r="S366" s="1429"/>
      <c r="T366" s="1429"/>
      <c r="U366" s="1429"/>
      <c r="V366" s="1429"/>
      <c r="W366" s="1429"/>
      <c r="X366" s="1429"/>
      <c r="Y366" s="1429"/>
    </row>
    <row r="367" spans="1:25">
      <c r="A367" s="1428"/>
      <c r="B367" s="1428"/>
      <c r="C367" s="1428"/>
      <c r="D367" s="1428"/>
      <c r="E367" s="1428"/>
      <c r="R367" s="1429"/>
      <c r="S367" s="1429"/>
      <c r="T367" s="1429"/>
      <c r="U367" s="1429"/>
      <c r="V367" s="1429"/>
      <c r="W367" s="1429"/>
      <c r="X367" s="1429"/>
      <c r="Y367" s="1429"/>
    </row>
    <row r="368" spans="1:25">
      <c r="A368" s="1428"/>
      <c r="B368" s="1428"/>
      <c r="C368" s="1428"/>
      <c r="D368" s="1428"/>
      <c r="E368" s="1428"/>
      <c r="R368" s="1429"/>
      <c r="S368" s="1429"/>
      <c r="T368" s="1429"/>
      <c r="U368" s="1429"/>
      <c r="V368" s="1429"/>
      <c r="W368" s="1429"/>
      <c r="X368" s="1429"/>
      <c r="Y368" s="1429"/>
    </row>
    <row r="369" spans="1:25">
      <c r="A369" s="1428"/>
      <c r="B369" s="1428"/>
      <c r="C369" s="1428"/>
      <c r="D369" s="1428"/>
      <c r="E369" s="1428"/>
      <c r="R369" s="1429"/>
      <c r="S369" s="1429"/>
      <c r="T369" s="1429"/>
      <c r="U369" s="1429"/>
      <c r="V369" s="1429"/>
      <c r="W369" s="1429"/>
      <c r="X369" s="1429"/>
      <c r="Y369" s="1429"/>
    </row>
    <row r="370" spans="1:25">
      <c r="A370" s="1428"/>
      <c r="B370" s="1428"/>
      <c r="C370" s="1428"/>
      <c r="D370" s="1428"/>
      <c r="E370" s="1428"/>
      <c r="R370" s="1429"/>
      <c r="S370" s="1429"/>
      <c r="T370" s="1429"/>
      <c r="U370" s="1429"/>
      <c r="V370" s="1429"/>
      <c r="W370" s="1429"/>
      <c r="X370" s="1429"/>
      <c r="Y370" s="1429"/>
    </row>
    <row r="371" spans="1:25">
      <c r="A371" s="1428"/>
      <c r="B371" s="1428"/>
      <c r="C371" s="1428"/>
      <c r="D371" s="1428"/>
      <c r="E371" s="1428"/>
      <c r="R371" s="1429"/>
      <c r="S371" s="1429"/>
      <c r="T371" s="1429"/>
      <c r="U371" s="1429"/>
      <c r="V371" s="1429"/>
      <c r="W371" s="1429"/>
      <c r="X371" s="1429"/>
      <c r="Y371" s="1429"/>
    </row>
    <row r="372" spans="1:25">
      <c r="A372" s="1428"/>
      <c r="B372" s="1428"/>
      <c r="C372" s="1428"/>
      <c r="D372" s="1428"/>
      <c r="E372" s="1428"/>
      <c r="R372" s="1429"/>
      <c r="S372" s="1429"/>
      <c r="T372" s="1429"/>
      <c r="U372" s="1429"/>
      <c r="V372" s="1429"/>
      <c r="W372" s="1429"/>
      <c r="X372" s="1429"/>
      <c r="Y372" s="1429"/>
    </row>
    <row r="373" spans="1:25">
      <c r="A373" s="1428"/>
      <c r="B373" s="1428"/>
      <c r="C373" s="1428"/>
      <c r="D373" s="1428"/>
      <c r="E373" s="1428"/>
      <c r="R373" s="1429"/>
      <c r="S373" s="1429"/>
      <c r="T373" s="1429"/>
      <c r="U373" s="1429"/>
      <c r="V373" s="1429"/>
      <c r="W373" s="1429"/>
      <c r="X373" s="1429"/>
      <c r="Y373" s="1429"/>
    </row>
    <row r="374" spans="1:25">
      <c r="A374" s="1428"/>
      <c r="B374" s="1428"/>
      <c r="C374" s="1428"/>
      <c r="D374" s="1428"/>
      <c r="E374" s="1428"/>
      <c r="R374" s="1429"/>
      <c r="S374" s="1429"/>
      <c r="T374" s="1429"/>
      <c r="U374" s="1429"/>
      <c r="V374" s="1429"/>
      <c r="W374" s="1429"/>
      <c r="X374" s="1429"/>
      <c r="Y374" s="1429"/>
    </row>
    <row r="375" spans="1:25">
      <c r="A375" s="1428"/>
      <c r="B375" s="1428"/>
      <c r="C375" s="1428"/>
      <c r="D375" s="1428"/>
      <c r="E375" s="1428"/>
      <c r="R375" s="1429"/>
      <c r="S375" s="1429"/>
      <c r="T375" s="1429"/>
      <c r="U375" s="1429"/>
      <c r="V375" s="1429"/>
      <c r="W375" s="1429"/>
      <c r="X375" s="1429"/>
      <c r="Y375" s="1429"/>
    </row>
    <row r="376" spans="1:25">
      <c r="A376" s="1428"/>
      <c r="B376" s="1428"/>
      <c r="C376" s="1428"/>
      <c r="D376" s="1428"/>
      <c r="E376" s="1428"/>
      <c r="R376" s="1429"/>
      <c r="S376" s="1429"/>
      <c r="T376" s="1429"/>
      <c r="U376" s="1429"/>
      <c r="V376" s="1429"/>
      <c r="W376" s="1429"/>
      <c r="X376" s="1429"/>
      <c r="Y376" s="1429"/>
    </row>
    <row r="377" spans="1:25">
      <c r="A377" s="1428"/>
      <c r="B377" s="1428"/>
      <c r="C377" s="1428"/>
      <c r="D377" s="1428"/>
      <c r="E377" s="1428"/>
      <c r="R377" s="1429"/>
      <c r="S377" s="1429"/>
      <c r="T377" s="1429"/>
      <c r="U377" s="1429"/>
      <c r="V377" s="1429"/>
      <c r="W377" s="1429"/>
      <c r="X377" s="1429"/>
      <c r="Y377" s="1429"/>
    </row>
    <row r="378" spans="1:25">
      <c r="A378" s="1428"/>
      <c r="B378" s="1428"/>
      <c r="C378" s="1428"/>
      <c r="D378" s="1428"/>
      <c r="E378" s="1428"/>
      <c r="R378" s="1429"/>
      <c r="S378" s="1429"/>
      <c r="T378" s="1429"/>
      <c r="U378" s="1429"/>
      <c r="V378" s="1429"/>
      <c r="W378" s="1429"/>
      <c r="X378" s="1429"/>
      <c r="Y378" s="1429"/>
    </row>
    <row r="379" spans="1:25">
      <c r="A379" s="1428"/>
      <c r="B379" s="1428"/>
      <c r="C379" s="1428"/>
      <c r="D379" s="1428"/>
      <c r="E379" s="1428"/>
      <c r="R379" s="1429"/>
      <c r="S379" s="1429"/>
      <c r="T379" s="1429"/>
      <c r="U379" s="1429"/>
      <c r="V379" s="1429"/>
      <c r="W379" s="1429"/>
      <c r="X379" s="1429"/>
      <c r="Y379" s="1429"/>
    </row>
    <row r="380" spans="1:25">
      <c r="A380" s="1428"/>
      <c r="B380" s="1428"/>
      <c r="C380" s="1428"/>
      <c r="D380" s="1428"/>
      <c r="E380" s="1428"/>
      <c r="R380" s="1429"/>
      <c r="S380" s="1429"/>
      <c r="T380" s="1429"/>
      <c r="U380" s="1429"/>
      <c r="V380" s="1429"/>
      <c r="W380" s="1429"/>
      <c r="X380" s="1429"/>
      <c r="Y380" s="1429"/>
    </row>
    <row r="381" spans="1:25">
      <c r="A381" s="1428"/>
      <c r="B381" s="1428"/>
      <c r="C381" s="1428"/>
      <c r="D381" s="1428"/>
      <c r="E381" s="1428"/>
      <c r="R381" s="1429"/>
      <c r="S381" s="1429"/>
      <c r="T381" s="1429"/>
      <c r="U381" s="1429"/>
      <c r="V381" s="1429"/>
      <c r="W381" s="1429"/>
      <c r="X381" s="1429"/>
      <c r="Y381" s="1429"/>
    </row>
    <row r="382" spans="1:25">
      <c r="A382" s="1428"/>
      <c r="B382" s="1428"/>
      <c r="C382" s="1428"/>
      <c r="D382" s="1428"/>
      <c r="E382" s="1428"/>
      <c r="R382" s="1429"/>
      <c r="S382" s="1429"/>
      <c r="T382" s="1429"/>
      <c r="U382" s="1429"/>
      <c r="V382" s="1429"/>
      <c r="W382" s="1429"/>
      <c r="X382" s="1429"/>
      <c r="Y382" s="1429"/>
    </row>
    <row r="383" spans="1:25">
      <c r="A383" s="1428"/>
      <c r="B383" s="1428"/>
      <c r="C383" s="1428"/>
      <c r="D383" s="1428"/>
      <c r="E383" s="1428"/>
      <c r="R383" s="1429"/>
      <c r="S383" s="1429"/>
      <c r="T383" s="1429"/>
      <c r="U383" s="1429"/>
      <c r="V383" s="1429"/>
      <c r="W383" s="1429"/>
      <c r="X383" s="1429"/>
      <c r="Y383" s="1429"/>
    </row>
    <row r="384" spans="1:25">
      <c r="A384" s="1428"/>
      <c r="B384" s="1428"/>
      <c r="C384" s="1428"/>
      <c r="D384" s="1428"/>
      <c r="E384" s="1428"/>
      <c r="R384" s="1429"/>
      <c r="S384" s="1429"/>
      <c r="T384" s="1429"/>
      <c r="U384" s="1429"/>
      <c r="V384" s="1429"/>
      <c r="W384" s="1429"/>
      <c r="X384" s="1429"/>
      <c r="Y384" s="1429"/>
    </row>
    <row r="385" spans="1:25">
      <c r="A385" s="1428"/>
      <c r="B385" s="1428"/>
      <c r="C385" s="1428"/>
      <c r="D385" s="1428"/>
      <c r="E385" s="1428"/>
      <c r="R385" s="1429"/>
      <c r="S385" s="1429"/>
      <c r="T385" s="1429"/>
      <c r="U385" s="1429"/>
      <c r="V385" s="1429"/>
      <c r="W385" s="1429"/>
      <c r="X385" s="1429"/>
      <c r="Y385" s="1429"/>
    </row>
    <row r="386" spans="1:25">
      <c r="A386" s="1428"/>
      <c r="B386" s="1428"/>
      <c r="C386" s="1428"/>
      <c r="D386" s="1428"/>
      <c r="E386" s="1428"/>
      <c r="R386" s="1429"/>
      <c r="S386" s="1429"/>
      <c r="T386" s="1429"/>
      <c r="U386" s="1429"/>
      <c r="V386" s="1429"/>
      <c r="W386" s="1429"/>
      <c r="X386" s="1429"/>
      <c r="Y386" s="1429"/>
    </row>
    <row r="387" spans="1:25">
      <c r="A387" s="1428"/>
      <c r="B387" s="1428"/>
      <c r="C387" s="1428"/>
      <c r="D387" s="1428"/>
      <c r="E387" s="1428"/>
      <c r="R387" s="1429"/>
      <c r="S387" s="1429"/>
      <c r="T387" s="1429"/>
      <c r="U387" s="1429"/>
      <c r="V387" s="1429"/>
      <c r="W387" s="1429"/>
      <c r="X387" s="1429"/>
      <c r="Y387" s="1429"/>
    </row>
    <row r="388" spans="1:25">
      <c r="A388" s="1428"/>
      <c r="B388" s="1428"/>
      <c r="C388" s="1428"/>
      <c r="D388" s="1428"/>
      <c r="E388" s="1428"/>
      <c r="R388" s="1429"/>
      <c r="S388" s="1429"/>
      <c r="T388" s="1429"/>
      <c r="U388" s="1429"/>
      <c r="V388" s="1429"/>
      <c r="W388" s="1429"/>
      <c r="X388" s="1429"/>
      <c r="Y388" s="1429"/>
    </row>
    <row r="389" spans="1:25">
      <c r="A389" s="1428"/>
      <c r="B389" s="1428"/>
      <c r="C389" s="1428"/>
      <c r="D389" s="1428"/>
      <c r="E389" s="1428"/>
      <c r="R389" s="1429"/>
      <c r="S389" s="1429"/>
      <c r="T389" s="1429"/>
      <c r="U389" s="1429"/>
      <c r="V389" s="1429"/>
      <c r="W389" s="1429"/>
      <c r="X389" s="1429"/>
      <c r="Y389" s="1429"/>
    </row>
    <row r="390" spans="1:25">
      <c r="A390" s="1428"/>
      <c r="B390" s="1428"/>
      <c r="C390" s="1428"/>
      <c r="D390" s="1428"/>
      <c r="E390" s="1428"/>
      <c r="R390" s="1429"/>
      <c r="S390" s="1429"/>
      <c r="T390" s="1429"/>
      <c r="U390" s="1429"/>
      <c r="V390" s="1429"/>
      <c r="W390" s="1429"/>
      <c r="X390" s="1429"/>
      <c r="Y390" s="1429"/>
    </row>
    <row r="391" spans="1:25">
      <c r="A391" s="1428"/>
      <c r="B391" s="1428"/>
      <c r="C391" s="1428"/>
      <c r="D391" s="1428"/>
      <c r="E391" s="1428"/>
      <c r="R391" s="1429"/>
      <c r="S391" s="1429"/>
      <c r="T391" s="1429"/>
      <c r="U391" s="1429"/>
      <c r="V391" s="1429"/>
      <c r="W391" s="1429"/>
      <c r="X391" s="1429"/>
      <c r="Y391" s="1429"/>
    </row>
    <row r="392" spans="1:25">
      <c r="A392" s="1428"/>
      <c r="B392" s="1428"/>
      <c r="C392" s="1428"/>
      <c r="D392" s="1428"/>
      <c r="E392" s="1428"/>
      <c r="R392" s="1429"/>
      <c r="S392" s="1429"/>
      <c r="T392" s="1429"/>
      <c r="U392" s="1429"/>
      <c r="V392" s="1429"/>
      <c r="W392" s="1429"/>
      <c r="X392" s="1429"/>
      <c r="Y392" s="1429"/>
    </row>
    <row r="393" spans="1:25">
      <c r="A393" s="1428"/>
      <c r="B393" s="1428"/>
      <c r="C393" s="1428"/>
      <c r="D393" s="1428"/>
      <c r="E393" s="1428"/>
      <c r="R393" s="1429"/>
      <c r="S393" s="1429"/>
      <c r="T393" s="1429"/>
      <c r="U393" s="1429"/>
      <c r="V393" s="1429"/>
      <c r="W393" s="1429"/>
      <c r="X393" s="1429"/>
      <c r="Y393" s="1429"/>
    </row>
    <row r="394" spans="1:25">
      <c r="A394" s="1428"/>
      <c r="B394" s="1428"/>
      <c r="C394" s="1428"/>
      <c r="D394" s="1428"/>
      <c r="E394" s="1428"/>
      <c r="R394" s="1429"/>
      <c r="S394" s="1429"/>
      <c r="T394" s="1429"/>
      <c r="U394" s="1429"/>
      <c r="V394" s="1429"/>
      <c r="W394" s="1429"/>
      <c r="X394" s="1429"/>
      <c r="Y394" s="1429"/>
    </row>
    <row r="395" spans="1:25">
      <c r="A395" s="1428"/>
      <c r="B395" s="1428"/>
      <c r="C395" s="1428"/>
      <c r="D395" s="1428"/>
      <c r="E395" s="1428"/>
      <c r="R395" s="1429"/>
      <c r="S395" s="1429"/>
      <c r="T395" s="1429"/>
      <c r="U395" s="1429"/>
      <c r="V395" s="1429"/>
      <c r="W395" s="1429"/>
      <c r="X395" s="1429"/>
      <c r="Y395" s="1429"/>
    </row>
    <row r="396" spans="1:25">
      <c r="A396" s="1428"/>
      <c r="B396" s="1428"/>
      <c r="C396" s="1428"/>
      <c r="D396" s="1428"/>
      <c r="E396" s="1428"/>
      <c r="R396" s="1429"/>
      <c r="S396" s="1429"/>
      <c r="T396" s="1429"/>
      <c r="U396" s="1429"/>
      <c r="V396" s="1429"/>
      <c r="W396" s="1429"/>
      <c r="X396" s="1429"/>
      <c r="Y396" s="1429"/>
    </row>
    <row r="397" spans="1:25">
      <c r="A397" s="1428"/>
      <c r="B397" s="1428"/>
      <c r="C397" s="1428"/>
      <c r="D397" s="1428"/>
      <c r="E397" s="1428"/>
      <c r="R397" s="1429"/>
      <c r="S397" s="1429"/>
      <c r="T397" s="1429"/>
      <c r="U397" s="1429"/>
      <c r="V397" s="1429"/>
      <c r="W397" s="1429"/>
      <c r="X397" s="1429"/>
      <c r="Y397" s="1429"/>
    </row>
    <row r="398" spans="1:25">
      <c r="A398" s="1428"/>
      <c r="B398" s="1428"/>
      <c r="C398" s="1428"/>
      <c r="D398" s="1428"/>
      <c r="E398" s="1428"/>
      <c r="R398" s="1429"/>
      <c r="S398" s="1429"/>
      <c r="T398" s="1429"/>
      <c r="U398" s="1429"/>
      <c r="V398" s="1429"/>
      <c r="W398" s="1429"/>
      <c r="X398" s="1429"/>
      <c r="Y398" s="1429"/>
    </row>
    <row r="399" spans="1:25">
      <c r="A399" s="1428"/>
      <c r="B399" s="1428"/>
      <c r="C399" s="1428"/>
      <c r="D399" s="1428"/>
      <c r="E399" s="1428"/>
      <c r="R399" s="1429"/>
      <c r="S399" s="1429"/>
      <c r="T399" s="1429"/>
      <c r="U399" s="1429"/>
      <c r="V399" s="1429"/>
      <c r="W399" s="1429"/>
      <c r="X399" s="1429"/>
      <c r="Y399" s="1429"/>
    </row>
    <row r="400" spans="1:25">
      <c r="A400" s="1428"/>
      <c r="B400" s="1428"/>
      <c r="C400" s="1428"/>
      <c r="D400" s="1428"/>
      <c r="E400" s="1428"/>
      <c r="R400" s="1429"/>
      <c r="S400" s="1429"/>
      <c r="T400" s="1429"/>
      <c r="U400" s="1429"/>
      <c r="V400" s="1429"/>
      <c r="W400" s="1429"/>
      <c r="X400" s="1429"/>
      <c r="Y400" s="1429"/>
    </row>
    <row r="401" spans="1:25">
      <c r="A401" s="1428"/>
      <c r="B401" s="1428"/>
      <c r="C401" s="1428"/>
      <c r="D401" s="1428"/>
      <c r="E401" s="1428"/>
      <c r="R401" s="1429"/>
      <c r="S401" s="1429"/>
      <c r="T401" s="1429"/>
      <c r="U401" s="1429"/>
      <c r="V401" s="1429"/>
      <c r="W401" s="1429"/>
      <c r="X401" s="1429"/>
      <c r="Y401" s="1429"/>
    </row>
    <row r="402" spans="1:25">
      <c r="A402" s="1428"/>
      <c r="B402" s="1428"/>
      <c r="C402" s="1428"/>
      <c r="D402" s="1428"/>
      <c r="E402" s="1428"/>
      <c r="R402" s="1429"/>
      <c r="S402" s="1429"/>
      <c r="T402" s="1429"/>
      <c r="U402" s="1429"/>
      <c r="V402" s="1429"/>
      <c r="W402" s="1429"/>
      <c r="X402" s="1429"/>
      <c r="Y402" s="1429"/>
    </row>
    <row r="403" spans="1:25">
      <c r="A403" s="1428"/>
      <c r="B403" s="1428"/>
      <c r="C403" s="1428"/>
      <c r="D403" s="1428"/>
      <c r="E403" s="1428"/>
      <c r="R403" s="1429"/>
      <c r="S403" s="1429"/>
      <c r="T403" s="1429"/>
      <c r="U403" s="1429"/>
      <c r="V403" s="1429"/>
      <c r="W403" s="1429"/>
      <c r="X403" s="1429"/>
      <c r="Y403" s="1429"/>
    </row>
    <row r="404" spans="1:25">
      <c r="A404" s="1428"/>
      <c r="B404" s="1428"/>
      <c r="C404" s="1428"/>
      <c r="D404" s="1428"/>
      <c r="E404" s="1428"/>
      <c r="R404" s="1429"/>
      <c r="S404" s="1429"/>
      <c r="T404" s="1429"/>
      <c r="U404" s="1429"/>
      <c r="V404" s="1429"/>
      <c r="W404" s="1429"/>
      <c r="X404" s="1429"/>
      <c r="Y404" s="1429"/>
    </row>
    <row r="405" spans="1:25">
      <c r="A405" s="1428"/>
      <c r="B405" s="1428"/>
      <c r="C405" s="1428"/>
      <c r="D405" s="1428"/>
      <c r="E405" s="1428"/>
      <c r="R405" s="1429"/>
      <c r="S405" s="1429"/>
      <c r="T405" s="1429"/>
      <c r="U405" s="1429"/>
      <c r="V405" s="1429"/>
      <c r="W405" s="1429"/>
      <c r="X405" s="1429"/>
      <c r="Y405" s="1429"/>
    </row>
    <row r="406" spans="1:25">
      <c r="A406" s="1428"/>
      <c r="B406" s="1428"/>
      <c r="C406" s="1428"/>
      <c r="D406" s="1428"/>
      <c r="E406" s="1428"/>
      <c r="R406" s="1429"/>
      <c r="S406" s="1429"/>
      <c r="T406" s="1429"/>
      <c r="U406" s="1429"/>
      <c r="V406" s="1429"/>
      <c r="W406" s="1429"/>
      <c r="X406" s="1429"/>
      <c r="Y406" s="1429"/>
    </row>
    <row r="407" spans="1:25">
      <c r="A407" s="1428"/>
      <c r="B407" s="1428"/>
      <c r="C407" s="1428"/>
      <c r="D407" s="1428"/>
      <c r="E407" s="1428"/>
      <c r="R407" s="1429"/>
      <c r="S407" s="1429"/>
      <c r="T407" s="1429"/>
      <c r="U407" s="1429"/>
      <c r="V407" s="1429"/>
      <c r="W407" s="1429"/>
      <c r="X407" s="1429"/>
      <c r="Y407" s="1429"/>
    </row>
    <row r="408" spans="1:25">
      <c r="A408" s="1428"/>
      <c r="B408" s="1428"/>
      <c r="C408" s="1428"/>
      <c r="D408" s="1428"/>
      <c r="E408" s="1428"/>
      <c r="R408" s="1429"/>
      <c r="S408" s="1429"/>
      <c r="T408" s="1429"/>
      <c r="U408" s="1429"/>
      <c r="V408" s="1429"/>
      <c r="W408" s="1429"/>
      <c r="X408" s="1429"/>
      <c r="Y408" s="1429"/>
    </row>
    <row r="409" spans="1:25">
      <c r="A409" s="1428"/>
      <c r="B409" s="1428"/>
      <c r="C409" s="1428"/>
      <c r="D409" s="1428"/>
      <c r="E409" s="1428"/>
      <c r="R409" s="1429"/>
      <c r="S409" s="1429"/>
      <c r="T409" s="1429"/>
      <c r="U409" s="1429"/>
      <c r="V409" s="1429"/>
      <c r="W409" s="1429"/>
      <c r="X409" s="1429"/>
      <c r="Y409" s="1429"/>
    </row>
    <row r="410" spans="1:25">
      <c r="A410" s="1428"/>
      <c r="B410" s="1428"/>
      <c r="C410" s="1428"/>
      <c r="D410" s="1428"/>
      <c r="E410" s="1428"/>
      <c r="R410" s="1429"/>
      <c r="S410" s="1429"/>
      <c r="T410" s="1429"/>
      <c r="U410" s="1429"/>
      <c r="V410" s="1429"/>
      <c r="W410" s="1429"/>
      <c r="X410" s="1429"/>
      <c r="Y410" s="1429"/>
    </row>
    <row r="411" spans="1:25">
      <c r="A411" s="1428"/>
      <c r="B411" s="1428"/>
      <c r="C411" s="1428"/>
      <c r="D411" s="1428"/>
      <c r="E411" s="1428"/>
      <c r="R411" s="1429"/>
      <c r="S411" s="1429"/>
      <c r="T411" s="1429"/>
      <c r="U411" s="1429"/>
      <c r="V411" s="1429"/>
      <c r="W411" s="1429"/>
      <c r="X411" s="1429"/>
      <c r="Y411" s="1429"/>
    </row>
    <row r="412" spans="1:25">
      <c r="A412" s="1428"/>
      <c r="B412" s="1428"/>
      <c r="C412" s="1428"/>
      <c r="D412" s="1428"/>
      <c r="E412" s="1428"/>
      <c r="R412" s="1429"/>
      <c r="S412" s="1429"/>
      <c r="T412" s="1429"/>
      <c r="U412" s="1429"/>
      <c r="V412" s="1429"/>
      <c r="W412" s="1429"/>
      <c r="X412" s="1429"/>
      <c r="Y412" s="1429"/>
    </row>
    <row r="413" spans="1:25">
      <c r="A413" s="1428"/>
      <c r="B413" s="1428"/>
      <c r="C413" s="1428"/>
      <c r="D413" s="1428"/>
      <c r="E413" s="1428"/>
      <c r="R413" s="1429"/>
      <c r="S413" s="1429"/>
      <c r="T413" s="1429"/>
      <c r="U413" s="1429"/>
      <c r="V413" s="1429"/>
      <c r="W413" s="1429"/>
      <c r="X413" s="1429"/>
      <c r="Y413" s="1429"/>
    </row>
    <row r="414" spans="1:25">
      <c r="A414" s="1428"/>
      <c r="B414" s="1428"/>
      <c r="C414" s="1428"/>
      <c r="D414" s="1428"/>
      <c r="E414" s="1428"/>
      <c r="R414" s="1429"/>
      <c r="S414" s="1429"/>
      <c r="T414" s="1429"/>
      <c r="U414" s="1429"/>
      <c r="V414" s="1429"/>
      <c r="W414" s="1429"/>
      <c r="X414" s="1429"/>
      <c r="Y414" s="1429"/>
    </row>
    <row r="415" spans="1:25">
      <c r="A415" s="1428"/>
      <c r="B415" s="1428"/>
      <c r="C415" s="1428"/>
      <c r="D415" s="1428"/>
      <c r="E415" s="1428"/>
      <c r="R415" s="1429"/>
      <c r="S415" s="1429"/>
      <c r="T415" s="1429"/>
      <c r="U415" s="1429"/>
      <c r="V415" s="1429"/>
      <c r="W415" s="1429"/>
      <c r="X415" s="1429"/>
      <c r="Y415" s="1429"/>
    </row>
    <row r="416" spans="1:25">
      <c r="A416" s="1428"/>
      <c r="B416" s="1428"/>
      <c r="C416" s="1428"/>
      <c r="D416" s="1428"/>
      <c r="E416" s="1428"/>
      <c r="R416" s="1429"/>
      <c r="S416" s="1429"/>
      <c r="T416" s="1429"/>
      <c r="U416" s="1429"/>
      <c r="V416" s="1429"/>
      <c r="W416" s="1429"/>
      <c r="X416" s="1429"/>
      <c r="Y416" s="1429"/>
    </row>
    <row r="417" spans="1:25">
      <c r="A417" s="1428"/>
      <c r="B417" s="1428"/>
      <c r="C417" s="1428"/>
      <c r="D417" s="1428"/>
      <c r="E417" s="1428"/>
      <c r="R417" s="1429"/>
      <c r="S417" s="1429"/>
      <c r="T417" s="1429"/>
      <c r="U417" s="1429"/>
      <c r="V417" s="1429"/>
      <c r="W417" s="1429"/>
      <c r="X417" s="1429"/>
      <c r="Y417" s="1429"/>
    </row>
    <row r="418" spans="1:25">
      <c r="A418" s="1428"/>
      <c r="B418" s="1428"/>
      <c r="C418" s="1428"/>
      <c r="D418" s="1428"/>
      <c r="E418" s="1428"/>
      <c r="R418" s="1429"/>
      <c r="S418" s="1429"/>
      <c r="T418" s="1429"/>
      <c r="U418" s="1429"/>
      <c r="V418" s="1429"/>
      <c r="W418" s="1429"/>
      <c r="X418" s="1429"/>
      <c r="Y418" s="1429"/>
    </row>
    <row r="419" spans="1:25">
      <c r="A419" s="1428"/>
      <c r="B419" s="1428"/>
      <c r="C419" s="1428"/>
      <c r="D419" s="1428"/>
      <c r="E419" s="1428"/>
      <c r="R419" s="1429"/>
      <c r="S419" s="1429"/>
      <c r="T419" s="1429"/>
      <c r="U419" s="1429"/>
      <c r="V419" s="1429"/>
      <c r="W419" s="1429"/>
      <c r="X419" s="1429"/>
      <c r="Y419" s="1429"/>
    </row>
    <row r="420" spans="1:25">
      <c r="A420" s="1428"/>
      <c r="B420" s="1428"/>
      <c r="C420" s="1428"/>
      <c r="D420" s="1428"/>
      <c r="E420" s="1428"/>
      <c r="R420" s="1429"/>
      <c r="S420" s="1429"/>
      <c r="T420" s="1429"/>
      <c r="U420" s="1429"/>
      <c r="V420" s="1429"/>
      <c r="W420" s="1429"/>
      <c r="X420" s="1429"/>
      <c r="Y420" s="1429"/>
    </row>
    <row r="421" spans="1:25">
      <c r="A421" s="1428"/>
      <c r="B421" s="1428"/>
      <c r="C421" s="1428"/>
      <c r="D421" s="1428"/>
      <c r="E421" s="1428"/>
      <c r="R421" s="1429"/>
      <c r="S421" s="1429"/>
      <c r="T421" s="1429"/>
      <c r="U421" s="1429"/>
      <c r="V421" s="1429"/>
      <c r="W421" s="1429"/>
      <c r="X421" s="1429"/>
      <c r="Y421" s="1429"/>
    </row>
    <row r="422" spans="1:25">
      <c r="A422" s="1428"/>
      <c r="B422" s="1428"/>
      <c r="C422" s="1428"/>
      <c r="D422" s="1428"/>
      <c r="E422" s="1428"/>
      <c r="R422" s="1429"/>
      <c r="S422" s="1429"/>
      <c r="T422" s="1429"/>
      <c r="U422" s="1429"/>
      <c r="V422" s="1429"/>
      <c r="W422" s="1429"/>
      <c r="X422" s="1429"/>
      <c r="Y422" s="1429"/>
    </row>
    <row r="423" spans="1:25">
      <c r="A423" s="1428"/>
      <c r="B423" s="1428"/>
      <c r="C423" s="1428"/>
      <c r="D423" s="1428"/>
      <c r="E423" s="1428"/>
      <c r="R423" s="1429"/>
      <c r="S423" s="1429"/>
      <c r="T423" s="1429"/>
      <c r="U423" s="1429"/>
      <c r="V423" s="1429"/>
      <c r="W423" s="1429"/>
      <c r="X423" s="1429"/>
      <c r="Y423" s="1429"/>
    </row>
    <row r="424" spans="1:25">
      <c r="A424" s="1428"/>
      <c r="B424" s="1428"/>
      <c r="C424" s="1428"/>
      <c r="D424" s="1428"/>
      <c r="E424" s="1428"/>
      <c r="R424" s="1429"/>
      <c r="S424" s="1429"/>
      <c r="T424" s="1429"/>
      <c r="U424" s="1429"/>
      <c r="V424" s="1429"/>
      <c r="W424" s="1429"/>
      <c r="X424" s="1429"/>
      <c r="Y424" s="1429"/>
    </row>
    <row r="425" spans="1:25">
      <c r="A425" s="1428"/>
      <c r="B425" s="1428"/>
      <c r="C425" s="1428"/>
      <c r="D425" s="1428"/>
      <c r="E425" s="1428"/>
      <c r="R425" s="1429"/>
      <c r="S425" s="1429"/>
      <c r="T425" s="1429"/>
      <c r="U425" s="1429"/>
      <c r="V425" s="1429"/>
      <c r="W425" s="1429"/>
      <c r="X425" s="1429"/>
      <c r="Y425" s="1429"/>
    </row>
    <row r="426" spans="1:25">
      <c r="A426" s="1428"/>
      <c r="B426" s="1428"/>
      <c r="C426" s="1428"/>
      <c r="D426" s="1428"/>
      <c r="E426" s="1428"/>
      <c r="R426" s="1429"/>
      <c r="S426" s="1429"/>
      <c r="T426" s="1429"/>
      <c r="U426" s="1429"/>
      <c r="V426" s="1429"/>
      <c r="W426" s="1429"/>
      <c r="X426" s="1429"/>
      <c r="Y426" s="1429"/>
    </row>
    <row r="427" spans="1:25">
      <c r="A427" s="1428"/>
      <c r="B427" s="1428"/>
      <c r="C427" s="1428"/>
      <c r="D427" s="1428"/>
      <c r="E427" s="1428"/>
      <c r="R427" s="1429"/>
      <c r="S427" s="1429"/>
      <c r="T427" s="1429"/>
      <c r="U427" s="1429"/>
      <c r="V427" s="1429"/>
      <c r="W427" s="1429"/>
      <c r="X427" s="1429"/>
      <c r="Y427" s="1429"/>
    </row>
    <row r="428" spans="1:25">
      <c r="A428" s="1428"/>
      <c r="B428" s="1428"/>
      <c r="C428" s="1428"/>
      <c r="D428" s="1428"/>
      <c r="E428" s="1428"/>
      <c r="R428" s="1429"/>
      <c r="S428" s="1429"/>
      <c r="T428" s="1429"/>
      <c r="U428" s="1429"/>
      <c r="V428" s="1429"/>
      <c r="W428" s="1429"/>
      <c r="X428" s="1429"/>
      <c r="Y428" s="1429"/>
    </row>
    <row r="429" spans="1:25">
      <c r="A429" s="1428"/>
      <c r="B429" s="1428"/>
      <c r="C429" s="1428"/>
      <c r="D429" s="1428"/>
      <c r="E429" s="1428"/>
      <c r="R429" s="1429"/>
      <c r="S429" s="1429"/>
      <c r="T429" s="1429"/>
      <c r="U429" s="1429"/>
      <c r="V429" s="1429"/>
      <c r="W429" s="1429"/>
      <c r="X429" s="1429"/>
      <c r="Y429" s="1429"/>
    </row>
    <row r="430" spans="1:25">
      <c r="A430" s="1428"/>
      <c r="B430" s="1428"/>
      <c r="C430" s="1428"/>
      <c r="D430" s="1428"/>
      <c r="E430" s="1428"/>
      <c r="R430" s="1429"/>
      <c r="S430" s="1429"/>
      <c r="T430" s="1429"/>
      <c r="U430" s="1429"/>
      <c r="V430" s="1429"/>
      <c r="W430" s="1429"/>
      <c r="X430" s="1429"/>
      <c r="Y430" s="1429"/>
    </row>
    <row r="431" spans="1:25">
      <c r="A431" s="1428"/>
      <c r="B431" s="1428"/>
      <c r="C431" s="1428"/>
      <c r="D431" s="1428"/>
      <c r="E431" s="1428"/>
      <c r="R431" s="1429"/>
      <c r="S431" s="1429"/>
      <c r="T431" s="1429"/>
      <c r="U431" s="1429"/>
      <c r="V431" s="1429"/>
      <c r="W431" s="1429"/>
      <c r="X431" s="1429"/>
      <c r="Y431" s="1429"/>
    </row>
    <row r="432" spans="1:25">
      <c r="A432" s="1428"/>
      <c r="B432" s="1428"/>
      <c r="C432" s="1428"/>
      <c r="D432" s="1428"/>
      <c r="E432" s="1428"/>
      <c r="R432" s="1429"/>
      <c r="S432" s="1429"/>
      <c r="T432" s="1429"/>
      <c r="U432" s="1429"/>
      <c r="V432" s="1429"/>
      <c r="W432" s="1429"/>
      <c r="X432" s="1429"/>
      <c r="Y432" s="1429"/>
    </row>
    <row r="433" spans="1:25">
      <c r="A433" s="1428"/>
      <c r="B433" s="1428"/>
      <c r="C433" s="1428"/>
      <c r="D433" s="1428"/>
      <c r="E433" s="1428"/>
      <c r="R433" s="1429"/>
      <c r="S433" s="1429"/>
      <c r="T433" s="1429"/>
      <c r="U433" s="1429"/>
      <c r="V433" s="1429"/>
      <c r="W433" s="1429"/>
      <c r="X433" s="1429"/>
      <c r="Y433" s="1429"/>
    </row>
    <row r="434" spans="1:25">
      <c r="A434" s="1428"/>
      <c r="B434" s="1428"/>
      <c r="C434" s="1428"/>
      <c r="D434" s="1428"/>
      <c r="E434" s="1428"/>
      <c r="R434" s="1429"/>
      <c r="S434" s="1429"/>
      <c r="T434" s="1429"/>
      <c r="U434" s="1429"/>
      <c r="V434" s="1429"/>
      <c r="W434" s="1429"/>
      <c r="X434" s="1429"/>
      <c r="Y434" s="1429"/>
    </row>
    <row r="435" spans="1:25">
      <c r="A435" s="1428"/>
      <c r="B435" s="1428"/>
      <c r="C435" s="1428"/>
      <c r="D435" s="1428"/>
      <c r="E435" s="1428"/>
      <c r="R435" s="1429"/>
      <c r="S435" s="1429"/>
      <c r="T435" s="1429"/>
      <c r="U435" s="1429"/>
      <c r="V435" s="1429"/>
      <c r="W435" s="1429"/>
      <c r="X435" s="1429"/>
      <c r="Y435" s="1429"/>
    </row>
    <row r="436" spans="1:25">
      <c r="A436" s="1428"/>
      <c r="B436" s="1428"/>
      <c r="C436" s="1428"/>
      <c r="D436" s="1428"/>
      <c r="E436" s="1428"/>
      <c r="R436" s="1429"/>
      <c r="S436" s="1429"/>
      <c r="T436" s="1429"/>
      <c r="U436" s="1429"/>
      <c r="V436" s="1429"/>
      <c r="W436" s="1429"/>
      <c r="X436" s="1429"/>
      <c r="Y436" s="1429"/>
    </row>
    <row r="437" spans="1:25">
      <c r="A437" s="1428"/>
      <c r="B437" s="1428"/>
      <c r="C437" s="1428"/>
      <c r="D437" s="1428"/>
      <c r="E437" s="1428"/>
      <c r="R437" s="1429"/>
      <c r="S437" s="1429"/>
      <c r="T437" s="1429"/>
      <c r="U437" s="1429"/>
      <c r="V437" s="1429"/>
      <c r="W437" s="1429"/>
      <c r="X437" s="1429"/>
      <c r="Y437" s="1429"/>
    </row>
    <row r="438" spans="1:25">
      <c r="A438" s="1428"/>
      <c r="B438" s="1428"/>
      <c r="C438" s="1428"/>
      <c r="D438" s="1428"/>
      <c r="E438" s="1428"/>
      <c r="R438" s="1429"/>
      <c r="S438" s="1429"/>
      <c r="T438" s="1429"/>
      <c r="U438" s="1429"/>
      <c r="V438" s="1429"/>
      <c r="W438" s="1429"/>
      <c r="X438" s="1429"/>
      <c r="Y438" s="1429"/>
    </row>
    <row r="439" spans="1:25">
      <c r="A439" s="1428"/>
      <c r="B439" s="1428"/>
      <c r="C439" s="1428"/>
      <c r="D439" s="1428"/>
      <c r="E439" s="1428"/>
      <c r="R439" s="1429"/>
      <c r="S439" s="1429"/>
      <c r="T439" s="1429"/>
      <c r="U439" s="1429"/>
      <c r="V439" s="1429"/>
      <c r="W439" s="1429"/>
      <c r="X439" s="1429"/>
      <c r="Y439" s="1429"/>
    </row>
    <row r="440" spans="1:25">
      <c r="A440" s="1428"/>
      <c r="B440" s="1428"/>
      <c r="C440" s="1428"/>
      <c r="D440" s="1428"/>
      <c r="E440" s="1428"/>
      <c r="R440" s="1429"/>
      <c r="S440" s="1429"/>
      <c r="T440" s="1429"/>
      <c r="U440" s="1429"/>
      <c r="V440" s="1429"/>
      <c r="W440" s="1429"/>
      <c r="X440" s="1429"/>
      <c r="Y440" s="1429"/>
    </row>
    <row r="441" spans="1:25">
      <c r="A441" s="1428"/>
      <c r="B441" s="1428"/>
      <c r="C441" s="1428"/>
      <c r="D441" s="1428"/>
      <c r="E441" s="1428"/>
      <c r="R441" s="1429"/>
      <c r="S441" s="1429"/>
      <c r="T441" s="1429"/>
      <c r="U441" s="1429"/>
      <c r="V441" s="1429"/>
      <c r="W441" s="1429"/>
      <c r="X441" s="1429"/>
      <c r="Y441" s="1429"/>
    </row>
    <row r="442" spans="1:25">
      <c r="A442" s="1428"/>
      <c r="B442" s="1428"/>
      <c r="C442" s="1428"/>
      <c r="D442" s="1428"/>
      <c r="E442" s="1428"/>
      <c r="R442" s="1429"/>
      <c r="S442" s="1429"/>
      <c r="T442" s="1429"/>
      <c r="U442" s="1429"/>
      <c r="V442" s="1429"/>
      <c r="W442" s="1429"/>
      <c r="X442" s="1429"/>
      <c r="Y442" s="1429"/>
    </row>
    <row r="443" spans="1:25">
      <c r="A443" s="1428"/>
      <c r="B443" s="1428"/>
      <c r="C443" s="1428"/>
      <c r="D443" s="1428"/>
      <c r="E443" s="1428"/>
      <c r="R443" s="1429"/>
      <c r="S443" s="1429"/>
      <c r="T443" s="1429"/>
      <c r="U443" s="1429"/>
      <c r="V443" s="1429"/>
      <c r="W443" s="1429"/>
      <c r="X443" s="1429"/>
      <c r="Y443" s="1429"/>
    </row>
    <row r="444" spans="1:25">
      <c r="A444" s="1428"/>
      <c r="B444" s="1428"/>
      <c r="C444" s="1428"/>
      <c r="D444" s="1428"/>
      <c r="E444" s="1428"/>
      <c r="R444" s="1429"/>
      <c r="S444" s="1429"/>
      <c r="T444" s="1429"/>
      <c r="U444" s="1429"/>
      <c r="V444" s="1429"/>
      <c r="W444" s="1429"/>
      <c r="X444" s="1429"/>
      <c r="Y444" s="1429"/>
    </row>
    <row r="445" spans="1:25">
      <c r="A445" s="1428"/>
      <c r="B445" s="1428"/>
      <c r="C445" s="1428"/>
      <c r="D445" s="1428"/>
      <c r="E445" s="1428"/>
      <c r="R445" s="1429"/>
      <c r="S445" s="1429"/>
      <c r="T445" s="1429"/>
      <c r="U445" s="1429"/>
      <c r="V445" s="1429"/>
      <c r="W445" s="1429"/>
      <c r="X445" s="1429"/>
      <c r="Y445" s="1429"/>
    </row>
    <row r="446" spans="1:25">
      <c r="A446" s="1428"/>
      <c r="B446" s="1428"/>
      <c r="C446" s="1428"/>
      <c r="D446" s="1428"/>
      <c r="E446" s="1428"/>
      <c r="R446" s="1429"/>
      <c r="S446" s="1429"/>
      <c r="T446" s="1429"/>
      <c r="U446" s="1429"/>
      <c r="V446" s="1429"/>
      <c r="W446" s="1429"/>
      <c r="X446" s="1429"/>
      <c r="Y446" s="1429"/>
    </row>
    <row r="447" spans="1:25">
      <c r="A447" s="1428"/>
      <c r="B447" s="1428"/>
      <c r="C447" s="1428"/>
      <c r="D447" s="1428"/>
      <c r="E447" s="1428"/>
      <c r="R447" s="1429"/>
      <c r="S447" s="1429"/>
      <c r="T447" s="1429"/>
      <c r="U447" s="1429"/>
      <c r="V447" s="1429"/>
      <c r="W447" s="1429"/>
      <c r="X447" s="1429"/>
      <c r="Y447" s="1429"/>
    </row>
    <row r="448" spans="1:25">
      <c r="A448" s="1428"/>
      <c r="B448" s="1428"/>
      <c r="C448" s="1428"/>
      <c r="D448" s="1428"/>
      <c r="E448" s="1428"/>
      <c r="R448" s="1429"/>
      <c r="S448" s="1429"/>
      <c r="T448" s="1429"/>
      <c r="U448" s="1429"/>
      <c r="V448" s="1429"/>
      <c r="W448" s="1429"/>
      <c r="X448" s="1429"/>
      <c r="Y448" s="1429"/>
    </row>
    <row r="449" spans="1:25">
      <c r="A449" s="1428"/>
      <c r="B449" s="1428"/>
      <c r="C449" s="1428"/>
      <c r="D449" s="1428"/>
      <c r="E449" s="1428"/>
      <c r="R449" s="1429"/>
      <c r="S449" s="1429"/>
      <c r="T449" s="1429"/>
      <c r="U449" s="1429"/>
      <c r="V449" s="1429"/>
      <c r="W449" s="1429"/>
      <c r="X449" s="1429"/>
      <c r="Y449" s="1429"/>
    </row>
    <row r="450" spans="1:25">
      <c r="A450" s="1428"/>
      <c r="B450" s="1428"/>
      <c r="C450" s="1428"/>
      <c r="D450" s="1428"/>
      <c r="E450" s="1428"/>
      <c r="R450" s="1429"/>
      <c r="S450" s="1429"/>
      <c r="T450" s="1429"/>
      <c r="U450" s="1429"/>
      <c r="V450" s="1429"/>
      <c r="W450" s="1429"/>
      <c r="X450" s="1429"/>
      <c r="Y450" s="1429"/>
    </row>
    <row r="451" spans="1:25">
      <c r="A451" s="1428"/>
      <c r="B451" s="1428"/>
      <c r="C451" s="1428"/>
      <c r="D451" s="1428"/>
      <c r="E451" s="1428"/>
      <c r="R451" s="1429"/>
      <c r="S451" s="1429"/>
      <c r="T451" s="1429"/>
      <c r="U451" s="1429"/>
      <c r="V451" s="1429"/>
      <c r="W451" s="1429"/>
      <c r="X451" s="1429"/>
      <c r="Y451" s="1429"/>
    </row>
    <row r="452" spans="1:25">
      <c r="A452" s="1428"/>
      <c r="B452" s="1428"/>
      <c r="C452" s="1428"/>
      <c r="D452" s="1428"/>
      <c r="E452" s="1428"/>
      <c r="R452" s="1429"/>
      <c r="S452" s="1429"/>
      <c r="T452" s="1429"/>
      <c r="U452" s="1429"/>
      <c r="V452" s="1429"/>
      <c r="W452" s="1429"/>
      <c r="X452" s="1429"/>
      <c r="Y452" s="1429"/>
    </row>
    <row r="453" spans="1:25">
      <c r="A453" s="1428"/>
      <c r="B453" s="1428"/>
      <c r="C453" s="1428"/>
      <c r="D453" s="1428"/>
      <c r="E453" s="1428"/>
      <c r="R453" s="1429"/>
      <c r="S453" s="1429"/>
      <c r="T453" s="1429"/>
      <c r="U453" s="1429"/>
      <c r="V453" s="1429"/>
      <c r="W453" s="1429"/>
      <c r="X453" s="1429"/>
      <c r="Y453" s="1429"/>
    </row>
    <row r="454" spans="1:25">
      <c r="A454" s="1428"/>
      <c r="B454" s="1428"/>
      <c r="C454" s="1428"/>
      <c r="D454" s="1428"/>
      <c r="E454" s="1428"/>
      <c r="R454" s="1429"/>
      <c r="S454" s="1429"/>
      <c r="T454" s="1429"/>
      <c r="U454" s="1429"/>
      <c r="V454" s="1429"/>
      <c r="W454" s="1429"/>
      <c r="X454" s="1429"/>
      <c r="Y454" s="1429"/>
    </row>
    <row r="455" spans="1:25">
      <c r="A455" s="1428"/>
      <c r="B455" s="1428"/>
      <c r="C455" s="1428"/>
      <c r="D455" s="1428"/>
      <c r="E455" s="1428"/>
      <c r="R455" s="1429"/>
      <c r="S455" s="1429"/>
      <c r="T455" s="1429"/>
      <c r="U455" s="1429"/>
      <c r="V455" s="1429"/>
      <c r="W455" s="1429"/>
      <c r="X455" s="1429"/>
      <c r="Y455" s="1429"/>
    </row>
    <row r="456" spans="1:25">
      <c r="A456" s="1428"/>
      <c r="B456" s="1428"/>
      <c r="C456" s="1428"/>
      <c r="D456" s="1428"/>
      <c r="E456" s="1428"/>
      <c r="R456" s="1429"/>
      <c r="S456" s="1429"/>
      <c r="T456" s="1429"/>
      <c r="U456" s="1429"/>
      <c r="V456" s="1429"/>
      <c r="W456" s="1429"/>
      <c r="X456" s="1429"/>
      <c r="Y456" s="1429"/>
    </row>
    <row r="457" spans="1:25">
      <c r="A457" s="1428"/>
      <c r="B457" s="1428"/>
      <c r="C457" s="1428"/>
      <c r="D457" s="1428"/>
      <c r="E457" s="1428"/>
      <c r="R457" s="1429"/>
      <c r="S457" s="1429"/>
      <c r="T457" s="1429"/>
      <c r="U457" s="1429"/>
      <c r="V457" s="1429"/>
      <c r="W457" s="1429"/>
      <c r="X457" s="1429"/>
      <c r="Y457" s="1429"/>
    </row>
    <row r="458" spans="1:25">
      <c r="A458" s="1428"/>
      <c r="B458" s="1428"/>
      <c r="C458" s="1428"/>
      <c r="D458" s="1428"/>
      <c r="E458" s="1428"/>
      <c r="R458" s="1429"/>
      <c r="S458" s="1429"/>
      <c r="T458" s="1429"/>
      <c r="U458" s="1429"/>
      <c r="V458" s="1429"/>
      <c r="W458" s="1429"/>
      <c r="X458" s="1429"/>
      <c r="Y458" s="1429"/>
    </row>
    <row r="459" spans="1:25">
      <c r="A459" s="1428"/>
      <c r="B459" s="1428"/>
      <c r="C459" s="1428"/>
      <c r="D459" s="1428"/>
      <c r="E459" s="1428"/>
      <c r="R459" s="1429"/>
      <c r="S459" s="1429"/>
      <c r="T459" s="1429"/>
      <c r="U459" s="1429"/>
      <c r="V459" s="1429"/>
      <c r="W459" s="1429"/>
      <c r="X459" s="1429"/>
      <c r="Y459" s="1429"/>
    </row>
    <row r="460" spans="1:25">
      <c r="A460" s="1428"/>
      <c r="B460" s="1428"/>
      <c r="C460" s="1428"/>
      <c r="D460" s="1428"/>
      <c r="E460" s="1428"/>
      <c r="R460" s="1429"/>
      <c r="S460" s="1429"/>
      <c r="T460" s="1429"/>
      <c r="U460" s="1429"/>
      <c r="V460" s="1429"/>
      <c r="W460" s="1429"/>
      <c r="X460" s="1429"/>
      <c r="Y460" s="1429"/>
    </row>
    <row r="461" spans="1:25">
      <c r="A461" s="1428"/>
      <c r="B461" s="1428"/>
      <c r="C461" s="1428"/>
      <c r="D461" s="1428"/>
      <c r="E461" s="1428"/>
      <c r="R461" s="1429"/>
      <c r="S461" s="1429"/>
      <c r="T461" s="1429"/>
      <c r="U461" s="1429"/>
      <c r="V461" s="1429"/>
      <c r="W461" s="1429"/>
      <c r="X461" s="1429"/>
      <c r="Y461" s="1429"/>
    </row>
    <row r="462" spans="1:25">
      <c r="A462" s="1428"/>
      <c r="B462" s="1428"/>
      <c r="C462" s="1428"/>
      <c r="D462" s="1428"/>
      <c r="E462" s="1428"/>
      <c r="R462" s="1429"/>
      <c r="S462" s="1429"/>
      <c r="T462" s="1429"/>
      <c r="U462" s="1429"/>
      <c r="V462" s="1429"/>
      <c r="W462" s="1429"/>
      <c r="X462" s="1429"/>
      <c r="Y462" s="1429"/>
    </row>
    <row r="463" spans="1:25">
      <c r="A463" s="1428"/>
      <c r="B463" s="1428"/>
      <c r="C463" s="1428"/>
      <c r="D463" s="1428"/>
      <c r="E463" s="1428"/>
      <c r="R463" s="1429"/>
      <c r="S463" s="1429"/>
      <c r="T463" s="1429"/>
      <c r="U463" s="1429"/>
      <c r="V463" s="1429"/>
      <c r="W463" s="1429"/>
      <c r="X463" s="1429"/>
      <c r="Y463" s="1429"/>
    </row>
    <row r="464" spans="1:25">
      <c r="A464" s="1428"/>
      <c r="B464" s="1428"/>
      <c r="C464" s="1428"/>
      <c r="D464" s="1428"/>
      <c r="E464" s="1428"/>
      <c r="R464" s="1429"/>
      <c r="S464" s="1429"/>
      <c r="T464" s="1429"/>
      <c r="U464" s="1429"/>
      <c r="V464" s="1429"/>
      <c r="W464" s="1429"/>
      <c r="X464" s="1429"/>
      <c r="Y464" s="1429"/>
    </row>
    <row r="465" spans="1:25">
      <c r="A465" s="1428"/>
      <c r="B465" s="1428"/>
      <c r="C465" s="1428"/>
      <c r="D465" s="1428"/>
      <c r="E465" s="1428"/>
      <c r="R465" s="1429"/>
      <c r="S465" s="1429"/>
      <c r="T465" s="1429"/>
      <c r="U465" s="1429"/>
      <c r="V465" s="1429"/>
      <c r="W465" s="1429"/>
      <c r="X465" s="1429"/>
      <c r="Y465" s="1429"/>
    </row>
    <row r="466" spans="1:25">
      <c r="A466" s="1428"/>
      <c r="B466" s="1428"/>
      <c r="C466" s="1428"/>
      <c r="D466" s="1428"/>
      <c r="E466" s="1428"/>
      <c r="R466" s="1429"/>
      <c r="S466" s="1429"/>
      <c r="T466" s="1429"/>
      <c r="U466" s="1429"/>
      <c r="V466" s="1429"/>
      <c r="W466" s="1429"/>
      <c r="X466" s="1429"/>
      <c r="Y466" s="1429"/>
    </row>
    <row r="467" spans="1:25">
      <c r="A467" s="1428"/>
      <c r="B467" s="1428"/>
      <c r="C467" s="1428"/>
      <c r="D467" s="1428"/>
      <c r="E467" s="1428"/>
      <c r="R467" s="1429"/>
      <c r="S467" s="1429"/>
      <c r="T467" s="1429"/>
      <c r="U467" s="1429"/>
      <c r="V467" s="1429"/>
      <c r="W467" s="1429"/>
      <c r="X467" s="1429"/>
      <c r="Y467" s="1429"/>
    </row>
    <row r="468" spans="1:25">
      <c r="A468" s="1428"/>
      <c r="B468" s="1428"/>
      <c r="C468" s="1428"/>
      <c r="D468" s="1428"/>
      <c r="E468" s="1428"/>
      <c r="R468" s="1429"/>
      <c r="S468" s="1429"/>
      <c r="T468" s="1429"/>
      <c r="U468" s="1429"/>
      <c r="V468" s="1429"/>
      <c r="W468" s="1429"/>
      <c r="X468" s="1429"/>
      <c r="Y468" s="1429"/>
    </row>
    <row r="469" spans="1:25">
      <c r="A469" s="1428"/>
      <c r="B469" s="1428"/>
      <c r="C469" s="1428"/>
      <c r="D469" s="1428"/>
      <c r="E469" s="1428"/>
      <c r="R469" s="1429"/>
      <c r="S469" s="1429"/>
      <c r="T469" s="1429"/>
      <c r="U469" s="1429"/>
      <c r="V469" s="1429"/>
      <c r="W469" s="1429"/>
      <c r="X469" s="1429"/>
      <c r="Y469" s="1429"/>
    </row>
    <row r="470" spans="1:25">
      <c r="A470" s="1428"/>
      <c r="B470" s="1428"/>
      <c r="C470" s="1428"/>
      <c r="D470" s="1428"/>
      <c r="E470" s="1428"/>
      <c r="R470" s="1429"/>
      <c r="S470" s="1429"/>
      <c r="T470" s="1429"/>
      <c r="U470" s="1429"/>
      <c r="V470" s="1429"/>
      <c r="W470" s="1429"/>
      <c r="X470" s="1429"/>
      <c r="Y470" s="1429"/>
    </row>
    <row r="471" spans="1:25">
      <c r="A471" s="1428"/>
      <c r="B471" s="1428"/>
      <c r="C471" s="1428"/>
      <c r="D471" s="1428"/>
      <c r="E471" s="1428"/>
      <c r="R471" s="1429"/>
      <c r="S471" s="1429"/>
      <c r="T471" s="1429"/>
      <c r="U471" s="1429"/>
      <c r="V471" s="1429"/>
      <c r="W471" s="1429"/>
      <c r="X471" s="1429"/>
      <c r="Y471" s="1429"/>
    </row>
    <row r="472" spans="1:25">
      <c r="A472" s="1428"/>
      <c r="B472" s="1428"/>
      <c r="C472" s="1428"/>
      <c r="D472" s="1428"/>
      <c r="E472" s="1428"/>
      <c r="R472" s="1429"/>
      <c r="S472" s="1429"/>
      <c r="T472" s="1429"/>
      <c r="U472" s="1429"/>
      <c r="V472" s="1429"/>
      <c r="W472" s="1429"/>
      <c r="X472" s="1429"/>
      <c r="Y472" s="1429"/>
    </row>
    <row r="473" spans="1:25">
      <c r="A473" s="1428"/>
      <c r="B473" s="1428"/>
      <c r="C473" s="1428"/>
      <c r="D473" s="1428"/>
      <c r="E473" s="1428"/>
      <c r="R473" s="1429"/>
      <c r="S473" s="1429"/>
      <c r="T473" s="1429"/>
      <c r="U473" s="1429"/>
      <c r="V473" s="1429"/>
      <c r="W473" s="1429"/>
      <c r="X473" s="1429"/>
      <c r="Y473" s="1429"/>
    </row>
    <row r="474" spans="1:25">
      <c r="A474" s="1428"/>
      <c r="B474" s="1428"/>
      <c r="C474" s="1428"/>
      <c r="D474" s="1428"/>
      <c r="E474" s="1428"/>
      <c r="R474" s="1429"/>
      <c r="S474" s="1429"/>
      <c r="T474" s="1429"/>
      <c r="U474" s="1429"/>
      <c r="V474" s="1429"/>
      <c r="W474" s="1429"/>
      <c r="X474" s="1429"/>
      <c r="Y474" s="1429"/>
    </row>
    <row r="475" spans="1:25">
      <c r="A475" s="1428"/>
      <c r="B475" s="1428"/>
      <c r="C475" s="1428"/>
      <c r="D475" s="1428"/>
      <c r="E475" s="1428"/>
      <c r="R475" s="1429"/>
      <c r="S475" s="1429"/>
      <c r="T475" s="1429"/>
      <c r="U475" s="1429"/>
      <c r="V475" s="1429"/>
      <c r="W475" s="1429"/>
      <c r="X475" s="1429"/>
      <c r="Y475" s="1429"/>
    </row>
    <row r="476" spans="1:25">
      <c r="A476" s="1428"/>
      <c r="B476" s="1428"/>
      <c r="C476" s="1428"/>
      <c r="D476" s="1428"/>
      <c r="E476" s="1428"/>
      <c r="R476" s="1429"/>
      <c r="S476" s="1429"/>
      <c r="T476" s="1429"/>
      <c r="U476" s="1429"/>
      <c r="V476" s="1429"/>
      <c r="W476" s="1429"/>
      <c r="X476" s="1429"/>
      <c r="Y476" s="1429"/>
    </row>
    <row r="477" spans="1:25">
      <c r="A477" s="1428"/>
      <c r="B477" s="1428"/>
      <c r="C477" s="1428"/>
      <c r="D477" s="1428"/>
      <c r="E477" s="1428"/>
      <c r="R477" s="1429"/>
      <c r="S477" s="1429"/>
      <c r="T477" s="1429"/>
      <c r="U477" s="1429"/>
      <c r="V477" s="1429"/>
      <c r="W477" s="1429"/>
      <c r="X477" s="1429"/>
      <c r="Y477" s="1429"/>
    </row>
    <row r="478" spans="1:25">
      <c r="A478" s="1428"/>
      <c r="B478" s="1428"/>
      <c r="C478" s="1428"/>
      <c r="D478" s="1428"/>
      <c r="E478" s="1428"/>
      <c r="R478" s="1429"/>
      <c r="S478" s="1429"/>
      <c r="T478" s="1429"/>
      <c r="U478" s="1429"/>
      <c r="V478" s="1429"/>
      <c r="W478" s="1429"/>
      <c r="X478" s="1429"/>
      <c r="Y478" s="1429"/>
    </row>
    <row r="479" spans="1:25">
      <c r="A479" s="1428"/>
      <c r="B479" s="1428"/>
      <c r="C479" s="1428"/>
      <c r="D479" s="1428"/>
      <c r="E479" s="1428"/>
      <c r="R479" s="1429"/>
      <c r="S479" s="1429"/>
      <c r="T479" s="1429"/>
      <c r="U479" s="1429"/>
      <c r="V479" s="1429"/>
      <c r="W479" s="1429"/>
      <c r="X479" s="1429"/>
      <c r="Y479" s="1429"/>
    </row>
    <row r="480" spans="1:25">
      <c r="A480" s="1428"/>
      <c r="B480" s="1428"/>
      <c r="C480" s="1428"/>
      <c r="D480" s="1428"/>
      <c r="E480" s="1428"/>
      <c r="R480" s="1429"/>
      <c r="S480" s="1429"/>
      <c r="T480" s="1429"/>
      <c r="U480" s="1429"/>
      <c r="V480" s="1429"/>
      <c r="W480" s="1429"/>
      <c r="X480" s="1429"/>
      <c r="Y480" s="1429"/>
    </row>
    <row r="481" spans="1:25">
      <c r="A481" s="1428"/>
      <c r="B481" s="1428"/>
      <c r="C481" s="1428"/>
      <c r="D481" s="1428"/>
      <c r="E481" s="1428"/>
      <c r="R481" s="1429"/>
      <c r="S481" s="1429"/>
      <c r="T481" s="1429"/>
      <c r="U481" s="1429"/>
      <c r="V481" s="1429"/>
      <c r="W481" s="1429"/>
      <c r="X481" s="1429"/>
      <c r="Y481" s="1429"/>
    </row>
    <row r="482" spans="1:25">
      <c r="A482" s="1428"/>
      <c r="B482" s="1428"/>
      <c r="C482" s="1428"/>
      <c r="D482" s="1428"/>
      <c r="E482" s="1428"/>
      <c r="R482" s="1429"/>
      <c r="S482" s="1429"/>
      <c r="T482" s="1429"/>
      <c r="U482" s="1429"/>
      <c r="V482" s="1429"/>
      <c r="W482" s="1429"/>
      <c r="X482" s="1429"/>
      <c r="Y482" s="1429"/>
    </row>
    <row r="483" spans="1:25">
      <c r="A483" s="1428"/>
      <c r="B483" s="1428"/>
      <c r="C483" s="1428"/>
      <c r="D483" s="1428"/>
      <c r="E483" s="1428"/>
      <c r="R483" s="1429"/>
      <c r="S483" s="1429"/>
      <c r="T483" s="1429"/>
      <c r="U483" s="1429"/>
      <c r="V483" s="1429"/>
      <c r="W483" s="1429"/>
      <c r="X483" s="1429"/>
      <c r="Y483" s="1429"/>
    </row>
    <row r="484" spans="1:25">
      <c r="A484" s="1428"/>
      <c r="B484" s="1428"/>
      <c r="C484" s="1428"/>
      <c r="D484" s="1428"/>
      <c r="E484" s="1428"/>
      <c r="R484" s="1429"/>
      <c r="S484" s="1429"/>
      <c r="T484" s="1429"/>
      <c r="U484" s="1429"/>
      <c r="V484" s="1429"/>
      <c r="W484" s="1429"/>
      <c r="X484" s="1429"/>
      <c r="Y484" s="1429"/>
    </row>
    <row r="485" spans="1:25">
      <c r="A485" s="1428"/>
      <c r="B485" s="1428"/>
      <c r="C485" s="1428"/>
      <c r="D485" s="1428"/>
      <c r="E485" s="1428"/>
      <c r="R485" s="1429"/>
      <c r="S485" s="1429"/>
      <c r="T485" s="1429"/>
      <c r="U485" s="1429"/>
      <c r="V485" s="1429"/>
      <c r="W485" s="1429"/>
      <c r="X485" s="1429"/>
      <c r="Y485" s="1429"/>
    </row>
    <row r="486" spans="1:25">
      <c r="A486" s="1428"/>
      <c r="B486" s="1428"/>
      <c r="C486" s="1428"/>
      <c r="D486" s="1428"/>
      <c r="E486" s="1428"/>
      <c r="R486" s="1429"/>
      <c r="S486" s="1429"/>
      <c r="T486" s="1429"/>
      <c r="U486" s="1429"/>
      <c r="V486" s="1429"/>
      <c r="W486" s="1429"/>
      <c r="X486" s="1429"/>
      <c r="Y486" s="1429"/>
    </row>
    <row r="487" spans="1:25">
      <c r="A487" s="1428"/>
      <c r="B487" s="1428"/>
      <c r="C487" s="1428"/>
      <c r="D487" s="1428"/>
      <c r="E487" s="1428"/>
      <c r="R487" s="1429"/>
      <c r="S487" s="1429"/>
      <c r="T487" s="1429"/>
      <c r="U487" s="1429"/>
      <c r="V487" s="1429"/>
      <c r="W487" s="1429"/>
      <c r="X487" s="1429"/>
      <c r="Y487" s="1429"/>
    </row>
    <row r="488" spans="1:25">
      <c r="A488" s="1428"/>
      <c r="B488" s="1428"/>
      <c r="C488" s="1428"/>
      <c r="D488" s="1428"/>
      <c r="E488" s="1428"/>
      <c r="R488" s="1429"/>
      <c r="S488" s="1429"/>
      <c r="T488" s="1429"/>
      <c r="U488" s="1429"/>
      <c r="V488" s="1429"/>
      <c r="W488" s="1429"/>
      <c r="X488" s="1429"/>
      <c r="Y488" s="1429"/>
    </row>
    <row r="489" spans="1:25">
      <c r="A489" s="1428"/>
      <c r="B489" s="1428"/>
      <c r="C489" s="1428"/>
      <c r="D489" s="1428"/>
      <c r="E489" s="1428"/>
      <c r="R489" s="1429"/>
      <c r="S489" s="1429"/>
      <c r="T489" s="1429"/>
      <c r="U489" s="1429"/>
      <c r="V489" s="1429"/>
      <c r="W489" s="1429"/>
      <c r="X489" s="1429"/>
      <c r="Y489" s="1429"/>
    </row>
    <row r="490" spans="1:25">
      <c r="A490" s="1428"/>
      <c r="B490" s="1428"/>
      <c r="C490" s="1428"/>
      <c r="D490" s="1428"/>
      <c r="E490" s="1428"/>
      <c r="R490" s="1429"/>
      <c r="S490" s="1429"/>
      <c r="T490" s="1429"/>
      <c r="U490" s="1429"/>
      <c r="V490" s="1429"/>
      <c r="W490" s="1429"/>
      <c r="X490" s="1429"/>
      <c r="Y490" s="1429"/>
    </row>
    <row r="491" spans="1:25">
      <c r="A491" s="1428"/>
      <c r="B491" s="1428"/>
      <c r="C491" s="1428"/>
      <c r="D491" s="1428"/>
      <c r="E491" s="1428"/>
      <c r="R491" s="1429"/>
      <c r="S491" s="1429"/>
      <c r="T491" s="1429"/>
      <c r="U491" s="1429"/>
      <c r="V491" s="1429"/>
      <c r="W491" s="1429"/>
      <c r="X491" s="1429"/>
      <c r="Y491" s="1429"/>
    </row>
    <row r="492" spans="1:25">
      <c r="A492" s="1428"/>
      <c r="B492" s="1428"/>
      <c r="C492" s="1428"/>
      <c r="D492" s="1428"/>
      <c r="E492" s="1428"/>
      <c r="R492" s="1429"/>
      <c r="S492" s="1429"/>
      <c r="T492" s="1429"/>
      <c r="U492" s="1429"/>
      <c r="V492" s="1429"/>
      <c r="W492" s="1429"/>
      <c r="X492" s="1429"/>
      <c r="Y492" s="1429"/>
    </row>
    <row r="493" spans="1:25">
      <c r="A493" s="1428"/>
      <c r="B493" s="1428"/>
      <c r="C493" s="1428"/>
      <c r="D493" s="1428"/>
      <c r="E493" s="1428"/>
      <c r="R493" s="1429"/>
      <c r="S493" s="1429"/>
      <c r="T493" s="1429"/>
      <c r="U493" s="1429"/>
      <c r="V493" s="1429"/>
      <c r="W493" s="1429"/>
      <c r="X493" s="1429"/>
      <c r="Y493" s="1429"/>
    </row>
    <row r="494" spans="1:25">
      <c r="A494" s="1428"/>
      <c r="B494" s="1428"/>
      <c r="C494" s="1428"/>
      <c r="D494" s="1428"/>
      <c r="E494" s="1428"/>
      <c r="R494" s="1429"/>
      <c r="S494" s="1429"/>
      <c r="T494" s="1429"/>
      <c r="U494" s="1429"/>
      <c r="V494" s="1429"/>
      <c r="W494" s="1429"/>
      <c r="X494" s="1429"/>
      <c r="Y494" s="1429"/>
    </row>
    <row r="495" spans="1:25">
      <c r="A495" s="1428"/>
      <c r="B495" s="1428"/>
      <c r="C495" s="1428"/>
      <c r="D495" s="1428"/>
      <c r="E495" s="1428"/>
      <c r="R495" s="1429"/>
      <c r="S495" s="1429"/>
      <c r="T495" s="1429"/>
      <c r="U495" s="1429"/>
      <c r="V495" s="1429"/>
      <c r="W495" s="1429"/>
      <c r="X495" s="1429"/>
      <c r="Y495" s="1429"/>
    </row>
    <row r="496" spans="1:25">
      <c r="A496" s="1428"/>
      <c r="B496" s="1428"/>
      <c r="C496" s="1428"/>
      <c r="D496" s="1428"/>
      <c r="E496" s="1428"/>
      <c r="R496" s="1429"/>
      <c r="S496" s="1429"/>
      <c r="T496" s="1429"/>
      <c r="U496" s="1429"/>
      <c r="V496" s="1429"/>
      <c r="W496" s="1429"/>
      <c r="X496" s="1429"/>
      <c r="Y496" s="1429"/>
    </row>
    <row r="497" spans="1:25">
      <c r="A497" s="1428"/>
      <c r="B497" s="1428"/>
      <c r="C497" s="1428"/>
      <c r="D497" s="1428"/>
      <c r="E497" s="1428"/>
      <c r="R497" s="1429"/>
      <c r="S497" s="1429"/>
      <c r="T497" s="1429"/>
      <c r="U497" s="1429"/>
      <c r="V497" s="1429"/>
      <c r="W497" s="1429"/>
      <c r="X497" s="1429"/>
      <c r="Y497" s="1429"/>
    </row>
    <row r="498" spans="1:25">
      <c r="A498" s="1428"/>
      <c r="B498" s="1428"/>
      <c r="C498" s="1428"/>
      <c r="D498" s="1428"/>
      <c r="E498" s="1428"/>
      <c r="R498" s="1429"/>
      <c r="S498" s="1429"/>
      <c r="T498" s="1429"/>
      <c r="U498" s="1429"/>
      <c r="V498" s="1429"/>
      <c r="W498" s="1429"/>
      <c r="X498" s="1429"/>
      <c r="Y498" s="1429"/>
    </row>
    <row r="499" spans="1:25">
      <c r="A499" s="1428"/>
      <c r="B499" s="1428"/>
      <c r="C499" s="1428"/>
      <c r="D499" s="1428"/>
      <c r="E499" s="1428"/>
      <c r="R499" s="1429"/>
      <c r="S499" s="1429"/>
      <c r="T499" s="1429"/>
      <c r="U499" s="1429"/>
      <c r="V499" s="1429"/>
      <c r="W499" s="1429"/>
      <c r="X499" s="1429"/>
      <c r="Y499" s="1429"/>
    </row>
    <row r="500" spans="1:25">
      <c r="A500" s="1428"/>
      <c r="B500" s="1428"/>
      <c r="C500" s="1428"/>
      <c r="D500" s="1428"/>
      <c r="E500" s="1428"/>
      <c r="R500" s="1429"/>
      <c r="S500" s="1429"/>
      <c r="T500" s="1429"/>
      <c r="U500" s="1429"/>
      <c r="V500" s="1429"/>
      <c r="W500" s="1429"/>
      <c r="X500" s="1429"/>
      <c r="Y500" s="1429"/>
    </row>
    <row r="501" spans="1:25">
      <c r="A501" s="1428"/>
      <c r="B501" s="1428"/>
      <c r="C501" s="1428"/>
      <c r="D501" s="1428"/>
      <c r="E501" s="1428"/>
      <c r="R501" s="1429"/>
      <c r="S501" s="1429"/>
      <c r="T501" s="1429"/>
      <c r="U501" s="1429"/>
      <c r="V501" s="1429"/>
      <c r="W501" s="1429"/>
      <c r="X501" s="1429"/>
      <c r="Y501" s="1429"/>
    </row>
    <row r="502" spans="1:25">
      <c r="A502" s="1428"/>
      <c r="B502" s="1428"/>
      <c r="C502" s="1428"/>
      <c r="D502" s="1428"/>
      <c r="E502" s="1428"/>
      <c r="R502" s="1429"/>
      <c r="S502" s="1429"/>
      <c r="T502" s="1429"/>
      <c r="U502" s="1429"/>
      <c r="V502" s="1429"/>
      <c r="W502" s="1429"/>
      <c r="X502" s="1429"/>
      <c r="Y502" s="1429"/>
    </row>
    <row r="503" spans="1:25">
      <c r="A503" s="1428"/>
      <c r="B503" s="1428"/>
      <c r="C503" s="1428"/>
      <c r="D503" s="1428"/>
      <c r="E503" s="1428"/>
      <c r="R503" s="1429"/>
      <c r="S503" s="1429"/>
      <c r="T503" s="1429"/>
      <c r="U503" s="1429"/>
      <c r="V503" s="1429"/>
      <c r="W503" s="1429"/>
      <c r="X503" s="1429"/>
      <c r="Y503" s="1429"/>
    </row>
    <row r="504" spans="1:25">
      <c r="A504" s="1428"/>
      <c r="B504" s="1428"/>
      <c r="C504" s="1428"/>
      <c r="D504" s="1428"/>
      <c r="E504" s="1428"/>
      <c r="R504" s="1429"/>
      <c r="S504" s="1429"/>
      <c r="T504" s="1429"/>
      <c r="U504" s="1429"/>
      <c r="V504" s="1429"/>
      <c r="W504" s="1429"/>
      <c r="X504" s="1429"/>
      <c r="Y504" s="1429"/>
    </row>
    <row r="505" spans="1:25">
      <c r="A505" s="1428"/>
      <c r="B505" s="1428"/>
      <c r="C505" s="1428"/>
      <c r="D505" s="1428"/>
      <c r="E505" s="1428"/>
      <c r="R505" s="1429"/>
      <c r="S505" s="1429"/>
      <c r="T505" s="1429"/>
      <c r="U505" s="1429"/>
      <c r="V505" s="1429"/>
      <c r="W505" s="1429"/>
      <c r="X505" s="1429"/>
      <c r="Y505" s="1429"/>
    </row>
    <row r="506" spans="1:25">
      <c r="A506" s="1428"/>
      <c r="B506" s="1428"/>
      <c r="C506" s="1428"/>
      <c r="D506" s="1428"/>
      <c r="E506" s="1428"/>
      <c r="R506" s="1429"/>
      <c r="S506" s="1429"/>
      <c r="T506" s="1429"/>
      <c r="U506" s="1429"/>
      <c r="V506" s="1429"/>
      <c r="W506" s="1429"/>
      <c r="X506" s="1429"/>
      <c r="Y506" s="1429"/>
    </row>
    <row r="507" spans="1:25">
      <c r="A507" s="1428"/>
      <c r="B507" s="1428"/>
      <c r="C507" s="1428"/>
      <c r="D507" s="1428"/>
      <c r="E507" s="1428"/>
      <c r="R507" s="1429"/>
      <c r="S507" s="1429"/>
      <c r="T507" s="1429"/>
      <c r="U507" s="1429"/>
      <c r="V507" s="1429"/>
      <c r="W507" s="1429"/>
      <c r="X507" s="1429"/>
      <c r="Y507" s="1429"/>
    </row>
    <row r="508" spans="1:25">
      <c r="A508" s="1428"/>
      <c r="B508" s="1428"/>
      <c r="C508" s="1428"/>
      <c r="D508" s="1428"/>
      <c r="E508" s="1428"/>
      <c r="R508" s="1429"/>
      <c r="S508" s="1429"/>
      <c r="T508" s="1429"/>
      <c r="U508" s="1429"/>
      <c r="V508" s="1429"/>
      <c r="W508" s="1429"/>
      <c r="X508" s="1429"/>
      <c r="Y508" s="1429"/>
    </row>
    <row r="509" spans="1:25">
      <c r="A509" s="1428"/>
      <c r="B509" s="1428"/>
      <c r="C509" s="1428"/>
      <c r="D509" s="1428"/>
      <c r="E509" s="1428"/>
      <c r="R509" s="1429"/>
      <c r="S509" s="1429"/>
      <c r="T509" s="1429"/>
      <c r="U509" s="1429"/>
      <c r="V509" s="1429"/>
      <c r="W509" s="1429"/>
      <c r="X509" s="1429"/>
      <c r="Y509" s="1429"/>
    </row>
    <row r="510" spans="1:25">
      <c r="A510" s="1428"/>
      <c r="B510" s="1428"/>
      <c r="C510" s="1428"/>
      <c r="D510" s="1428"/>
      <c r="E510" s="1428"/>
      <c r="R510" s="1429"/>
      <c r="S510" s="1429"/>
      <c r="T510" s="1429"/>
      <c r="U510" s="1429"/>
      <c r="V510" s="1429"/>
      <c r="W510" s="1429"/>
      <c r="X510" s="1429"/>
      <c r="Y510" s="1429"/>
    </row>
    <row r="511" spans="1:25">
      <c r="A511" s="1428"/>
      <c r="B511" s="1428"/>
      <c r="C511" s="1428"/>
      <c r="D511" s="1428"/>
      <c r="E511" s="1428"/>
      <c r="R511" s="1429"/>
      <c r="S511" s="1429"/>
      <c r="T511" s="1429"/>
      <c r="U511" s="1429"/>
      <c r="V511" s="1429"/>
      <c r="W511" s="1429"/>
      <c r="X511" s="1429"/>
      <c r="Y511" s="1429"/>
    </row>
    <row r="512" spans="1:25">
      <c r="A512" s="1428"/>
      <c r="B512" s="1428"/>
      <c r="C512" s="1428"/>
      <c r="D512" s="1428"/>
      <c r="E512" s="1428"/>
      <c r="R512" s="1429"/>
      <c r="S512" s="1429"/>
      <c r="T512" s="1429"/>
      <c r="U512" s="1429"/>
      <c r="V512" s="1429"/>
      <c r="W512" s="1429"/>
      <c r="X512" s="1429"/>
      <c r="Y512" s="1429"/>
    </row>
    <row r="513" spans="1:25">
      <c r="A513" s="1428"/>
      <c r="B513" s="1428"/>
      <c r="C513" s="1428"/>
      <c r="D513" s="1428"/>
      <c r="E513" s="1428"/>
      <c r="R513" s="1429"/>
      <c r="S513" s="1429"/>
      <c r="T513" s="1429"/>
      <c r="U513" s="1429"/>
      <c r="V513" s="1429"/>
      <c r="W513" s="1429"/>
      <c r="X513" s="1429"/>
      <c r="Y513" s="1429"/>
    </row>
    <row r="514" spans="1:25">
      <c r="A514" s="1428"/>
      <c r="B514" s="1428"/>
      <c r="C514" s="1428"/>
      <c r="D514" s="1428"/>
      <c r="E514" s="1428"/>
      <c r="R514" s="1429"/>
      <c r="S514" s="1429"/>
      <c r="T514" s="1429"/>
      <c r="U514" s="1429"/>
      <c r="V514" s="1429"/>
      <c r="W514" s="1429"/>
      <c r="X514" s="1429"/>
      <c r="Y514" s="1429"/>
    </row>
    <row r="515" spans="1:25">
      <c r="A515" s="1428"/>
      <c r="B515" s="1428"/>
      <c r="C515" s="1428"/>
      <c r="D515" s="1428"/>
      <c r="E515" s="1428"/>
      <c r="R515" s="1429"/>
      <c r="S515" s="1429"/>
      <c r="T515" s="1429"/>
      <c r="U515" s="1429"/>
      <c r="V515" s="1429"/>
      <c r="W515" s="1429"/>
      <c r="X515" s="1429"/>
      <c r="Y515" s="1429"/>
    </row>
    <row r="516" spans="1:25">
      <c r="A516" s="1428"/>
      <c r="B516" s="1428"/>
      <c r="C516" s="1428"/>
      <c r="D516" s="1428"/>
      <c r="E516" s="1428"/>
      <c r="R516" s="1429"/>
      <c r="S516" s="1429"/>
      <c r="T516" s="1429"/>
      <c r="U516" s="1429"/>
      <c r="V516" s="1429"/>
      <c r="W516" s="1429"/>
      <c r="X516" s="1429"/>
      <c r="Y516" s="1429"/>
    </row>
    <row r="517" spans="1:25">
      <c r="A517" s="1428"/>
      <c r="B517" s="1428"/>
      <c r="C517" s="1428"/>
      <c r="D517" s="1428"/>
      <c r="E517" s="1428"/>
      <c r="R517" s="1429"/>
      <c r="S517" s="1429"/>
      <c r="T517" s="1429"/>
      <c r="U517" s="1429"/>
      <c r="V517" s="1429"/>
      <c r="W517" s="1429"/>
      <c r="X517" s="1429"/>
      <c r="Y517" s="1429"/>
    </row>
    <row r="518" spans="1:25">
      <c r="A518" s="1428"/>
      <c r="B518" s="1428"/>
      <c r="C518" s="1428"/>
      <c r="D518" s="1428"/>
      <c r="E518" s="1428"/>
      <c r="R518" s="1429"/>
      <c r="S518" s="1429"/>
      <c r="T518" s="1429"/>
      <c r="U518" s="1429"/>
      <c r="V518" s="1429"/>
      <c r="W518" s="1429"/>
      <c r="X518" s="1429"/>
      <c r="Y518" s="1429"/>
    </row>
    <row r="519" spans="1:25">
      <c r="A519" s="1428"/>
      <c r="B519" s="1428"/>
      <c r="C519" s="1428"/>
      <c r="D519" s="1428"/>
      <c r="E519" s="1428"/>
      <c r="R519" s="1429"/>
      <c r="S519" s="1429"/>
      <c r="T519" s="1429"/>
      <c r="U519" s="1429"/>
      <c r="V519" s="1429"/>
      <c r="W519" s="1429"/>
      <c r="X519" s="1429"/>
      <c r="Y519" s="1429"/>
    </row>
    <row r="520" spans="1:25">
      <c r="A520" s="1428"/>
      <c r="B520" s="1428"/>
      <c r="C520" s="1428"/>
      <c r="D520" s="1428"/>
      <c r="E520" s="1428"/>
      <c r="R520" s="1429"/>
      <c r="S520" s="1429"/>
      <c r="T520" s="1429"/>
      <c r="U520" s="1429"/>
      <c r="V520" s="1429"/>
      <c r="W520" s="1429"/>
      <c r="X520" s="1429"/>
      <c r="Y520" s="1429"/>
    </row>
    <row r="521" spans="1:25">
      <c r="A521" s="1428"/>
      <c r="B521" s="1428"/>
      <c r="C521" s="1428"/>
      <c r="D521" s="1428"/>
      <c r="E521" s="1428"/>
      <c r="R521" s="1429"/>
      <c r="S521" s="1429"/>
      <c r="T521" s="1429"/>
      <c r="U521" s="1429"/>
      <c r="V521" s="1429"/>
      <c r="W521" s="1429"/>
      <c r="X521" s="1429"/>
      <c r="Y521" s="1429"/>
    </row>
    <row r="522" spans="1:25">
      <c r="A522" s="1428"/>
      <c r="B522" s="1428"/>
      <c r="C522" s="1428"/>
      <c r="D522" s="1428"/>
      <c r="E522" s="1428"/>
      <c r="R522" s="1429"/>
      <c r="S522" s="1429"/>
      <c r="T522" s="1429"/>
      <c r="U522" s="1429"/>
      <c r="V522" s="1429"/>
      <c r="W522" s="1429"/>
      <c r="X522" s="1429"/>
      <c r="Y522" s="1429"/>
    </row>
    <row r="523" spans="1:25">
      <c r="A523" s="1428"/>
      <c r="B523" s="1428"/>
      <c r="C523" s="1428"/>
      <c r="D523" s="1428"/>
      <c r="E523" s="1428"/>
      <c r="R523" s="1429"/>
      <c r="S523" s="1429"/>
      <c r="T523" s="1429"/>
      <c r="U523" s="1429"/>
      <c r="V523" s="1429"/>
      <c r="W523" s="1429"/>
      <c r="X523" s="1429"/>
      <c r="Y523" s="1429"/>
    </row>
    <row r="524" spans="1:25">
      <c r="A524" s="1428"/>
      <c r="B524" s="1428"/>
      <c r="C524" s="1428"/>
      <c r="D524" s="1428"/>
      <c r="E524" s="1428"/>
      <c r="R524" s="1429"/>
      <c r="S524" s="1429"/>
      <c r="T524" s="1429"/>
      <c r="U524" s="1429"/>
      <c r="V524" s="1429"/>
      <c r="W524" s="1429"/>
      <c r="X524" s="1429"/>
      <c r="Y524" s="1429"/>
    </row>
    <row r="525" spans="1:25">
      <c r="A525" s="1428"/>
      <c r="B525" s="1428"/>
      <c r="C525" s="1428"/>
      <c r="D525" s="1428"/>
      <c r="E525" s="1428"/>
      <c r="R525" s="1429"/>
      <c r="S525" s="1429"/>
      <c r="T525" s="1429"/>
      <c r="U525" s="1429"/>
      <c r="V525" s="1429"/>
      <c r="W525" s="1429"/>
      <c r="X525" s="1429"/>
      <c r="Y525" s="1429"/>
    </row>
    <row r="526" spans="1:25">
      <c r="A526" s="1428"/>
      <c r="B526" s="1428"/>
      <c r="C526" s="1428"/>
      <c r="D526" s="1428"/>
      <c r="E526" s="1428"/>
      <c r="R526" s="1429"/>
      <c r="S526" s="1429"/>
      <c r="T526" s="1429"/>
      <c r="U526" s="1429"/>
      <c r="V526" s="1429"/>
      <c r="W526" s="1429"/>
      <c r="X526" s="1429"/>
      <c r="Y526" s="1429"/>
    </row>
    <row r="527" spans="1:25">
      <c r="A527" s="1428"/>
      <c r="B527" s="1428"/>
      <c r="C527" s="1428"/>
      <c r="D527" s="1428"/>
      <c r="E527" s="1428"/>
      <c r="R527" s="1429"/>
      <c r="S527" s="1429"/>
      <c r="T527" s="1429"/>
      <c r="U527" s="1429"/>
      <c r="V527" s="1429"/>
      <c r="W527" s="1429"/>
      <c r="X527" s="1429"/>
      <c r="Y527" s="1429"/>
    </row>
    <row r="528" spans="1:25">
      <c r="A528" s="1428"/>
      <c r="B528" s="1428"/>
      <c r="C528" s="1428"/>
      <c r="D528" s="1428"/>
      <c r="E528" s="1428"/>
      <c r="R528" s="1429"/>
      <c r="S528" s="1429"/>
      <c r="T528" s="1429"/>
      <c r="U528" s="1429"/>
      <c r="V528" s="1429"/>
      <c r="W528" s="1429"/>
      <c r="X528" s="1429"/>
      <c r="Y528" s="1429"/>
    </row>
    <row r="529" spans="1:25">
      <c r="A529" s="1428"/>
      <c r="B529" s="1428"/>
      <c r="C529" s="1428"/>
      <c r="D529" s="1428"/>
      <c r="E529" s="1428"/>
      <c r="R529" s="1429"/>
      <c r="S529" s="1429"/>
      <c r="T529" s="1429"/>
      <c r="U529" s="1429"/>
      <c r="V529" s="1429"/>
      <c r="W529" s="1429"/>
      <c r="X529" s="1429"/>
      <c r="Y529" s="1429"/>
    </row>
    <row r="530" spans="1:25">
      <c r="A530" s="1428"/>
      <c r="B530" s="1428"/>
      <c r="C530" s="1428"/>
      <c r="D530" s="1428"/>
      <c r="E530" s="1428"/>
      <c r="R530" s="1429"/>
      <c r="S530" s="1429"/>
      <c r="T530" s="1429"/>
      <c r="U530" s="1429"/>
      <c r="V530" s="1429"/>
      <c r="W530" s="1429"/>
      <c r="X530" s="1429"/>
      <c r="Y530" s="1429"/>
    </row>
    <row r="531" spans="1:25">
      <c r="A531" s="1428"/>
      <c r="B531" s="1428"/>
      <c r="C531" s="1428"/>
      <c r="D531" s="1428"/>
      <c r="E531" s="1428"/>
      <c r="R531" s="1429"/>
      <c r="S531" s="1429"/>
      <c r="T531" s="1429"/>
      <c r="U531" s="1429"/>
      <c r="V531" s="1429"/>
      <c r="W531" s="1429"/>
      <c r="X531" s="1429"/>
      <c r="Y531" s="1429"/>
    </row>
    <row r="532" spans="1:25">
      <c r="A532" s="1428"/>
      <c r="B532" s="1428"/>
      <c r="C532" s="1428"/>
      <c r="D532" s="1428"/>
      <c r="E532" s="1428"/>
      <c r="R532" s="1429"/>
      <c r="S532" s="1429"/>
      <c r="T532" s="1429"/>
      <c r="U532" s="1429"/>
      <c r="V532" s="1429"/>
      <c r="W532" s="1429"/>
      <c r="X532" s="1429"/>
      <c r="Y532" s="1429"/>
    </row>
    <row r="533" spans="1:25">
      <c r="A533" s="1428"/>
      <c r="B533" s="1428"/>
      <c r="C533" s="1428"/>
      <c r="D533" s="1428"/>
      <c r="E533" s="1428"/>
      <c r="R533" s="1429"/>
      <c r="S533" s="1429"/>
      <c r="T533" s="1429"/>
      <c r="U533" s="1429"/>
      <c r="V533" s="1429"/>
      <c r="W533" s="1429"/>
      <c r="X533" s="1429"/>
      <c r="Y533" s="1429"/>
    </row>
    <row r="534" spans="1:25">
      <c r="A534" s="1428"/>
      <c r="B534" s="1428"/>
      <c r="C534" s="1428"/>
      <c r="D534" s="1428"/>
      <c r="E534" s="1428"/>
      <c r="R534" s="1429"/>
      <c r="S534" s="1429"/>
      <c r="T534" s="1429"/>
      <c r="U534" s="1429"/>
      <c r="V534" s="1429"/>
      <c r="W534" s="1429"/>
      <c r="X534" s="1429"/>
      <c r="Y534" s="1429"/>
    </row>
    <row r="535" spans="1:25">
      <c r="A535" s="1428"/>
      <c r="B535" s="1428"/>
      <c r="C535" s="1428"/>
      <c r="D535" s="1428"/>
      <c r="E535" s="1428"/>
      <c r="R535" s="1429"/>
      <c r="S535" s="1429"/>
      <c r="T535" s="1429"/>
      <c r="U535" s="1429"/>
      <c r="V535" s="1429"/>
      <c r="W535" s="1429"/>
      <c r="X535" s="1429"/>
      <c r="Y535" s="1429"/>
    </row>
    <row r="536" spans="1:25">
      <c r="A536" s="1428"/>
      <c r="B536" s="1428"/>
      <c r="C536" s="1428"/>
      <c r="D536" s="1428"/>
      <c r="E536" s="1428"/>
      <c r="R536" s="1429"/>
      <c r="S536" s="1429"/>
      <c r="T536" s="1429"/>
      <c r="U536" s="1429"/>
      <c r="V536" s="1429"/>
      <c r="W536" s="1429"/>
      <c r="X536" s="1429"/>
      <c r="Y536" s="1429"/>
    </row>
    <row r="537" spans="1:25">
      <c r="A537" s="1428"/>
      <c r="B537" s="1428"/>
      <c r="C537" s="1428"/>
      <c r="D537" s="1428"/>
      <c r="E537" s="1428"/>
      <c r="R537" s="1429"/>
      <c r="S537" s="1429"/>
      <c r="T537" s="1429"/>
      <c r="U537" s="1429"/>
      <c r="V537" s="1429"/>
      <c r="W537" s="1429"/>
      <c r="X537" s="1429"/>
      <c r="Y537" s="1429"/>
    </row>
    <row r="538" spans="1:25">
      <c r="A538" s="1428"/>
      <c r="B538" s="1428"/>
      <c r="C538" s="1428"/>
      <c r="D538" s="1428"/>
      <c r="E538" s="1428"/>
      <c r="R538" s="1429"/>
      <c r="S538" s="1429"/>
      <c r="T538" s="1429"/>
      <c r="U538" s="1429"/>
      <c r="V538" s="1429"/>
      <c r="W538" s="1429"/>
      <c r="X538" s="1429"/>
      <c r="Y538" s="1429"/>
    </row>
    <row r="539" spans="1:25">
      <c r="A539" s="1428"/>
      <c r="B539" s="1428"/>
      <c r="C539" s="1428"/>
      <c r="D539" s="1428"/>
      <c r="E539" s="1428"/>
      <c r="R539" s="1429"/>
      <c r="S539" s="1429"/>
      <c r="T539" s="1429"/>
      <c r="U539" s="1429"/>
      <c r="V539" s="1429"/>
      <c r="W539" s="1429"/>
      <c r="X539" s="1429"/>
      <c r="Y539" s="1429"/>
    </row>
    <row r="540" spans="1:25">
      <c r="A540" s="1428"/>
      <c r="B540" s="1428"/>
      <c r="C540" s="1428"/>
      <c r="D540" s="1428"/>
      <c r="E540" s="1428"/>
      <c r="R540" s="1429"/>
      <c r="S540" s="1429"/>
      <c r="T540" s="1429"/>
      <c r="U540" s="1429"/>
      <c r="V540" s="1429"/>
      <c r="W540" s="1429"/>
      <c r="X540" s="1429"/>
      <c r="Y540" s="1429"/>
    </row>
    <row r="541" spans="1:25">
      <c r="A541" s="1428"/>
      <c r="B541" s="1428"/>
      <c r="C541" s="1428"/>
      <c r="D541" s="1428"/>
      <c r="E541" s="1428"/>
      <c r="R541" s="1429"/>
      <c r="S541" s="1429"/>
      <c r="T541" s="1429"/>
      <c r="U541" s="1429"/>
      <c r="V541" s="1429"/>
      <c r="W541" s="1429"/>
      <c r="X541" s="1429"/>
      <c r="Y541" s="1429"/>
    </row>
    <row r="542" spans="1:25">
      <c r="A542" s="1428"/>
      <c r="B542" s="1428"/>
      <c r="C542" s="1428"/>
      <c r="D542" s="1428"/>
      <c r="E542" s="1428"/>
      <c r="R542" s="1429"/>
      <c r="S542" s="1429"/>
      <c r="T542" s="1429"/>
      <c r="U542" s="1429"/>
      <c r="V542" s="1429"/>
      <c r="W542" s="1429"/>
      <c r="X542" s="1429"/>
      <c r="Y542" s="1429"/>
    </row>
    <row r="543" spans="1:25">
      <c r="A543" s="1428"/>
      <c r="B543" s="1428"/>
      <c r="C543" s="1428"/>
      <c r="D543" s="1428"/>
      <c r="E543" s="1428"/>
      <c r="R543" s="1429"/>
      <c r="S543" s="1429"/>
      <c r="T543" s="1429"/>
      <c r="U543" s="1429"/>
      <c r="V543" s="1429"/>
      <c r="W543" s="1429"/>
      <c r="X543" s="1429"/>
      <c r="Y543" s="1429"/>
    </row>
    <row r="544" spans="1:25">
      <c r="A544" s="1428"/>
      <c r="B544" s="1428"/>
      <c r="C544" s="1428"/>
      <c r="D544" s="1428"/>
      <c r="E544" s="1428"/>
      <c r="R544" s="1429"/>
      <c r="S544" s="1429"/>
      <c r="T544" s="1429"/>
      <c r="U544" s="1429"/>
      <c r="V544" s="1429"/>
      <c r="W544" s="1429"/>
      <c r="X544" s="1429"/>
      <c r="Y544" s="1429"/>
    </row>
    <row r="545" spans="1:25">
      <c r="A545" s="1428"/>
      <c r="B545" s="1428"/>
      <c r="C545" s="1428"/>
      <c r="D545" s="1428"/>
      <c r="E545" s="1428"/>
      <c r="R545" s="1429"/>
      <c r="S545" s="1429"/>
      <c r="T545" s="1429"/>
      <c r="U545" s="1429"/>
      <c r="V545" s="1429"/>
      <c r="W545" s="1429"/>
      <c r="X545" s="1429"/>
      <c r="Y545" s="1429"/>
    </row>
    <row r="546" spans="1:25">
      <c r="A546" s="1428"/>
      <c r="B546" s="1428"/>
      <c r="C546" s="1428"/>
      <c r="D546" s="1428"/>
      <c r="E546" s="1428"/>
      <c r="R546" s="1429"/>
      <c r="S546" s="1429"/>
      <c r="T546" s="1429"/>
      <c r="U546" s="1429"/>
      <c r="V546" s="1429"/>
      <c r="W546" s="1429"/>
      <c r="X546" s="1429"/>
      <c r="Y546" s="1429"/>
    </row>
    <row r="547" spans="1:25">
      <c r="A547" s="1428"/>
      <c r="B547" s="1428"/>
      <c r="C547" s="1428"/>
      <c r="D547" s="1428"/>
      <c r="E547" s="1428"/>
      <c r="R547" s="1429"/>
      <c r="S547" s="1429"/>
      <c r="T547" s="1429"/>
      <c r="U547" s="1429"/>
      <c r="V547" s="1429"/>
      <c r="W547" s="1429"/>
      <c r="X547" s="1429"/>
      <c r="Y547" s="1429"/>
    </row>
    <row r="548" spans="1:25">
      <c r="A548" s="1428"/>
      <c r="B548" s="1428"/>
      <c r="C548" s="1428"/>
      <c r="D548" s="1428"/>
      <c r="E548" s="1428"/>
      <c r="R548" s="1429"/>
      <c r="S548" s="1429"/>
      <c r="T548" s="1429"/>
      <c r="U548" s="1429"/>
      <c r="V548" s="1429"/>
      <c r="W548" s="1429"/>
      <c r="X548" s="1429"/>
      <c r="Y548" s="1429"/>
    </row>
    <row r="549" spans="1:25">
      <c r="A549" s="1428"/>
      <c r="B549" s="1428"/>
      <c r="C549" s="1428"/>
      <c r="D549" s="1428"/>
      <c r="E549" s="1428"/>
      <c r="R549" s="1429"/>
      <c r="S549" s="1429"/>
      <c r="T549" s="1429"/>
      <c r="U549" s="1429"/>
      <c r="V549" s="1429"/>
      <c r="W549" s="1429"/>
      <c r="X549" s="1429"/>
      <c r="Y549" s="1429"/>
    </row>
    <row r="550" spans="1:25">
      <c r="A550" s="1428"/>
      <c r="B550" s="1428"/>
      <c r="C550" s="1428"/>
      <c r="D550" s="1428"/>
      <c r="E550" s="1428"/>
      <c r="R550" s="1429"/>
      <c r="S550" s="1429"/>
      <c r="T550" s="1429"/>
      <c r="U550" s="1429"/>
      <c r="V550" s="1429"/>
      <c r="W550" s="1429"/>
      <c r="X550" s="1429"/>
      <c r="Y550" s="1429"/>
    </row>
    <row r="551" spans="1:25">
      <c r="A551" s="1428"/>
      <c r="B551" s="1428"/>
      <c r="C551" s="1428"/>
      <c r="D551" s="1428"/>
      <c r="E551" s="1428"/>
      <c r="R551" s="1429"/>
      <c r="S551" s="1429"/>
      <c r="T551" s="1429"/>
      <c r="U551" s="1429"/>
      <c r="V551" s="1429"/>
      <c r="W551" s="1429"/>
      <c r="X551" s="1429"/>
      <c r="Y551" s="1429"/>
    </row>
    <row r="552" spans="1:25">
      <c r="A552" s="1428"/>
      <c r="B552" s="1428"/>
      <c r="C552" s="1428"/>
      <c r="D552" s="1428"/>
      <c r="E552" s="1428"/>
      <c r="R552" s="1429"/>
      <c r="S552" s="1429"/>
      <c r="T552" s="1429"/>
      <c r="U552" s="1429"/>
      <c r="V552" s="1429"/>
      <c r="W552" s="1429"/>
      <c r="X552" s="1429"/>
      <c r="Y552" s="1429"/>
    </row>
    <row r="553" spans="1:25">
      <c r="A553" s="1428"/>
      <c r="B553" s="1428"/>
      <c r="C553" s="1428"/>
      <c r="D553" s="1428"/>
      <c r="E553" s="1428"/>
      <c r="R553" s="1429"/>
      <c r="S553" s="1429"/>
      <c r="T553" s="1429"/>
      <c r="U553" s="1429"/>
      <c r="V553" s="1429"/>
      <c r="W553" s="1429"/>
      <c r="X553" s="1429"/>
      <c r="Y553" s="1429"/>
    </row>
    <row r="554" spans="1:25">
      <c r="A554" s="1428"/>
      <c r="B554" s="1428"/>
      <c r="C554" s="1428"/>
      <c r="D554" s="1428"/>
      <c r="E554" s="1428"/>
      <c r="R554" s="1429"/>
      <c r="S554" s="1429"/>
      <c r="T554" s="1429"/>
      <c r="U554" s="1429"/>
      <c r="V554" s="1429"/>
      <c r="W554" s="1429"/>
      <c r="X554" s="1429"/>
      <c r="Y554" s="1429"/>
    </row>
    <row r="555" spans="1:25">
      <c r="A555" s="1428"/>
      <c r="B555" s="1428"/>
      <c r="C555" s="1428"/>
      <c r="D555" s="1428"/>
      <c r="E555" s="1428"/>
      <c r="R555" s="1429"/>
      <c r="S555" s="1429"/>
      <c r="T555" s="1429"/>
      <c r="U555" s="1429"/>
      <c r="V555" s="1429"/>
      <c r="W555" s="1429"/>
      <c r="X555" s="1429"/>
      <c r="Y555" s="1429"/>
    </row>
    <row r="556" spans="1:25">
      <c r="A556" s="1428"/>
      <c r="B556" s="1428"/>
      <c r="C556" s="1428"/>
      <c r="D556" s="1428"/>
      <c r="E556" s="1428"/>
      <c r="R556" s="1429"/>
      <c r="S556" s="1429"/>
      <c r="T556" s="1429"/>
      <c r="U556" s="1429"/>
      <c r="V556" s="1429"/>
      <c r="W556" s="1429"/>
      <c r="X556" s="1429"/>
      <c r="Y556" s="1429"/>
    </row>
    <row r="557" spans="1:25">
      <c r="A557" s="1428"/>
      <c r="B557" s="1428"/>
      <c r="C557" s="1428"/>
      <c r="D557" s="1428"/>
      <c r="E557" s="1428"/>
      <c r="R557" s="1429"/>
      <c r="S557" s="1429"/>
      <c r="T557" s="1429"/>
      <c r="U557" s="1429"/>
      <c r="V557" s="1429"/>
      <c r="W557" s="1429"/>
      <c r="X557" s="1429"/>
      <c r="Y557" s="1429"/>
    </row>
    <row r="558" spans="1:25">
      <c r="A558" s="1428"/>
      <c r="B558" s="1428"/>
      <c r="C558" s="1428"/>
      <c r="D558" s="1428"/>
      <c r="E558" s="1428"/>
      <c r="R558" s="1429"/>
      <c r="S558" s="1429"/>
      <c r="T558" s="1429"/>
      <c r="U558" s="1429"/>
      <c r="V558" s="1429"/>
      <c r="W558" s="1429"/>
      <c r="X558" s="1429"/>
      <c r="Y558" s="1429"/>
    </row>
    <row r="559" spans="1:25">
      <c r="A559" s="1428"/>
      <c r="B559" s="1428"/>
      <c r="C559" s="1428"/>
      <c r="D559" s="1428"/>
      <c r="E559" s="1428"/>
      <c r="R559" s="1429"/>
      <c r="S559" s="1429"/>
      <c r="T559" s="1429"/>
      <c r="U559" s="1429"/>
      <c r="V559" s="1429"/>
      <c r="W559" s="1429"/>
      <c r="X559" s="1429"/>
      <c r="Y559" s="1429"/>
    </row>
    <row r="560" spans="1:25">
      <c r="A560" s="1428"/>
      <c r="B560" s="1428"/>
      <c r="C560" s="1428"/>
      <c r="D560" s="1428"/>
      <c r="E560" s="1428"/>
      <c r="R560" s="1429"/>
      <c r="S560" s="1429"/>
      <c r="T560" s="1429"/>
      <c r="U560" s="1429"/>
      <c r="V560" s="1429"/>
      <c r="W560" s="1429"/>
      <c r="X560" s="1429"/>
      <c r="Y560" s="1429"/>
    </row>
    <row r="561" spans="1:25">
      <c r="A561" s="1428"/>
      <c r="B561" s="1428"/>
      <c r="C561" s="1428"/>
      <c r="D561" s="1428"/>
      <c r="E561" s="1428"/>
      <c r="R561" s="1429"/>
      <c r="S561" s="1429"/>
      <c r="T561" s="1429"/>
      <c r="U561" s="1429"/>
      <c r="V561" s="1429"/>
      <c r="W561" s="1429"/>
      <c r="X561" s="1429"/>
      <c r="Y561" s="1429"/>
    </row>
    <row r="562" spans="1:25">
      <c r="A562" s="1428"/>
      <c r="B562" s="1428"/>
      <c r="C562" s="1428"/>
      <c r="D562" s="1428"/>
      <c r="E562" s="1428"/>
      <c r="R562" s="1429"/>
      <c r="S562" s="1429"/>
      <c r="T562" s="1429"/>
      <c r="U562" s="1429"/>
      <c r="V562" s="1429"/>
      <c r="W562" s="1429"/>
      <c r="X562" s="1429"/>
      <c r="Y562" s="1429"/>
    </row>
    <row r="563" spans="1:25">
      <c r="A563" s="1428"/>
      <c r="B563" s="1428"/>
      <c r="C563" s="1428"/>
      <c r="D563" s="1428"/>
      <c r="E563" s="1428"/>
      <c r="R563" s="1429"/>
      <c r="S563" s="1429"/>
      <c r="T563" s="1429"/>
      <c r="U563" s="1429"/>
      <c r="V563" s="1429"/>
      <c r="W563" s="1429"/>
      <c r="X563" s="1429"/>
      <c r="Y563" s="1429"/>
    </row>
    <row r="564" spans="1:25">
      <c r="A564" s="1428"/>
      <c r="B564" s="1428"/>
      <c r="C564" s="1428"/>
      <c r="D564" s="1428"/>
      <c r="E564" s="1428"/>
      <c r="R564" s="1429"/>
      <c r="S564" s="1429"/>
      <c r="T564" s="1429"/>
      <c r="U564" s="1429"/>
      <c r="V564" s="1429"/>
      <c r="W564" s="1429"/>
      <c r="X564" s="1429"/>
      <c r="Y564" s="1429"/>
    </row>
    <row r="565" spans="1:25">
      <c r="A565" s="1428"/>
      <c r="B565" s="1428"/>
      <c r="C565" s="1428"/>
      <c r="D565" s="1428"/>
      <c r="E565" s="1428"/>
      <c r="R565" s="1429"/>
      <c r="S565" s="1429"/>
      <c r="T565" s="1429"/>
      <c r="U565" s="1429"/>
      <c r="V565" s="1429"/>
      <c r="W565" s="1429"/>
      <c r="X565" s="1429"/>
      <c r="Y565" s="1429"/>
    </row>
    <row r="566" spans="1:25">
      <c r="A566" s="1428"/>
      <c r="B566" s="1428"/>
      <c r="C566" s="1428"/>
      <c r="D566" s="1428"/>
      <c r="E566" s="1428"/>
      <c r="R566" s="1429"/>
      <c r="S566" s="1429"/>
      <c r="T566" s="1429"/>
      <c r="U566" s="1429"/>
      <c r="V566" s="1429"/>
      <c r="W566" s="1429"/>
      <c r="X566" s="1429"/>
      <c r="Y566" s="1429"/>
    </row>
    <row r="567" spans="1:25">
      <c r="A567" s="1428"/>
      <c r="B567" s="1428"/>
      <c r="C567" s="1428"/>
      <c r="D567" s="1428"/>
      <c r="E567" s="1428"/>
      <c r="R567" s="1429"/>
      <c r="S567" s="1429"/>
      <c r="T567" s="1429"/>
      <c r="U567" s="1429"/>
      <c r="V567" s="1429"/>
      <c r="W567" s="1429"/>
      <c r="X567" s="1429"/>
      <c r="Y567" s="1429"/>
    </row>
    <row r="568" spans="1:25">
      <c r="A568" s="1428"/>
      <c r="B568" s="1428"/>
      <c r="C568" s="1428"/>
      <c r="D568" s="1428"/>
      <c r="E568" s="1428"/>
      <c r="R568" s="1429"/>
      <c r="S568" s="1429"/>
      <c r="T568" s="1429"/>
      <c r="U568" s="1429"/>
      <c r="V568" s="1429"/>
      <c r="W568" s="1429"/>
      <c r="X568" s="1429"/>
      <c r="Y568" s="1429"/>
    </row>
    <row r="569" spans="1:25">
      <c r="A569" s="1428"/>
      <c r="B569" s="1428"/>
      <c r="C569" s="1428"/>
      <c r="D569" s="1428"/>
      <c r="E569" s="1428"/>
      <c r="R569" s="1429"/>
      <c r="S569" s="1429"/>
      <c r="T569" s="1429"/>
      <c r="U569" s="1429"/>
      <c r="V569" s="1429"/>
      <c r="W569" s="1429"/>
      <c r="X569" s="1429"/>
      <c r="Y569" s="1429"/>
    </row>
    <row r="570" spans="1:25">
      <c r="A570" s="1428"/>
      <c r="B570" s="1428"/>
      <c r="C570" s="1428"/>
      <c r="D570" s="1428"/>
      <c r="E570" s="1428"/>
      <c r="R570" s="1429"/>
      <c r="S570" s="1429"/>
      <c r="T570" s="1429"/>
      <c r="U570" s="1429"/>
      <c r="V570" s="1429"/>
      <c r="W570" s="1429"/>
      <c r="X570" s="1429"/>
      <c r="Y570" s="1429"/>
    </row>
    <row r="571" spans="1:25">
      <c r="A571" s="1428"/>
      <c r="B571" s="1428"/>
      <c r="C571" s="1428"/>
      <c r="D571" s="1428"/>
      <c r="E571" s="1428"/>
      <c r="R571" s="1429"/>
      <c r="S571" s="1429"/>
      <c r="T571" s="1429"/>
      <c r="U571" s="1429"/>
      <c r="V571" s="1429"/>
      <c r="W571" s="1429"/>
      <c r="X571" s="1429"/>
      <c r="Y571" s="1429"/>
    </row>
    <row r="572" spans="1:25">
      <c r="A572" s="1428"/>
      <c r="B572" s="1428"/>
      <c r="C572" s="1428"/>
      <c r="D572" s="1428"/>
      <c r="E572" s="1428"/>
      <c r="R572" s="1429"/>
      <c r="S572" s="1429"/>
      <c r="T572" s="1429"/>
      <c r="U572" s="1429"/>
      <c r="V572" s="1429"/>
      <c r="W572" s="1429"/>
      <c r="X572" s="1429"/>
      <c r="Y572" s="1429"/>
    </row>
    <row r="573" spans="1:25">
      <c r="A573" s="1428"/>
      <c r="B573" s="1428"/>
      <c r="C573" s="1428"/>
      <c r="D573" s="1428"/>
      <c r="E573" s="1428"/>
      <c r="R573" s="1429"/>
      <c r="S573" s="1429"/>
      <c r="T573" s="1429"/>
      <c r="U573" s="1429"/>
      <c r="V573" s="1429"/>
      <c r="W573" s="1429"/>
      <c r="X573" s="1429"/>
      <c r="Y573" s="1429"/>
    </row>
    <row r="574" spans="1:25">
      <c r="A574" s="1428"/>
      <c r="B574" s="1428"/>
      <c r="C574" s="1428"/>
      <c r="D574" s="1428"/>
      <c r="E574" s="1428"/>
      <c r="R574" s="1429"/>
      <c r="S574" s="1429"/>
      <c r="T574" s="1429"/>
      <c r="U574" s="1429"/>
      <c r="V574" s="1429"/>
      <c r="W574" s="1429"/>
      <c r="X574" s="1429"/>
      <c r="Y574" s="1429"/>
    </row>
    <row r="575" spans="1:25">
      <c r="A575" s="1428"/>
      <c r="B575" s="1428"/>
      <c r="C575" s="1428"/>
      <c r="D575" s="1428"/>
      <c r="E575" s="1428"/>
      <c r="R575" s="1429"/>
      <c r="S575" s="1429"/>
      <c r="T575" s="1429"/>
      <c r="U575" s="1429"/>
      <c r="V575" s="1429"/>
      <c r="W575" s="1429"/>
      <c r="X575" s="1429"/>
      <c r="Y575" s="1429"/>
    </row>
    <row r="576" spans="1:25">
      <c r="A576" s="1428"/>
      <c r="B576" s="1428"/>
      <c r="C576" s="1428"/>
      <c r="D576" s="1428"/>
      <c r="E576" s="1428"/>
      <c r="R576" s="1429"/>
      <c r="S576" s="1429"/>
      <c r="T576" s="1429"/>
      <c r="U576" s="1429"/>
      <c r="V576" s="1429"/>
      <c r="W576" s="1429"/>
      <c r="X576" s="1429"/>
      <c r="Y576" s="1429"/>
    </row>
    <row r="577" spans="1:25">
      <c r="A577" s="1428"/>
      <c r="B577" s="1428"/>
      <c r="C577" s="1428"/>
      <c r="D577" s="1428"/>
      <c r="E577" s="1428"/>
      <c r="R577" s="1429"/>
      <c r="S577" s="1429"/>
      <c r="T577" s="1429"/>
      <c r="U577" s="1429"/>
      <c r="V577" s="1429"/>
      <c r="W577" s="1429"/>
      <c r="X577" s="1429"/>
      <c r="Y577" s="1429"/>
    </row>
    <row r="578" spans="1:25">
      <c r="A578" s="1428"/>
      <c r="B578" s="1428"/>
      <c r="C578" s="1428"/>
      <c r="D578" s="1428"/>
      <c r="E578" s="1428"/>
      <c r="R578" s="1429"/>
      <c r="S578" s="1429"/>
      <c r="T578" s="1429"/>
      <c r="U578" s="1429"/>
      <c r="V578" s="1429"/>
      <c r="W578" s="1429"/>
      <c r="X578" s="1429"/>
      <c r="Y578" s="1429"/>
    </row>
    <row r="579" spans="1:25">
      <c r="A579" s="1428"/>
      <c r="B579" s="1428"/>
      <c r="C579" s="1428"/>
      <c r="D579" s="1428"/>
      <c r="E579" s="1428"/>
      <c r="R579" s="1429"/>
      <c r="S579" s="1429"/>
      <c r="T579" s="1429"/>
      <c r="U579" s="1429"/>
      <c r="V579" s="1429"/>
      <c r="W579" s="1429"/>
      <c r="X579" s="1429"/>
      <c r="Y579" s="1429"/>
    </row>
    <row r="580" spans="1:25">
      <c r="A580" s="1428"/>
      <c r="B580" s="1428"/>
      <c r="C580" s="1428"/>
      <c r="D580" s="1428"/>
      <c r="E580" s="1428"/>
      <c r="R580" s="1429"/>
      <c r="S580" s="1429"/>
      <c r="T580" s="1429"/>
      <c r="U580" s="1429"/>
      <c r="V580" s="1429"/>
      <c r="W580" s="1429"/>
      <c r="X580" s="1429"/>
      <c r="Y580" s="1429"/>
    </row>
    <row r="581" spans="1:25">
      <c r="A581" s="1428"/>
      <c r="B581" s="1428"/>
      <c r="C581" s="1428"/>
      <c r="D581" s="1428"/>
      <c r="E581" s="1428"/>
      <c r="R581" s="1429"/>
      <c r="S581" s="1429"/>
      <c r="T581" s="1429"/>
      <c r="U581" s="1429"/>
      <c r="V581" s="1429"/>
      <c r="W581" s="1429"/>
      <c r="X581" s="1429"/>
      <c r="Y581" s="1429"/>
    </row>
    <row r="582" spans="1:25">
      <c r="A582" s="1428"/>
      <c r="B582" s="1428"/>
      <c r="C582" s="1428"/>
      <c r="D582" s="1428"/>
      <c r="E582" s="1428"/>
      <c r="R582" s="1429"/>
      <c r="S582" s="1429"/>
      <c r="T582" s="1429"/>
      <c r="U582" s="1429"/>
      <c r="V582" s="1429"/>
      <c r="W582" s="1429"/>
      <c r="X582" s="1429"/>
      <c r="Y582" s="1429"/>
    </row>
    <row r="583" spans="1:25">
      <c r="A583" s="1428"/>
      <c r="B583" s="1428"/>
      <c r="C583" s="1428"/>
      <c r="D583" s="1428"/>
      <c r="E583" s="1428"/>
      <c r="R583" s="1429"/>
      <c r="S583" s="1429"/>
      <c r="T583" s="1429"/>
      <c r="U583" s="1429"/>
      <c r="V583" s="1429"/>
      <c r="W583" s="1429"/>
      <c r="X583" s="1429"/>
      <c r="Y583" s="1429"/>
    </row>
    <row r="584" spans="1:25">
      <c r="A584" s="1428"/>
      <c r="B584" s="1428"/>
      <c r="C584" s="1428"/>
      <c r="D584" s="1428"/>
      <c r="E584" s="1428"/>
      <c r="R584" s="1429"/>
      <c r="S584" s="1429"/>
      <c r="T584" s="1429"/>
      <c r="U584" s="1429"/>
      <c r="V584" s="1429"/>
      <c r="W584" s="1429"/>
      <c r="X584" s="1429"/>
      <c r="Y584" s="1429"/>
    </row>
    <row r="585" spans="1:25">
      <c r="A585" s="1428"/>
      <c r="B585" s="1428"/>
      <c r="C585" s="1428"/>
      <c r="D585" s="1428"/>
      <c r="E585" s="1428"/>
      <c r="R585" s="1429"/>
      <c r="S585" s="1429"/>
      <c r="T585" s="1429"/>
      <c r="U585" s="1429"/>
      <c r="V585" s="1429"/>
      <c r="W585" s="1429"/>
      <c r="X585" s="1429"/>
      <c r="Y585" s="1429"/>
    </row>
    <row r="586" spans="1:25">
      <c r="A586" s="1428"/>
      <c r="B586" s="1428"/>
      <c r="C586" s="1428"/>
      <c r="D586" s="1428"/>
      <c r="E586" s="1428"/>
      <c r="R586" s="1429"/>
      <c r="S586" s="1429"/>
      <c r="T586" s="1429"/>
      <c r="U586" s="1429"/>
      <c r="V586" s="1429"/>
      <c r="W586" s="1429"/>
      <c r="X586" s="1429"/>
      <c r="Y586" s="1429"/>
    </row>
    <row r="587" spans="1:25">
      <c r="A587" s="1428"/>
      <c r="B587" s="1428"/>
      <c r="C587" s="1428"/>
      <c r="D587" s="1428"/>
      <c r="E587" s="1428"/>
      <c r="R587" s="1429"/>
      <c r="S587" s="1429"/>
      <c r="T587" s="1429"/>
      <c r="U587" s="1429"/>
      <c r="V587" s="1429"/>
      <c r="W587" s="1429"/>
      <c r="X587" s="1429"/>
      <c r="Y587" s="1429"/>
    </row>
    <row r="588" spans="1:25">
      <c r="A588" s="1428"/>
      <c r="B588" s="1428"/>
      <c r="C588" s="1428"/>
      <c r="D588" s="1428"/>
      <c r="E588" s="1428"/>
      <c r="R588" s="1429"/>
      <c r="S588" s="1429"/>
      <c r="T588" s="1429"/>
      <c r="U588" s="1429"/>
      <c r="V588" s="1429"/>
      <c r="W588" s="1429"/>
      <c r="X588" s="1429"/>
      <c r="Y588" s="1429"/>
    </row>
    <row r="589" spans="1:25">
      <c r="A589" s="1428"/>
      <c r="B589" s="1428"/>
      <c r="C589" s="1428"/>
      <c r="D589" s="1428"/>
      <c r="E589" s="1428"/>
      <c r="R589" s="1429"/>
      <c r="S589" s="1429"/>
      <c r="T589" s="1429"/>
      <c r="U589" s="1429"/>
      <c r="V589" s="1429"/>
      <c r="W589" s="1429"/>
      <c r="X589" s="1429"/>
      <c r="Y589" s="1429"/>
    </row>
    <row r="590" spans="1:25">
      <c r="A590" s="1428"/>
      <c r="B590" s="1428"/>
      <c r="C590" s="1428"/>
      <c r="D590" s="1428"/>
      <c r="E590" s="1428"/>
      <c r="R590" s="1429"/>
      <c r="S590" s="1429"/>
      <c r="T590" s="1429"/>
      <c r="U590" s="1429"/>
      <c r="V590" s="1429"/>
      <c r="W590" s="1429"/>
      <c r="X590" s="1429"/>
      <c r="Y590" s="1429"/>
    </row>
    <row r="591" spans="1:25">
      <c r="A591" s="1428"/>
      <c r="B591" s="1428"/>
      <c r="C591" s="1428"/>
      <c r="D591" s="1428"/>
      <c r="E591" s="1428"/>
      <c r="R591" s="1429"/>
      <c r="S591" s="1429"/>
      <c r="T591" s="1429"/>
      <c r="U591" s="1429"/>
      <c r="V591" s="1429"/>
      <c r="W591" s="1429"/>
      <c r="X591" s="1429"/>
      <c r="Y591" s="1429"/>
    </row>
    <row r="592" spans="1:25">
      <c r="A592" s="1428"/>
      <c r="B592" s="1428"/>
      <c r="C592" s="1428"/>
      <c r="D592" s="1428"/>
      <c r="E592" s="1428"/>
      <c r="R592" s="1429"/>
      <c r="S592" s="1429"/>
      <c r="T592" s="1429"/>
      <c r="U592" s="1429"/>
      <c r="V592" s="1429"/>
      <c r="W592" s="1429"/>
      <c r="X592" s="1429"/>
      <c r="Y592" s="1429"/>
    </row>
    <row r="593" spans="1:25">
      <c r="A593" s="1428"/>
      <c r="B593" s="1428"/>
      <c r="C593" s="1428"/>
      <c r="D593" s="1428"/>
      <c r="E593" s="1428"/>
      <c r="R593" s="1429"/>
      <c r="S593" s="1429"/>
      <c r="T593" s="1429"/>
      <c r="U593" s="1429"/>
      <c r="V593" s="1429"/>
      <c r="W593" s="1429"/>
      <c r="X593" s="1429"/>
      <c r="Y593" s="1429"/>
    </row>
    <row r="594" spans="1:25">
      <c r="A594" s="1428"/>
      <c r="B594" s="1428"/>
      <c r="C594" s="1428"/>
      <c r="D594" s="1428"/>
      <c r="E594" s="1428"/>
      <c r="R594" s="1429"/>
      <c r="S594" s="1429"/>
      <c r="T594" s="1429"/>
      <c r="U594" s="1429"/>
      <c r="V594" s="1429"/>
      <c r="W594" s="1429"/>
      <c r="X594" s="1429"/>
      <c r="Y594" s="1429"/>
    </row>
    <row r="595" spans="1:25">
      <c r="A595" s="1428"/>
      <c r="B595" s="1428"/>
      <c r="C595" s="1428"/>
      <c r="D595" s="1428"/>
      <c r="E595" s="1428"/>
      <c r="R595" s="1429"/>
      <c r="S595" s="1429"/>
      <c r="T595" s="1429"/>
      <c r="U595" s="1429"/>
      <c r="V595" s="1429"/>
      <c r="W595" s="1429"/>
      <c r="X595" s="1429"/>
      <c r="Y595" s="1429"/>
    </row>
    <row r="596" spans="1:25">
      <c r="A596" s="1428"/>
      <c r="B596" s="1428"/>
      <c r="C596" s="1428"/>
      <c r="D596" s="1428"/>
      <c r="E596" s="1428"/>
      <c r="R596" s="1429"/>
      <c r="S596" s="1429"/>
      <c r="T596" s="1429"/>
      <c r="U596" s="1429"/>
      <c r="V596" s="1429"/>
      <c r="W596" s="1429"/>
      <c r="X596" s="1429"/>
      <c r="Y596" s="1429"/>
    </row>
    <row r="597" spans="1:25">
      <c r="A597" s="1428"/>
      <c r="B597" s="1428"/>
      <c r="C597" s="1428"/>
      <c r="D597" s="1428"/>
      <c r="E597" s="1428"/>
      <c r="R597" s="1429"/>
      <c r="S597" s="1429"/>
      <c r="T597" s="1429"/>
      <c r="U597" s="1429"/>
      <c r="V597" s="1429"/>
      <c r="W597" s="1429"/>
      <c r="X597" s="1429"/>
      <c r="Y597" s="1429"/>
    </row>
    <row r="598" spans="1:25">
      <c r="A598" s="1428"/>
      <c r="B598" s="1428"/>
      <c r="C598" s="1428"/>
      <c r="D598" s="1428"/>
      <c r="E598" s="1428"/>
      <c r="R598" s="1429"/>
      <c r="S598" s="1429"/>
      <c r="T598" s="1429"/>
      <c r="U598" s="1429"/>
      <c r="V598" s="1429"/>
      <c r="W598" s="1429"/>
      <c r="X598" s="1429"/>
      <c r="Y598" s="1429"/>
    </row>
    <row r="599" spans="1:25">
      <c r="A599" s="1428"/>
      <c r="B599" s="1428"/>
      <c r="C599" s="1428"/>
      <c r="D599" s="1428"/>
      <c r="E599" s="1428"/>
      <c r="R599" s="1429"/>
      <c r="S599" s="1429"/>
      <c r="T599" s="1429"/>
      <c r="U599" s="1429"/>
      <c r="V599" s="1429"/>
      <c r="W599" s="1429"/>
      <c r="X599" s="1429"/>
      <c r="Y599" s="1429"/>
    </row>
    <row r="600" spans="1:25">
      <c r="A600" s="1428"/>
      <c r="B600" s="1428"/>
      <c r="C600" s="1428"/>
      <c r="D600" s="1428"/>
      <c r="E600" s="1428"/>
      <c r="R600" s="1429"/>
      <c r="S600" s="1429"/>
      <c r="T600" s="1429"/>
      <c r="U600" s="1429"/>
      <c r="V600" s="1429"/>
      <c r="W600" s="1429"/>
      <c r="X600" s="1429"/>
      <c r="Y600" s="1429"/>
    </row>
    <row r="601" spans="1:25">
      <c r="A601" s="1428"/>
      <c r="B601" s="1428"/>
      <c r="C601" s="1428"/>
      <c r="D601" s="1428"/>
      <c r="E601" s="1428"/>
      <c r="R601" s="1429"/>
      <c r="S601" s="1429"/>
      <c r="T601" s="1429"/>
      <c r="U601" s="1429"/>
      <c r="V601" s="1429"/>
      <c r="W601" s="1429"/>
      <c r="X601" s="1429"/>
      <c r="Y601" s="1429"/>
    </row>
    <row r="602" spans="1:25">
      <c r="A602" s="1428"/>
      <c r="B602" s="1428"/>
      <c r="C602" s="1428"/>
      <c r="D602" s="1428"/>
      <c r="E602" s="1428"/>
      <c r="R602" s="1429"/>
      <c r="S602" s="1429"/>
      <c r="T602" s="1429"/>
      <c r="U602" s="1429"/>
      <c r="V602" s="1429"/>
      <c r="W602" s="1429"/>
      <c r="X602" s="1429"/>
      <c r="Y602" s="1429"/>
    </row>
    <row r="603" spans="1:25">
      <c r="A603" s="1428"/>
      <c r="B603" s="1428"/>
      <c r="C603" s="1428"/>
      <c r="D603" s="1428"/>
      <c r="E603" s="1428"/>
      <c r="R603" s="1429"/>
      <c r="S603" s="1429"/>
      <c r="T603" s="1429"/>
      <c r="U603" s="1429"/>
      <c r="V603" s="1429"/>
      <c r="W603" s="1429"/>
      <c r="X603" s="1429"/>
      <c r="Y603" s="1429"/>
    </row>
    <row r="604" spans="1:25">
      <c r="A604" s="1428"/>
      <c r="B604" s="1428"/>
      <c r="C604" s="1428"/>
      <c r="D604" s="1428"/>
      <c r="E604" s="1428"/>
      <c r="R604" s="1429"/>
      <c r="S604" s="1429"/>
      <c r="T604" s="1429"/>
      <c r="U604" s="1429"/>
      <c r="V604" s="1429"/>
      <c r="W604" s="1429"/>
      <c r="X604" s="1429"/>
      <c r="Y604" s="1429"/>
    </row>
    <row r="605" spans="1:25">
      <c r="A605" s="1428"/>
      <c r="B605" s="1428"/>
      <c r="C605" s="1428"/>
      <c r="D605" s="1428"/>
      <c r="E605" s="1428"/>
      <c r="R605" s="1429"/>
      <c r="S605" s="1429"/>
      <c r="T605" s="1429"/>
      <c r="U605" s="1429"/>
      <c r="V605" s="1429"/>
      <c r="W605" s="1429"/>
      <c r="X605" s="1429"/>
      <c r="Y605" s="1429"/>
    </row>
    <row r="606" spans="1:25">
      <c r="A606" s="1428"/>
      <c r="B606" s="1428"/>
      <c r="C606" s="1428"/>
      <c r="D606" s="1428"/>
      <c r="E606" s="1428"/>
      <c r="R606" s="1429"/>
      <c r="S606" s="1429"/>
      <c r="T606" s="1429"/>
      <c r="U606" s="1429"/>
      <c r="V606" s="1429"/>
      <c r="W606" s="1429"/>
      <c r="X606" s="1429"/>
      <c r="Y606" s="1429"/>
    </row>
    <row r="607" spans="1:25">
      <c r="A607" s="1428"/>
      <c r="B607" s="1428"/>
      <c r="C607" s="1428"/>
      <c r="D607" s="1428"/>
      <c r="E607" s="1428"/>
      <c r="R607" s="1429"/>
      <c r="S607" s="1429"/>
      <c r="T607" s="1429"/>
      <c r="U607" s="1429"/>
      <c r="V607" s="1429"/>
      <c r="W607" s="1429"/>
      <c r="X607" s="1429"/>
      <c r="Y607" s="1429"/>
    </row>
    <row r="608" spans="1:25">
      <c r="A608" s="1428"/>
      <c r="B608" s="1428"/>
      <c r="C608" s="1428"/>
      <c r="D608" s="1428"/>
      <c r="E608" s="1428"/>
      <c r="R608" s="1429"/>
      <c r="S608" s="1429"/>
      <c r="T608" s="1429"/>
      <c r="U608" s="1429"/>
      <c r="V608" s="1429"/>
      <c r="W608" s="1429"/>
      <c r="X608" s="1429"/>
      <c r="Y608" s="1429"/>
    </row>
    <row r="609" spans="1:25">
      <c r="A609" s="1428"/>
      <c r="B609" s="1428"/>
      <c r="C609" s="1428"/>
      <c r="D609" s="1428"/>
      <c r="E609" s="1428"/>
      <c r="R609" s="1429"/>
      <c r="S609" s="1429"/>
      <c r="T609" s="1429"/>
      <c r="U609" s="1429"/>
      <c r="V609" s="1429"/>
      <c r="W609" s="1429"/>
      <c r="X609" s="1429"/>
      <c r="Y609" s="1429"/>
    </row>
    <row r="610" spans="1:25">
      <c r="A610" s="1428"/>
      <c r="B610" s="1428"/>
      <c r="C610" s="1428"/>
      <c r="D610" s="1428"/>
      <c r="E610" s="1428"/>
      <c r="R610" s="1429"/>
      <c r="S610" s="1429"/>
      <c r="T610" s="1429"/>
      <c r="U610" s="1429"/>
      <c r="V610" s="1429"/>
      <c r="W610" s="1429"/>
      <c r="X610" s="1429"/>
      <c r="Y610" s="1429"/>
    </row>
    <row r="611" spans="1:25">
      <c r="A611" s="1428"/>
      <c r="B611" s="1428"/>
      <c r="C611" s="1428"/>
      <c r="D611" s="1428"/>
      <c r="E611" s="1428"/>
      <c r="R611" s="1429"/>
      <c r="S611" s="1429"/>
      <c r="T611" s="1429"/>
      <c r="U611" s="1429"/>
      <c r="V611" s="1429"/>
      <c r="W611" s="1429"/>
      <c r="X611" s="1429"/>
      <c r="Y611" s="1429"/>
    </row>
    <row r="612" spans="1:25">
      <c r="A612" s="1428"/>
      <c r="B612" s="1428"/>
      <c r="C612" s="1428"/>
      <c r="D612" s="1428"/>
      <c r="E612" s="1428"/>
      <c r="R612" s="1429"/>
      <c r="S612" s="1429"/>
      <c r="T612" s="1429"/>
      <c r="U612" s="1429"/>
      <c r="V612" s="1429"/>
      <c r="W612" s="1429"/>
      <c r="X612" s="1429"/>
      <c r="Y612" s="1429"/>
    </row>
    <row r="613" spans="1:25">
      <c r="A613" s="1428"/>
      <c r="B613" s="1428"/>
      <c r="C613" s="1428"/>
      <c r="D613" s="1428"/>
      <c r="E613" s="1428"/>
      <c r="R613" s="1429"/>
      <c r="S613" s="1429"/>
      <c r="T613" s="1429"/>
      <c r="U613" s="1429"/>
      <c r="V613" s="1429"/>
      <c r="W613" s="1429"/>
      <c r="X613" s="1429"/>
      <c r="Y613" s="1429"/>
    </row>
    <row r="614" spans="1:25">
      <c r="A614" s="1428"/>
      <c r="B614" s="1428"/>
      <c r="C614" s="1428"/>
      <c r="D614" s="1428"/>
      <c r="E614" s="1428"/>
      <c r="R614" s="1429"/>
      <c r="S614" s="1429"/>
      <c r="T614" s="1429"/>
      <c r="U614" s="1429"/>
      <c r="V614" s="1429"/>
      <c r="W614" s="1429"/>
      <c r="X614" s="1429"/>
      <c r="Y614" s="1429"/>
    </row>
    <row r="615" spans="1:25">
      <c r="A615" s="1428"/>
      <c r="B615" s="1428"/>
      <c r="C615" s="1428"/>
      <c r="D615" s="1428"/>
      <c r="E615" s="1428"/>
      <c r="R615" s="1429"/>
      <c r="S615" s="1429"/>
      <c r="T615" s="1429"/>
      <c r="U615" s="1429"/>
      <c r="V615" s="1429"/>
      <c r="W615" s="1429"/>
      <c r="X615" s="1429"/>
      <c r="Y615" s="1429"/>
    </row>
    <row r="616" spans="1:25">
      <c r="A616" s="1428"/>
      <c r="B616" s="1428"/>
      <c r="C616" s="1428"/>
      <c r="D616" s="1428"/>
      <c r="E616" s="1428"/>
      <c r="R616" s="1429"/>
      <c r="S616" s="1429"/>
      <c r="T616" s="1429"/>
      <c r="U616" s="1429"/>
      <c r="V616" s="1429"/>
      <c r="W616" s="1429"/>
      <c r="X616" s="1429"/>
      <c r="Y616" s="1429"/>
    </row>
    <row r="617" spans="1:25">
      <c r="A617" s="1428"/>
      <c r="B617" s="1428"/>
      <c r="C617" s="1428"/>
      <c r="D617" s="1428"/>
      <c r="E617" s="1428"/>
      <c r="R617" s="1429"/>
      <c r="S617" s="1429"/>
      <c r="T617" s="1429"/>
      <c r="U617" s="1429"/>
      <c r="V617" s="1429"/>
      <c r="W617" s="1429"/>
      <c r="X617" s="1429"/>
      <c r="Y617" s="1429"/>
    </row>
    <row r="618" spans="1:25">
      <c r="A618" s="1428"/>
      <c r="B618" s="1428"/>
      <c r="C618" s="1428"/>
      <c r="D618" s="1428"/>
      <c r="E618" s="1428"/>
      <c r="R618" s="1429"/>
      <c r="S618" s="1429"/>
      <c r="T618" s="1429"/>
      <c r="U618" s="1429"/>
      <c r="V618" s="1429"/>
      <c r="W618" s="1429"/>
      <c r="X618" s="1429"/>
      <c r="Y618" s="1429"/>
    </row>
    <row r="619" spans="1:25">
      <c r="A619" s="1428"/>
      <c r="B619" s="1428"/>
      <c r="C619" s="1428"/>
      <c r="D619" s="1428"/>
      <c r="E619" s="1428"/>
      <c r="R619" s="1429"/>
      <c r="S619" s="1429"/>
      <c r="T619" s="1429"/>
      <c r="U619" s="1429"/>
      <c r="V619" s="1429"/>
      <c r="W619" s="1429"/>
      <c r="X619" s="1429"/>
      <c r="Y619" s="1429"/>
    </row>
    <row r="620" spans="1:25">
      <c r="A620" s="1428"/>
      <c r="B620" s="1428"/>
      <c r="C620" s="1428"/>
      <c r="D620" s="1428"/>
      <c r="E620" s="1428"/>
      <c r="R620" s="1429"/>
      <c r="S620" s="1429"/>
      <c r="T620" s="1429"/>
      <c r="U620" s="1429"/>
      <c r="V620" s="1429"/>
      <c r="W620" s="1429"/>
      <c r="X620" s="1429"/>
      <c r="Y620" s="1429"/>
    </row>
    <row r="621" spans="1:25">
      <c r="A621" s="1428"/>
      <c r="B621" s="1428"/>
      <c r="C621" s="1428"/>
      <c r="D621" s="1428"/>
      <c r="E621" s="1428"/>
      <c r="R621" s="1429"/>
      <c r="S621" s="1429"/>
      <c r="T621" s="1429"/>
      <c r="U621" s="1429"/>
      <c r="V621" s="1429"/>
      <c r="W621" s="1429"/>
      <c r="X621" s="1429"/>
      <c r="Y621" s="1429"/>
    </row>
    <row r="622" spans="1:25">
      <c r="A622" s="1428"/>
      <c r="B622" s="1428"/>
      <c r="C622" s="1428"/>
      <c r="D622" s="1428"/>
      <c r="E622" s="1428"/>
      <c r="R622" s="1429"/>
      <c r="S622" s="1429"/>
      <c r="T622" s="1429"/>
      <c r="U622" s="1429"/>
      <c r="V622" s="1429"/>
      <c r="W622" s="1429"/>
      <c r="X622" s="1429"/>
      <c r="Y622" s="1429"/>
    </row>
    <row r="623" spans="1:25">
      <c r="A623" s="1428"/>
      <c r="B623" s="1428"/>
      <c r="C623" s="1428"/>
      <c r="D623" s="1428"/>
      <c r="E623" s="1428"/>
      <c r="R623" s="1429"/>
      <c r="S623" s="1429"/>
      <c r="T623" s="1429"/>
      <c r="U623" s="1429"/>
      <c r="V623" s="1429"/>
      <c r="W623" s="1429"/>
      <c r="X623" s="1429"/>
      <c r="Y623" s="1429"/>
    </row>
    <row r="624" spans="1:25">
      <c r="A624" s="1428"/>
      <c r="B624" s="1428"/>
      <c r="C624" s="1428"/>
      <c r="D624" s="1428"/>
      <c r="E624" s="1428"/>
      <c r="R624" s="1429"/>
      <c r="S624" s="1429"/>
      <c r="T624" s="1429"/>
      <c r="U624" s="1429"/>
      <c r="V624" s="1429"/>
      <c r="W624" s="1429"/>
      <c r="X624" s="1429"/>
      <c r="Y624" s="1429"/>
    </row>
    <row r="625" spans="1:25">
      <c r="A625" s="1428"/>
      <c r="B625" s="1428"/>
      <c r="C625" s="1428"/>
      <c r="D625" s="1428"/>
      <c r="E625" s="1428"/>
      <c r="R625" s="1429"/>
      <c r="S625" s="1429"/>
      <c r="T625" s="1429"/>
      <c r="U625" s="1429"/>
      <c r="V625" s="1429"/>
      <c r="W625" s="1429"/>
      <c r="X625" s="1429"/>
      <c r="Y625" s="1429"/>
    </row>
    <row r="626" spans="1:25">
      <c r="A626" s="1428"/>
      <c r="B626" s="1428"/>
      <c r="C626" s="1428"/>
      <c r="D626" s="1428"/>
      <c r="E626" s="1428"/>
      <c r="R626" s="1429"/>
      <c r="S626" s="1429"/>
      <c r="T626" s="1429"/>
      <c r="U626" s="1429"/>
      <c r="V626" s="1429"/>
      <c r="W626" s="1429"/>
      <c r="X626" s="1429"/>
      <c r="Y626" s="1429"/>
    </row>
    <row r="627" spans="1:25">
      <c r="A627" s="1428"/>
      <c r="B627" s="1428"/>
      <c r="C627" s="1428"/>
      <c r="D627" s="1428"/>
      <c r="E627" s="1428"/>
      <c r="R627" s="1429"/>
      <c r="S627" s="1429"/>
      <c r="T627" s="1429"/>
      <c r="U627" s="1429"/>
      <c r="V627" s="1429"/>
      <c r="W627" s="1429"/>
      <c r="X627" s="1429"/>
      <c r="Y627" s="1429"/>
    </row>
    <row r="628" spans="1:25">
      <c r="A628" s="1428"/>
      <c r="B628" s="1428"/>
      <c r="C628" s="1428"/>
      <c r="D628" s="1428"/>
      <c r="E628" s="1428"/>
      <c r="R628" s="1429"/>
      <c r="S628" s="1429"/>
      <c r="T628" s="1429"/>
      <c r="U628" s="1429"/>
      <c r="V628" s="1429"/>
      <c r="W628" s="1429"/>
      <c r="X628" s="1429"/>
      <c r="Y628" s="1429"/>
    </row>
    <row r="629" spans="1:25">
      <c r="A629" s="1428"/>
      <c r="B629" s="1428"/>
      <c r="C629" s="1428"/>
      <c r="D629" s="1428"/>
      <c r="E629" s="1428"/>
      <c r="R629" s="1429"/>
      <c r="S629" s="1429"/>
      <c r="T629" s="1429"/>
      <c r="U629" s="1429"/>
      <c r="V629" s="1429"/>
      <c r="W629" s="1429"/>
      <c r="X629" s="1429"/>
      <c r="Y629" s="1429"/>
    </row>
    <row r="630" spans="1:25">
      <c r="A630" s="1428"/>
      <c r="B630" s="1428"/>
      <c r="C630" s="1428"/>
      <c r="D630" s="1428"/>
      <c r="E630" s="1428"/>
      <c r="R630" s="1429"/>
      <c r="S630" s="1429"/>
      <c r="T630" s="1429"/>
      <c r="U630" s="1429"/>
      <c r="V630" s="1429"/>
      <c r="W630" s="1429"/>
      <c r="X630" s="1429"/>
      <c r="Y630" s="1429"/>
    </row>
    <row r="631" spans="1:25">
      <c r="A631" s="1428"/>
      <c r="B631" s="1428"/>
      <c r="C631" s="1428"/>
      <c r="D631" s="1428"/>
      <c r="E631" s="1428"/>
      <c r="R631" s="1429"/>
      <c r="S631" s="1429"/>
      <c r="T631" s="1429"/>
      <c r="U631" s="1429"/>
      <c r="V631" s="1429"/>
      <c r="W631" s="1429"/>
      <c r="X631" s="1429"/>
      <c r="Y631" s="1429"/>
    </row>
    <row r="632" spans="1:25">
      <c r="A632" s="1428"/>
      <c r="B632" s="1428"/>
      <c r="C632" s="1428"/>
      <c r="D632" s="1428"/>
      <c r="E632" s="1428"/>
      <c r="R632" s="1429"/>
      <c r="S632" s="1429"/>
      <c r="T632" s="1429"/>
      <c r="U632" s="1429"/>
      <c r="V632" s="1429"/>
      <c r="W632" s="1429"/>
      <c r="X632" s="1429"/>
      <c r="Y632" s="1429"/>
    </row>
    <row r="633" spans="1:25">
      <c r="A633" s="1428"/>
      <c r="B633" s="1428"/>
      <c r="C633" s="1428"/>
      <c r="D633" s="1428"/>
      <c r="E633" s="1428"/>
      <c r="R633" s="1429"/>
      <c r="S633" s="1429"/>
      <c r="T633" s="1429"/>
      <c r="U633" s="1429"/>
      <c r="V633" s="1429"/>
      <c r="W633" s="1429"/>
      <c r="X633" s="1429"/>
      <c r="Y633" s="1429"/>
    </row>
    <row r="634" spans="1:25">
      <c r="A634" s="1428"/>
      <c r="B634" s="1428"/>
      <c r="C634" s="1428"/>
      <c r="D634" s="1428"/>
      <c r="E634" s="1428"/>
      <c r="R634" s="1429"/>
      <c r="S634" s="1429"/>
      <c r="T634" s="1429"/>
      <c r="U634" s="1429"/>
      <c r="V634" s="1429"/>
      <c r="W634" s="1429"/>
      <c r="X634" s="1429"/>
      <c r="Y634" s="1429"/>
    </row>
    <row r="635" spans="1:25">
      <c r="A635" s="1428"/>
      <c r="B635" s="1428"/>
      <c r="C635" s="1428"/>
      <c r="D635" s="1428"/>
      <c r="E635" s="1428"/>
      <c r="R635" s="1429"/>
      <c r="S635" s="1429"/>
      <c r="T635" s="1429"/>
      <c r="U635" s="1429"/>
      <c r="V635" s="1429"/>
      <c r="W635" s="1429"/>
      <c r="X635" s="1429"/>
      <c r="Y635" s="1429"/>
    </row>
    <row r="636" spans="1:25">
      <c r="A636" s="1428"/>
      <c r="B636" s="1428"/>
      <c r="C636" s="1428"/>
      <c r="D636" s="1428"/>
      <c r="E636" s="1428"/>
      <c r="R636" s="1429"/>
      <c r="S636" s="1429"/>
      <c r="T636" s="1429"/>
      <c r="U636" s="1429"/>
      <c r="V636" s="1429"/>
      <c r="W636" s="1429"/>
      <c r="X636" s="1429"/>
      <c r="Y636" s="1429"/>
    </row>
    <row r="637" spans="1:25">
      <c r="A637" s="1428"/>
      <c r="B637" s="1428"/>
      <c r="C637" s="1428"/>
      <c r="D637" s="1428"/>
      <c r="E637" s="1428"/>
      <c r="R637" s="1429"/>
      <c r="S637" s="1429"/>
      <c r="T637" s="1429"/>
      <c r="U637" s="1429"/>
      <c r="V637" s="1429"/>
      <c r="W637" s="1429"/>
      <c r="X637" s="1429"/>
      <c r="Y637" s="1429"/>
    </row>
    <row r="638" spans="1:25">
      <c r="A638" s="1428"/>
      <c r="B638" s="1428"/>
      <c r="C638" s="1428"/>
      <c r="D638" s="1428"/>
      <c r="E638" s="1428"/>
      <c r="R638" s="1429"/>
      <c r="S638" s="1429"/>
      <c r="T638" s="1429"/>
      <c r="U638" s="1429"/>
      <c r="V638" s="1429"/>
      <c r="W638" s="1429"/>
      <c r="X638" s="1429"/>
      <c r="Y638" s="1429"/>
    </row>
    <row r="639" spans="1:25">
      <c r="A639" s="1428"/>
      <c r="B639" s="1428"/>
      <c r="C639" s="1428"/>
      <c r="D639" s="1428"/>
      <c r="E639" s="1428"/>
      <c r="R639" s="1429"/>
      <c r="S639" s="1429"/>
      <c r="T639" s="1429"/>
      <c r="U639" s="1429"/>
      <c r="V639" s="1429"/>
      <c r="W639" s="1429"/>
      <c r="X639" s="1429"/>
      <c r="Y639" s="1429"/>
    </row>
    <row r="640" spans="1:25">
      <c r="A640" s="1428"/>
      <c r="B640" s="1428"/>
      <c r="C640" s="1428"/>
      <c r="D640" s="1428"/>
      <c r="E640" s="1428"/>
      <c r="R640" s="1429"/>
      <c r="S640" s="1429"/>
      <c r="T640" s="1429"/>
      <c r="U640" s="1429"/>
      <c r="V640" s="1429"/>
      <c r="W640" s="1429"/>
      <c r="X640" s="1429"/>
      <c r="Y640" s="1429"/>
    </row>
    <row r="641" spans="1:25">
      <c r="A641" s="1428"/>
      <c r="B641" s="1428"/>
      <c r="C641" s="1428"/>
      <c r="D641" s="1428"/>
      <c r="E641" s="1428"/>
      <c r="R641" s="1429"/>
      <c r="S641" s="1429"/>
      <c r="T641" s="1429"/>
      <c r="U641" s="1429"/>
      <c r="V641" s="1429"/>
      <c r="W641" s="1429"/>
      <c r="X641" s="1429"/>
      <c r="Y641" s="1429"/>
    </row>
    <row r="642" spans="1:25">
      <c r="A642" s="1428"/>
      <c r="B642" s="1428"/>
      <c r="C642" s="1428"/>
      <c r="D642" s="1428"/>
      <c r="E642" s="1428"/>
      <c r="R642" s="1429"/>
      <c r="S642" s="1429"/>
      <c r="T642" s="1429"/>
      <c r="U642" s="1429"/>
      <c r="V642" s="1429"/>
      <c r="W642" s="1429"/>
      <c r="X642" s="1429"/>
      <c r="Y642" s="1429"/>
    </row>
    <row r="643" spans="1:25">
      <c r="A643" s="1428"/>
      <c r="B643" s="1428"/>
      <c r="C643" s="1428"/>
      <c r="D643" s="1428"/>
      <c r="E643" s="1428"/>
      <c r="R643" s="1429"/>
      <c r="S643" s="1429"/>
      <c r="T643" s="1429"/>
      <c r="U643" s="1429"/>
      <c r="V643" s="1429"/>
      <c r="W643" s="1429"/>
      <c r="X643" s="1429"/>
      <c r="Y643" s="1429"/>
    </row>
    <row r="644" spans="1:25">
      <c r="A644" s="1428"/>
      <c r="B644" s="1428"/>
      <c r="C644" s="1428"/>
      <c r="D644" s="1428"/>
      <c r="E644" s="1428"/>
      <c r="R644" s="1429"/>
      <c r="S644" s="1429"/>
      <c r="T644" s="1429"/>
      <c r="U644" s="1429"/>
      <c r="V644" s="1429"/>
      <c r="W644" s="1429"/>
      <c r="X644" s="1429"/>
      <c r="Y644" s="1429"/>
    </row>
    <row r="645" spans="1:25">
      <c r="A645" s="1428"/>
      <c r="B645" s="1428"/>
      <c r="C645" s="1428"/>
      <c r="D645" s="1428"/>
      <c r="E645" s="1428"/>
      <c r="R645" s="1429"/>
      <c r="S645" s="1429"/>
      <c r="T645" s="1429"/>
      <c r="U645" s="1429"/>
      <c r="V645" s="1429"/>
      <c r="W645" s="1429"/>
      <c r="X645" s="1429"/>
      <c r="Y645" s="1429"/>
    </row>
    <row r="646" spans="1:25">
      <c r="A646" s="1428"/>
      <c r="B646" s="1428"/>
      <c r="C646" s="1428"/>
      <c r="D646" s="1428"/>
      <c r="E646" s="1428"/>
      <c r="R646" s="1429"/>
      <c r="S646" s="1429"/>
      <c r="T646" s="1429"/>
      <c r="U646" s="1429"/>
      <c r="V646" s="1429"/>
      <c r="W646" s="1429"/>
      <c r="X646" s="1429"/>
      <c r="Y646" s="1429"/>
    </row>
    <row r="647" spans="1:25">
      <c r="A647" s="1428"/>
      <c r="B647" s="1428"/>
      <c r="C647" s="1428"/>
      <c r="D647" s="1428"/>
      <c r="E647" s="1428"/>
      <c r="R647" s="1429"/>
      <c r="S647" s="1429"/>
      <c r="T647" s="1429"/>
      <c r="U647" s="1429"/>
      <c r="V647" s="1429"/>
      <c r="W647" s="1429"/>
      <c r="X647" s="1429"/>
      <c r="Y647" s="1429"/>
    </row>
    <row r="648" spans="1:25">
      <c r="A648" s="1428"/>
      <c r="B648" s="1428"/>
      <c r="C648" s="1428"/>
      <c r="D648" s="1428"/>
      <c r="E648" s="1428"/>
      <c r="R648" s="1429"/>
      <c r="S648" s="1429"/>
      <c r="T648" s="1429"/>
      <c r="U648" s="1429"/>
      <c r="V648" s="1429"/>
      <c r="W648" s="1429"/>
      <c r="X648" s="1429"/>
      <c r="Y648" s="1429"/>
    </row>
    <row r="649" spans="1:25">
      <c r="A649" s="1428"/>
      <c r="B649" s="1428"/>
      <c r="C649" s="1428"/>
      <c r="D649" s="1428"/>
      <c r="E649" s="1428"/>
      <c r="R649" s="1429"/>
      <c r="S649" s="1429"/>
      <c r="T649" s="1429"/>
      <c r="U649" s="1429"/>
      <c r="V649" s="1429"/>
      <c r="W649" s="1429"/>
      <c r="X649" s="1429"/>
      <c r="Y649" s="1429"/>
    </row>
    <row r="650" spans="1:25">
      <c r="A650" s="1428"/>
      <c r="B650" s="1428"/>
      <c r="C650" s="1428"/>
      <c r="D650" s="1428"/>
      <c r="E650" s="1428"/>
      <c r="R650" s="1429"/>
      <c r="S650" s="1429"/>
      <c r="T650" s="1429"/>
      <c r="U650" s="1429"/>
      <c r="V650" s="1429"/>
      <c r="W650" s="1429"/>
      <c r="X650" s="1429"/>
      <c r="Y650" s="1429"/>
    </row>
    <row r="651" spans="1:25">
      <c r="A651" s="1428"/>
      <c r="B651" s="1428"/>
      <c r="C651" s="1428"/>
      <c r="D651" s="1428"/>
      <c r="E651" s="1428"/>
      <c r="R651" s="1429"/>
      <c r="S651" s="1429"/>
      <c r="T651" s="1429"/>
      <c r="U651" s="1429"/>
      <c r="V651" s="1429"/>
      <c r="W651" s="1429"/>
      <c r="X651" s="1429"/>
      <c r="Y651" s="1429"/>
    </row>
    <row r="652" spans="1:25">
      <c r="A652" s="1428"/>
      <c r="B652" s="1428"/>
      <c r="C652" s="1428"/>
      <c r="D652" s="1428"/>
      <c r="E652" s="1428"/>
      <c r="R652" s="1429"/>
      <c r="S652" s="1429"/>
      <c r="T652" s="1429"/>
      <c r="U652" s="1429"/>
      <c r="V652" s="1429"/>
      <c r="W652" s="1429"/>
      <c r="X652" s="1429"/>
      <c r="Y652" s="1429"/>
    </row>
    <row r="653" spans="1:25">
      <c r="A653" s="1428"/>
      <c r="B653" s="1428"/>
      <c r="C653" s="1428"/>
      <c r="D653" s="1428"/>
      <c r="E653" s="1428"/>
      <c r="R653" s="1429"/>
      <c r="S653" s="1429"/>
      <c r="T653" s="1429"/>
      <c r="U653" s="1429"/>
      <c r="V653" s="1429"/>
      <c r="W653" s="1429"/>
      <c r="X653" s="1429"/>
      <c r="Y653" s="1429"/>
    </row>
    <row r="654" spans="1:25">
      <c r="A654" s="1428"/>
      <c r="B654" s="1428"/>
      <c r="C654" s="1428"/>
      <c r="D654" s="1428"/>
      <c r="E654" s="1428"/>
      <c r="R654" s="1429"/>
      <c r="S654" s="1429"/>
      <c r="T654" s="1429"/>
      <c r="U654" s="1429"/>
      <c r="V654" s="1429"/>
      <c r="W654" s="1429"/>
      <c r="X654" s="1429"/>
      <c r="Y654" s="1429"/>
    </row>
    <row r="655" spans="1:25">
      <c r="A655" s="1428"/>
      <c r="B655" s="1428"/>
      <c r="C655" s="1428"/>
      <c r="D655" s="1428"/>
      <c r="E655" s="1428"/>
      <c r="R655" s="1429"/>
      <c r="S655" s="1429"/>
      <c r="T655" s="1429"/>
      <c r="U655" s="1429"/>
      <c r="V655" s="1429"/>
      <c r="W655" s="1429"/>
      <c r="X655" s="1429"/>
      <c r="Y655" s="1429"/>
    </row>
    <row r="656" spans="1:25">
      <c r="A656" s="1428"/>
      <c r="B656" s="1428"/>
      <c r="C656" s="1428"/>
      <c r="D656" s="1428"/>
      <c r="E656" s="1428"/>
      <c r="R656" s="1429"/>
      <c r="S656" s="1429"/>
      <c r="T656" s="1429"/>
      <c r="U656" s="1429"/>
      <c r="V656" s="1429"/>
      <c r="W656" s="1429"/>
      <c r="X656" s="1429"/>
      <c r="Y656" s="1429"/>
    </row>
    <row r="657" spans="1:25">
      <c r="A657" s="1428"/>
      <c r="B657" s="1428"/>
      <c r="C657" s="1428"/>
      <c r="D657" s="1428"/>
      <c r="E657" s="1428"/>
      <c r="R657" s="1429"/>
      <c r="S657" s="1429"/>
      <c r="T657" s="1429"/>
      <c r="U657" s="1429"/>
      <c r="V657" s="1429"/>
      <c r="W657" s="1429"/>
      <c r="X657" s="1429"/>
      <c r="Y657" s="1429"/>
    </row>
    <row r="658" spans="1:25">
      <c r="A658" s="1428"/>
      <c r="B658" s="1428"/>
      <c r="C658" s="1428"/>
      <c r="D658" s="1428"/>
      <c r="E658" s="1428"/>
      <c r="R658" s="1429"/>
      <c r="S658" s="1429"/>
      <c r="T658" s="1429"/>
      <c r="U658" s="1429"/>
      <c r="V658" s="1429"/>
      <c r="W658" s="1429"/>
      <c r="X658" s="1429"/>
      <c r="Y658" s="1429"/>
    </row>
    <row r="659" spans="1:25">
      <c r="A659" s="1428"/>
      <c r="B659" s="1428"/>
      <c r="C659" s="1428"/>
      <c r="D659" s="1428"/>
      <c r="E659" s="1428"/>
      <c r="R659" s="1429"/>
      <c r="S659" s="1429"/>
      <c r="T659" s="1429"/>
      <c r="U659" s="1429"/>
      <c r="V659" s="1429"/>
      <c r="W659" s="1429"/>
      <c r="X659" s="1429"/>
      <c r="Y659" s="1429"/>
    </row>
    <row r="660" spans="1:25">
      <c r="A660" s="1428"/>
      <c r="B660" s="1428"/>
      <c r="C660" s="1428"/>
      <c r="D660" s="1428"/>
      <c r="E660" s="1428"/>
      <c r="R660" s="1429"/>
      <c r="S660" s="1429"/>
      <c r="T660" s="1429"/>
      <c r="U660" s="1429"/>
      <c r="V660" s="1429"/>
      <c r="W660" s="1429"/>
      <c r="X660" s="1429"/>
      <c r="Y660" s="1429"/>
    </row>
    <row r="661" spans="1:25">
      <c r="A661" s="1428"/>
      <c r="B661" s="1428"/>
      <c r="C661" s="1428"/>
      <c r="D661" s="1428"/>
      <c r="E661" s="1428"/>
      <c r="R661" s="1429"/>
      <c r="S661" s="1429"/>
      <c r="T661" s="1429"/>
      <c r="U661" s="1429"/>
      <c r="V661" s="1429"/>
      <c r="W661" s="1429"/>
      <c r="X661" s="1429"/>
      <c r="Y661" s="1429"/>
    </row>
    <row r="662" spans="1:25">
      <c r="A662" s="1428"/>
      <c r="B662" s="1428"/>
      <c r="C662" s="1428"/>
      <c r="D662" s="1428"/>
      <c r="E662" s="1428"/>
      <c r="R662" s="1429"/>
      <c r="S662" s="1429"/>
      <c r="T662" s="1429"/>
      <c r="U662" s="1429"/>
      <c r="V662" s="1429"/>
      <c r="W662" s="1429"/>
      <c r="X662" s="1429"/>
      <c r="Y662" s="1429"/>
    </row>
    <row r="663" spans="1:25">
      <c r="A663" s="1428"/>
      <c r="B663" s="1428"/>
      <c r="C663" s="1428"/>
      <c r="D663" s="1428"/>
      <c r="E663" s="1428"/>
      <c r="R663" s="1429"/>
      <c r="S663" s="1429"/>
      <c r="T663" s="1429"/>
      <c r="U663" s="1429"/>
      <c r="V663" s="1429"/>
      <c r="W663" s="1429"/>
      <c r="X663" s="1429"/>
      <c r="Y663" s="1429"/>
    </row>
    <row r="664" spans="1:25">
      <c r="A664" s="1428"/>
      <c r="B664" s="1428"/>
      <c r="C664" s="1428"/>
      <c r="D664" s="1428"/>
      <c r="E664" s="1428"/>
      <c r="R664" s="1429"/>
      <c r="S664" s="1429"/>
      <c r="T664" s="1429"/>
      <c r="U664" s="1429"/>
      <c r="V664" s="1429"/>
      <c r="W664" s="1429"/>
      <c r="X664" s="1429"/>
      <c r="Y664" s="1429"/>
    </row>
    <row r="665" spans="1:25">
      <c r="A665" s="1428"/>
      <c r="B665" s="1428"/>
      <c r="C665" s="1428"/>
      <c r="D665" s="1428"/>
      <c r="E665" s="1428"/>
      <c r="R665" s="1429"/>
      <c r="S665" s="1429"/>
      <c r="T665" s="1429"/>
      <c r="U665" s="1429"/>
      <c r="V665" s="1429"/>
      <c r="W665" s="1429"/>
      <c r="X665" s="1429"/>
      <c r="Y665" s="1429"/>
    </row>
    <row r="666" spans="1:25">
      <c r="A666" s="1428"/>
      <c r="B666" s="1428"/>
      <c r="C666" s="1428"/>
      <c r="D666" s="1428"/>
      <c r="E666" s="1428"/>
      <c r="R666" s="1429"/>
      <c r="S666" s="1429"/>
      <c r="T666" s="1429"/>
      <c r="U666" s="1429"/>
      <c r="V666" s="1429"/>
      <c r="W666" s="1429"/>
      <c r="X666" s="1429"/>
      <c r="Y666" s="1429"/>
    </row>
    <row r="667" spans="1:25">
      <c r="A667" s="1428"/>
      <c r="B667" s="1428"/>
      <c r="C667" s="1428"/>
      <c r="D667" s="1428"/>
      <c r="E667" s="1428"/>
      <c r="R667" s="1429"/>
      <c r="S667" s="1429"/>
      <c r="T667" s="1429"/>
      <c r="U667" s="1429"/>
      <c r="V667" s="1429"/>
      <c r="W667" s="1429"/>
      <c r="X667" s="1429"/>
      <c r="Y667" s="1429"/>
    </row>
    <row r="668" spans="1:25">
      <c r="A668" s="1428"/>
      <c r="B668" s="1428"/>
      <c r="C668" s="1428"/>
      <c r="D668" s="1428"/>
      <c r="E668" s="1428"/>
      <c r="R668" s="1429"/>
      <c r="S668" s="1429"/>
      <c r="T668" s="1429"/>
      <c r="U668" s="1429"/>
      <c r="V668" s="1429"/>
      <c r="W668" s="1429"/>
      <c r="X668" s="1429"/>
      <c r="Y668" s="1429"/>
    </row>
    <row r="669" spans="1:25">
      <c r="A669" s="1428"/>
      <c r="B669" s="1428"/>
      <c r="C669" s="1428"/>
      <c r="D669" s="1428"/>
      <c r="E669" s="1428"/>
      <c r="R669" s="1429"/>
      <c r="S669" s="1429"/>
      <c r="T669" s="1429"/>
      <c r="U669" s="1429"/>
      <c r="V669" s="1429"/>
      <c r="W669" s="1429"/>
      <c r="X669" s="1429"/>
      <c r="Y669" s="1429"/>
    </row>
    <row r="670" spans="1:25">
      <c r="A670" s="1428"/>
      <c r="B670" s="1428"/>
      <c r="C670" s="1428"/>
      <c r="D670" s="1428"/>
      <c r="E670" s="1428"/>
      <c r="R670" s="1429"/>
      <c r="S670" s="1429"/>
      <c r="T670" s="1429"/>
      <c r="U670" s="1429"/>
      <c r="V670" s="1429"/>
      <c r="W670" s="1429"/>
      <c r="X670" s="1429"/>
      <c r="Y670" s="1429"/>
    </row>
    <row r="671" spans="1:25">
      <c r="A671" s="1428"/>
      <c r="B671" s="1428"/>
      <c r="C671" s="1428"/>
      <c r="D671" s="1428"/>
      <c r="E671" s="1428"/>
      <c r="R671" s="1429"/>
      <c r="S671" s="1429"/>
      <c r="T671" s="1429"/>
      <c r="U671" s="1429"/>
      <c r="V671" s="1429"/>
      <c r="W671" s="1429"/>
      <c r="X671" s="1429"/>
      <c r="Y671" s="1429"/>
    </row>
    <row r="672" spans="1:25">
      <c r="A672" s="1428"/>
      <c r="B672" s="1428"/>
      <c r="C672" s="1428"/>
      <c r="D672" s="1428"/>
      <c r="E672" s="1428"/>
      <c r="R672" s="1429"/>
      <c r="S672" s="1429"/>
      <c r="T672" s="1429"/>
      <c r="U672" s="1429"/>
      <c r="V672" s="1429"/>
      <c r="W672" s="1429"/>
      <c r="X672" s="1429"/>
      <c r="Y672" s="1429"/>
    </row>
    <row r="673" spans="1:25">
      <c r="A673" s="1428"/>
      <c r="B673" s="1428"/>
      <c r="C673" s="1428"/>
      <c r="D673" s="1428"/>
      <c r="E673" s="1428"/>
      <c r="R673" s="1429"/>
      <c r="S673" s="1429"/>
      <c r="T673" s="1429"/>
      <c r="U673" s="1429"/>
      <c r="V673" s="1429"/>
      <c r="W673" s="1429"/>
      <c r="X673" s="1429"/>
      <c r="Y673" s="1429"/>
    </row>
    <row r="674" spans="1:25">
      <c r="A674" s="1428"/>
      <c r="B674" s="1428"/>
      <c r="C674" s="1428"/>
      <c r="D674" s="1428"/>
      <c r="E674" s="1428"/>
      <c r="R674" s="1429"/>
      <c r="S674" s="1429"/>
      <c r="T674" s="1429"/>
      <c r="U674" s="1429"/>
      <c r="V674" s="1429"/>
      <c r="W674" s="1429"/>
      <c r="X674" s="1429"/>
      <c r="Y674" s="1429"/>
    </row>
    <row r="675" spans="1:25">
      <c r="A675" s="1428"/>
      <c r="B675" s="1428"/>
      <c r="C675" s="1428"/>
      <c r="D675" s="1428"/>
      <c r="E675" s="1428"/>
      <c r="R675" s="1429"/>
      <c r="S675" s="1429"/>
      <c r="T675" s="1429"/>
      <c r="U675" s="1429"/>
      <c r="V675" s="1429"/>
      <c r="W675" s="1429"/>
      <c r="X675" s="1429"/>
      <c r="Y675" s="1429"/>
    </row>
    <row r="676" spans="1:25">
      <c r="A676" s="1428"/>
      <c r="B676" s="1428"/>
      <c r="C676" s="1428"/>
      <c r="D676" s="1428"/>
      <c r="E676" s="1428"/>
      <c r="R676" s="1429"/>
      <c r="S676" s="1429"/>
      <c r="T676" s="1429"/>
      <c r="U676" s="1429"/>
      <c r="V676" s="1429"/>
      <c r="W676" s="1429"/>
      <c r="X676" s="1429"/>
      <c r="Y676" s="1429"/>
    </row>
    <row r="677" spans="1:25">
      <c r="A677" s="1428"/>
      <c r="B677" s="1428"/>
      <c r="C677" s="1428"/>
      <c r="D677" s="1428"/>
      <c r="E677" s="1428"/>
      <c r="R677" s="1429"/>
      <c r="S677" s="1429"/>
      <c r="T677" s="1429"/>
      <c r="U677" s="1429"/>
      <c r="V677" s="1429"/>
      <c r="W677" s="1429"/>
      <c r="X677" s="1429"/>
      <c r="Y677" s="1429"/>
    </row>
    <row r="678" spans="1:25">
      <c r="A678" s="1428"/>
      <c r="B678" s="1428"/>
      <c r="C678" s="1428"/>
      <c r="D678" s="1428"/>
      <c r="E678" s="1428"/>
      <c r="R678" s="1429"/>
      <c r="S678" s="1429"/>
      <c r="T678" s="1429"/>
      <c r="U678" s="1429"/>
      <c r="V678" s="1429"/>
      <c r="W678" s="1429"/>
      <c r="X678" s="1429"/>
      <c r="Y678" s="1429"/>
    </row>
    <row r="679" spans="1:25">
      <c r="A679" s="1428"/>
      <c r="B679" s="1428"/>
      <c r="C679" s="1428"/>
      <c r="D679" s="1428"/>
      <c r="E679" s="1428"/>
      <c r="R679" s="1429"/>
      <c r="S679" s="1429"/>
      <c r="T679" s="1429"/>
      <c r="U679" s="1429"/>
      <c r="V679" s="1429"/>
      <c r="W679" s="1429"/>
      <c r="X679" s="1429"/>
      <c r="Y679" s="1429"/>
    </row>
    <row r="680" spans="1:25">
      <c r="A680" s="1428"/>
      <c r="B680" s="1428"/>
      <c r="C680" s="1428"/>
      <c r="D680" s="1428"/>
      <c r="E680" s="1428"/>
      <c r="R680" s="1429"/>
      <c r="S680" s="1429"/>
      <c r="T680" s="1429"/>
      <c r="U680" s="1429"/>
      <c r="V680" s="1429"/>
      <c r="W680" s="1429"/>
      <c r="X680" s="1429"/>
      <c r="Y680" s="1429"/>
    </row>
    <row r="681" spans="1:25">
      <c r="A681" s="1428"/>
      <c r="B681" s="1428"/>
      <c r="C681" s="1428"/>
      <c r="D681" s="1428"/>
      <c r="E681" s="1428"/>
      <c r="R681" s="1429"/>
      <c r="S681" s="1429"/>
      <c r="T681" s="1429"/>
      <c r="U681" s="1429"/>
      <c r="V681" s="1429"/>
      <c r="W681" s="1429"/>
      <c r="X681" s="1429"/>
      <c r="Y681" s="1429"/>
    </row>
    <row r="682" spans="1:25">
      <c r="A682" s="1428"/>
      <c r="B682" s="1428"/>
      <c r="C682" s="1428"/>
      <c r="D682" s="1428"/>
      <c r="E682" s="1428"/>
      <c r="R682" s="1429"/>
      <c r="S682" s="1429"/>
      <c r="T682" s="1429"/>
      <c r="U682" s="1429"/>
      <c r="V682" s="1429"/>
      <c r="W682" s="1429"/>
      <c r="X682" s="1429"/>
      <c r="Y682" s="1429"/>
    </row>
    <row r="683" spans="1:25">
      <c r="A683" s="1428"/>
      <c r="B683" s="1428"/>
      <c r="C683" s="1428"/>
      <c r="D683" s="1428"/>
      <c r="E683" s="1428"/>
      <c r="R683" s="1429"/>
      <c r="S683" s="1429"/>
      <c r="T683" s="1429"/>
      <c r="U683" s="1429"/>
      <c r="V683" s="1429"/>
      <c r="W683" s="1429"/>
      <c r="X683" s="1429"/>
      <c r="Y683" s="1429"/>
    </row>
    <row r="684" spans="1:25">
      <c r="A684" s="1428"/>
      <c r="B684" s="1428"/>
      <c r="C684" s="1428"/>
      <c r="D684" s="1428"/>
      <c r="E684" s="1428"/>
      <c r="R684" s="1429"/>
      <c r="S684" s="1429"/>
      <c r="T684" s="1429"/>
      <c r="U684" s="1429"/>
      <c r="V684" s="1429"/>
      <c r="W684" s="1429"/>
      <c r="X684" s="1429"/>
      <c r="Y684" s="1429"/>
    </row>
    <row r="685" spans="1:25">
      <c r="A685" s="1428"/>
      <c r="B685" s="1428"/>
      <c r="C685" s="1428"/>
      <c r="D685" s="1428"/>
      <c r="E685" s="1428"/>
      <c r="R685" s="1429"/>
      <c r="S685" s="1429"/>
      <c r="T685" s="1429"/>
      <c r="U685" s="1429"/>
      <c r="V685" s="1429"/>
      <c r="W685" s="1429"/>
      <c r="X685" s="1429"/>
      <c r="Y685" s="1429"/>
    </row>
    <row r="686" spans="1:25">
      <c r="A686" s="1428"/>
      <c r="B686" s="1428"/>
      <c r="C686" s="1428"/>
      <c r="D686" s="1428"/>
      <c r="E686" s="1428"/>
      <c r="R686" s="1429"/>
      <c r="S686" s="1429"/>
      <c r="T686" s="1429"/>
      <c r="U686" s="1429"/>
      <c r="V686" s="1429"/>
      <c r="W686" s="1429"/>
      <c r="X686" s="1429"/>
      <c r="Y686" s="1429"/>
    </row>
    <row r="687" spans="1:25">
      <c r="A687" s="1428"/>
      <c r="B687" s="1428"/>
      <c r="C687" s="1428"/>
      <c r="D687" s="1428"/>
      <c r="E687" s="1428"/>
      <c r="R687" s="1429"/>
      <c r="S687" s="1429"/>
      <c r="T687" s="1429"/>
      <c r="U687" s="1429"/>
      <c r="V687" s="1429"/>
      <c r="W687" s="1429"/>
      <c r="X687" s="1429"/>
      <c r="Y687" s="1429"/>
    </row>
    <row r="688" spans="1:25">
      <c r="A688" s="1428"/>
      <c r="B688" s="1428"/>
      <c r="C688" s="1428"/>
      <c r="D688" s="1428"/>
      <c r="E688" s="1428"/>
      <c r="R688" s="1429"/>
      <c r="S688" s="1429"/>
      <c r="T688" s="1429"/>
      <c r="U688" s="1429"/>
      <c r="V688" s="1429"/>
      <c r="W688" s="1429"/>
      <c r="X688" s="1429"/>
      <c r="Y688" s="1429"/>
    </row>
    <row r="689" spans="1:25">
      <c r="A689" s="1428"/>
      <c r="B689" s="1428"/>
      <c r="C689" s="1428"/>
      <c r="D689" s="1428"/>
      <c r="E689" s="1428"/>
      <c r="R689" s="1429"/>
      <c r="S689" s="1429"/>
      <c r="T689" s="1429"/>
      <c r="U689" s="1429"/>
      <c r="V689" s="1429"/>
      <c r="W689" s="1429"/>
      <c r="X689" s="1429"/>
      <c r="Y689" s="1429"/>
    </row>
    <row r="690" spans="1:25">
      <c r="A690" s="1428"/>
      <c r="B690" s="1428"/>
      <c r="C690" s="1428"/>
      <c r="D690" s="1428"/>
      <c r="E690" s="1428"/>
      <c r="R690" s="1429"/>
      <c r="S690" s="1429"/>
      <c r="T690" s="1429"/>
      <c r="U690" s="1429"/>
      <c r="V690" s="1429"/>
      <c r="W690" s="1429"/>
      <c r="X690" s="1429"/>
      <c r="Y690" s="1429"/>
    </row>
    <row r="691" spans="1:25">
      <c r="A691" s="1428"/>
      <c r="B691" s="1428"/>
      <c r="C691" s="1428"/>
      <c r="D691" s="1428"/>
      <c r="E691" s="1428"/>
      <c r="R691" s="1429"/>
      <c r="S691" s="1429"/>
      <c r="T691" s="1429"/>
      <c r="U691" s="1429"/>
      <c r="V691" s="1429"/>
      <c r="W691" s="1429"/>
      <c r="X691" s="1429"/>
      <c r="Y691" s="1429"/>
    </row>
    <row r="692" spans="1:25">
      <c r="A692" s="1428"/>
      <c r="B692" s="1428"/>
      <c r="C692" s="1428"/>
      <c r="D692" s="1428"/>
      <c r="E692" s="1428"/>
      <c r="R692" s="1429"/>
      <c r="S692" s="1429"/>
      <c r="T692" s="1429"/>
      <c r="U692" s="1429"/>
      <c r="V692" s="1429"/>
      <c r="W692" s="1429"/>
      <c r="X692" s="1429"/>
      <c r="Y692" s="1429"/>
    </row>
    <row r="693" spans="1:25">
      <c r="A693" s="1428"/>
      <c r="B693" s="1428"/>
      <c r="C693" s="1428"/>
      <c r="D693" s="1428"/>
      <c r="E693" s="1428"/>
      <c r="R693" s="1429"/>
      <c r="S693" s="1429"/>
      <c r="T693" s="1429"/>
      <c r="U693" s="1429"/>
      <c r="V693" s="1429"/>
      <c r="W693" s="1429"/>
      <c r="X693" s="1429"/>
      <c r="Y693" s="1429"/>
    </row>
    <row r="694" spans="1:25">
      <c r="A694" s="1428"/>
      <c r="B694" s="1428"/>
      <c r="C694" s="1428"/>
      <c r="D694" s="1428"/>
      <c r="E694" s="1428"/>
      <c r="R694" s="1429"/>
      <c r="S694" s="1429"/>
      <c r="T694" s="1429"/>
      <c r="U694" s="1429"/>
      <c r="V694" s="1429"/>
      <c r="W694" s="1429"/>
      <c r="X694" s="1429"/>
      <c r="Y694" s="1429"/>
    </row>
    <row r="695" spans="1:25">
      <c r="A695" s="1428"/>
      <c r="B695" s="1428"/>
      <c r="C695" s="1428"/>
      <c r="D695" s="1428"/>
      <c r="E695" s="1428"/>
      <c r="R695" s="1429"/>
      <c r="S695" s="1429"/>
      <c r="T695" s="1429"/>
      <c r="U695" s="1429"/>
      <c r="V695" s="1429"/>
      <c r="W695" s="1429"/>
      <c r="X695" s="1429"/>
      <c r="Y695" s="1429"/>
    </row>
    <row r="696" spans="1:25">
      <c r="A696" s="1428"/>
      <c r="B696" s="1428"/>
      <c r="C696" s="1428"/>
      <c r="D696" s="1428"/>
      <c r="E696" s="1428"/>
      <c r="R696" s="1429"/>
      <c r="S696" s="1429"/>
      <c r="T696" s="1429"/>
      <c r="U696" s="1429"/>
      <c r="V696" s="1429"/>
      <c r="W696" s="1429"/>
      <c r="X696" s="1429"/>
      <c r="Y696" s="1429"/>
    </row>
    <row r="697" spans="1:25">
      <c r="A697" s="1428"/>
      <c r="B697" s="1428"/>
      <c r="C697" s="1428"/>
      <c r="D697" s="1428"/>
      <c r="E697" s="1428"/>
      <c r="R697" s="1429"/>
      <c r="S697" s="1429"/>
      <c r="T697" s="1429"/>
      <c r="U697" s="1429"/>
      <c r="V697" s="1429"/>
      <c r="W697" s="1429"/>
      <c r="X697" s="1429"/>
      <c r="Y697" s="1429"/>
    </row>
    <row r="698" spans="1:25">
      <c r="A698" s="1428"/>
      <c r="B698" s="1428"/>
      <c r="C698" s="1428"/>
      <c r="D698" s="1428"/>
      <c r="E698" s="1428"/>
      <c r="R698" s="1429"/>
      <c r="S698" s="1429"/>
      <c r="T698" s="1429"/>
      <c r="U698" s="1429"/>
      <c r="V698" s="1429"/>
      <c r="W698" s="1429"/>
      <c r="X698" s="1429"/>
      <c r="Y698" s="1429"/>
    </row>
    <row r="699" spans="1:25">
      <c r="A699" s="1428"/>
      <c r="B699" s="1428"/>
      <c r="C699" s="1428"/>
      <c r="D699" s="1428"/>
      <c r="E699" s="1428"/>
      <c r="R699" s="1429"/>
      <c r="S699" s="1429"/>
      <c r="T699" s="1429"/>
      <c r="U699" s="1429"/>
      <c r="V699" s="1429"/>
      <c r="W699" s="1429"/>
      <c r="X699" s="1429"/>
      <c r="Y699" s="1429"/>
    </row>
    <row r="700" spans="1:25">
      <c r="A700" s="1428"/>
      <c r="B700" s="1428"/>
      <c r="C700" s="1428"/>
      <c r="D700" s="1428"/>
      <c r="E700" s="1428"/>
      <c r="R700" s="1429"/>
      <c r="S700" s="1429"/>
      <c r="T700" s="1429"/>
      <c r="U700" s="1429"/>
      <c r="V700" s="1429"/>
      <c r="W700" s="1429"/>
      <c r="X700" s="1429"/>
      <c r="Y700" s="1429"/>
    </row>
    <row r="701" spans="1:25">
      <c r="A701" s="1428"/>
      <c r="B701" s="1428"/>
      <c r="C701" s="1428"/>
      <c r="D701" s="1428"/>
      <c r="E701" s="1428"/>
      <c r="R701" s="1429"/>
      <c r="S701" s="1429"/>
      <c r="T701" s="1429"/>
      <c r="U701" s="1429"/>
      <c r="V701" s="1429"/>
      <c r="W701" s="1429"/>
      <c r="X701" s="1429"/>
      <c r="Y701" s="1429"/>
    </row>
    <row r="702" spans="1:25">
      <c r="A702" s="1428"/>
      <c r="B702" s="1428"/>
      <c r="C702" s="1428"/>
      <c r="D702" s="1428"/>
      <c r="E702" s="1428"/>
      <c r="R702" s="1429"/>
      <c r="S702" s="1429"/>
      <c r="T702" s="1429"/>
      <c r="U702" s="1429"/>
      <c r="V702" s="1429"/>
      <c r="W702" s="1429"/>
      <c r="X702" s="1429"/>
      <c r="Y702" s="1429"/>
    </row>
    <row r="703" spans="1:25">
      <c r="A703" s="1428"/>
      <c r="B703" s="1428"/>
      <c r="C703" s="1428"/>
      <c r="D703" s="1428"/>
      <c r="E703" s="1428"/>
      <c r="R703" s="1429"/>
      <c r="S703" s="1429"/>
      <c r="T703" s="1429"/>
      <c r="U703" s="1429"/>
      <c r="V703" s="1429"/>
      <c r="W703" s="1429"/>
      <c r="X703" s="1429"/>
      <c r="Y703" s="1429"/>
    </row>
    <row r="704" spans="1:25">
      <c r="A704" s="1428"/>
      <c r="B704" s="1428"/>
      <c r="C704" s="1428"/>
      <c r="D704" s="1428"/>
      <c r="E704" s="1428"/>
      <c r="R704" s="1429"/>
      <c r="S704" s="1429"/>
      <c r="T704" s="1429"/>
      <c r="U704" s="1429"/>
      <c r="V704" s="1429"/>
      <c r="W704" s="1429"/>
      <c r="X704" s="1429"/>
      <c r="Y704" s="1429"/>
    </row>
    <row r="705" spans="1:25">
      <c r="A705" s="1428"/>
      <c r="B705" s="1428"/>
      <c r="C705" s="1428"/>
      <c r="D705" s="1428"/>
      <c r="E705" s="1428"/>
      <c r="R705" s="1429"/>
      <c r="S705" s="1429"/>
      <c r="T705" s="1429"/>
      <c r="U705" s="1429"/>
      <c r="V705" s="1429"/>
      <c r="W705" s="1429"/>
      <c r="X705" s="1429"/>
      <c r="Y705" s="1429"/>
    </row>
    <row r="706" spans="1:25">
      <c r="A706" s="1428"/>
      <c r="B706" s="1428"/>
      <c r="C706" s="1428"/>
      <c r="D706" s="1428"/>
      <c r="E706" s="1428"/>
      <c r="R706" s="1429"/>
      <c r="S706" s="1429"/>
      <c r="T706" s="1429"/>
      <c r="U706" s="1429"/>
      <c r="V706" s="1429"/>
      <c r="W706" s="1429"/>
      <c r="X706" s="1429"/>
      <c r="Y706" s="1429"/>
    </row>
    <row r="707" spans="1:25">
      <c r="A707" s="1428"/>
      <c r="B707" s="1428"/>
      <c r="C707" s="1428"/>
      <c r="D707" s="1428"/>
      <c r="E707" s="1428"/>
      <c r="R707" s="1429"/>
      <c r="S707" s="1429"/>
      <c r="T707" s="1429"/>
      <c r="U707" s="1429"/>
      <c r="V707" s="1429"/>
      <c r="W707" s="1429"/>
      <c r="X707" s="1429"/>
      <c r="Y707" s="1429"/>
    </row>
    <row r="708" spans="1:25">
      <c r="A708" s="1428"/>
      <c r="B708" s="1428"/>
      <c r="C708" s="1428"/>
      <c r="D708" s="1428"/>
      <c r="E708" s="1428"/>
      <c r="R708" s="1429"/>
      <c r="S708" s="1429"/>
      <c r="T708" s="1429"/>
      <c r="U708" s="1429"/>
      <c r="V708" s="1429"/>
      <c r="W708" s="1429"/>
      <c r="X708" s="1429"/>
      <c r="Y708" s="1429"/>
    </row>
    <row r="709" spans="1:25">
      <c r="A709" s="1428"/>
      <c r="B709" s="1428"/>
      <c r="C709" s="1428"/>
      <c r="D709" s="1428"/>
      <c r="E709" s="1428"/>
      <c r="R709" s="1429"/>
      <c r="S709" s="1429"/>
      <c r="T709" s="1429"/>
      <c r="U709" s="1429"/>
      <c r="V709" s="1429"/>
      <c r="W709" s="1429"/>
      <c r="X709" s="1429"/>
      <c r="Y709" s="1429"/>
    </row>
    <row r="710" spans="1:25">
      <c r="A710" s="1428"/>
      <c r="B710" s="1428"/>
      <c r="C710" s="1428"/>
      <c r="D710" s="1428"/>
      <c r="E710" s="1428"/>
      <c r="R710" s="1429"/>
      <c r="S710" s="1429"/>
      <c r="T710" s="1429"/>
      <c r="U710" s="1429"/>
      <c r="V710" s="1429"/>
      <c r="W710" s="1429"/>
      <c r="X710" s="1429"/>
      <c r="Y710" s="1429"/>
    </row>
    <row r="711" spans="1:25">
      <c r="A711" s="1428"/>
      <c r="B711" s="1428"/>
      <c r="C711" s="1428"/>
      <c r="D711" s="1428"/>
      <c r="E711" s="1428"/>
      <c r="R711" s="1429"/>
      <c r="S711" s="1429"/>
      <c r="T711" s="1429"/>
      <c r="U711" s="1429"/>
      <c r="V711" s="1429"/>
      <c r="W711" s="1429"/>
      <c r="X711" s="1429"/>
      <c r="Y711" s="1429"/>
    </row>
    <row r="712" spans="1:25">
      <c r="A712" s="1428"/>
      <c r="B712" s="1428"/>
      <c r="C712" s="1428"/>
      <c r="D712" s="1428"/>
      <c r="E712" s="1428"/>
      <c r="R712" s="1429"/>
      <c r="S712" s="1429"/>
      <c r="T712" s="1429"/>
      <c r="U712" s="1429"/>
      <c r="V712" s="1429"/>
      <c r="W712" s="1429"/>
      <c r="X712" s="1429"/>
      <c r="Y712" s="1429"/>
    </row>
    <row r="713" spans="1:25">
      <c r="A713" s="1428"/>
      <c r="B713" s="1428"/>
      <c r="C713" s="1428"/>
      <c r="D713" s="1428"/>
      <c r="E713" s="1428"/>
      <c r="R713" s="1429"/>
      <c r="S713" s="1429"/>
      <c r="T713" s="1429"/>
      <c r="U713" s="1429"/>
      <c r="V713" s="1429"/>
      <c r="W713" s="1429"/>
      <c r="X713" s="1429"/>
      <c r="Y713" s="1429"/>
    </row>
    <row r="714" spans="1:25">
      <c r="A714" s="1428"/>
      <c r="B714" s="1428"/>
      <c r="C714" s="1428"/>
      <c r="D714" s="1428"/>
      <c r="E714" s="1428"/>
      <c r="R714" s="1429"/>
      <c r="S714" s="1429"/>
      <c r="T714" s="1429"/>
      <c r="U714" s="1429"/>
      <c r="V714" s="1429"/>
      <c r="W714" s="1429"/>
      <c r="X714" s="1429"/>
      <c r="Y714" s="1429"/>
    </row>
    <row r="715" spans="1:25">
      <c r="A715" s="1428"/>
      <c r="B715" s="1428"/>
      <c r="C715" s="1428"/>
      <c r="D715" s="1428"/>
      <c r="E715" s="1428"/>
      <c r="R715" s="1429"/>
      <c r="S715" s="1429"/>
      <c r="T715" s="1429"/>
      <c r="U715" s="1429"/>
      <c r="V715" s="1429"/>
      <c r="W715" s="1429"/>
      <c r="X715" s="1429"/>
      <c r="Y715" s="1429"/>
    </row>
    <row r="716" spans="1:25">
      <c r="A716" s="1428"/>
      <c r="B716" s="1428"/>
      <c r="C716" s="1428"/>
      <c r="D716" s="1428"/>
      <c r="E716" s="1428"/>
      <c r="R716" s="1429"/>
      <c r="S716" s="1429"/>
      <c r="T716" s="1429"/>
      <c r="U716" s="1429"/>
      <c r="V716" s="1429"/>
      <c r="W716" s="1429"/>
      <c r="X716" s="1429"/>
      <c r="Y716" s="1429"/>
    </row>
    <row r="717" spans="1:25">
      <c r="A717" s="1428"/>
      <c r="B717" s="1428"/>
      <c r="C717" s="1428"/>
      <c r="D717" s="1428"/>
      <c r="E717" s="1428"/>
      <c r="R717" s="1429"/>
      <c r="S717" s="1429"/>
      <c r="T717" s="1429"/>
      <c r="U717" s="1429"/>
      <c r="V717" s="1429"/>
      <c r="W717" s="1429"/>
      <c r="X717" s="1429"/>
      <c r="Y717" s="1429"/>
    </row>
    <row r="718" spans="1:25">
      <c r="A718" s="1428"/>
      <c r="B718" s="1428"/>
      <c r="C718" s="1428"/>
      <c r="D718" s="1428"/>
      <c r="E718" s="1428"/>
      <c r="R718" s="1429"/>
      <c r="S718" s="1429"/>
      <c r="T718" s="1429"/>
      <c r="U718" s="1429"/>
      <c r="V718" s="1429"/>
      <c r="W718" s="1429"/>
      <c r="X718" s="1429"/>
      <c r="Y718" s="1429"/>
    </row>
    <row r="719" spans="1:25">
      <c r="A719" s="1428"/>
      <c r="B719" s="1428"/>
      <c r="C719" s="1428"/>
      <c r="D719" s="1428"/>
      <c r="E719" s="1428"/>
      <c r="R719" s="1429"/>
      <c r="S719" s="1429"/>
      <c r="T719" s="1429"/>
      <c r="U719" s="1429"/>
      <c r="V719" s="1429"/>
      <c r="W719" s="1429"/>
      <c r="X719" s="1429"/>
      <c r="Y719" s="1429"/>
    </row>
    <row r="720" spans="1:25">
      <c r="A720" s="1428"/>
      <c r="B720" s="1428"/>
      <c r="C720" s="1428"/>
      <c r="D720" s="1428"/>
      <c r="E720" s="1428"/>
      <c r="R720" s="1429"/>
      <c r="S720" s="1429"/>
      <c r="T720" s="1429"/>
      <c r="U720" s="1429"/>
      <c r="V720" s="1429"/>
      <c r="W720" s="1429"/>
      <c r="X720" s="1429"/>
      <c r="Y720" s="1429"/>
    </row>
    <row r="721" spans="1:25">
      <c r="A721" s="1428"/>
      <c r="B721" s="1428"/>
      <c r="C721" s="1428"/>
      <c r="D721" s="1428"/>
      <c r="E721" s="1428"/>
      <c r="R721" s="1429"/>
      <c r="S721" s="1429"/>
      <c r="T721" s="1429"/>
      <c r="U721" s="1429"/>
      <c r="V721" s="1429"/>
      <c r="W721" s="1429"/>
      <c r="X721" s="1429"/>
      <c r="Y721" s="1429"/>
    </row>
    <row r="722" spans="1:25">
      <c r="A722" s="1428"/>
      <c r="B722" s="1428"/>
      <c r="C722" s="1428"/>
      <c r="D722" s="1428"/>
      <c r="E722" s="1428"/>
      <c r="R722" s="1429"/>
      <c r="S722" s="1429"/>
      <c r="T722" s="1429"/>
      <c r="U722" s="1429"/>
      <c r="V722" s="1429"/>
      <c r="W722" s="1429"/>
      <c r="X722" s="1429"/>
      <c r="Y722" s="1429"/>
    </row>
    <row r="723" spans="1:25">
      <c r="A723" s="1428"/>
      <c r="B723" s="1428"/>
      <c r="C723" s="1428"/>
      <c r="D723" s="1428"/>
      <c r="E723" s="1428"/>
      <c r="R723" s="1429"/>
      <c r="S723" s="1429"/>
      <c r="T723" s="1429"/>
      <c r="U723" s="1429"/>
      <c r="V723" s="1429"/>
      <c r="W723" s="1429"/>
      <c r="X723" s="1429"/>
      <c r="Y723" s="1429"/>
    </row>
    <row r="724" spans="1:25">
      <c r="A724" s="1428"/>
      <c r="B724" s="1428"/>
      <c r="C724" s="1428"/>
      <c r="D724" s="1428"/>
      <c r="E724" s="1428"/>
      <c r="R724" s="1429"/>
      <c r="S724" s="1429"/>
      <c r="T724" s="1429"/>
      <c r="U724" s="1429"/>
      <c r="V724" s="1429"/>
      <c r="W724" s="1429"/>
      <c r="X724" s="1429"/>
      <c r="Y724" s="1429"/>
    </row>
    <row r="725" spans="1:25">
      <c r="A725" s="1428"/>
      <c r="B725" s="1428"/>
      <c r="C725" s="1428"/>
      <c r="D725" s="1428"/>
      <c r="E725" s="1428"/>
      <c r="R725" s="1429"/>
      <c r="S725" s="1429"/>
      <c r="T725" s="1429"/>
      <c r="U725" s="1429"/>
      <c r="V725" s="1429"/>
      <c r="W725" s="1429"/>
      <c r="X725" s="1429"/>
      <c r="Y725" s="1429"/>
    </row>
    <row r="726" spans="1:25">
      <c r="A726" s="1428"/>
      <c r="B726" s="1428"/>
      <c r="C726" s="1428"/>
      <c r="D726" s="1428"/>
      <c r="E726" s="1428"/>
      <c r="R726" s="1429"/>
      <c r="S726" s="1429"/>
      <c r="T726" s="1429"/>
      <c r="U726" s="1429"/>
      <c r="V726" s="1429"/>
      <c r="W726" s="1429"/>
      <c r="X726" s="1429"/>
      <c r="Y726" s="1429"/>
    </row>
    <row r="727" spans="1:25">
      <c r="A727" s="1428"/>
      <c r="B727" s="1428"/>
      <c r="C727" s="1428"/>
      <c r="D727" s="1428"/>
      <c r="E727" s="1428"/>
      <c r="R727" s="1429"/>
      <c r="S727" s="1429"/>
      <c r="T727" s="1429"/>
      <c r="U727" s="1429"/>
      <c r="V727" s="1429"/>
      <c r="W727" s="1429"/>
      <c r="X727" s="1429"/>
      <c r="Y727" s="1429"/>
    </row>
    <row r="728" spans="1:25">
      <c r="A728" s="1428"/>
      <c r="B728" s="1428"/>
      <c r="C728" s="1428"/>
      <c r="D728" s="1428"/>
      <c r="E728" s="1428"/>
      <c r="R728" s="1429"/>
      <c r="S728" s="1429"/>
      <c r="T728" s="1429"/>
      <c r="U728" s="1429"/>
      <c r="V728" s="1429"/>
      <c r="W728" s="1429"/>
      <c r="X728" s="1429"/>
      <c r="Y728" s="1429"/>
    </row>
    <row r="729" spans="1:25">
      <c r="A729" s="1428"/>
      <c r="B729" s="1428"/>
      <c r="C729" s="1428"/>
      <c r="D729" s="1428"/>
      <c r="E729" s="1428"/>
      <c r="R729" s="1429"/>
      <c r="S729" s="1429"/>
      <c r="T729" s="1429"/>
      <c r="U729" s="1429"/>
      <c r="V729" s="1429"/>
      <c r="W729" s="1429"/>
      <c r="X729" s="1429"/>
      <c r="Y729" s="1429"/>
    </row>
    <row r="730" spans="1:25">
      <c r="A730" s="1428"/>
      <c r="B730" s="1428"/>
      <c r="C730" s="1428"/>
      <c r="D730" s="1428"/>
      <c r="E730" s="1428"/>
      <c r="R730" s="1429"/>
      <c r="S730" s="1429"/>
      <c r="T730" s="1429"/>
      <c r="U730" s="1429"/>
      <c r="V730" s="1429"/>
      <c r="W730" s="1429"/>
      <c r="X730" s="1429"/>
      <c r="Y730" s="1429"/>
    </row>
    <row r="731" spans="1:25">
      <c r="A731" s="1428"/>
      <c r="B731" s="1428"/>
      <c r="C731" s="1428"/>
      <c r="D731" s="1428"/>
      <c r="E731" s="1428"/>
      <c r="R731" s="1429"/>
      <c r="S731" s="1429"/>
      <c r="T731" s="1429"/>
      <c r="U731" s="1429"/>
      <c r="V731" s="1429"/>
      <c r="W731" s="1429"/>
      <c r="X731" s="1429"/>
      <c r="Y731" s="1429"/>
    </row>
    <row r="732" spans="1:25">
      <c r="A732" s="1428"/>
      <c r="B732" s="1428"/>
      <c r="C732" s="1428"/>
      <c r="D732" s="1428"/>
      <c r="E732" s="1428"/>
      <c r="R732" s="1429"/>
      <c r="S732" s="1429"/>
      <c r="T732" s="1429"/>
      <c r="U732" s="1429"/>
      <c r="V732" s="1429"/>
      <c r="W732" s="1429"/>
      <c r="X732" s="1429"/>
      <c r="Y732" s="1429"/>
    </row>
    <row r="733" spans="1:25">
      <c r="A733" s="1428"/>
      <c r="B733" s="1428"/>
      <c r="C733" s="1428"/>
      <c r="D733" s="1428"/>
      <c r="E733" s="1428"/>
      <c r="R733" s="1429"/>
      <c r="S733" s="1429"/>
      <c r="T733" s="1429"/>
      <c r="U733" s="1429"/>
      <c r="V733" s="1429"/>
      <c r="W733" s="1429"/>
      <c r="X733" s="1429"/>
      <c r="Y733" s="1429"/>
    </row>
    <row r="734" spans="1:25">
      <c r="A734" s="1428"/>
      <c r="B734" s="1428"/>
      <c r="C734" s="1428"/>
      <c r="D734" s="1428"/>
      <c r="E734" s="1428"/>
      <c r="R734" s="1429"/>
      <c r="S734" s="1429"/>
      <c r="T734" s="1429"/>
      <c r="U734" s="1429"/>
      <c r="V734" s="1429"/>
      <c r="W734" s="1429"/>
      <c r="X734" s="1429"/>
      <c r="Y734" s="1429"/>
    </row>
    <row r="735" spans="1:25">
      <c r="A735" s="1428"/>
      <c r="B735" s="1428"/>
      <c r="C735" s="1428"/>
      <c r="D735" s="1428"/>
      <c r="E735" s="1428"/>
      <c r="R735" s="1429"/>
      <c r="S735" s="1429"/>
      <c r="T735" s="1429"/>
      <c r="U735" s="1429"/>
      <c r="V735" s="1429"/>
      <c r="W735" s="1429"/>
      <c r="X735" s="1429"/>
      <c r="Y735" s="1429"/>
    </row>
    <row r="736" spans="1:25">
      <c r="A736" s="1428"/>
      <c r="B736" s="1428"/>
      <c r="C736" s="1428"/>
      <c r="D736" s="1428"/>
      <c r="E736" s="1428"/>
      <c r="R736" s="1429"/>
      <c r="S736" s="1429"/>
      <c r="T736" s="1429"/>
      <c r="U736" s="1429"/>
      <c r="V736" s="1429"/>
      <c r="W736" s="1429"/>
      <c r="X736" s="1429"/>
      <c r="Y736" s="1429"/>
    </row>
    <row r="737" spans="1:25">
      <c r="A737" s="1428"/>
      <c r="B737" s="1428"/>
      <c r="C737" s="1428"/>
      <c r="D737" s="1428"/>
      <c r="E737" s="1428"/>
      <c r="R737" s="1429"/>
      <c r="S737" s="1429"/>
      <c r="T737" s="1429"/>
      <c r="U737" s="1429"/>
      <c r="V737" s="1429"/>
      <c r="W737" s="1429"/>
      <c r="X737" s="1429"/>
      <c r="Y737" s="1429"/>
    </row>
    <row r="738" spans="1:25">
      <c r="A738" s="1428"/>
      <c r="B738" s="1428"/>
      <c r="C738" s="1428"/>
      <c r="D738" s="1428"/>
      <c r="E738" s="1428"/>
      <c r="R738" s="1429"/>
      <c r="S738" s="1429"/>
      <c r="T738" s="1429"/>
      <c r="U738" s="1429"/>
      <c r="V738" s="1429"/>
      <c r="W738" s="1429"/>
      <c r="X738" s="1429"/>
      <c r="Y738" s="1429"/>
    </row>
    <row r="739" spans="1:25">
      <c r="A739" s="1428"/>
      <c r="B739" s="1428"/>
      <c r="C739" s="1428"/>
      <c r="D739" s="1428"/>
      <c r="E739" s="1428"/>
      <c r="R739" s="1429"/>
      <c r="S739" s="1429"/>
      <c r="T739" s="1429"/>
      <c r="U739" s="1429"/>
      <c r="V739" s="1429"/>
      <c r="W739" s="1429"/>
      <c r="X739" s="1429"/>
      <c r="Y739" s="1429"/>
    </row>
    <row r="740" spans="1:25">
      <c r="A740" s="1428"/>
      <c r="B740" s="1428"/>
      <c r="C740" s="1428"/>
      <c r="D740" s="1428"/>
      <c r="E740" s="1428"/>
      <c r="R740" s="1429"/>
      <c r="S740" s="1429"/>
      <c r="T740" s="1429"/>
      <c r="U740" s="1429"/>
      <c r="V740" s="1429"/>
      <c r="W740" s="1429"/>
      <c r="X740" s="1429"/>
      <c r="Y740" s="1429"/>
    </row>
    <row r="741" spans="1:25">
      <c r="A741" s="1428"/>
      <c r="B741" s="1428"/>
      <c r="C741" s="1428"/>
      <c r="D741" s="1428"/>
      <c r="E741" s="1428"/>
      <c r="R741" s="1429"/>
      <c r="S741" s="1429"/>
      <c r="T741" s="1429"/>
      <c r="U741" s="1429"/>
      <c r="V741" s="1429"/>
      <c r="W741" s="1429"/>
      <c r="X741" s="1429"/>
      <c r="Y741" s="1429"/>
    </row>
    <row r="742" spans="1:25">
      <c r="A742" s="1428"/>
      <c r="B742" s="1428"/>
      <c r="C742" s="1428"/>
      <c r="D742" s="1428"/>
      <c r="E742" s="1428"/>
      <c r="R742" s="1429"/>
      <c r="S742" s="1429"/>
      <c r="T742" s="1429"/>
      <c r="U742" s="1429"/>
      <c r="V742" s="1429"/>
      <c r="W742" s="1429"/>
      <c r="X742" s="1429"/>
      <c r="Y742" s="1429"/>
    </row>
    <row r="743" spans="1:25">
      <c r="A743" s="1428"/>
      <c r="B743" s="1428"/>
      <c r="C743" s="1428"/>
      <c r="D743" s="1428"/>
      <c r="E743" s="1428"/>
      <c r="R743" s="1429"/>
      <c r="S743" s="1429"/>
      <c r="T743" s="1429"/>
      <c r="U743" s="1429"/>
      <c r="V743" s="1429"/>
      <c r="W743" s="1429"/>
      <c r="X743" s="1429"/>
      <c r="Y743" s="1429"/>
    </row>
    <row r="744" spans="1:25">
      <c r="A744" s="1428"/>
      <c r="B744" s="1428"/>
      <c r="C744" s="1428"/>
      <c r="D744" s="1428"/>
      <c r="E744" s="1428"/>
      <c r="R744" s="1429"/>
      <c r="S744" s="1429"/>
      <c r="T744" s="1429"/>
      <c r="U744" s="1429"/>
      <c r="V744" s="1429"/>
      <c r="W744" s="1429"/>
      <c r="X744" s="1429"/>
      <c r="Y744" s="1429"/>
    </row>
    <row r="745" spans="1:25">
      <c r="A745" s="1428"/>
      <c r="B745" s="1428"/>
      <c r="C745" s="1428"/>
      <c r="D745" s="1428"/>
      <c r="E745" s="1428"/>
      <c r="R745" s="1429"/>
      <c r="S745" s="1429"/>
      <c r="T745" s="1429"/>
      <c r="U745" s="1429"/>
      <c r="V745" s="1429"/>
      <c r="W745" s="1429"/>
      <c r="X745" s="1429"/>
      <c r="Y745" s="1429"/>
    </row>
    <row r="746" spans="1:25">
      <c r="A746" s="1428"/>
      <c r="B746" s="1428"/>
      <c r="C746" s="1428"/>
      <c r="D746" s="1428"/>
      <c r="E746" s="1428"/>
      <c r="R746" s="1429"/>
      <c r="S746" s="1429"/>
      <c r="T746" s="1429"/>
      <c r="U746" s="1429"/>
      <c r="V746" s="1429"/>
      <c r="W746" s="1429"/>
      <c r="X746" s="1429"/>
      <c r="Y746" s="1429"/>
    </row>
    <row r="747" spans="1:25">
      <c r="A747" s="1428"/>
      <c r="B747" s="1428"/>
      <c r="C747" s="1428"/>
      <c r="D747" s="1428"/>
      <c r="E747" s="1428"/>
      <c r="R747" s="1429"/>
      <c r="S747" s="1429"/>
      <c r="T747" s="1429"/>
      <c r="U747" s="1429"/>
      <c r="V747" s="1429"/>
      <c r="W747" s="1429"/>
      <c r="X747" s="1429"/>
      <c r="Y747" s="1429"/>
    </row>
    <row r="748" spans="1:25">
      <c r="A748" s="1428"/>
      <c r="B748" s="1428"/>
      <c r="C748" s="1428"/>
      <c r="D748" s="1428"/>
      <c r="E748" s="1428"/>
      <c r="R748" s="1429"/>
      <c r="S748" s="1429"/>
      <c r="T748" s="1429"/>
      <c r="U748" s="1429"/>
      <c r="V748" s="1429"/>
      <c r="W748" s="1429"/>
      <c r="X748" s="1429"/>
      <c r="Y748" s="1429"/>
    </row>
    <row r="749" spans="1:25">
      <c r="A749" s="1428"/>
      <c r="B749" s="1428"/>
      <c r="C749" s="1428"/>
      <c r="D749" s="1428"/>
      <c r="E749" s="1428"/>
      <c r="R749" s="1429"/>
      <c r="S749" s="1429"/>
      <c r="T749" s="1429"/>
      <c r="U749" s="1429"/>
      <c r="V749" s="1429"/>
      <c r="W749" s="1429"/>
      <c r="X749" s="1429"/>
      <c r="Y749" s="1429"/>
    </row>
    <row r="750" spans="1:25">
      <c r="A750" s="1428"/>
      <c r="B750" s="1428"/>
      <c r="C750" s="1428"/>
      <c r="D750" s="1428"/>
      <c r="E750" s="1428"/>
      <c r="R750" s="1429"/>
      <c r="S750" s="1429"/>
      <c r="T750" s="1429"/>
      <c r="U750" s="1429"/>
      <c r="V750" s="1429"/>
      <c r="W750" s="1429"/>
      <c r="X750" s="1429"/>
      <c r="Y750" s="1429"/>
    </row>
    <row r="751" spans="1:25">
      <c r="A751" s="1428"/>
      <c r="B751" s="1428"/>
      <c r="C751" s="1428"/>
      <c r="D751" s="1428"/>
      <c r="E751" s="1428"/>
      <c r="R751" s="1429"/>
      <c r="S751" s="1429"/>
      <c r="T751" s="1429"/>
      <c r="U751" s="1429"/>
      <c r="V751" s="1429"/>
      <c r="W751" s="1429"/>
      <c r="X751" s="1429"/>
      <c r="Y751" s="1429"/>
    </row>
    <row r="752" spans="1:25">
      <c r="A752" s="1428"/>
      <c r="B752" s="1428"/>
      <c r="C752" s="1428"/>
      <c r="D752" s="1428"/>
      <c r="E752" s="1428"/>
      <c r="R752" s="1429"/>
      <c r="S752" s="1429"/>
      <c r="T752" s="1429"/>
      <c r="U752" s="1429"/>
      <c r="V752" s="1429"/>
      <c r="W752" s="1429"/>
      <c r="X752" s="1429"/>
      <c r="Y752" s="1429"/>
    </row>
    <row r="753" spans="1:25">
      <c r="A753" s="1428"/>
      <c r="B753" s="1428"/>
      <c r="C753" s="1428"/>
      <c r="D753" s="1428"/>
      <c r="E753" s="1428"/>
      <c r="R753" s="1429"/>
      <c r="S753" s="1429"/>
      <c r="T753" s="1429"/>
      <c r="U753" s="1429"/>
      <c r="V753" s="1429"/>
      <c r="W753" s="1429"/>
      <c r="X753" s="1429"/>
      <c r="Y753" s="1429"/>
    </row>
    <row r="754" spans="1:25">
      <c r="A754" s="1428"/>
      <c r="B754" s="1428"/>
      <c r="C754" s="1428"/>
      <c r="D754" s="1428"/>
      <c r="E754" s="1428"/>
      <c r="R754" s="1429"/>
      <c r="S754" s="1429"/>
      <c r="T754" s="1429"/>
      <c r="U754" s="1429"/>
      <c r="V754" s="1429"/>
      <c r="W754" s="1429"/>
      <c r="X754" s="1429"/>
      <c r="Y754" s="1429"/>
    </row>
    <row r="755" spans="1:25">
      <c r="A755" s="1428"/>
      <c r="B755" s="1428"/>
      <c r="C755" s="1428"/>
      <c r="D755" s="1428"/>
      <c r="E755" s="1428"/>
      <c r="R755" s="1429"/>
      <c r="S755" s="1429"/>
      <c r="T755" s="1429"/>
      <c r="U755" s="1429"/>
      <c r="V755" s="1429"/>
      <c r="W755" s="1429"/>
      <c r="X755" s="1429"/>
      <c r="Y755" s="1429"/>
    </row>
    <row r="756" spans="1:25">
      <c r="A756" s="1428"/>
      <c r="B756" s="1428"/>
      <c r="C756" s="1428"/>
      <c r="D756" s="1428"/>
      <c r="E756" s="1428"/>
      <c r="R756" s="1429"/>
      <c r="S756" s="1429"/>
      <c r="T756" s="1429"/>
      <c r="U756" s="1429"/>
      <c r="V756" s="1429"/>
      <c r="W756" s="1429"/>
      <c r="X756" s="1429"/>
      <c r="Y756" s="1429"/>
    </row>
    <row r="757" spans="1:25">
      <c r="A757" s="1428"/>
      <c r="B757" s="1428"/>
      <c r="C757" s="1428"/>
      <c r="D757" s="1428"/>
      <c r="E757" s="1428"/>
      <c r="R757" s="1429"/>
      <c r="S757" s="1429"/>
      <c r="T757" s="1429"/>
      <c r="U757" s="1429"/>
      <c r="V757" s="1429"/>
      <c r="W757" s="1429"/>
      <c r="X757" s="1429"/>
      <c r="Y757" s="1429"/>
    </row>
    <row r="758" spans="1:25">
      <c r="A758" s="1428"/>
      <c r="B758" s="1428"/>
      <c r="C758" s="1428"/>
      <c r="D758" s="1428"/>
      <c r="E758" s="1428"/>
      <c r="R758" s="1429"/>
      <c r="S758" s="1429"/>
      <c r="T758" s="1429"/>
      <c r="U758" s="1429"/>
      <c r="V758" s="1429"/>
      <c r="W758" s="1429"/>
      <c r="X758" s="1429"/>
      <c r="Y758" s="1429"/>
    </row>
    <row r="759" spans="1:25">
      <c r="A759" s="1428"/>
      <c r="B759" s="1428"/>
      <c r="C759" s="1428"/>
      <c r="D759" s="1428"/>
      <c r="E759" s="1428"/>
      <c r="R759" s="1429"/>
      <c r="S759" s="1429"/>
      <c r="T759" s="1429"/>
      <c r="U759" s="1429"/>
      <c r="V759" s="1429"/>
      <c r="W759" s="1429"/>
      <c r="X759" s="1429"/>
      <c r="Y759" s="1429"/>
    </row>
    <row r="760" spans="1:25">
      <c r="A760" s="1428"/>
      <c r="B760" s="1428"/>
      <c r="C760" s="1428"/>
      <c r="D760" s="1428"/>
      <c r="E760" s="1428"/>
      <c r="R760" s="1429"/>
      <c r="S760" s="1429"/>
      <c r="T760" s="1429"/>
      <c r="U760" s="1429"/>
      <c r="V760" s="1429"/>
      <c r="W760" s="1429"/>
      <c r="X760" s="1429"/>
      <c r="Y760" s="1429"/>
    </row>
    <row r="761" spans="1:25">
      <c r="A761" s="1428"/>
      <c r="B761" s="1428"/>
      <c r="C761" s="1428"/>
      <c r="D761" s="1428"/>
      <c r="E761" s="1428"/>
      <c r="R761" s="1429"/>
      <c r="S761" s="1429"/>
      <c r="T761" s="1429"/>
      <c r="U761" s="1429"/>
      <c r="V761" s="1429"/>
      <c r="W761" s="1429"/>
      <c r="X761" s="1429"/>
      <c r="Y761" s="1429"/>
    </row>
    <row r="762" spans="1:25">
      <c r="A762" s="1428"/>
      <c r="B762" s="1428"/>
      <c r="C762" s="1428"/>
      <c r="D762" s="1428"/>
      <c r="E762" s="1428"/>
      <c r="R762" s="1429"/>
      <c r="S762" s="1429"/>
      <c r="T762" s="1429"/>
      <c r="U762" s="1429"/>
      <c r="V762" s="1429"/>
      <c r="W762" s="1429"/>
      <c r="X762" s="1429"/>
      <c r="Y762" s="1429"/>
    </row>
    <row r="763" spans="1:25">
      <c r="A763" s="1428"/>
      <c r="B763" s="1428"/>
      <c r="C763" s="1428"/>
      <c r="D763" s="1428"/>
      <c r="E763" s="1428"/>
      <c r="R763" s="1429"/>
      <c r="S763" s="1429"/>
      <c r="T763" s="1429"/>
      <c r="U763" s="1429"/>
      <c r="V763" s="1429"/>
      <c r="W763" s="1429"/>
      <c r="X763" s="1429"/>
      <c r="Y763" s="1429"/>
    </row>
    <row r="764" spans="1:25">
      <c r="A764" s="1428"/>
      <c r="B764" s="1428"/>
      <c r="C764" s="1428"/>
      <c r="D764" s="1428"/>
      <c r="E764" s="1428"/>
      <c r="R764" s="1429"/>
      <c r="S764" s="1429"/>
      <c r="T764" s="1429"/>
      <c r="U764" s="1429"/>
      <c r="V764" s="1429"/>
      <c r="W764" s="1429"/>
      <c r="X764" s="1429"/>
      <c r="Y764" s="1429"/>
    </row>
    <row r="765" spans="1:25">
      <c r="A765" s="1428"/>
      <c r="B765" s="1428"/>
      <c r="C765" s="1428"/>
      <c r="D765" s="1428"/>
      <c r="E765" s="1428"/>
      <c r="R765" s="1429"/>
      <c r="S765" s="1429"/>
      <c r="T765" s="1429"/>
      <c r="U765" s="1429"/>
      <c r="V765" s="1429"/>
      <c r="W765" s="1429"/>
      <c r="X765" s="1429"/>
      <c r="Y765" s="1429"/>
    </row>
    <row r="766" spans="1:25">
      <c r="A766" s="1428"/>
      <c r="B766" s="1428"/>
      <c r="C766" s="1428"/>
      <c r="D766" s="1428"/>
      <c r="E766" s="1428"/>
      <c r="R766" s="1429"/>
      <c r="S766" s="1429"/>
      <c r="T766" s="1429"/>
      <c r="U766" s="1429"/>
      <c r="V766" s="1429"/>
      <c r="W766" s="1429"/>
      <c r="X766" s="1429"/>
      <c r="Y766" s="1429"/>
    </row>
    <row r="767" spans="1:25">
      <c r="A767" s="1428"/>
      <c r="B767" s="1428"/>
      <c r="C767" s="1428"/>
      <c r="D767" s="1428"/>
      <c r="E767" s="1428"/>
      <c r="R767" s="1429"/>
      <c r="S767" s="1429"/>
      <c r="T767" s="1429"/>
      <c r="U767" s="1429"/>
      <c r="V767" s="1429"/>
      <c r="W767" s="1429"/>
      <c r="X767" s="1429"/>
      <c r="Y767" s="1429"/>
    </row>
    <row r="768" spans="1:25">
      <c r="A768" s="1428"/>
      <c r="B768" s="1428"/>
      <c r="C768" s="1428"/>
      <c r="D768" s="1428"/>
      <c r="E768" s="1428"/>
      <c r="R768" s="1429"/>
      <c r="S768" s="1429"/>
      <c r="T768" s="1429"/>
      <c r="U768" s="1429"/>
      <c r="V768" s="1429"/>
      <c r="W768" s="1429"/>
      <c r="X768" s="1429"/>
      <c r="Y768" s="1429"/>
    </row>
    <row r="769" spans="1:25">
      <c r="A769" s="1428"/>
      <c r="B769" s="1428"/>
      <c r="C769" s="1428"/>
      <c r="D769" s="1428"/>
      <c r="E769" s="1428"/>
      <c r="R769" s="1429"/>
      <c r="S769" s="1429"/>
      <c r="T769" s="1429"/>
      <c r="U769" s="1429"/>
      <c r="V769" s="1429"/>
      <c r="W769" s="1429"/>
      <c r="X769" s="1429"/>
      <c r="Y769" s="1429"/>
    </row>
    <row r="770" spans="1:25">
      <c r="A770" s="1428"/>
      <c r="B770" s="1428"/>
      <c r="C770" s="1428"/>
      <c r="D770" s="1428"/>
      <c r="E770" s="1428"/>
      <c r="R770" s="1429"/>
      <c r="S770" s="1429"/>
      <c r="T770" s="1429"/>
      <c r="U770" s="1429"/>
      <c r="V770" s="1429"/>
      <c r="W770" s="1429"/>
      <c r="X770" s="1429"/>
      <c r="Y770" s="1429"/>
    </row>
    <row r="771" spans="1:25">
      <c r="A771" s="1428"/>
      <c r="B771" s="1428"/>
      <c r="C771" s="1428"/>
      <c r="D771" s="1428"/>
      <c r="E771" s="1428"/>
      <c r="R771" s="1429"/>
      <c r="S771" s="1429"/>
      <c r="T771" s="1429"/>
      <c r="U771" s="1429"/>
      <c r="V771" s="1429"/>
      <c r="W771" s="1429"/>
      <c r="X771" s="1429"/>
      <c r="Y771" s="1429"/>
    </row>
    <row r="772" spans="1:25">
      <c r="A772" s="1428"/>
      <c r="B772" s="1428"/>
      <c r="C772" s="1428"/>
      <c r="D772" s="1428"/>
      <c r="E772" s="1428"/>
      <c r="R772" s="1429"/>
      <c r="S772" s="1429"/>
      <c r="T772" s="1429"/>
      <c r="U772" s="1429"/>
      <c r="V772" s="1429"/>
      <c r="W772" s="1429"/>
      <c r="X772" s="1429"/>
      <c r="Y772" s="1429"/>
    </row>
    <row r="773" spans="1:25">
      <c r="A773" s="1428"/>
      <c r="B773" s="1428"/>
      <c r="C773" s="1428"/>
      <c r="D773" s="1428"/>
      <c r="E773" s="1428"/>
      <c r="R773" s="1429"/>
      <c r="S773" s="1429"/>
      <c r="T773" s="1429"/>
      <c r="U773" s="1429"/>
      <c r="V773" s="1429"/>
      <c r="W773" s="1429"/>
      <c r="X773" s="1429"/>
      <c r="Y773" s="1429"/>
    </row>
    <row r="774" spans="1:25">
      <c r="A774" s="1428"/>
      <c r="B774" s="1428"/>
      <c r="C774" s="1428"/>
      <c r="D774" s="1428"/>
      <c r="E774" s="1428"/>
      <c r="R774" s="1429"/>
      <c r="S774" s="1429"/>
      <c r="T774" s="1429"/>
      <c r="U774" s="1429"/>
      <c r="V774" s="1429"/>
      <c r="W774" s="1429"/>
      <c r="X774" s="1429"/>
      <c r="Y774" s="1429"/>
    </row>
    <row r="775" spans="1:25">
      <c r="A775" s="1428"/>
      <c r="B775" s="1428"/>
      <c r="C775" s="1428"/>
      <c r="D775" s="1428"/>
      <c r="E775" s="1428"/>
      <c r="R775" s="1429"/>
      <c r="S775" s="1429"/>
      <c r="T775" s="1429"/>
      <c r="U775" s="1429"/>
      <c r="V775" s="1429"/>
      <c r="W775" s="1429"/>
      <c r="X775" s="1429"/>
      <c r="Y775" s="1429"/>
    </row>
    <row r="776" spans="1:25">
      <c r="A776" s="1428"/>
      <c r="B776" s="1428"/>
      <c r="C776" s="1428"/>
      <c r="D776" s="1428"/>
      <c r="E776" s="1428"/>
      <c r="R776" s="1429"/>
      <c r="S776" s="1429"/>
      <c r="T776" s="1429"/>
      <c r="U776" s="1429"/>
      <c r="V776" s="1429"/>
      <c r="W776" s="1429"/>
      <c r="X776" s="1429"/>
      <c r="Y776" s="1429"/>
    </row>
    <row r="777" spans="1:25">
      <c r="A777" s="1428"/>
      <c r="B777" s="1428"/>
      <c r="C777" s="1428"/>
      <c r="D777" s="1428"/>
      <c r="E777" s="1428"/>
      <c r="R777" s="1429"/>
      <c r="S777" s="1429"/>
      <c r="T777" s="1429"/>
      <c r="U777" s="1429"/>
      <c r="V777" s="1429"/>
      <c r="W777" s="1429"/>
      <c r="X777" s="1429"/>
      <c r="Y777" s="1429"/>
    </row>
    <row r="778" spans="1:25">
      <c r="A778" s="1428"/>
      <c r="B778" s="1428"/>
      <c r="C778" s="1428"/>
      <c r="D778" s="1428"/>
      <c r="E778" s="1428"/>
      <c r="R778" s="1429"/>
      <c r="S778" s="1429"/>
      <c r="T778" s="1429"/>
      <c r="U778" s="1429"/>
      <c r="V778" s="1429"/>
      <c r="W778" s="1429"/>
      <c r="X778" s="1429"/>
      <c r="Y778" s="1429"/>
    </row>
    <row r="779" spans="1:25">
      <c r="A779" s="1428"/>
      <c r="B779" s="1428"/>
      <c r="C779" s="1428"/>
      <c r="D779" s="1428"/>
      <c r="E779" s="1428"/>
      <c r="R779" s="1429"/>
      <c r="S779" s="1429"/>
      <c r="T779" s="1429"/>
      <c r="U779" s="1429"/>
      <c r="V779" s="1429"/>
      <c r="W779" s="1429"/>
      <c r="X779" s="1429"/>
      <c r="Y779" s="1429"/>
    </row>
    <row r="780" spans="1:25">
      <c r="A780" s="1428"/>
      <c r="B780" s="1428"/>
      <c r="C780" s="1428"/>
      <c r="D780" s="1428"/>
      <c r="E780" s="1428"/>
      <c r="R780" s="1429"/>
      <c r="S780" s="1429"/>
      <c r="T780" s="1429"/>
      <c r="U780" s="1429"/>
      <c r="V780" s="1429"/>
      <c r="W780" s="1429"/>
      <c r="X780" s="1429"/>
      <c r="Y780" s="1429"/>
    </row>
    <row r="781" spans="1:25">
      <c r="A781" s="1428"/>
      <c r="B781" s="1428"/>
      <c r="C781" s="1428"/>
      <c r="D781" s="1428"/>
      <c r="E781" s="1428"/>
      <c r="R781" s="1429"/>
      <c r="S781" s="1429"/>
      <c r="T781" s="1429"/>
      <c r="U781" s="1429"/>
      <c r="V781" s="1429"/>
      <c r="W781" s="1429"/>
      <c r="X781" s="1429"/>
      <c r="Y781" s="1429"/>
    </row>
    <row r="782" spans="1:25">
      <c r="A782" s="1428"/>
      <c r="B782" s="1428"/>
      <c r="C782" s="1428"/>
      <c r="D782" s="1428"/>
      <c r="E782" s="1428"/>
      <c r="R782" s="1429"/>
      <c r="S782" s="1429"/>
      <c r="T782" s="1429"/>
      <c r="U782" s="1429"/>
      <c r="V782" s="1429"/>
      <c r="W782" s="1429"/>
      <c r="X782" s="1429"/>
      <c r="Y782" s="1429"/>
    </row>
    <row r="783" spans="1:25">
      <c r="A783" s="1428"/>
      <c r="B783" s="1428"/>
      <c r="C783" s="1428"/>
      <c r="D783" s="1428"/>
      <c r="E783" s="1428"/>
      <c r="R783" s="1429"/>
      <c r="S783" s="1429"/>
      <c r="T783" s="1429"/>
      <c r="U783" s="1429"/>
      <c r="V783" s="1429"/>
      <c r="W783" s="1429"/>
      <c r="X783" s="1429"/>
      <c r="Y783" s="1429"/>
    </row>
    <row r="784" spans="1:25">
      <c r="A784" s="1428"/>
      <c r="B784" s="1428"/>
      <c r="C784" s="1428"/>
      <c r="D784" s="1428"/>
      <c r="E784" s="1428"/>
      <c r="R784" s="1429"/>
      <c r="S784" s="1429"/>
      <c r="T784" s="1429"/>
      <c r="U784" s="1429"/>
      <c r="V784" s="1429"/>
      <c r="W784" s="1429"/>
      <c r="X784" s="1429"/>
      <c r="Y784" s="1429"/>
    </row>
    <row r="785" spans="1:25">
      <c r="A785" s="1428"/>
      <c r="B785" s="1428"/>
      <c r="C785" s="1428"/>
      <c r="D785" s="1428"/>
      <c r="E785" s="1428"/>
      <c r="R785" s="1429"/>
      <c r="S785" s="1429"/>
      <c r="T785" s="1429"/>
      <c r="U785" s="1429"/>
      <c r="V785" s="1429"/>
      <c r="W785" s="1429"/>
      <c r="X785" s="1429"/>
      <c r="Y785" s="1429"/>
    </row>
    <row r="786" spans="1:25">
      <c r="A786" s="1428"/>
      <c r="B786" s="1428"/>
      <c r="C786" s="1428"/>
      <c r="D786" s="1428"/>
      <c r="E786" s="1428"/>
      <c r="R786" s="1429"/>
      <c r="S786" s="1429"/>
      <c r="T786" s="1429"/>
      <c r="U786" s="1429"/>
      <c r="V786" s="1429"/>
      <c r="W786" s="1429"/>
      <c r="X786" s="1429"/>
      <c r="Y786" s="1429"/>
    </row>
    <row r="787" spans="1:25">
      <c r="A787" s="1428"/>
      <c r="B787" s="1428"/>
      <c r="C787" s="1428"/>
      <c r="D787" s="1428"/>
      <c r="E787" s="1428"/>
      <c r="R787" s="1429"/>
      <c r="S787" s="1429"/>
      <c r="T787" s="1429"/>
      <c r="U787" s="1429"/>
      <c r="V787" s="1429"/>
      <c r="W787" s="1429"/>
      <c r="X787" s="1429"/>
      <c r="Y787" s="1429"/>
    </row>
    <row r="788" spans="1:25">
      <c r="A788" s="1428"/>
      <c r="B788" s="1428"/>
      <c r="C788" s="1428"/>
      <c r="D788" s="1428"/>
      <c r="E788" s="1428"/>
      <c r="R788" s="1429"/>
      <c r="S788" s="1429"/>
      <c r="T788" s="1429"/>
      <c r="U788" s="1429"/>
      <c r="V788" s="1429"/>
      <c r="W788" s="1429"/>
      <c r="X788" s="1429"/>
      <c r="Y788" s="1429"/>
    </row>
    <row r="789" spans="1:25">
      <c r="A789" s="1428"/>
      <c r="B789" s="1428"/>
      <c r="C789" s="1428"/>
      <c r="D789" s="1428"/>
      <c r="E789" s="1428"/>
      <c r="R789" s="1429"/>
      <c r="S789" s="1429"/>
      <c r="T789" s="1429"/>
      <c r="U789" s="1429"/>
      <c r="V789" s="1429"/>
      <c r="W789" s="1429"/>
      <c r="X789" s="1429"/>
      <c r="Y789" s="1429"/>
    </row>
    <row r="790" spans="1:25">
      <c r="A790" s="1428"/>
      <c r="B790" s="1428"/>
      <c r="C790" s="1428"/>
      <c r="D790" s="1428"/>
      <c r="E790" s="1428"/>
      <c r="R790" s="1429"/>
      <c r="S790" s="1429"/>
      <c r="T790" s="1429"/>
      <c r="U790" s="1429"/>
      <c r="V790" s="1429"/>
      <c r="W790" s="1429"/>
      <c r="X790" s="1429"/>
      <c r="Y790" s="1429"/>
    </row>
    <row r="791" spans="1:25">
      <c r="A791" s="1428"/>
      <c r="B791" s="1428"/>
      <c r="C791" s="1428"/>
      <c r="D791" s="1428"/>
      <c r="E791" s="1428"/>
      <c r="R791" s="1429"/>
      <c r="S791" s="1429"/>
      <c r="T791" s="1429"/>
      <c r="U791" s="1429"/>
      <c r="V791" s="1429"/>
      <c r="W791" s="1429"/>
      <c r="X791" s="1429"/>
      <c r="Y791" s="1429"/>
    </row>
    <row r="792" spans="1:25">
      <c r="A792" s="1428"/>
      <c r="B792" s="1428"/>
      <c r="C792" s="1428"/>
      <c r="D792" s="1428"/>
      <c r="E792" s="1428"/>
      <c r="R792" s="1429"/>
      <c r="S792" s="1429"/>
      <c r="T792" s="1429"/>
      <c r="U792" s="1429"/>
      <c r="V792" s="1429"/>
      <c r="W792" s="1429"/>
      <c r="X792" s="1429"/>
      <c r="Y792" s="1429"/>
    </row>
    <row r="793" spans="1:25">
      <c r="A793" s="1428"/>
      <c r="B793" s="1428"/>
      <c r="C793" s="1428"/>
      <c r="D793" s="1428"/>
      <c r="E793" s="1428"/>
      <c r="R793" s="1429"/>
      <c r="S793" s="1429"/>
      <c r="T793" s="1429"/>
      <c r="U793" s="1429"/>
      <c r="V793" s="1429"/>
      <c r="W793" s="1429"/>
      <c r="X793" s="1429"/>
      <c r="Y793" s="1429"/>
    </row>
    <row r="794" spans="1:25">
      <c r="A794" s="1428"/>
      <c r="B794" s="1428"/>
      <c r="C794" s="1428"/>
      <c r="D794" s="1428"/>
      <c r="E794" s="1428"/>
      <c r="R794" s="1429"/>
      <c r="S794" s="1429"/>
      <c r="T794" s="1429"/>
      <c r="U794" s="1429"/>
      <c r="V794" s="1429"/>
      <c r="W794" s="1429"/>
      <c r="X794" s="1429"/>
      <c r="Y794" s="1429"/>
    </row>
    <row r="795" spans="1:25">
      <c r="A795" s="1428"/>
      <c r="B795" s="1428"/>
      <c r="C795" s="1428"/>
      <c r="D795" s="1428"/>
      <c r="E795" s="1428"/>
      <c r="R795" s="1429"/>
      <c r="S795" s="1429"/>
      <c r="T795" s="1429"/>
      <c r="U795" s="1429"/>
      <c r="V795" s="1429"/>
      <c r="W795" s="1429"/>
      <c r="X795" s="1429"/>
      <c r="Y795" s="1429"/>
    </row>
    <row r="796" spans="1:25">
      <c r="A796" s="1428"/>
      <c r="B796" s="1428"/>
      <c r="C796" s="1428"/>
      <c r="D796" s="1428"/>
      <c r="E796" s="1428"/>
      <c r="R796" s="1429"/>
      <c r="S796" s="1429"/>
      <c r="T796" s="1429"/>
      <c r="U796" s="1429"/>
      <c r="V796" s="1429"/>
      <c r="W796" s="1429"/>
      <c r="X796" s="1429"/>
      <c r="Y796" s="1429"/>
    </row>
    <row r="797" spans="1:25">
      <c r="A797" s="1428"/>
      <c r="B797" s="1428"/>
      <c r="C797" s="1428"/>
      <c r="D797" s="1428"/>
      <c r="E797" s="1428"/>
      <c r="R797" s="1429"/>
      <c r="S797" s="1429"/>
      <c r="T797" s="1429"/>
      <c r="U797" s="1429"/>
      <c r="V797" s="1429"/>
      <c r="W797" s="1429"/>
      <c r="X797" s="1429"/>
      <c r="Y797" s="1429"/>
    </row>
    <row r="798" spans="1:25">
      <c r="A798" s="1428"/>
      <c r="B798" s="1428"/>
      <c r="C798" s="1428"/>
      <c r="D798" s="1428"/>
      <c r="E798" s="1428"/>
      <c r="R798" s="1429"/>
      <c r="S798" s="1429"/>
      <c r="T798" s="1429"/>
      <c r="U798" s="1429"/>
      <c r="V798" s="1429"/>
      <c r="W798" s="1429"/>
      <c r="X798" s="1429"/>
      <c r="Y798" s="1429"/>
    </row>
    <row r="799" spans="1:25">
      <c r="A799" s="1428"/>
      <c r="B799" s="1428"/>
      <c r="C799" s="1428"/>
      <c r="D799" s="1428"/>
      <c r="E799" s="1428"/>
      <c r="R799" s="1429"/>
      <c r="S799" s="1429"/>
      <c r="T799" s="1429"/>
      <c r="U799" s="1429"/>
      <c r="V799" s="1429"/>
      <c r="W799" s="1429"/>
      <c r="X799" s="1429"/>
      <c r="Y799" s="1429"/>
    </row>
    <row r="800" spans="1:25">
      <c r="A800" s="1428"/>
      <c r="B800" s="1428"/>
      <c r="C800" s="1428"/>
      <c r="D800" s="1428"/>
      <c r="E800" s="1428"/>
      <c r="R800" s="1429"/>
      <c r="S800" s="1429"/>
      <c r="T800" s="1429"/>
      <c r="U800" s="1429"/>
      <c r="V800" s="1429"/>
      <c r="W800" s="1429"/>
      <c r="X800" s="1429"/>
      <c r="Y800" s="1429"/>
    </row>
    <row r="801" spans="1:25">
      <c r="A801" s="1428"/>
      <c r="B801" s="1428"/>
      <c r="C801" s="1428"/>
      <c r="D801" s="1428"/>
      <c r="E801" s="1428"/>
      <c r="R801" s="1429"/>
      <c r="S801" s="1429"/>
      <c r="T801" s="1429"/>
      <c r="U801" s="1429"/>
      <c r="V801" s="1429"/>
      <c r="W801" s="1429"/>
      <c r="X801" s="1429"/>
      <c r="Y801" s="1429"/>
    </row>
    <row r="802" spans="1:25">
      <c r="A802" s="1428"/>
      <c r="B802" s="1428"/>
      <c r="C802" s="1428"/>
      <c r="D802" s="1428"/>
      <c r="E802" s="1428"/>
      <c r="R802" s="1429"/>
      <c r="S802" s="1429"/>
      <c r="T802" s="1429"/>
      <c r="U802" s="1429"/>
      <c r="V802" s="1429"/>
      <c r="W802" s="1429"/>
      <c r="X802" s="1429"/>
      <c r="Y802" s="1429"/>
    </row>
    <row r="803" spans="1:25">
      <c r="A803" s="1428"/>
      <c r="B803" s="1428"/>
      <c r="C803" s="1428"/>
      <c r="D803" s="1428"/>
      <c r="E803" s="1428"/>
      <c r="R803" s="1429"/>
      <c r="S803" s="1429"/>
      <c r="T803" s="1429"/>
      <c r="U803" s="1429"/>
      <c r="V803" s="1429"/>
      <c r="W803" s="1429"/>
      <c r="X803" s="1429"/>
      <c r="Y803" s="1429"/>
    </row>
    <row r="804" spans="1:25">
      <c r="A804" s="1428"/>
      <c r="B804" s="1428"/>
      <c r="C804" s="1428"/>
      <c r="D804" s="1428"/>
      <c r="E804" s="1428"/>
      <c r="R804" s="1429"/>
      <c r="S804" s="1429"/>
      <c r="T804" s="1429"/>
      <c r="U804" s="1429"/>
      <c r="V804" s="1429"/>
      <c r="W804" s="1429"/>
      <c r="X804" s="1429"/>
      <c r="Y804" s="1429"/>
    </row>
    <row r="805" spans="1:25">
      <c r="A805" s="1428"/>
      <c r="B805" s="1428"/>
      <c r="C805" s="1428"/>
      <c r="D805" s="1428"/>
      <c r="E805" s="1428"/>
      <c r="R805" s="1429"/>
      <c r="S805" s="1429"/>
      <c r="T805" s="1429"/>
      <c r="U805" s="1429"/>
      <c r="V805" s="1429"/>
      <c r="W805" s="1429"/>
      <c r="X805" s="1429"/>
      <c r="Y805" s="1429"/>
    </row>
    <row r="806" spans="1:25">
      <c r="A806" s="1428"/>
      <c r="B806" s="1428"/>
      <c r="C806" s="1428"/>
      <c r="D806" s="1428"/>
      <c r="E806" s="1428"/>
      <c r="R806" s="1429"/>
      <c r="S806" s="1429"/>
      <c r="T806" s="1429"/>
      <c r="U806" s="1429"/>
      <c r="V806" s="1429"/>
      <c r="W806" s="1429"/>
      <c r="X806" s="1429"/>
      <c r="Y806" s="1429"/>
    </row>
    <row r="807" spans="1:25">
      <c r="A807" s="1428"/>
      <c r="B807" s="1428"/>
      <c r="C807" s="1428"/>
      <c r="D807" s="1428"/>
      <c r="E807" s="1428"/>
      <c r="R807" s="1429"/>
      <c r="S807" s="1429"/>
      <c r="T807" s="1429"/>
      <c r="U807" s="1429"/>
      <c r="V807" s="1429"/>
      <c r="W807" s="1429"/>
      <c r="X807" s="1429"/>
      <c r="Y807" s="1429"/>
    </row>
    <row r="808" spans="1:25">
      <c r="A808" s="1428"/>
      <c r="B808" s="1428"/>
      <c r="C808" s="1428"/>
      <c r="D808" s="1428"/>
      <c r="E808" s="1428"/>
      <c r="R808" s="1429"/>
      <c r="S808" s="1429"/>
      <c r="T808" s="1429"/>
      <c r="U808" s="1429"/>
      <c r="V808" s="1429"/>
      <c r="W808" s="1429"/>
      <c r="X808" s="1429"/>
      <c r="Y808" s="1429"/>
    </row>
    <row r="809" spans="1:25">
      <c r="A809" s="1428"/>
      <c r="B809" s="1428"/>
      <c r="C809" s="1428"/>
      <c r="D809" s="1428"/>
      <c r="E809" s="1428"/>
      <c r="R809" s="1429"/>
      <c r="S809" s="1429"/>
      <c r="T809" s="1429"/>
      <c r="U809" s="1429"/>
      <c r="V809" s="1429"/>
      <c r="W809" s="1429"/>
      <c r="X809" s="1429"/>
      <c r="Y809" s="1429"/>
    </row>
    <row r="810" spans="1:25">
      <c r="A810" s="1428"/>
      <c r="B810" s="1428"/>
      <c r="C810" s="1428"/>
      <c r="D810" s="1428"/>
      <c r="E810" s="1428"/>
      <c r="R810" s="1429"/>
      <c r="S810" s="1429"/>
      <c r="T810" s="1429"/>
      <c r="U810" s="1429"/>
      <c r="V810" s="1429"/>
      <c r="W810" s="1429"/>
      <c r="X810" s="1429"/>
      <c r="Y810" s="1429"/>
    </row>
    <row r="811" spans="1:25">
      <c r="A811" s="1428"/>
      <c r="B811" s="1428"/>
      <c r="C811" s="1428"/>
      <c r="D811" s="1428"/>
      <c r="E811" s="1428"/>
      <c r="R811" s="1429"/>
      <c r="S811" s="1429"/>
      <c r="T811" s="1429"/>
      <c r="U811" s="1429"/>
      <c r="V811" s="1429"/>
      <c r="W811" s="1429"/>
      <c r="X811" s="1429"/>
      <c r="Y811" s="1429"/>
    </row>
    <row r="812" spans="1:25">
      <c r="A812" s="1428"/>
      <c r="B812" s="1428"/>
      <c r="C812" s="1428"/>
      <c r="D812" s="1428"/>
      <c r="E812" s="1428"/>
      <c r="R812" s="1429"/>
      <c r="S812" s="1429"/>
      <c r="T812" s="1429"/>
      <c r="U812" s="1429"/>
      <c r="V812" s="1429"/>
      <c r="W812" s="1429"/>
      <c r="X812" s="1429"/>
      <c r="Y812" s="1429"/>
    </row>
    <row r="813" spans="1:25">
      <c r="A813" s="1428"/>
      <c r="B813" s="1428"/>
      <c r="C813" s="1428"/>
      <c r="D813" s="1428"/>
      <c r="E813" s="1428"/>
      <c r="R813" s="1429"/>
      <c r="S813" s="1429"/>
      <c r="T813" s="1429"/>
      <c r="U813" s="1429"/>
      <c r="V813" s="1429"/>
      <c r="W813" s="1429"/>
      <c r="X813" s="1429"/>
      <c r="Y813" s="1429"/>
    </row>
    <row r="814" spans="1:25">
      <c r="A814" s="1428"/>
      <c r="B814" s="1428"/>
      <c r="C814" s="1428"/>
      <c r="D814" s="1428"/>
      <c r="E814" s="1428"/>
      <c r="R814" s="1429"/>
      <c r="S814" s="1429"/>
      <c r="T814" s="1429"/>
      <c r="U814" s="1429"/>
      <c r="V814" s="1429"/>
      <c r="W814" s="1429"/>
      <c r="X814" s="1429"/>
      <c r="Y814" s="1429"/>
    </row>
    <row r="815" spans="1:25">
      <c r="A815" s="1428"/>
      <c r="B815" s="1428"/>
      <c r="C815" s="1428"/>
      <c r="D815" s="1428"/>
      <c r="E815" s="1428"/>
      <c r="R815" s="1429"/>
      <c r="S815" s="1429"/>
      <c r="T815" s="1429"/>
      <c r="U815" s="1429"/>
      <c r="V815" s="1429"/>
      <c r="W815" s="1429"/>
      <c r="X815" s="1429"/>
      <c r="Y815" s="1429"/>
    </row>
    <row r="816" spans="1:25">
      <c r="A816" s="1428"/>
      <c r="B816" s="1428"/>
      <c r="C816" s="1428"/>
      <c r="D816" s="1428"/>
      <c r="E816" s="1428"/>
      <c r="R816" s="1429"/>
      <c r="S816" s="1429"/>
      <c r="T816" s="1429"/>
      <c r="U816" s="1429"/>
      <c r="V816" s="1429"/>
      <c r="W816" s="1429"/>
      <c r="X816" s="1429"/>
      <c r="Y816" s="1429"/>
    </row>
    <row r="817" spans="1:25">
      <c r="A817" s="1428"/>
      <c r="B817" s="1428"/>
      <c r="C817" s="1428"/>
      <c r="D817" s="1428"/>
      <c r="E817" s="1428"/>
      <c r="R817" s="1429"/>
      <c r="S817" s="1429"/>
      <c r="T817" s="1429"/>
      <c r="U817" s="1429"/>
      <c r="V817" s="1429"/>
      <c r="W817" s="1429"/>
      <c r="X817" s="1429"/>
      <c r="Y817" s="1429"/>
    </row>
    <row r="818" spans="1:25">
      <c r="A818" s="1428"/>
      <c r="B818" s="1428"/>
      <c r="C818" s="1428"/>
      <c r="D818" s="1428"/>
      <c r="E818" s="1428"/>
      <c r="R818" s="1429"/>
      <c r="S818" s="1429"/>
      <c r="T818" s="1429"/>
      <c r="U818" s="1429"/>
      <c r="V818" s="1429"/>
      <c r="W818" s="1429"/>
      <c r="X818" s="1429"/>
      <c r="Y818" s="1429"/>
    </row>
    <row r="819" spans="1:25">
      <c r="A819" s="1428"/>
      <c r="B819" s="1428"/>
      <c r="C819" s="1428"/>
      <c r="D819" s="1428"/>
      <c r="E819" s="1428"/>
      <c r="R819" s="1429"/>
      <c r="S819" s="1429"/>
      <c r="T819" s="1429"/>
      <c r="U819" s="1429"/>
      <c r="V819" s="1429"/>
      <c r="W819" s="1429"/>
      <c r="X819" s="1429"/>
      <c r="Y819" s="1429"/>
    </row>
    <row r="820" spans="1:25">
      <c r="A820" s="1428"/>
      <c r="B820" s="1428"/>
      <c r="C820" s="1428"/>
      <c r="D820" s="1428"/>
      <c r="E820" s="1428"/>
      <c r="R820" s="1429"/>
      <c r="S820" s="1429"/>
      <c r="T820" s="1429"/>
      <c r="U820" s="1429"/>
      <c r="V820" s="1429"/>
      <c r="W820" s="1429"/>
      <c r="X820" s="1429"/>
      <c r="Y820" s="1429"/>
    </row>
    <row r="821" spans="1:25">
      <c r="A821" s="1428"/>
      <c r="B821" s="1428"/>
      <c r="C821" s="1428"/>
      <c r="D821" s="1428"/>
      <c r="E821" s="1428"/>
      <c r="R821" s="1429"/>
      <c r="S821" s="1429"/>
      <c r="T821" s="1429"/>
      <c r="U821" s="1429"/>
      <c r="V821" s="1429"/>
      <c r="W821" s="1429"/>
      <c r="X821" s="1429"/>
      <c r="Y821" s="1429"/>
    </row>
    <row r="822" spans="1:25">
      <c r="A822" s="1428"/>
      <c r="B822" s="1428"/>
      <c r="C822" s="1428"/>
      <c r="D822" s="1428"/>
      <c r="E822" s="1428"/>
      <c r="R822" s="1429"/>
      <c r="S822" s="1429"/>
      <c r="T822" s="1429"/>
      <c r="U822" s="1429"/>
      <c r="V822" s="1429"/>
      <c r="W822" s="1429"/>
      <c r="X822" s="1429"/>
      <c r="Y822" s="1429"/>
    </row>
    <row r="823" spans="1:25">
      <c r="A823" s="1428"/>
      <c r="B823" s="1428"/>
      <c r="C823" s="1428"/>
      <c r="D823" s="1428"/>
      <c r="E823" s="1428"/>
      <c r="R823" s="1429"/>
      <c r="S823" s="1429"/>
      <c r="T823" s="1429"/>
      <c r="U823" s="1429"/>
      <c r="V823" s="1429"/>
      <c r="W823" s="1429"/>
      <c r="X823" s="1429"/>
      <c r="Y823" s="1429"/>
    </row>
    <row r="824" spans="1:25">
      <c r="A824" s="1428"/>
      <c r="B824" s="1428"/>
      <c r="C824" s="1428"/>
      <c r="D824" s="1428"/>
      <c r="E824" s="1428"/>
      <c r="R824" s="1429"/>
      <c r="S824" s="1429"/>
      <c r="T824" s="1429"/>
      <c r="U824" s="1429"/>
      <c r="V824" s="1429"/>
      <c r="W824" s="1429"/>
      <c r="X824" s="1429"/>
      <c r="Y824" s="1429"/>
    </row>
    <row r="825" spans="1:25">
      <c r="A825" s="1428"/>
      <c r="B825" s="1428"/>
      <c r="C825" s="1428"/>
      <c r="D825" s="1428"/>
      <c r="E825" s="1428"/>
      <c r="R825" s="1429"/>
      <c r="S825" s="1429"/>
      <c r="T825" s="1429"/>
      <c r="U825" s="1429"/>
      <c r="V825" s="1429"/>
      <c r="W825" s="1429"/>
      <c r="X825" s="1429"/>
      <c r="Y825" s="1429"/>
    </row>
    <row r="826" spans="1:25">
      <c r="A826" s="1428"/>
      <c r="B826" s="1428"/>
      <c r="C826" s="1428"/>
      <c r="D826" s="1428"/>
      <c r="E826" s="1428"/>
      <c r="R826" s="1429"/>
      <c r="S826" s="1429"/>
      <c r="T826" s="1429"/>
      <c r="U826" s="1429"/>
      <c r="V826" s="1429"/>
      <c r="W826" s="1429"/>
      <c r="X826" s="1429"/>
      <c r="Y826" s="1429"/>
    </row>
    <row r="827" spans="1:25">
      <c r="A827" s="1428"/>
      <c r="B827" s="1428"/>
      <c r="C827" s="1428"/>
      <c r="D827" s="1428"/>
      <c r="E827" s="1428"/>
      <c r="R827" s="1429"/>
      <c r="S827" s="1429"/>
      <c r="T827" s="1429"/>
      <c r="U827" s="1429"/>
      <c r="V827" s="1429"/>
      <c r="W827" s="1429"/>
      <c r="X827" s="1429"/>
      <c r="Y827" s="1429"/>
    </row>
    <row r="828" spans="1:25">
      <c r="A828" s="1428"/>
      <c r="B828" s="1428"/>
      <c r="C828" s="1428"/>
      <c r="D828" s="1428"/>
      <c r="E828" s="1428"/>
      <c r="R828" s="1429"/>
      <c r="S828" s="1429"/>
      <c r="T828" s="1429"/>
      <c r="U828" s="1429"/>
      <c r="V828" s="1429"/>
      <c r="W828" s="1429"/>
      <c r="X828" s="1429"/>
      <c r="Y828" s="1429"/>
    </row>
    <row r="829" spans="1:25">
      <c r="A829" s="1428"/>
      <c r="B829" s="1428"/>
      <c r="C829" s="1428"/>
      <c r="D829" s="1428"/>
      <c r="E829" s="1428"/>
      <c r="R829" s="1429"/>
      <c r="S829" s="1429"/>
      <c r="T829" s="1429"/>
      <c r="U829" s="1429"/>
      <c r="V829" s="1429"/>
      <c r="W829" s="1429"/>
      <c r="X829" s="1429"/>
      <c r="Y829" s="1429"/>
    </row>
    <row r="830" spans="1:25">
      <c r="A830" s="1428"/>
      <c r="B830" s="1428"/>
      <c r="C830" s="1428"/>
      <c r="D830" s="1428"/>
      <c r="E830" s="1428"/>
      <c r="R830" s="1429"/>
      <c r="S830" s="1429"/>
      <c r="T830" s="1429"/>
      <c r="U830" s="1429"/>
      <c r="V830" s="1429"/>
      <c r="W830" s="1429"/>
      <c r="X830" s="1429"/>
      <c r="Y830" s="1429"/>
    </row>
    <row r="831" spans="1:25">
      <c r="A831" s="1428"/>
      <c r="B831" s="1428"/>
      <c r="C831" s="1428"/>
      <c r="D831" s="1428"/>
      <c r="E831" s="1428"/>
      <c r="R831" s="1429"/>
      <c r="S831" s="1429"/>
      <c r="T831" s="1429"/>
      <c r="U831" s="1429"/>
      <c r="V831" s="1429"/>
      <c r="W831" s="1429"/>
      <c r="X831" s="1429"/>
      <c r="Y831" s="1429"/>
    </row>
    <row r="832" spans="1:25">
      <c r="A832" s="1428"/>
      <c r="B832" s="1428"/>
      <c r="C832" s="1428"/>
      <c r="D832" s="1428"/>
      <c r="E832" s="1428"/>
      <c r="R832" s="1429"/>
      <c r="S832" s="1429"/>
      <c r="T832" s="1429"/>
      <c r="U832" s="1429"/>
      <c r="V832" s="1429"/>
      <c r="W832" s="1429"/>
      <c r="X832" s="1429"/>
      <c r="Y832" s="1429"/>
    </row>
    <row r="833" spans="1:25">
      <c r="A833" s="1428"/>
      <c r="B833" s="1428"/>
      <c r="C833" s="1428"/>
      <c r="D833" s="1428"/>
      <c r="E833" s="1428"/>
      <c r="R833" s="1429"/>
      <c r="S833" s="1429"/>
      <c r="T833" s="1429"/>
      <c r="U833" s="1429"/>
      <c r="V833" s="1429"/>
      <c r="W833" s="1429"/>
      <c r="X833" s="1429"/>
      <c r="Y833" s="1429"/>
    </row>
    <row r="834" spans="1:25">
      <c r="A834" s="1428"/>
      <c r="B834" s="1428"/>
      <c r="C834" s="1428"/>
      <c r="D834" s="1428"/>
      <c r="E834" s="1428"/>
      <c r="R834" s="1429"/>
      <c r="S834" s="1429"/>
      <c r="T834" s="1429"/>
      <c r="U834" s="1429"/>
      <c r="V834" s="1429"/>
      <c r="W834" s="1429"/>
      <c r="X834" s="1429"/>
      <c r="Y834" s="1429"/>
    </row>
    <row r="835" spans="1:25">
      <c r="A835" s="1428"/>
      <c r="B835" s="1428"/>
      <c r="C835" s="1428"/>
      <c r="D835" s="1428"/>
      <c r="E835" s="1428"/>
      <c r="R835" s="1429"/>
      <c r="S835" s="1429"/>
      <c r="T835" s="1429"/>
      <c r="U835" s="1429"/>
      <c r="V835" s="1429"/>
      <c r="W835" s="1429"/>
      <c r="X835" s="1429"/>
      <c r="Y835" s="1429"/>
    </row>
    <row r="836" spans="1:25">
      <c r="A836" s="1428"/>
      <c r="B836" s="1428"/>
      <c r="C836" s="1428"/>
      <c r="D836" s="1428"/>
      <c r="E836" s="1428"/>
      <c r="R836" s="1429"/>
      <c r="S836" s="1429"/>
      <c r="T836" s="1429"/>
      <c r="U836" s="1429"/>
      <c r="V836" s="1429"/>
      <c r="W836" s="1429"/>
      <c r="X836" s="1429"/>
      <c r="Y836" s="1429"/>
    </row>
    <row r="837" spans="1:25">
      <c r="A837" s="1428"/>
      <c r="B837" s="1428"/>
      <c r="C837" s="1428"/>
      <c r="D837" s="1428"/>
      <c r="E837" s="1428"/>
      <c r="R837" s="1429"/>
      <c r="S837" s="1429"/>
      <c r="T837" s="1429"/>
      <c r="U837" s="1429"/>
      <c r="V837" s="1429"/>
      <c r="W837" s="1429"/>
      <c r="X837" s="1429"/>
      <c r="Y837" s="1429"/>
    </row>
    <row r="838" spans="1:25">
      <c r="A838" s="1428"/>
      <c r="B838" s="1428"/>
      <c r="C838" s="1428"/>
      <c r="D838" s="1428"/>
      <c r="E838" s="1428"/>
      <c r="R838" s="1429"/>
      <c r="S838" s="1429"/>
      <c r="T838" s="1429"/>
      <c r="U838" s="1429"/>
      <c r="V838" s="1429"/>
      <c r="W838" s="1429"/>
      <c r="X838" s="1429"/>
      <c r="Y838" s="1429"/>
    </row>
    <row r="839" spans="1:25">
      <c r="A839" s="1428"/>
      <c r="B839" s="1428"/>
      <c r="C839" s="1428"/>
      <c r="D839" s="1428"/>
      <c r="E839" s="1428"/>
      <c r="R839" s="1429"/>
      <c r="S839" s="1429"/>
      <c r="T839" s="1429"/>
      <c r="U839" s="1429"/>
      <c r="V839" s="1429"/>
      <c r="W839" s="1429"/>
      <c r="X839" s="1429"/>
      <c r="Y839" s="1429"/>
    </row>
    <row r="840" spans="1:25">
      <c r="A840" s="1428"/>
      <c r="B840" s="1428"/>
      <c r="C840" s="1428"/>
      <c r="D840" s="1428"/>
      <c r="E840" s="1428"/>
      <c r="R840" s="1429"/>
      <c r="S840" s="1429"/>
      <c r="T840" s="1429"/>
      <c r="U840" s="1429"/>
      <c r="V840" s="1429"/>
      <c r="W840" s="1429"/>
      <c r="X840" s="1429"/>
      <c r="Y840" s="1429"/>
    </row>
    <row r="841" spans="1:25">
      <c r="A841" s="1428"/>
      <c r="B841" s="1428"/>
      <c r="C841" s="1428"/>
      <c r="D841" s="1428"/>
      <c r="E841" s="1428"/>
      <c r="R841" s="1429"/>
      <c r="S841" s="1429"/>
      <c r="T841" s="1429"/>
      <c r="U841" s="1429"/>
      <c r="V841" s="1429"/>
      <c r="W841" s="1429"/>
      <c r="X841" s="1429"/>
      <c r="Y841" s="1429"/>
    </row>
    <row r="842" spans="1:25">
      <c r="A842" s="1428"/>
      <c r="B842" s="1428"/>
      <c r="C842" s="1428"/>
      <c r="D842" s="1428"/>
      <c r="E842" s="1428"/>
      <c r="R842" s="1429"/>
      <c r="S842" s="1429"/>
      <c r="T842" s="1429"/>
      <c r="U842" s="1429"/>
      <c r="V842" s="1429"/>
      <c r="W842" s="1429"/>
      <c r="X842" s="1429"/>
      <c r="Y842" s="1429"/>
    </row>
    <row r="843" spans="1:25">
      <c r="A843" s="1428"/>
      <c r="B843" s="1428"/>
      <c r="C843" s="1428"/>
      <c r="D843" s="1428"/>
      <c r="E843" s="1428"/>
      <c r="R843" s="1429"/>
      <c r="S843" s="1429"/>
      <c r="T843" s="1429"/>
      <c r="U843" s="1429"/>
      <c r="V843" s="1429"/>
      <c r="W843" s="1429"/>
      <c r="X843" s="1429"/>
      <c r="Y843" s="1429"/>
    </row>
    <row r="844" spans="1:25">
      <c r="A844" s="1428"/>
      <c r="B844" s="1428"/>
      <c r="C844" s="1428"/>
      <c r="D844" s="1428"/>
      <c r="E844" s="1428"/>
      <c r="R844" s="1429"/>
      <c r="S844" s="1429"/>
      <c r="T844" s="1429"/>
      <c r="U844" s="1429"/>
      <c r="V844" s="1429"/>
      <c r="W844" s="1429"/>
      <c r="X844" s="1429"/>
      <c r="Y844" s="1429"/>
    </row>
    <row r="845" spans="1:25">
      <c r="A845" s="1428"/>
      <c r="B845" s="1428"/>
      <c r="C845" s="1428"/>
      <c r="D845" s="1428"/>
      <c r="E845" s="1428"/>
      <c r="R845" s="1429"/>
      <c r="S845" s="1429"/>
      <c r="T845" s="1429"/>
      <c r="U845" s="1429"/>
      <c r="V845" s="1429"/>
      <c r="W845" s="1429"/>
      <c r="X845" s="1429"/>
      <c r="Y845" s="1429"/>
    </row>
    <row r="846" spans="1:25">
      <c r="A846" s="1428"/>
      <c r="B846" s="1428"/>
      <c r="C846" s="1428"/>
      <c r="D846" s="1428"/>
      <c r="E846" s="1428"/>
      <c r="R846" s="1429"/>
      <c r="S846" s="1429"/>
      <c r="T846" s="1429"/>
      <c r="U846" s="1429"/>
      <c r="V846" s="1429"/>
      <c r="W846" s="1429"/>
      <c r="X846" s="1429"/>
      <c r="Y846" s="1429"/>
    </row>
    <row r="847" spans="1:25">
      <c r="A847" s="1428"/>
      <c r="B847" s="1428"/>
      <c r="C847" s="1428"/>
      <c r="D847" s="1428"/>
      <c r="E847" s="1428"/>
      <c r="R847" s="1429"/>
      <c r="S847" s="1429"/>
      <c r="T847" s="1429"/>
      <c r="U847" s="1429"/>
      <c r="V847" s="1429"/>
      <c r="W847" s="1429"/>
      <c r="X847" s="1429"/>
      <c r="Y847" s="1429"/>
    </row>
    <row r="848" spans="1:25">
      <c r="A848" s="1428"/>
      <c r="B848" s="1428"/>
      <c r="C848" s="1428"/>
      <c r="D848" s="1428"/>
      <c r="E848" s="1428"/>
      <c r="R848" s="1429"/>
      <c r="S848" s="1429"/>
      <c r="T848" s="1429"/>
      <c r="U848" s="1429"/>
      <c r="V848" s="1429"/>
      <c r="W848" s="1429"/>
      <c r="X848" s="1429"/>
      <c r="Y848" s="1429"/>
    </row>
    <row r="849" spans="1:25">
      <c r="A849" s="1428"/>
      <c r="B849" s="1428"/>
      <c r="C849" s="1428"/>
      <c r="D849" s="1428"/>
      <c r="E849" s="1428"/>
      <c r="R849" s="1429"/>
      <c r="S849" s="1429"/>
      <c r="T849" s="1429"/>
      <c r="U849" s="1429"/>
      <c r="V849" s="1429"/>
      <c r="W849" s="1429"/>
      <c r="X849" s="1429"/>
      <c r="Y849" s="1429"/>
    </row>
    <row r="850" spans="1:25">
      <c r="A850" s="1428"/>
      <c r="B850" s="1428"/>
      <c r="C850" s="1428"/>
      <c r="D850" s="1428"/>
      <c r="E850" s="1428"/>
      <c r="R850" s="1429"/>
      <c r="S850" s="1429"/>
      <c r="T850" s="1429"/>
      <c r="U850" s="1429"/>
      <c r="V850" s="1429"/>
      <c r="W850" s="1429"/>
      <c r="X850" s="1429"/>
      <c r="Y850" s="1429"/>
    </row>
    <row r="851" spans="1:25">
      <c r="A851" s="1428"/>
      <c r="B851" s="1428"/>
      <c r="C851" s="1428"/>
      <c r="D851" s="1428"/>
      <c r="E851" s="1428"/>
      <c r="R851" s="1429"/>
      <c r="S851" s="1429"/>
      <c r="T851" s="1429"/>
      <c r="U851" s="1429"/>
      <c r="V851" s="1429"/>
      <c r="W851" s="1429"/>
      <c r="X851" s="1429"/>
      <c r="Y851" s="1429"/>
    </row>
    <row r="852" spans="1:25">
      <c r="A852" s="1428"/>
      <c r="B852" s="1428"/>
      <c r="C852" s="1428"/>
      <c r="D852" s="1428"/>
      <c r="E852" s="1428"/>
      <c r="R852" s="1429"/>
      <c r="S852" s="1429"/>
      <c r="T852" s="1429"/>
      <c r="U852" s="1429"/>
      <c r="V852" s="1429"/>
      <c r="W852" s="1429"/>
      <c r="X852" s="1429"/>
      <c r="Y852" s="1429"/>
    </row>
    <row r="853" spans="1:25">
      <c r="A853" s="1428"/>
      <c r="B853" s="1428"/>
      <c r="C853" s="1428"/>
      <c r="D853" s="1428"/>
      <c r="E853" s="1428"/>
      <c r="R853" s="1429"/>
      <c r="S853" s="1429"/>
      <c r="T853" s="1429"/>
      <c r="U853" s="1429"/>
      <c r="V853" s="1429"/>
      <c r="W853" s="1429"/>
      <c r="X853" s="1429"/>
      <c r="Y853" s="1429"/>
    </row>
    <row r="854" spans="1:25">
      <c r="A854" s="1428"/>
      <c r="B854" s="1428"/>
      <c r="C854" s="1428"/>
      <c r="D854" s="1428"/>
      <c r="E854" s="1428"/>
      <c r="R854" s="1429"/>
      <c r="S854" s="1429"/>
      <c r="T854" s="1429"/>
      <c r="U854" s="1429"/>
      <c r="V854" s="1429"/>
      <c r="W854" s="1429"/>
      <c r="X854" s="1429"/>
      <c r="Y854" s="1429"/>
    </row>
    <row r="855" spans="1:25">
      <c r="A855" s="1428"/>
      <c r="B855" s="1428"/>
      <c r="C855" s="1428"/>
      <c r="D855" s="1428"/>
      <c r="E855" s="1428"/>
      <c r="R855" s="1429"/>
      <c r="S855" s="1429"/>
      <c r="T855" s="1429"/>
      <c r="U855" s="1429"/>
      <c r="V855" s="1429"/>
      <c r="W855" s="1429"/>
      <c r="X855" s="1429"/>
      <c r="Y855" s="1429"/>
    </row>
    <row r="856" spans="1:25">
      <c r="A856" s="1428"/>
      <c r="B856" s="1428"/>
      <c r="C856" s="1428"/>
      <c r="D856" s="1428"/>
      <c r="E856" s="1428"/>
      <c r="R856" s="1429"/>
      <c r="S856" s="1429"/>
      <c r="T856" s="1429"/>
      <c r="U856" s="1429"/>
      <c r="V856" s="1429"/>
      <c r="W856" s="1429"/>
      <c r="X856" s="1429"/>
      <c r="Y856" s="1429"/>
    </row>
    <row r="857" spans="1:25">
      <c r="A857" s="1428"/>
      <c r="B857" s="1428"/>
      <c r="C857" s="1428"/>
      <c r="D857" s="1428"/>
      <c r="E857" s="1428"/>
      <c r="R857" s="1429"/>
      <c r="S857" s="1429"/>
      <c r="T857" s="1429"/>
      <c r="U857" s="1429"/>
      <c r="V857" s="1429"/>
      <c r="W857" s="1429"/>
      <c r="X857" s="1429"/>
      <c r="Y857" s="1429"/>
    </row>
    <row r="858" spans="1:25">
      <c r="A858" s="1428"/>
      <c r="B858" s="1428"/>
      <c r="C858" s="1428"/>
      <c r="D858" s="1428"/>
      <c r="E858" s="1428"/>
      <c r="R858" s="1429"/>
      <c r="S858" s="1429"/>
      <c r="T858" s="1429"/>
      <c r="U858" s="1429"/>
      <c r="V858" s="1429"/>
      <c r="W858" s="1429"/>
      <c r="X858" s="1429"/>
      <c r="Y858" s="1429"/>
    </row>
    <row r="859" spans="1:25">
      <c r="A859" s="1428"/>
      <c r="B859" s="1428"/>
      <c r="C859" s="1428"/>
      <c r="D859" s="1428"/>
      <c r="E859" s="1428"/>
      <c r="R859" s="1429"/>
      <c r="S859" s="1429"/>
      <c r="T859" s="1429"/>
      <c r="U859" s="1429"/>
      <c r="V859" s="1429"/>
      <c r="W859" s="1429"/>
      <c r="X859" s="1429"/>
      <c r="Y859" s="1429"/>
    </row>
    <row r="860" spans="1:25">
      <c r="A860" s="1428"/>
      <c r="B860" s="1428"/>
      <c r="C860" s="1428"/>
      <c r="D860" s="1428"/>
      <c r="E860" s="1428"/>
      <c r="R860" s="1429"/>
      <c r="S860" s="1429"/>
      <c r="T860" s="1429"/>
      <c r="U860" s="1429"/>
      <c r="V860" s="1429"/>
      <c r="W860" s="1429"/>
      <c r="X860" s="1429"/>
      <c r="Y860" s="1429"/>
    </row>
    <row r="861" spans="1:25">
      <c r="A861" s="1428"/>
      <c r="B861" s="1428"/>
      <c r="C861" s="1428"/>
      <c r="D861" s="1428"/>
      <c r="E861" s="1428"/>
      <c r="R861" s="1429"/>
      <c r="S861" s="1429"/>
      <c r="T861" s="1429"/>
      <c r="U861" s="1429"/>
      <c r="V861" s="1429"/>
      <c r="W861" s="1429"/>
      <c r="X861" s="1429"/>
      <c r="Y861" s="1429"/>
    </row>
    <row r="862" spans="1:25">
      <c r="A862" s="1428"/>
      <c r="B862" s="1428"/>
      <c r="C862" s="1428"/>
      <c r="D862" s="1428"/>
      <c r="E862" s="1428"/>
      <c r="R862" s="1429"/>
      <c r="S862" s="1429"/>
      <c r="T862" s="1429"/>
      <c r="U862" s="1429"/>
      <c r="V862" s="1429"/>
      <c r="W862" s="1429"/>
      <c r="X862" s="1429"/>
      <c r="Y862" s="1429"/>
    </row>
    <row r="863" spans="1:25">
      <c r="A863" s="1428"/>
      <c r="B863" s="1428"/>
      <c r="C863" s="1428"/>
      <c r="D863" s="1428"/>
      <c r="E863" s="1428"/>
      <c r="R863" s="1429"/>
      <c r="S863" s="1429"/>
      <c r="T863" s="1429"/>
      <c r="U863" s="1429"/>
      <c r="V863" s="1429"/>
      <c r="W863" s="1429"/>
      <c r="X863" s="1429"/>
      <c r="Y863" s="1429"/>
    </row>
    <row r="864" spans="1:25">
      <c r="A864" s="1428"/>
      <c r="B864" s="1428"/>
      <c r="C864" s="1428"/>
      <c r="D864" s="1428"/>
      <c r="E864" s="1428"/>
      <c r="R864" s="1429"/>
      <c r="S864" s="1429"/>
      <c r="T864" s="1429"/>
      <c r="U864" s="1429"/>
      <c r="V864" s="1429"/>
      <c r="W864" s="1429"/>
      <c r="X864" s="1429"/>
      <c r="Y864" s="1429"/>
    </row>
    <row r="865" spans="1:25">
      <c r="A865" s="1428"/>
      <c r="B865" s="1428"/>
      <c r="C865" s="1428"/>
      <c r="D865" s="1428"/>
      <c r="E865" s="1428"/>
      <c r="R865" s="1429"/>
      <c r="S865" s="1429"/>
      <c r="T865" s="1429"/>
      <c r="U865" s="1429"/>
      <c r="V865" s="1429"/>
      <c r="W865" s="1429"/>
      <c r="X865" s="1429"/>
      <c r="Y865" s="1429"/>
    </row>
    <row r="866" spans="1:25">
      <c r="A866" s="1428"/>
      <c r="B866" s="1428"/>
      <c r="C866" s="1428"/>
      <c r="D866" s="1428"/>
      <c r="E866" s="1428"/>
      <c r="R866" s="1429"/>
      <c r="S866" s="1429"/>
      <c r="T866" s="1429"/>
      <c r="U866" s="1429"/>
      <c r="V866" s="1429"/>
      <c r="W866" s="1429"/>
      <c r="X866" s="1429"/>
      <c r="Y866" s="1429"/>
    </row>
    <row r="867" spans="1:25">
      <c r="A867" s="1428"/>
      <c r="B867" s="1428"/>
      <c r="C867" s="1428"/>
      <c r="D867" s="1428"/>
      <c r="E867" s="1428"/>
      <c r="R867" s="1429"/>
      <c r="S867" s="1429"/>
      <c r="T867" s="1429"/>
      <c r="U867" s="1429"/>
      <c r="V867" s="1429"/>
      <c r="W867" s="1429"/>
      <c r="X867" s="1429"/>
      <c r="Y867" s="1429"/>
    </row>
    <row r="868" spans="1:25">
      <c r="A868" s="1428"/>
      <c r="B868" s="1428"/>
      <c r="C868" s="1428"/>
      <c r="D868" s="1428"/>
      <c r="E868" s="1428"/>
      <c r="R868" s="1429"/>
      <c r="S868" s="1429"/>
      <c r="T868" s="1429"/>
      <c r="U868" s="1429"/>
      <c r="V868" s="1429"/>
      <c r="W868" s="1429"/>
      <c r="X868" s="1429"/>
      <c r="Y868" s="1429"/>
    </row>
    <row r="869" spans="1:25">
      <c r="A869" s="1428"/>
      <c r="B869" s="1428"/>
      <c r="C869" s="1428"/>
      <c r="D869" s="1428"/>
      <c r="E869" s="1428"/>
      <c r="R869" s="1429"/>
      <c r="S869" s="1429"/>
      <c r="T869" s="1429"/>
      <c r="U869" s="1429"/>
      <c r="V869" s="1429"/>
      <c r="W869" s="1429"/>
      <c r="X869" s="1429"/>
      <c r="Y869" s="1429"/>
    </row>
    <row r="870" spans="1:25">
      <c r="A870" s="1428"/>
      <c r="B870" s="1428"/>
      <c r="C870" s="1428"/>
      <c r="D870" s="1428"/>
      <c r="E870" s="1428"/>
      <c r="R870" s="1429"/>
      <c r="S870" s="1429"/>
      <c r="T870" s="1429"/>
      <c r="U870" s="1429"/>
      <c r="V870" s="1429"/>
      <c r="W870" s="1429"/>
      <c r="X870" s="1429"/>
      <c r="Y870" s="1429"/>
    </row>
    <row r="871" spans="1:25">
      <c r="A871" s="1428"/>
      <c r="B871" s="1428"/>
      <c r="C871" s="1428"/>
      <c r="D871" s="1428"/>
      <c r="E871" s="1428"/>
      <c r="R871" s="1429"/>
      <c r="S871" s="1429"/>
      <c r="T871" s="1429"/>
      <c r="U871" s="1429"/>
      <c r="V871" s="1429"/>
      <c r="W871" s="1429"/>
      <c r="X871" s="1429"/>
      <c r="Y871" s="1429"/>
    </row>
    <row r="872" spans="1:25">
      <c r="A872" s="1428"/>
      <c r="B872" s="1428"/>
      <c r="C872" s="1428"/>
      <c r="D872" s="1428"/>
      <c r="E872" s="1428"/>
      <c r="R872" s="1429"/>
      <c r="S872" s="1429"/>
      <c r="T872" s="1429"/>
      <c r="U872" s="1429"/>
      <c r="V872" s="1429"/>
      <c r="W872" s="1429"/>
      <c r="X872" s="1429"/>
      <c r="Y872" s="1429"/>
    </row>
    <row r="873" spans="1:25">
      <c r="A873" s="1428"/>
      <c r="B873" s="1428"/>
      <c r="C873" s="1428"/>
      <c r="D873" s="1428"/>
      <c r="E873" s="1428"/>
      <c r="R873" s="1429"/>
      <c r="S873" s="1429"/>
      <c r="T873" s="1429"/>
      <c r="U873" s="1429"/>
      <c r="V873" s="1429"/>
      <c r="W873" s="1429"/>
      <c r="X873" s="1429"/>
      <c r="Y873" s="1429"/>
    </row>
    <row r="874" spans="1:25">
      <c r="A874" s="1428"/>
      <c r="B874" s="1428"/>
      <c r="C874" s="1428"/>
      <c r="D874" s="1428"/>
      <c r="E874" s="1428"/>
      <c r="R874" s="1429"/>
      <c r="S874" s="1429"/>
      <c r="T874" s="1429"/>
      <c r="U874" s="1429"/>
      <c r="V874" s="1429"/>
      <c r="W874" s="1429"/>
      <c r="X874" s="1429"/>
      <c r="Y874" s="1429"/>
    </row>
    <row r="875" spans="1:25">
      <c r="A875" s="1428"/>
      <c r="B875" s="1428"/>
      <c r="C875" s="1428"/>
      <c r="D875" s="1428"/>
      <c r="E875" s="1428"/>
      <c r="R875" s="1429"/>
      <c r="S875" s="1429"/>
      <c r="T875" s="1429"/>
      <c r="U875" s="1429"/>
      <c r="V875" s="1429"/>
      <c r="W875" s="1429"/>
      <c r="X875" s="1429"/>
      <c r="Y875" s="1429"/>
    </row>
    <row r="876" spans="1:25">
      <c r="A876" s="1428"/>
      <c r="B876" s="1428"/>
      <c r="C876" s="1428"/>
      <c r="D876" s="1428"/>
      <c r="E876" s="1428"/>
      <c r="R876" s="1429"/>
      <c r="S876" s="1429"/>
      <c r="T876" s="1429"/>
      <c r="U876" s="1429"/>
      <c r="V876" s="1429"/>
      <c r="W876" s="1429"/>
      <c r="X876" s="1429"/>
      <c r="Y876" s="1429"/>
    </row>
    <row r="877" spans="1:25">
      <c r="A877" s="1428"/>
      <c r="B877" s="1428"/>
      <c r="C877" s="1428"/>
      <c r="D877" s="1428"/>
      <c r="E877" s="1428"/>
      <c r="R877" s="1429"/>
      <c r="S877" s="1429"/>
      <c r="T877" s="1429"/>
      <c r="U877" s="1429"/>
      <c r="V877" s="1429"/>
      <c r="W877" s="1429"/>
      <c r="X877" s="1429"/>
      <c r="Y877" s="1429"/>
    </row>
    <row r="878" spans="1:25">
      <c r="A878" s="1428"/>
      <c r="B878" s="1428"/>
      <c r="C878" s="1428"/>
      <c r="D878" s="1428"/>
      <c r="E878" s="1428"/>
      <c r="R878" s="1429"/>
      <c r="S878" s="1429"/>
      <c r="T878" s="1429"/>
      <c r="U878" s="1429"/>
      <c r="V878" s="1429"/>
      <c r="W878" s="1429"/>
      <c r="X878" s="1429"/>
      <c r="Y878" s="1429"/>
    </row>
    <row r="879" spans="1:25">
      <c r="A879" s="1428"/>
      <c r="B879" s="1428"/>
      <c r="C879" s="1428"/>
      <c r="D879" s="1428"/>
      <c r="E879" s="1428"/>
      <c r="R879" s="1429"/>
      <c r="S879" s="1429"/>
      <c r="T879" s="1429"/>
      <c r="U879" s="1429"/>
      <c r="V879" s="1429"/>
      <c r="W879" s="1429"/>
      <c r="X879" s="1429"/>
      <c r="Y879" s="1429"/>
    </row>
    <row r="880" spans="1:25">
      <c r="A880" s="1428"/>
      <c r="B880" s="1428"/>
      <c r="C880" s="1428"/>
      <c r="D880" s="1428"/>
      <c r="E880" s="1428"/>
      <c r="R880" s="1429"/>
      <c r="S880" s="1429"/>
      <c r="T880" s="1429"/>
      <c r="U880" s="1429"/>
      <c r="V880" s="1429"/>
      <c r="W880" s="1429"/>
      <c r="X880" s="1429"/>
      <c r="Y880" s="1429"/>
    </row>
    <row r="881" spans="1:25">
      <c r="A881" s="1428"/>
      <c r="B881" s="1428"/>
      <c r="C881" s="1428"/>
      <c r="D881" s="1428"/>
      <c r="E881" s="1428"/>
      <c r="R881" s="1429"/>
      <c r="S881" s="1429"/>
      <c r="T881" s="1429"/>
      <c r="U881" s="1429"/>
      <c r="V881" s="1429"/>
      <c r="W881" s="1429"/>
      <c r="X881" s="1429"/>
      <c r="Y881" s="1429"/>
    </row>
    <row r="882" spans="1:25">
      <c r="A882" s="1428"/>
      <c r="B882" s="1428"/>
      <c r="C882" s="1428"/>
      <c r="D882" s="1428"/>
      <c r="E882" s="1428"/>
      <c r="R882" s="1429"/>
      <c r="S882" s="1429"/>
      <c r="T882" s="1429"/>
      <c r="U882" s="1429"/>
      <c r="V882" s="1429"/>
      <c r="W882" s="1429"/>
      <c r="X882" s="1429"/>
      <c r="Y882" s="1429"/>
    </row>
    <row r="883" spans="1:25">
      <c r="A883" s="1428"/>
      <c r="B883" s="1428"/>
      <c r="C883" s="1428"/>
      <c r="D883" s="1428"/>
      <c r="E883" s="1428"/>
      <c r="R883" s="1429"/>
      <c r="S883" s="1429"/>
      <c r="T883" s="1429"/>
      <c r="U883" s="1429"/>
      <c r="V883" s="1429"/>
      <c r="W883" s="1429"/>
      <c r="X883" s="1429"/>
      <c r="Y883" s="1429"/>
    </row>
    <row r="884" spans="1:25">
      <c r="A884" s="1428"/>
      <c r="B884" s="1428"/>
      <c r="C884" s="1428"/>
      <c r="D884" s="1428"/>
      <c r="E884" s="1428"/>
      <c r="R884" s="1429"/>
      <c r="S884" s="1429"/>
      <c r="T884" s="1429"/>
      <c r="U884" s="1429"/>
      <c r="V884" s="1429"/>
      <c r="W884" s="1429"/>
      <c r="X884" s="1429"/>
      <c r="Y884" s="1429"/>
    </row>
    <row r="885" spans="1:25">
      <c r="A885" s="1428"/>
      <c r="B885" s="1428"/>
      <c r="C885" s="1428"/>
      <c r="D885" s="1428"/>
      <c r="E885" s="1428"/>
      <c r="R885" s="1429"/>
      <c r="S885" s="1429"/>
      <c r="T885" s="1429"/>
      <c r="U885" s="1429"/>
      <c r="V885" s="1429"/>
      <c r="W885" s="1429"/>
      <c r="X885" s="1429"/>
      <c r="Y885" s="1429"/>
    </row>
    <row r="886" spans="1:25">
      <c r="A886" s="1428"/>
      <c r="B886" s="1428"/>
      <c r="C886" s="1428"/>
      <c r="D886" s="1428"/>
      <c r="E886" s="1428"/>
      <c r="R886" s="1429"/>
      <c r="S886" s="1429"/>
      <c r="T886" s="1429"/>
      <c r="U886" s="1429"/>
      <c r="V886" s="1429"/>
      <c r="W886" s="1429"/>
      <c r="X886" s="1429"/>
      <c r="Y886" s="1429"/>
    </row>
    <row r="887" spans="1:25">
      <c r="A887" s="1428"/>
      <c r="B887" s="1428"/>
      <c r="C887" s="1428"/>
      <c r="D887" s="1428"/>
      <c r="E887" s="1428"/>
      <c r="R887" s="1429"/>
      <c r="S887" s="1429"/>
      <c r="T887" s="1429"/>
      <c r="U887" s="1429"/>
      <c r="V887" s="1429"/>
      <c r="W887" s="1429"/>
      <c r="X887" s="1429"/>
      <c r="Y887" s="1429"/>
    </row>
    <row r="888" spans="1:25">
      <c r="A888" s="1428"/>
      <c r="B888" s="1428"/>
      <c r="C888" s="1428"/>
      <c r="D888" s="1428"/>
      <c r="E888" s="1428"/>
      <c r="R888" s="1429"/>
      <c r="S888" s="1429"/>
      <c r="T888" s="1429"/>
      <c r="U888" s="1429"/>
      <c r="V888" s="1429"/>
      <c r="W888" s="1429"/>
      <c r="X888" s="1429"/>
      <c r="Y888" s="1429"/>
    </row>
    <row r="889" spans="1:25">
      <c r="A889" s="1428"/>
      <c r="B889" s="1428"/>
      <c r="C889" s="1428"/>
      <c r="D889" s="1428"/>
      <c r="E889" s="1428"/>
      <c r="R889" s="1429"/>
      <c r="S889" s="1429"/>
      <c r="T889" s="1429"/>
      <c r="U889" s="1429"/>
      <c r="V889" s="1429"/>
      <c r="W889" s="1429"/>
      <c r="X889" s="1429"/>
      <c r="Y889" s="1429"/>
    </row>
    <row r="890" spans="1:25">
      <c r="A890" s="1428"/>
      <c r="B890" s="1428"/>
      <c r="C890" s="1428"/>
      <c r="D890" s="1428"/>
      <c r="E890" s="1428"/>
      <c r="R890" s="1429"/>
      <c r="S890" s="1429"/>
      <c r="T890" s="1429"/>
      <c r="U890" s="1429"/>
      <c r="V890" s="1429"/>
      <c r="W890" s="1429"/>
      <c r="X890" s="1429"/>
      <c r="Y890" s="1429"/>
    </row>
    <row r="891" spans="1:25">
      <c r="A891" s="1428"/>
      <c r="B891" s="1428"/>
      <c r="C891" s="1428"/>
      <c r="D891" s="1428"/>
      <c r="E891" s="1428"/>
      <c r="R891" s="1429"/>
      <c r="S891" s="1429"/>
      <c r="T891" s="1429"/>
      <c r="U891" s="1429"/>
      <c r="V891" s="1429"/>
      <c r="W891" s="1429"/>
      <c r="X891" s="1429"/>
      <c r="Y891" s="1429"/>
    </row>
    <row r="892" spans="1:25">
      <c r="A892" s="1428"/>
      <c r="B892" s="1428"/>
      <c r="C892" s="1428"/>
      <c r="D892" s="1428"/>
      <c r="E892" s="1428"/>
      <c r="R892" s="1429"/>
      <c r="S892" s="1429"/>
      <c r="T892" s="1429"/>
      <c r="U892" s="1429"/>
      <c r="V892" s="1429"/>
      <c r="W892" s="1429"/>
      <c r="X892" s="1429"/>
      <c r="Y892" s="1429"/>
    </row>
    <row r="893" spans="1:25">
      <c r="A893" s="1428"/>
      <c r="B893" s="1428"/>
      <c r="C893" s="1428"/>
      <c r="D893" s="1428"/>
      <c r="E893" s="1428"/>
      <c r="R893" s="1429"/>
      <c r="S893" s="1429"/>
      <c r="T893" s="1429"/>
      <c r="U893" s="1429"/>
      <c r="V893" s="1429"/>
      <c r="W893" s="1429"/>
      <c r="X893" s="1429"/>
      <c r="Y893" s="1429"/>
    </row>
    <row r="894" spans="1:25">
      <c r="A894" s="1428"/>
      <c r="B894" s="1428"/>
      <c r="C894" s="1428"/>
      <c r="D894" s="1428"/>
      <c r="E894" s="1428"/>
      <c r="R894" s="1429"/>
      <c r="S894" s="1429"/>
      <c r="T894" s="1429"/>
      <c r="U894" s="1429"/>
      <c r="V894" s="1429"/>
      <c r="W894" s="1429"/>
      <c r="X894" s="1429"/>
      <c r="Y894" s="1429"/>
    </row>
    <row r="895" spans="1:25">
      <c r="A895" s="1428"/>
      <c r="B895" s="1428"/>
      <c r="C895" s="1428"/>
      <c r="D895" s="1428"/>
      <c r="E895" s="1428"/>
      <c r="R895" s="1429"/>
      <c r="S895" s="1429"/>
      <c r="T895" s="1429"/>
      <c r="U895" s="1429"/>
      <c r="V895" s="1429"/>
      <c r="W895" s="1429"/>
      <c r="X895" s="1429"/>
      <c r="Y895" s="1429"/>
    </row>
    <row r="896" spans="1:25">
      <c r="A896" s="1428"/>
      <c r="B896" s="1428"/>
      <c r="C896" s="1428"/>
      <c r="D896" s="1428"/>
      <c r="E896" s="1428"/>
      <c r="R896" s="1429"/>
      <c r="S896" s="1429"/>
      <c r="T896" s="1429"/>
      <c r="U896" s="1429"/>
      <c r="V896" s="1429"/>
      <c r="W896" s="1429"/>
      <c r="X896" s="1429"/>
      <c r="Y896" s="1429"/>
    </row>
    <row r="897" spans="1:25">
      <c r="A897" s="1428"/>
      <c r="B897" s="1428"/>
      <c r="C897" s="1428"/>
      <c r="D897" s="1428"/>
      <c r="E897" s="1428"/>
      <c r="R897" s="1429"/>
      <c r="S897" s="1429"/>
      <c r="T897" s="1429"/>
      <c r="U897" s="1429"/>
      <c r="V897" s="1429"/>
      <c r="W897" s="1429"/>
      <c r="X897" s="1429"/>
      <c r="Y897" s="1429"/>
    </row>
    <row r="898" spans="1:25">
      <c r="A898" s="1428"/>
      <c r="B898" s="1428"/>
      <c r="C898" s="1428"/>
      <c r="D898" s="1428"/>
      <c r="E898" s="1428"/>
      <c r="R898" s="1429"/>
      <c r="S898" s="1429"/>
      <c r="T898" s="1429"/>
      <c r="U898" s="1429"/>
      <c r="V898" s="1429"/>
      <c r="W898" s="1429"/>
      <c r="X898" s="1429"/>
      <c r="Y898" s="1429"/>
    </row>
    <row r="899" spans="1:25">
      <c r="A899" s="1428"/>
      <c r="B899" s="1428"/>
      <c r="C899" s="1428"/>
      <c r="D899" s="1428"/>
      <c r="E899" s="1428"/>
      <c r="R899" s="1429"/>
      <c r="S899" s="1429"/>
      <c r="T899" s="1429"/>
      <c r="U899" s="1429"/>
      <c r="V899" s="1429"/>
      <c r="W899" s="1429"/>
      <c r="X899" s="1429"/>
      <c r="Y899" s="1429"/>
    </row>
    <row r="900" spans="1:25">
      <c r="A900" s="1428"/>
      <c r="B900" s="1428"/>
      <c r="C900" s="1428"/>
      <c r="D900" s="1428"/>
      <c r="E900" s="1428"/>
      <c r="R900" s="1429"/>
      <c r="S900" s="1429"/>
      <c r="T900" s="1429"/>
      <c r="U900" s="1429"/>
      <c r="V900" s="1429"/>
      <c r="W900" s="1429"/>
      <c r="X900" s="1429"/>
      <c r="Y900" s="1429"/>
    </row>
    <row r="901" spans="1:25">
      <c r="A901" s="1428"/>
      <c r="B901" s="1428"/>
      <c r="C901" s="1428"/>
      <c r="D901" s="1428"/>
      <c r="E901" s="1428"/>
      <c r="R901" s="1429"/>
      <c r="S901" s="1429"/>
      <c r="T901" s="1429"/>
      <c r="U901" s="1429"/>
      <c r="V901" s="1429"/>
      <c r="W901" s="1429"/>
      <c r="X901" s="1429"/>
      <c r="Y901" s="1429"/>
    </row>
    <row r="902" spans="1:25">
      <c r="A902" s="1428"/>
      <c r="B902" s="1428"/>
      <c r="C902" s="1428"/>
      <c r="D902" s="1428"/>
      <c r="E902" s="1428"/>
      <c r="R902" s="1429"/>
      <c r="S902" s="1429"/>
      <c r="T902" s="1429"/>
      <c r="U902" s="1429"/>
      <c r="V902" s="1429"/>
      <c r="W902" s="1429"/>
      <c r="X902" s="1429"/>
      <c r="Y902" s="1429"/>
    </row>
    <row r="903" spans="1:25">
      <c r="A903" s="1428"/>
      <c r="B903" s="1428"/>
      <c r="C903" s="1428"/>
      <c r="D903" s="1428"/>
      <c r="E903" s="1428"/>
      <c r="R903" s="1429"/>
      <c r="S903" s="1429"/>
      <c r="T903" s="1429"/>
      <c r="U903" s="1429"/>
      <c r="V903" s="1429"/>
      <c r="W903" s="1429"/>
      <c r="X903" s="1429"/>
      <c r="Y903" s="1429"/>
    </row>
    <row r="904" spans="1:25">
      <c r="A904" s="1428"/>
      <c r="B904" s="1428"/>
      <c r="C904" s="1428"/>
      <c r="D904" s="1428"/>
      <c r="E904" s="1428"/>
      <c r="R904" s="1429"/>
      <c r="S904" s="1429"/>
      <c r="T904" s="1429"/>
      <c r="U904" s="1429"/>
      <c r="V904" s="1429"/>
      <c r="W904" s="1429"/>
      <c r="X904" s="1429"/>
      <c r="Y904" s="1429"/>
    </row>
    <row r="905" spans="1:25">
      <c r="A905" s="1428"/>
      <c r="B905" s="1428"/>
      <c r="C905" s="1428"/>
      <c r="D905" s="1428"/>
      <c r="E905" s="1428"/>
      <c r="R905" s="1429"/>
      <c r="S905" s="1429"/>
      <c r="T905" s="1429"/>
      <c r="U905" s="1429"/>
      <c r="V905" s="1429"/>
      <c r="W905" s="1429"/>
      <c r="X905" s="1429"/>
      <c r="Y905" s="1429"/>
    </row>
    <row r="906" spans="1:25">
      <c r="A906" s="1428"/>
      <c r="B906" s="1428"/>
      <c r="C906" s="1428"/>
      <c r="D906" s="1428"/>
      <c r="E906" s="1428"/>
      <c r="R906" s="1429"/>
      <c r="S906" s="1429"/>
      <c r="T906" s="1429"/>
      <c r="U906" s="1429"/>
      <c r="V906" s="1429"/>
      <c r="W906" s="1429"/>
      <c r="X906" s="1429"/>
      <c r="Y906" s="1429"/>
    </row>
    <row r="907" spans="1:25">
      <c r="A907" s="1428"/>
      <c r="B907" s="1428"/>
      <c r="C907" s="1428"/>
      <c r="D907" s="1428"/>
      <c r="E907" s="1428"/>
      <c r="R907" s="1429"/>
      <c r="S907" s="1429"/>
      <c r="T907" s="1429"/>
      <c r="U907" s="1429"/>
      <c r="V907" s="1429"/>
      <c r="W907" s="1429"/>
      <c r="X907" s="1429"/>
      <c r="Y907" s="1429"/>
    </row>
    <row r="908" spans="1:25">
      <c r="A908" s="1428"/>
      <c r="B908" s="1428"/>
      <c r="C908" s="1428"/>
      <c r="D908" s="1428"/>
      <c r="E908" s="1428"/>
      <c r="R908" s="1429"/>
      <c r="S908" s="1429"/>
      <c r="T908" s="1429"/>
      <c r="U908" s="1429"/>
      <c r="V908" s="1429"/>
      <c r="W908" s="1429"/>
      <c r="X908" s="1429"/>
      <c r="Y908" s="1429"/>
    </row>
    <row r="909" spans="1:25">
      <c r="A909" s="1428"/>
      <c r="B909" s="1428"/>
      <c r="C909" s="1428"/>
      <c r="D909" s="1428"/>
      <c r="E909" s="1428"/>
      <c r="R909" s="1429"/>
      <c r="S909" s="1429"/>
      <c r="T909" s="1429"/>
      <c r="U909" s="1429"/>
      <c r="V909" s="1429"/>
      <c r="W909" s="1429"/>
      <c r="X909" s="1429"/>
      <c r="Y909" s="1429"/>
    </row>
    <row r="910" spans="1:25">
      <c r="A910" s="1428"/>
      <c r="B910" s="1428"/>
      <c r="C910" s="1428"/>
      <c r="D910" s="1428"/>
      <c r="E910" s="1428"/>
      <c r="R910" s="1429"/>
      <c r="S910" s="1429"/>
      <c r="T910" s="1429"/>
      <c r="U910" s="1429"/>
      <c r="V910" s="1429"/>
      <c r="W910" s="1429"/>
      <c r="X910" s="1429"/>
      <c r="Y910" s="1429"/>
    </row>
    <row r="911" spans="1:25">
      <c r="A911" s="1428"/>
      <c r="B911" s="1428"/>
      <c r="C911" s="1428"/>
      <c r="D911" s="1428"/>
      <c r="E911" s="1428"/>
      <c r="R911" s="1429"/>
      <c r="S911" s="1429"/>
      <c r="T911" s="1429"/>
      <c r="U911" s="1429"/>
      <c r="V911" s="1429"/>
      <c r="W911" s="1429"/>
      <c r="X911" s="1429"/>
      <c r="Y911" s="1429"/>
    </row>
    <row r="912" spans="1:25">
      <c r="A912" s="1428"/>
      <c r="B912" s="1428"/>
      <c r="C912" s="1428"/>
      <c r="D912" s="1428"/>
      <c r="E912" s="1428"/>
      <c r="R912" s="1429"/>
      <c r="S912" s="1429"/>
      <c r="T912" s="1429"/>
      <c r="U912" s="1429"/>
      <c r="V912" s="1429"/>
      <c r="W912" s="1429"/>
      <c r="X912" s="1429"/>
      <c r="Y912" s="1429"/>
    </row>
    <row r="913" spans="1:25">
      <c r="A913" s="1428"/>
      <c r="B913" s="1428"/>
      <c r="C913" s="1428"/>
      <c r="D913" s="1428"/>
      <c r="E913" s="1428"/>
      <c r="R913" s="1429"/>
      <c r="S913" s="1429"/>
      <c r="T913" s="1429"/>
      <c r="U913" s="1429"/>
      <c r="V913" s="1429"/>
      <c r="W913" s="1429"/>
      <c r="X913" s="1429"/>
      <c r="Y913" s="1429"/>
    </row>
    <row r="914" spans="1:25">
      <c r="A914" s="1428"/>
      <c r="B914" s="1428"/>
      <c r="C914" s="1428"/>
      <c r="D914" s="1428"/>
      <c r="E914" s="1428"/>
      <c r="R914" s="1429"/>
      <c r="S914" s="1429"/>
      <c r="T914" s="1429"/>
      <c r="U914" s="1429"/>
      <c r="V914" s="1429"/>
      <c r="W914" s="1429"/>
      <c r="X914" s="1429"/>
      <c r="Y914" s="1429"/>
    </row>
    <row r="915" spans="1:25">
      <c r="A915" s="1428"/>
      <c r="B915" s="1428"/>
      <c r="C915" s="1428"/>
      <c r="D915" s="1428"/>
      <c r="E915" s="1428"/>
      <c r="R915" s="1429"/>
      <c r="S915" s="1429"/>
      <c r="T915" s="1429"/>
      <c r="U915" s="1429"/>
      <c r="V915" s="1429"/>
      <c r="W915" s="1429"/>
      <c r="X915" s="1429"/>
      <c r="Y915" s="1429"/>
    </row>
    <row r="916" spans="1:25">
      <c r="A916" s="1428"/>
      <c r="B916" s="1428"/>
      <c r="C916" s="1428"/>
      <c r="D916" s="1428"/>
      <c r="E916" s="1428"/>
      <c r="R916" s="1429"/>
      <c r="S916" s="1429"/>
      <c r="T916" s="1429"/>
      <c r="U916" s="1429"/>
      <c r="V916" s="1429"/>
      <c r="W916" s="1429"/>
      <c r="X916" s="1429"/>
      <c r="Y916" s="1429"/>
    </row>
    <row r="917" spans="1:25">
      <c r="A917" s="1428"/>
      <c r="B917" s="1428"/>
      <c r="C917" s="1428"/>
      <c r="D917" s="1428"/>
      <c r="E917" s="1428"/>
      <c r="R917" s="1429"/>
      <c r="S917" s="1429"/>
      <c r="T917" s="1429"/>
      <c r="U917" s="1429"/>
      <c r="V917" s="1429"/>
      <c r="W917" s="1429"/>
      <c r="X917" s="1429"/>
      <c r="Y917" s="1429"/>
    </row>
    <row r="918" spans="1:25">
      <c r="A918" s="1428"/>
      <c r="B918" s="1428"/>
      <c r="C918" s="1428"/>
      <c r="D918" s="1428"/>
      <c r="E918" s="1428"/>
      <c r="R918" s="1429"/>
      <c r="S918" s="1429"/>
      <c r="T918" s="1429"/>
      <c r="U918" s="1429"/>
      <c r="V918" s="1429"/>
      <c r="W918" s="1429"/>
      <c r="X918" s="1429"/>
      <c r="Y918" s="1429"/>
    </row>
    <row r="919" spans="1:25">
      <c r="A919" s="1428"/>
      <c r="B919" s="1428"/>
      <c r="C919" s="1428"/>
      <c r="D919" s="1428"/>
      <c r="E919" s="1428"/>
      <c r="R919" s="1429"/>
      <c r="S919" s="1429"/>
      <c r="T919" s="1429"/>
      <c r="U919" s="1429"/>
      <c r="V919" s="1429"/>
      <c r="W919" s="1429"/>
      <c r="X919" s="1429"/>
      <c r="Y919" s="1429"/>
    </row>
    <row r="920" spans="1:25">
      <c r="A920" s="1428"/>
      <c r="B920" s="1428"/>
      <c r="C920" s="1428"/>
      <c r="D920" s="1428"/>
      <c r="E920" s="1428"/>
      <c r="R920" s="1429"/>
      <c r="S920" s="1429"/>
      <c r="T920" s="1429"/>
      <c r="U920" s="1429"/>
      <c r="V920" s="1429"/>
      <c r="W920" s="1429"/>
      <c r="X920" s="1429"/>
      <c r="Y920" s="1429"/>
    </row>
    <row r="921" spans="1:25">
      <c r="A921" s="1428"/>
      <c r="B921" s="1428"/>
      <c r="C921" s="1428"/>
      <c r="D921" s="1428"/>
      <c r="E921" s="1428"/>
      <c r="R921" s="1429"/>
      <c r="S921" s="1429"/>
      <c r="T921" s="1429"/>
      <c r="U921" s="1429"/>
      <c r="V921" s="1429"/>
      <c r="W921" s="1429"/>
      <c r="X921" s="1429"/>
      <c r="Y921" s="1429"/>
    </row>
    <row r="922" spans="1:25">
      <c r="A922" s="1428"/>
      <c r="B922" s="1428"/>
      <c r="C922" s="1428"/>
      <c r="D922" s="1428"/>
      <c r="E922" s="1428"/>
      <c r="R922" s="1429"/>
      <c r="S922" s="1429"/>
      <c r="T922" s="1429"/>
      <c r="U922" s="1429"/>
      <c r="V922" s="1429"/>
      <c r="W922" s="1429"/>
      <c r="X922" s="1429"/>
      <c r="Y922" s="1429"/>
    </row>
    <row r="923" spans="1:25">
      <c r="A923" s="1428"/>
      <c r="B923" s="1428"/>
      <c r="C923" s="1428"/>
      <c r="D923" s="1428"/>
      <c r="E923" s="1428"/>
      <c r="R923" s="1429"/>
      <c r="S923" s="1429"/>
      <c r="T923" s="1429"/>
      <c r="U923" s="1429"/>
      <c r="V923" s="1429"/>
      <c r="W923" s="1429"/>
      <c r="X923" s="1429"/>
      <c r="Y923" s="1429"/>
    </row>
    <row r="924" spans="1:25">
      <c r="A924" s="1428"/>
      <c r="B924" s="1428"/>
      <c r="C924" s="1428"/>
      <c r="D924" s="1428"/>
      <c r="E924" s="1428"/>
      <c r="R924" s="1429"/>
      <c r="S924" s="1429"/>
      <c r="T924" s="1429"/>
      <c r="U924" s="1429"/>
      <c r="V924" s="1429"/>
      <c r="W924" s="1429"/>
      <c r="X924" s="1429"/>
      <c r="Y924" s="1429"/>
    </row>
    <row r="925" spans="1:25">
      <c r="A925" s="1428"/>
      <c r="B925" s="1428"/>
      <c r="C925" s="1428"/>
      <c r="D925" s="1428"/>
      <c r="E925" s="1428"/>
      <c r="R925" s="1429"/>
      <c r="S925" s="1429"/>
      <c r="T925" s="1429"/>
      <c r="U925" s="1429"/>
      <c r="V925" s="1429"/>
      <c r="W925" s="1429"/>
      <c r="X925" s="1429"/>
      <c r="Y925" s="1429"/>
    </row>
    <row r="926" spans="1:25">
      <c r="A926" s="1428"/>
      <c r="B926" s="1428"/>
      <c r="C926" s="1428"/>
      <c r="D926" s="1428"/>
      <c r="E926" s="1428"/>
      <c r="R926" s="1429"/>
      <c r="S926" s="1429"/>
      <c r="T926" s="1429"/>
      <c r="U926" s="1429"/>
      <c r="V926" s="1429"/>
      <c r="W926" s="1429"/>
      <c r="X926" s="1429"/>
      <c r="Y926" s="1429"/>
    </row>
    <row r="927" spans="1:25">
      <c r="A927" s="1428"/>
      <c r="B927" s="1428"/>
      <c r="C927" s="1428"/>
      <c r="D927" s="1428"/>
      <c r="E927" s="1428"/>
      <c r="R927" s="1429"/>
      <c r="S927" s="1429"/>
      <c r="T927" s="1429"/>
      <c r="U927" s="1429"/>
      <c r="V927" s="1429"/>
      <c r="W927" s="1429"/>
      <c r="X927" s="1429"/>
      <c r="Y927" s="1429"/>
    </row>
    <row r="928" spans="1:25">
      <c r="A928" s="1428"/>
      <c r="B928" s="1428"/>
      <c r="C928" s="1428"/>
      <c r="D928" s="1428"/>
      <c r="E928" s="1428"/>
      <c r="R928" s="1429"/>
      <c r="S928" s="1429"/>
      <c r="T928" s="1429"/>
      <c r="U928" s="1429"/>
      <c r="V928" s="1429"/>
      <c r="W928" s="1429"/>
      <c r="X928" s="1429"/>
      <c r="Y928" s="1429"/>
    </row>
    <row r="929" spans="1:25">
      <c r="A929" s="1428"/>
      <c r="B929" s="1428"/>
      <c r="C929" s="1428"/>
      <c r="D929" s="1428"/>
      <c r="E929" s="1428"/>
      <c r="R929" s="1429"/>
      <c r="S929" s="1429"/>
      <c r="T929" s="1429"/>
      <c r="U929" s="1429"/>
      <c r="V929" s="1429"/>
      <c r="W929" s="1429"/>
      <c r="X929" s="1429"/>
      <c r="Y929" s="1429"/>
    </row>
    <row r="930" spans="1:25">
      <c r="A930" s="1428"/>
      <c r="B930" s="1428"/>
      <c r="C930" s="1428"/>
      <c r="D930" s="1428"/>
      <c r="E930" s="1428"/>
      <c r="R930" s="1429"/>
      <c r="S930" s="1429"/>
      <c r="T930" s="1429"/>
      <c r="U930" s="1429"/>
      <c r="V930" s="1429"/>
      <c r="W930" s="1429"/>
      <c r="X930" s="1429"/>
      <c r="Y930" s="1429"/>
    </row>
    <row r="931" spans="1:25">
      <c r="A931" s="1428"/>
      <c r="B931" s="1428"/>
      <c r="C931" s="1428"/>
      <c r="D931" s="1428"/>
      <c r="E931" s="1428"/>
      <c r="R931" s="1429"/>
      <c r="S931" s="1429"/>
      <c r="T931" s="1429"/>
      <c r="U931" s="1429"/>
      <c r="V931" s="1429"/>
      <c r="W931" s="1429"/>
      <c r="X931" s="1429"/>
      <c r="Y931" s="1429"/>
    </row>
    <row r="932" spans="1:25">
      <c r="A932" s="1428"/>
      <c r="B932" s="1428"/>
      <c r="C932" s="1428"/>
      <c r="D932" s="1428"/>
      <c r="E932" s="1428"/>
      <c r="R932" s="1429"/>
      <c r="S932" s="1429"/>
      <c r="T932" s="1429"/>
      <c r="U932" s="1429"/>
      <c r="V932" s="1429"/>
      <c r="W932" s="1429"/>
      <c r="X932" s="1429"/>
      <c r="Y932" s="1429"/>
    </row>
    <row r="933" spans="1:25">
      <c r="A933" s="1428"/>
      <c r="B933" s="1428"/>
      <c r="C933" s="1428"/>
      <c r="D933" s="1428"/>
      <c r="E933" s="1428"/>
      <c r="R933" s="1429"/>
      <c r="S933" s="1429"/>
      <c r="T933" s="1429"/>
      <c r="U933" s="1429"/>
      <c r="V933" s="1429"/>
      <c r="W933" s="1429"/>
      <c r="X933" s="1429"/>
      <c r="Y933" s="1429"/>
    </row>
    <row r="934" spans="1:25">
      <c r="A934" s="1428"/>
      <c r="B934" s="1428"/>
      <c r="C934" s="1428"/>
      <c r="D934" s="1428"/>
      <c r="E934" s="1428"/>
      <c r="R934" s="1429"/>
      <c r="S934" s="1429"/>
      <c r="T934" s="1429"/>
      <c r="U934" s="1429"/>
      <c r="V934" s="1429"/>
      <c r="W934" s="1429"/>
      <c r="X934" s="1429"/>
      <c r="Y934" s="1429"/>
    </row>
    <row r="935" spans="1:25">
      <c r="A935" s="1428"/>
      <c r="B935" s="1428"/>
      <c r="C935" s="1428"/>
      <c r="D935" s="1428"/>
      <c r="E935" s="1428"/>
      <c r="R935" s="1429"/>
      <c r="S935" s="1429"/>
      <c r="T935" s="1429"/>
      <c r="U935" s="1429"/>
      <c r="V935" s="1429"/>
      <c r="W935" s="1429"/>
      <c r="X935" s="1429"/>
      <c r="Y935" s="1429"/>
    </row>
    <row r="936" spans="1:25">
      <c r="A936" s="1428"/>
      <c r="B936" s="1428"/>
      <c r="C936" s="1428"/>
      <c r="D936" s="1428"/>
      <c r="E936" s="1428"/>
      <c r="R936" s="1429"/>
      <c r="S936" s="1429"/>
      <c r="T936" s="1429"/>
      <c r="U936" s="1429"/>
      <c r="V936" s="1429"/>
      <c r="W936" s="1429"/>
      <c r="X936" s="1429"/>
      <c r="Y936" s="1429"/>
    </row>
    <row r="937" spans="1:25">
      <c r="A937" s="1428"/>
      <c r="B937" s="1428"/>
      <c r="C937" s="1428"/>
      <c r="D937" s="1428"/>
      <c r="E937" s="1428"/>
      <c r="R937" s="1429"/>
      <c r="S937" s="1429"/>
      <c r="T937" s="1429"/>
      <c r="U937" s="1429"/>
      <c r="V937" s="1429"/>
      <c r="W937" s="1429"/>
      <c r="X937" s="1429"/>
      <c r="Y937" s="1429"/>
    </row>
    <row r="938" spans="1:25">
      <c r="A938" s="1428"/>
      <c r="B938" s="1428"/>
      <c r="C938" s="1428"/>
      <c r="D938" s="1428"/>
      <c r="E938" s="1428"/>
      <c r="R938" s="1429"/>
      <c r="S938" s="1429"/>
      <c r="T938" s="1429"/>
      <c r="U938" s="1429"/>
      <c r="V938" s="1429"/>
      <c r="W938" s="1429"/>
      <c r="X938" s="1429"/>
      <c r="Y938" s="1429"/>
    </row>
    <row r="939" spans="1:25">
      <c r="A939" s="1428"/>
      <c r="B939" s="1428"/>
      <c r="C939" s="1428"/>
      <c r="D939" s="1428"/>
      <c r="E939" s="1428"/>
      <c r="R939" s="1429"/>
      <c r="S939" s="1429"/>
      <c r="T939" s="1429"/>
      <c r="U939" s="1429"/>
      <c r="V939" s="1429"/>
      <c r="W939" s="1429"/>
      <c r="X939" s="1429"/>
      <c r="Y939" s="1429"/>
    </row>
    <row r="940" spans="1:25">
      <c r="A940" s="1428"/>
      <c r="B940" s="1428"/>
      <c r="C940" s="1428"/>
      <c r="D940" s="1428"/>
      <c r="E940" s="1428"/>
      <c r="R940" s="1429"/>
      <c r="S940" s="1429"/>
      <c r="T940" s="1429"/>
      <c r="U940" s="1429"/>
      <c r="V940" s="1429"/>
      <c r="W940" s="1429"/>
      <c r="X940" s="1429"/>
      <c r="Y940" s="1429"/>
    </row>
    <row r="941" spans="1:25">
      <c r="A941" s="1428"/>
      <c r="B941" s="1428"/>
      <c r="C941" s="1428"/>
      <c r="D941" s="1428"/>
      <c r="E941" s="1428"/>
      <c r="R941" s="1429"/>
      <c r="S941" s="1429"/>
      <c r="T941" s="1429"/>
      <c r="U941" s="1429"/>
      <c r="V941" s="1429"/>
      <c r="W941" s="1429"/>
      <c r="X941" s="1429"/>
      <c r="Y941" s="1429"/>
    </row>
    <row r="942" spans="1:25">
      <c r="A942" s="1428"/>
      <c r="B942" s="1428"/>
      <c r="C942" s="1428"/>
      <c r="D942" s="1428"/>
      <c r="E942" s="1428"/>
      <c r="R942" s="1429"/>
      <c r="S942" s="1429"/>
      <c r="T942" s="1429"/>
      <c r="U942" s="1429"/>
      <c r="V942" s="1429"/>
      <c r="W942" s="1429"/>
      <c r="X942" s="1429"/>
      <c r="Y942" s="1429"/>
    </row>
    <row r="943" spans="1:25">
      <c r="A943" s="1428"/>
      <c r="B943" s="1428"/>
      <c r="C943" s="1428"/>
      <c r="D943" s="1428"/>
      <c r="E943" s="1428"/>
      <c r="R943" s="1429"/>
      <c r="S943" s="1429"/>
      <c r="T943" s="1429"/>
      <c r="U943" s="1429"/>
      <c r="V943" s="1429"/>
      <c r="W943" s="1429"/>
      <c r="X943" s="1429"/>
      <c r="Y943" s="1429"/>
    </row>
    <row r="944" spans="1:25">
      <c r="A944" s="1428"/>
      <c r="B944" s="1428"/>
      <c r="C944" s="1428"/>
      <c r="D944" s="1428"/>
      <c r="E944" s="1428"/>
      <c r="R944" s="1429"/>
      <c r="S944" s="1429"/>
      <c r="T944" s="1429"/>
      <c r="U944" s="1429"/>
      <c r="V944" s="1429"/>
      <c r="W944" s="1429"/>
      <c r="X944" s="1429"/>
      <c r="Y944" s="1429"/>
    </row>
    <row r="945" spans="1:25">
      <c r="A945" s="1428"/>
      <c r="B945" s="1428"/>
      <c r="C945" s="1428"/>
      <c r="D945" s="1428"/>
      <c r="E945" s="1428"/>
      <c r="R945" s="1429"/>
      <c r="S945" s="1429"/>
      <c r="T945" s="1429"/>
      <c r="U945" s="1429"/>
      <c r="V945" s="1429"/>
      <c r="W945" s="1429"/>
      <c r="X945" s="1429"/>
      <c r="Y945" s="1429"/>
    </row>
    <row r="946" spans="1:25">
      <c r="A946" s="1428"/>
      <c r="B946" s="1428"/>
      <c r="C946" s="1428"/>
      <c r="D946" s="1428"/>
      <c r="E946" s="1428"/>
      <c r="R946" s="1429"/>
      <c r="S946" s="1429"/>
      <c r="T946" s="1429"/>
      <c r="U946" s="1429"/>
      <c r="V946" s="1429"/>
      <c r="W946" s="1429"/>
      <c r="X946" s="1429"/>
      <c r="Y946" s="1429"/>
    </row>
    <row r="947" spans="1:25">
      <c r="A947" s="1428"/>
      <c r="B947" s="1428"/>
      <c r="C947" s="1428"/>
      <c r="D947" s="1428"/>
      <c r="E947" s="1428"/>
      <c r="R947" s="1429"/>
      <c r="S947" s="1429"/>
      <c r="T947" s="1429"/>
      <c r="U947" s="1429"/>
      <c r="V947" s="1429"/>
      <c r="W947" s="1429"/>
      <c r="X947" s="1429"/>
      <c r="Y947" s="1429"/>
    </row>
    <row r="948" spans="1:25">
      <c r="A948" s="1428"/>
      <c r="B948" s="1428"/>
      <c r="C948" s="1428"/>
      <c r="D948" s="1428"/>
      <c r="E948" s="1428"/>
      <c r="R948" s="1429"/>
      <c r="S948" s="1429"/>
      <c r="T948" s="1429"/>
      <c r="U948" s="1429"/>
      <c r="V948" s="1429"/>
      <c r="W948" s="1429"/>
      <c r="X948" s="1429"/>
      <c r="Y948" s="1429"/>
    </row>
    <row r="949" spans="1:25">
      <c r="A949" s="1428"/>
      <c r="B949" s="1428"/>
      <c r="C949" s="1428"/>
      <c r="D949" s="1428"/>
      <c r="E949" s="1428"/>
      <c r="R949" s="1429"/>
      <c r="S949" s="1429"/>
      <c r="T949" s="1429"/>
      <c r="U949" s="1429"/>
      <c r="V949" s="1429"/>
      <c r="W949" s="1429"/>
      <c r="X949" s="1429"/>
      <c r="Y949" s="1429"/>
    </row>
    <row r="950" spans="1:25">
      <c r="A950" s="1428"/>
      <c r="B950" s="1428"/>
      <c r="C950" s="1428"/>
      <c r="D950" s="1428"/>
      <c r="E950" s="1428"/>
      <c r="R950" s="1429"/>
      <c r="S950" s="1429"/>
      <c r="T950" s="1429"/>
      <c r="U950" s="1429"/>
      <c r="V950" s="1429"/>
      <c r="W950" s="1429"/>
      <c r="X950" s="1429"/>
      <c r="Y950" s="1429"/>
    </row>
    <row r="951" spans="1:25">
      <c r="A951" s="1428"/>
      <c r="B951" s="1428"/>
      <c r="C951" s="1428"/>
      <c r="D951" s="1428"/>
      <c r="E951" s="1428"/>
      <c r="R951" s="1429"/>
      <c r="S951" s="1429"/>
      <c r="T951" s="1429"/>
      <c r="U951" s="1429"/>
      <c r="V951" s="1429"/>
      <c r="W951" s="1429"/>
      <c r="X951" s="1429"/>
      <c r="Y951" s="1429"/>
    </row>
    <row r="952" spans="1:25">
      <c r="A952" s="1428"/>
      <c r="B952" s="1428"/>
      <c r="C952" s="1428"/>
      <c r="D952" s="1428"/>
      <c r="E952" s="1428"/>
      <c r="R952" s="1429"/>
      <c r="S952" s="1429"/>
      <c r="T952" s="1429"/>
      <c r="U952" s="1429"/>
      <c r="V952" s="1429"/>
      <c r="W952" s="1429"/>
      <c r="X952" s="1429"/>
      <c r="Y952" s="1429"/>
    </row>
    <row r="953" spans="1:25">
      <c r="A953" s="1428"/>
      <c r="B953" s="1428"/>
      <c r="C953" s="1428"/>
      <c r="D953" s="1428"/>
      <c r="E953" s="1428"/>
      <c r="R953" s="1429"/>
      <c r="S953" s="1429"/>
      <c r="T953" s="1429"/>
      <c r="U953" s="1429"/>
      <c r="V953" s="1429"/>
      <c r="W953" s="1429"/>
      <c r="X953" s="1429"/>
      <c r="Y953" s="1429"/>
    </row>
    <row r="954" spans="1:25">
      <c r="A954" s="1428"/>
      <c r="B954" s="1428"/>
      <c r="C954" s="1428"/>
      <c r="D954" s="1428"/>
      <c r="E954" s="1428"/>
      <c r="R954" s="1429"/>
      <c r="S954" s="1429"/>
      <c r="T954" s="1429"/>
      <c r="U954" s="1429"/>
      <c r="V954" s="1429"/>
      <c r="W954" s="1429"/>
      <c r="X954" s="1429"/>
      <c r="Y954" s="1429"/>
    </row>
    <row r="955" spans="1:25">
      <c r="A955" s="1428"/>
      <c r="B955" s="1428"/>
      <c r="C955" s="1428"/>
      <c r="D955" s="1428"/>
      <c r="E955" s="1428"/>
      <c r="R955" s="1429"/>
      <c r="S955" s="1429"/>
      <c r="T955" s="1429"/>
      <c r="U955" s="1429"/>
      <c r="V955" s="1429"/>
      <c r="W955" s="1429"/>
      <c r="X955" s="1429"/>
      <c r="Y955" s="1429"/>
    </row>
    <row r="956" spans="1:25">
      <c r="A956" s="1428"/>
      <c r="B956" s="1428"/>
      <c r="C956" s="1428"/>
      <c r="D956" s="1428"/>
      <c r="E956" s="1428"/>
      <c r="R956" s="1429"/>
      <c r="S956" s="1429"/>
      <c r="T956" s="1429"/>
      <c r="U956" s="1429"/>
      <c r="V956" s="1429"/>
      <c r="W956" s="1429"/>
      <c r="X956" s="1429"/>
      <c r="Y956" s="1429"/>
    </row>
    <row r="957" spans="1:25">
      <c r="A957" s="1428"/>
      <c r="B957" s="1428"/>
      <c r="C957" s="1428"/>
      <c r="D957" s="1428"/>
      <c r="E957" s="1428"/>
      <c r="R957" s="1429"/>
      <c r="S957" s="1429"/>
      <c r="T957" s="1429"/>
      <c r="U957" s="1429"/>
      <c r="V957" s="1429"/>
      <c r="W957" s="1429"/>
      <c r="X957" s="1429"/>
      <c r="Y957" s="1429"/>
    </row>
    <row r="958" spans="1:25">
      <c r="A958" s="1428"/>
      <c r="B958" s="1428"/>
      <c r="C958" s="1428"/>
      <c r="D958" s="1428"/>
      <c r="E958" s="1428"/>
      <c r="R958" s="1429"/>
      <c r="S958" s="1429"/>
      <c r="T958" s="1429"/>
      <c r="U958" s="1429"/>
      <c r="V958" s="1429"/>
      <c r="W958" s="1429"/>
      <c r="X958" s="1429"/>
      <c r="Y958" s="1429"/>
    </row>
    <row r="959" spans="1:25">
      <c r="A959" s="1428"/>
      <c r="B959" s="1428"/>
      <c r="C959" s="1428"/>
      <c r="D959" s="1428"/>
      <c r="E959" s="1428"/>
      <c r="R959" s="1429"/>
      <c r="S959" s="1429"/>
      <c r="T959" s="1429"/>
      <c r="U959" s="1429"/>
      <c r="V959" s="1429"/>
      <c r="W959" s="1429"/>
      <c r="X959" s="1429"/>
      <c r="Y959" s="1429"/>
    </row>
    <row r="960" spans="1:25">
      <c r="A960" s="1428"/>
      <c r="B960" s="1428"/>
      <c r="C960" s="1428"/>
      <c r="D960" s="1428"/>
      <c r="E960" s="1428"/>
      <c r="R960" s="1429"/>
      <c r="S960" s="1429"/>
      <c r="T960" s="1429"/>
      <c r="U960" s="1429"/>
      <c r="V960" s="1429"/>
      <c r="W960" s="1429"/>
      <c r="X960" s="1429"/>
      <c r="Y960" s="1429"/>
    </row>
    <row r="961" spans="1:25">
      <c r="A961" s="1428"/>
      <c r="B961" s="1428"/>
      <c r="C961" s="1428"/>
      <c r="D961" s="1428"/>
      <c r="E961" s="1428"/>
      <c r="R961" s="1429"/>
      <c r="S961" s="1429"/>
      <c r="T961" s="1429"/>
      <c r="U961" s="1429"/>
      <c r="V961" s="1429"/>
      <c r="W961" s="1429"/>
      <c r="X961" s="1429"/>
      <c r="Y961" s="1429"/>
    </row>
    <row r="962" spans="1:25">
      <c r="A962" s="1428"/>
      <c r="B962" s="1428"/>
      <c r="C962" s="1428"/>
      <c r="D962" s="1428"/>
      <c r="E962" s="1428"/>
      <c r="R962" s="1429"/>
      <c r="S962" s="1429"/>
      <c r="T962" s="1429"/>
      <c r="U962" s="1429"/>
      <c r="V962" s="1429"/>
      <c r="W962" s="1429"/>
      <c r="X962" s="1429"/>
      <c r="Y962" s="1429"/>
    </row>
    <row r="963" spans="1:25">
      <c r="A963" s="1428"/>
      <c r="B963" s="1428"/>
      <c r="C963" s="1428"/>
      <c r="D963" s="1428"/>
      <c r="E963" s="1428"/>
      <c r="R963" s="1429"/>
      <c r="S963" s="1429"/>
      <c r="T963" s="1429"/>
      <c r="U963" s="1429"/>
      <c r="V963" s="1429"/>
      <c r="W963" s="1429"/>
      <c r="X963" s="1429"/>
      <c r="Y963" s="1429"/>
    </row>
    <row r="964" spans="1:25">
      <c r="A964" s="1428"/>
      <c r="B964" s="1428"/>
      <c r="C964" s="1428"/>
      <c r="D964" s="1428"/>
      <c r="E964" s="1428"/>
      <c r="R964" s="1429"/>
      <c r="S964" s="1429"/>
      <c r="T964" s="1429"/>
      <c r="U964" s="1429"/>
      <c r="V964" s="1429"/>
      <c r="W964" s="1429"/>
      <c r="X964" s="1429"/>
      <c r="Y964" s="1429"/>
    </row>
    <row r="965" spans="1:25">
      <c r="A965" s="1428"/>
      <c r="B965" s="1428"/>
      <c r="C965" s="1428"/>
      <c r="D965" s="1428"/>
      <c r="E965" s="1428"/>
      <c r="R965" s="1429"/>
      <c r="S965" s="1429"/>
      <c r="T965" s="1429"/>
      <c r="U965" s="1429"/>
      <c r="V965" s="1429"/>
      <c r="W965" s="1429"/>
      <c r="X965" s="1429"/>
      <c r="Y965" s="1429"/>
    </row>
    <row r="966" spans="1:25">
      <c r="A966" s="1428"/>
      <c r="B966" s="1428"/>
      <c r="C966" s="1428"/>
      <c r="D966" s="1428"/>
      <c r="E966" s="1428"/>
      <c r="R966" s="1429"/>
      <c r="S966" s="1429"/>
      <c r="T966" s="1429"/>
      <c r="U966" s="1429"/>
      <c r="V966" s="1429"/>
      <c r="W966" s="1429"/>
      <c r="X966" s="1429"/>
      <c r="Y966" s="1429"/>
    </row>
    <row r="967" spans="1:25">
      <c r="A967" s="1428"/>
      <c r="B967" s="1428"/>
      <c r="C967" s="1428"/>
      <c r="D967" s="1428"/>
      <c r="E967" s="1428"/>
      <c r="R967" s="1429"/>
      <c r="S967" s="1429"/>
      <c r="T967" s="1429"/>
      <c r="U967" s="1429"/>
      <c r="V967" s="1429"/>
      <c r="W967" s="1429"/>
      <c r="X967" s="1429"/>
      <c r="Y967" s="1429"/>
    </row>
    <row r="968" spans="1:25">
      <c r="A968" s="1428"/>
      <c r="B968" s="1428"/>
      <c r="C968" s="1428"/>
      <c r="D968" s="1428"/>
      <c r="E968" s="1428"/>
      <c r="R968" s="1429"/>
      <c r="S968" s="1429"/>
      <c r="T968" s="1429"/>
      <c r="U968" s="1429"/>
      <c r="V968" s="1429"/>
      <c r="W968" s="1429"/>
      <c r="X968" s="1429"/>
      <c r="Y968" s="1429"/>
    </row>
    <row r="969" spans="1:25">
      <c r="A969" s="1428"/>
      <c r="B969" s="1428"/>
      <c r="C969" s="1428"/>
      <c r="D969" s="1428"/>
      <c r="E969" s="1428"/>
      <c r="R969" s="1429"/>
      <c r="S969" s="1429"/>
      <c r="T969" s="1429"/>
      <c r="U969" s="1429"/>
      <c r="V969" s="1429"/>
      <c r="W969" s="1429"/>
      <c r="X969" s="1429"/>
      <c r="Y969" s="1429"/>
    </row>
    <row r="970" spans="1:25">
      <c r="A970" s="1428"/>
      <c r="B970" s="1428"/>
      <c r="C970" s="1428"/>
      <c r="D970" s="1428"/>
      <c r="E970" s="1428"/>
      <c r="R970" s="1429"/>
      <c r="S970" s="1429"/>
      <c r="T970" s="1429"/>
      <c r="U970" s="1429"/>
      <c r="V970" s="1429"/>
      <c r="W970" s="1429"/>
      <c r="X970" s="1429"/>
      <c r="Y970" s="1429"/>
    </row>
    <row r="971" spans="1:25">
      <c r="A971" s="1428"/>
      <c r="B971" s="1428"/>
      <c r="C971" s="1428"/>
      <c r="D971" s="1428"/>
      <c r="E971" s="1428"/>
      <c r="R971" s="1429"/>
      <c r="S971" s="1429"/>
      <c r="T971" s="1429"/>
      <c r="U971" s="1429"/>
      <c r="V971" s="1429"/>
      <c r="W971" s="1429"/>
      <c r="X971" s="1429"/>
      <c r="Y971" s="1429"/>
    </row>
    <row r="972" spans="1:25">
      <c r="A972" s="1428"/>
      <c r="B972" s="1428"/>
      <c r="C972" s="1428"/>
      <c r="D972" s="1428"/>
      <c r="E972" s="1428"/>
      <c r="R972" s="1429"/>
      <c r="S972" s="1429"/>
      <c r="T972" s="1429"/>
      <c r="U972" s="1429"/>
      <c r="V972" s="1429"/>
      <c r="W972" s="1429"/>
      <c r="X972" s="1429"/>
      <c r="Y972" s="1429"/>
    </row>
    <row r="973" spans="1:25">
      <c r="A973" s="1428"/>
      <c r="B973" s="1428"/>
      <c r="C973" s="1428"/>
      <c r="D973" s="1428"/>
      <c r="E973" s="1428"/>
      <c r="R973" s="1429"/>
      <c r="S973" s="1429"/>
      <c r="T973" s="1429"/>
      <c r="U973" s="1429"/>
      <c r="V973" s="1429"/>
      <c r="W973" s="1429"/>
      <c r="X973" s="1429"/>
      <c r="Y973" s="1429"/>
    </row>
    <row r="974" spans="1:25">
      <c r="A974" s="1428"/>
      <c r="B974" s="1428"/>
      <c r="C974" s="1428"/>
      <c r="D974" s="1428"/>
      <c r="E974" s="1428"/>
      <c r="R974" s="1429"/>
      <c r="S974" s="1429"/>
      <c r="T974" s="1429"/>
      <c r="U974" s="1429"/>
      <c r="V974" s="1429"/>
      <c r="W974" s="1429"/>
      <c r="X974" s="1429"/>
      <c r="Y974" s="1429"/>
    </row>
    <row r="975" spans="1:25">
      <c r="A975" s="1428"/>
      <c r="B975" s="1428"/>
      <c r="C975" s="1428"/>
      <c r="D975" s="1428"/>
      <c r="E975" s="1428"/>
      <c r="R975" s="1429"/>
      <c r="S975" s="1429"/>
      <c r="T975" s="1429"/>
      <c r="U975" s="1429"/>
      <c r="V975" s="1429"/>
      <c r="W975" s="1429"/>
      <c r="X975" s="1429"/>
      <c r="Y975" s="1429"/>
    </row>
    <row r="976" spans="1:25">
      <c r="A976" s="1428"/>
      <c r="B976" s="1428"/>
      <c r="C976" s="1428"/>
      <c r="D976" s="1428"/>
      <c r="E976" s="1428"/>
      <c r="R976" s="1429"/>
      <c r="S976" s="1429"/>
      <c r="T976" s="1429"/>
      <c r="U976" s="1429"/>
      <c r="V976" s="1429"/>
      <c r="W976" s="1429"/>
      <c r="X976" s="1429"/>
      <c r="Y976" s="1429"/>
    </row>
    <row r="977" spans="1:25">
      <c r="A977" s="1428"/>
      <c r="B977" s="1428"/>
      <c r="C977" s="1428"/>
      <c r="D977" s="1428"/>
      <c r="E977" s="1428"/>
      <c r="R977" s="1429"/>
      <c r="S977" s="1429"/>
      <c r="T977" s="1429"/>
      <c r="U977" s="1429"/>
      <c r="V977" s="1429"/>
      <c r="W977" s="1429"/>
      <c r="X977" s="1429"/>
      <c r="Y977" s="1429"/>
    </row>
    <row r="978" spans="1:25">
      <c r="A978" s="1428"/>
      <c r="B978" s="1428"/>
      <c r="C978" s="1428"/>
      <c r="D978" s="1428"/>
      <c r="E978" s="1428"/>
      <c r="R978" s="1429"/>
      <c r="S978" s="1429"/>
      <c r="T978" s="1429"/>
      <c r="U978" s="1429"/>
      <c r="V978" s="1429"/>
      <c r="W978" s="1429"/>
      <c r="X978" s="1429"/>
      <c r="Y978" s="1429"/>
    </row>
    <row r="979" spans="1:25">
      <c r="A979" s="1428"/>
      <c r="B979" s="1428"/>
      <c r="C979" s="1428"/>
      <c r="D979" s="1428"/>
      <c r="E979" s="1428"/>
      <c r="R979" s="1429"/>
      <c r="S979" s="1429"/>
      <c r="T979" s="1429"/>
      <c r="U979" s="1429"/>
      <c r="V979" s="1429"/>
      <c r="W979" s="1429"/>
      <c r="X979" s="1429"/>
      <c r="Y979" s="1429"/>
    </row>
    <row r="980" spans="1:25">
      <c r="A980" s="1428"/>
      <c r="B980" s="1428"/>
      <c r="C980" s="1428"/>
      <c r="D980" s="1428"/>
      <c r="E980" s="1428"/>
      <c r="R980" s="1429"/>
      <c r="S980" s="1429"/>
      <c r="T980" s="1429"/>
      <c r="U980" s="1429"/>
      <c r="V980" s="1429"/>
      <c r="W980" s="1429"/>
      <c r="X980" s="1429"/>
      <c r="Y980" s="1429"/>
    </row>
    <row r="981" spans="1:25">
      <c r="A981" s="1428"/>
      <c r="B981" s="1428"/>
      <c r="C981" s="1428"/>
      <c r="D981" s="1428"/>
      <c r="E981" s="1428"/>
      <c r="R981" s="1429"/>
      <c r="S981" s="1429"/>
      <c r="T981" s="1429"/>
      <c r="U981" s="1429"/>
      <c r="V981" s="1429"/>
      <c r="W981" s="1429"/>
      <c r="X981" s="1429"/>
      <c r="Y981" s="1429"/>
    </row>
    <row r="982" spans="1:25">
      <c r="A982" s="1428"/>
      <c r="B982" s="1428"/>
      <c r="C982" s="1428"/>
      <c r="D982" s="1428"/>
      <c r="E982" s="1428"/>
      <c r="R982" s="1429"/>
      <c r="S982" s="1429"/>
      <c r="T982" s="1429"/>
      <c r="U982" s="1429"/>
      <c r="V982" s="1429"/>
      <c r="W982" s="1429"/>
      <c r="X982" s="1429"/>
      <c r="Y982" s="1429"/>
    </row>
    <row r="983" spans="1:25">
      <c r="A983" s="1428"/>
      <c r="B983" s="1428"/>
      <c r="C983" s="1428"/>
      <c r="D983" s="1428"/>
      <c r="E983" s="1428"/>
      <c r="R983" s="1429"/>
      <c r="S983" s="1429"/>
      <c r="T983" s="1429"/>
      <c r="U983" s="1429"/>
      <c r="V983" s="1429"/>
      <c r="W983" s="1429"/>
      <c r="X983" s="1429"/>
      <c r="Y983" s="1429"/>
    </row>
    <row r="984" spans="1:25">
      <c r="A984" s="1428"/>
      <c r="B984" s="1428"/>
      <c r="C984" s="1428"/>
      <c r="D984" s="1428"/>
      <c r="E984" s="1428"/>
      <c r="R984" s="1429"/>
      <c r="S984" s="1429"/>
      <c r="T984" s="1429"/>
      <c r="U984" s="1429"/>
      <c r="V984" s="1429"/>
      <c r="W984" s="1429"/>
      <c r="X984" s="1429"/>
      <c r="Y984" s="1429"/>
    </row>
    <row r="985" spans="1:25">
      <c r="A985" s="1428"/>
      <c r="B985" s="1428"/>
      <c r="C985" s="1428"/>
      <c r="D985" s="1428"/>
      <c r="E985" s="1428"/>
      <c r="R985" s="1429"/>
      <c r="S985" s="1429"/>
      <c r="T985" s="1429"/>
      <c r="U985" s="1429"/>
      <c r="V985" s="1429"/>
      <c r="W985" s="1429"/>
      <c r="X985" s="1429"/>
      <c r="Y985" s="1429"/>
    </row>
    <row r="986" spans="1:25">
      <c r="A986" s="1428"/>
      <c r="B986" s="1428"/>
      <c r="C986" s="1428"/>
      <c r="D986" s="1428"/>
      <c r="E986" s="1428"/>
      <c r="R986" s="1429"/>
      <c r="S986" s="1429"/>
      <c r="T986" s="1429"/>
      <c r="U986" s="1429"/>
      <c r="V986" s="1429"/>
      <c r="W986" s="1429"/>
      <c r="X986" s="1429"/>
      <c r="Y986" s="1429"/>
    </row>
    <row r="987" spans="1:25">
      <c r="A987" s="1428"/>
      <c r="B987" s="1428"/>
      <c r="C987" s="1428"/>
      <c r="D987" s="1428"/>
      <c r="E987" s="1428"/>
      <c r="R987" s="1429"/>
      <c r="S987" s="1429"/>
      <c r="T987" s="1429"/>
      <c r="U987" s="1429"/>
      <c r="V987" s="1429"/>
      <c r="W987" s="1429"/>
      <c r="X987" s="1429"/>
      <c r="Y987" s="1429"/>
    </row>
    <row r="988" spans="1:25">
      <c r="A988" s="1428"/>
      <c r="B988" s="1428"/>
      <c r="C988" s="1428"/>
      <c r="D988" s="1428"/>
      <c r="E988" s="1428"/>
      <c r="R988" s="1429"/>
      <c r="S988" s="1429"/>
      <c r="T988" s="1429"/>
      <c r="U988" s="1429"/>
      <c r="V988" s="1429"/>
      <c r="W988" s="1429"/>
      <c r="X988" s="1429"/>
      <c r="Y988" s="1429"/>
    </row>
    <row r="989" spans="1:25">
      <c r="A989" s="1428"/>
      <c r="B989" s="1428"/>
      <c r="C989" s="1428"/>
      <c r="D989" s="1428"/>
      <c r="E989" s="1428"/>
      <c r="R989" s="1429"/>
      <c r="S989" s="1429"/>
      <c r="T989" s="1429"/>
      <c r="U989" s="1429"/>
      <c r="V989" s="1429"/>
      <c r="W989" s="1429"/>
      <c r="X989" s="1429"/>
      <c r="Y989" s="1429"/>
    </row>
    <row r="990" spans="1:25">
      <c r="A990" s="1428"/>
      <c r="B990" s="1428"/>
      <c r="C990" s="1428"/>
      <c r="D990" s="1428"/>
      <c r="E990" s="1428"/>
      <c r="R990" s="1429"/>
      <c r="S990" s="1429"/>
      <c r="T990" s="1429"/>
      <c r="U990" s="1429"/>
      <c r="V990" s="1429"/>
      <c r="W990" s="1429"/>
      <c r="X990" s="1429"/>
      <c r="Y990" s="1429"/>
    </row>
    <row r="991" spans="1:25">
      <c r="A991" s="1428"/>
      <c r="B991" s="1428"/>
      <c r="C991" s="1428"/>
      <c r="D991" s="1428"/>
      <c r="E991" s="1428"/>
      <c r="R991" s="1429"/>
      <c r="S991" s="1429"/>
      <c r="T991" s="1429"/>
      <c r="U991" s="1429"/>
      <c r="V991" s="1429"/>
      <c r="W991" s="1429"/>
      <c r="X991" s="1429"/>
      <c r="Y991" s="1429"/>
    </row>
    <row r="992" spans="1:25">
      <c r="A992" s="1428"/>
      <c r="B992" s="1428"/>
      <c r="C992" s="1428"/>
      <c r="D992" s="1428"/>
      <c r="E992" s="1428"/>
      <c r="R992" s="1429"/>
      <c r="S992" s="1429"/>
      <c r="T992" s="1429"/>
      <c r="U992" s="1429"/>
      <c r="V992" s="1429"/>
      <c r="W992" s="1429"/>
      <c r="X992" s="1429"/>
      <c r="Y992" s="1429"/>
    </row>
    <row r="993" spans="1:25">
      <c r="A993" s="1428"/>
      <c r="B993" s="1428"/>
      <c r="C993" s="1428"/>
      <c r="D993" s="1428"/>
      <c r="E993" s="1428"/>
      <c r="R993" s="1429"/>
      <c r="S993" s="1429"/>
      <c r="T993" s="1429"/>
      <c r="U993" s="1429"/>
      <c r="V993" s="1429"/>
      <c r="W993" s="1429"/>
      <c r="X993" s="1429"/>
      <c r="Y993" s="1429"/>
    </row>
    <row r="994" spans="1:25">
      <c r="A994" s="1428"/>
      <c r="B994" s="1428"/>
      <c r="C994" s="1428"/>
      <c r="D994" s="1428"/>
      <c r="E994" s="1428"/>
      <c r="R994" s="1429"/>
      <c r="S994" s="1429"/>
      <c r="T994" s="1429"/>
      <c r="U994" s="1429"/>
      <c r="V994" s="1429"/>
      <c r="W994" s="1429"/>
      <c r="X994" s="1429"/>
      <c r="Y994" s="1429"/>
    </row>
    <row r="995" spans="1:25">
      <c r="A995" s="1428"/>
      <c r="B995" s="1428"/>
      <c r="C995" s="1428"/>
      <c r="D995" s="1428"/>
      <c r="E995" s="1428"/>
      <c r="R995" s="1429"/>
      <c r="S995" s="1429"/>
      <c r="T995" s="1429"/>
      <c r="U995" s="1429"/>
      <c r="V995" s="1429"/>
      <c r="W995" s="1429"/>
      <c r="X995" s="1429"/>
      <c r="Y995" s="1429"/>
    </row>
    <row r="996" spans="1:25">
      <c r="A996" s="1428"/>
      <c r="B996" s="1428"/>
      <c r="C996" s="1428"/>
      <c r="D996" s="1428"/>
      <c r="E996" s="1428"/>
      <c r="R996" s="1429"/>
      <c r="S996" s="1429"/>
      <c r="T996" s="1429"/>
      <c r="U996" s="1429"/>
      <c r="V996" s="1429"/>
      <c r="W996" s="1429"/>
      <c r="X996" s="1429"/>
      <c r="Y996" s="1429"/>
    </row>
    <row r="997" spans="1:25">
      <c r="A997" s="1428"/>
      <c r="B997" s="1428"/>
      <c r="C997" s="1428"/>
      <c r="D997" s="1428"/>
      <c r="E997" s="1428"/>
      <c r="R997" s="1429"/>
      <c r="S997" s="1429"/>
      <c r="T997" s="1429"/>
      <c r="U997" s="1429"/>
      <c r="V997" s="1429"/>
      <c r="W997" s="1429"/>
      <c r="X997" s="1429"/>
      <c r="Y997" s="1429"/>
    </row>
    <row r="998" spans="1:25">
      <c r="A998" s="1428"/>
      <c r="B998" s="1428"/>
      <c r="C998" s="1428"/>
      <c r="D998" s="1428"/>
      <c r="E998" s="1428"/>
      <c r="R998" s="1429"/>
      <c r="S998" s="1429"/>
      <c r="T998" s="1429"/>
      <c r="U998" s="1429"/>
      <c r="V998" s="1429"/>
      <c r="W998" s="1429"/>
      <c r="X998" s="1429"/>
      <c r="Y998" s="1429"/>
    </row>
    <row r="999" spans="1:25">
      <c r="A999" s="1428"/>
      <c r="B999" s="1428"/>
      <c r="C999" s="1428"/>
      <c r="D999" s="1428"/>
      <c r="E999" s="1428"/>
      <c r="R999" s="1429"/>
      <c r="S999" s="1429"/>
      <c r="T999" s="1429"/>
      <c r="U999" s="1429"/>
      <c r="V999" s="1429"/>
      <c r="W999" s="1429"/>
      <c r="X999" s="1429"/>
      <c r="Y999" s="1429"/>
    </row>
    <row r="1000" spans="1:25">
      <c r="A1000" s="1428"/>
      <c r="B1000" s="1428"/>
      <c r="C1000" s="1428"/>
      <c r="D1000" s="1428"/>
      <c r="E1000" s="1428"/>
      <c r="R1000" s="1429"/>
      <c r="S1000" s="1429"/>
      <c r="T1000" s="1429"/>
      <c r="U1000" s="1429"/>
      <c r="V1000" s="1429"/>
      <c r="W1000" s="1429"/>
      <c r="X1000" s="1429"/>
      <c r="Y1000" s="1429"/>
    </row>
    <row r="1001" spans="1:25">
      <c r="A1001" s="1428"/>
      <c r="B1001" s="1428"/>
      <c r="C1001" s="1428"/>
      <c r="D1001" s="1428"/>
      <c r="E1001" s="1428"/>
      <c r="R1001" s="1429"/>
      <c r="S1001" s="1429"/>
      <c r="T1001" s="1429"/>
      <c r="U1001" s="1429"/>
      <c r="V1001" s="1429"/>
      <c r="W1001" s="1429"/>
      <c r="X1001" s="1429"/>
      <c r="Y1001" s="1429"/>
    </row>
    <row r="1002" spans="1:25">
      <c r="A1002" s="1428"/>
      <c r="B1002" s="1428"/>
      <c r="C1002" s="1428"/>
      <c r="D1002" s="1428"/>
      <c r="E1002" s="1428"/>
      <c r="R1002" s="1429"/>
      <c r="S1002" s="1429"/>
      <c r="T1002" s="1429"/>
      <c r="U1002" s="1429"/>
      <c r="V1002" s="1429"/>
      <c r="W1002" s="1429"/>
      <c r="X1002" s="1429"/>
      <c r="Y1002" s="1429"/>
    </row>
    <row r="1003" spans="1:25">
      <c r="A1003" s="1428"/>
      <c r="B1003" s="1428"/>
      <c r="C1003" s="1428"/>
      <c r="D1003" s="1428"/>
      <c r="E1003" s="1428"/>
      <c r="R1003" s="1429"/>
      <c r="S1003" s="1429"/>
      <c r="T1003" s="1429"/>
      <c r="U1003" s="1429"/>
      <c r="V1003" s="1429"/>
      <c r="W1003" s="1429"/>
      <c r="X1003" s="1429"/>
      <c r="Y1003" s="1429"/>
    </row>
    <row r="1004" spans="1:25">
      <c r="A1004" s="1428"/>
      <c r="B1004" s="1428"/>
      <c r="C1004" s="1428"/>
      <c r="D1004" s="1428"/>
      <c r="E1004" s="1428"/>
      <c r="R1004" s="1429"/>
      <c r="S1004" s="1429"/>
      <c r="T1004" s="1429"/>
      <c r="U1004" s="1429"/>
      <c r="V1004" s="1429"/>
      <c r="W1004" s="1429"/>
      <c r="X1004" s="1429"/>
      <c r="Y1004" s="1429"/>
    </row>
    <row r="1005" spans="1:25">
      <c r="A1005" s="1428"/>
      <c r="B1005" s="1428"/>
      <c r="C1005" s="1428"/>
      <c r="D1005" s="1428"/>
      <c r="E1005" s="1428"/>
      <c r="R1005" s="1429"/>
      <c r="S1005" s="1429"/>
      <c r="T1005" s="1429"/>
      <c r="U1005" s="1429"/>
      <c r="V1005" s="1429"/>
      <c r="W1005" s="1429"/>
      <c r="X1005" s="1429"/>
      <c r="Y1005" s="1429"/>
    </row>
    <row r="1006" spans="1:25">
      <c r="A1006" s="1428"/>
      <c r="B1006" s="1428"/>
      <c r="C1006" s="1428"/>
      <c r="D1006" s="1428"/>
      <c r="E1006" s="1428"/>
      <c r="R1006" s="1429"/>
      <c r="S1006" s="1429"/>
      <c r="T1006" s="1429"/>
      <c r="U1006" s="1429"/>
      <c r="V1006" s="1429"/>
      <c r="W1006" s="1429"/>
      <c r="X1006" s="1429"/>
      <c r="Y1006" s="1429"/>
    </row>
    <row r="1007" spans="1:25">
      <c r="A1007" s="1428"/>
      <c r="B1007" s="1428"/>
      <c r="C1007" s="1428"/>
      <c r="D1007" s="1428"/>
      <c r="E1007" s="1428"/>
      <c r="R1007" s="1429"/>
      <c r="S1007" s="1429"/>
      <c r="T1007" s="1429"/>
      <c r="U1007" s="1429"/>
      <c r="V1007" s="1429"/>
      <c r="W1007" s="1429"/>
      <c r="X1007" s="1429"/>
      <c r="Y1007" s="1429"/>
    </row>
    <row r="1008" spans="1:25">
      <c r="A1008" s="1428"/>
      <c r="B1008" s="1428"/>
      <c r="C1008" s="1428"/>
      <c r="D1008" s="1428"/>
      <c r="E1008" s="1428"/>
      <c r="R1008" s="1429"/>
      <c r="S1008" s="1429"/>
      <c r="T1008" s="1429"/>
      <c r="U1008" s="1429"/>
      <c r="V1008" s="1429"/>
      <c r="W1008" s="1429"/>
      <c r="X1008" s="1429"/>
      <c r="Y1008" s="1429"/>
    </row>
    <row r="1009" spans="1:25">
      <c r="A1009" s="1428"/>
      <c r="B1009" s="1428"/>
      <c r="C1009" s="1428"/>
      <c r="D1009" s="1428"/>
      <c r="E1009" s="1428"/>
      <c r="R1009" s="1429"/>
      <c r="S1009" s="1429"/>
      <c r="T1009" s="1429"/>
      <c r="U1009" s="1429"/>
      <c r="V1009" s="1429"/>
      <c r="W1009" s="1429"/>
      <c r="X1009" s="1429"/>
      <c r="Y1009" s="1429"/>
    </row>
    <row r="1010" spans="1:25">
      <c r="A1010" s="1428"/>
      <c r="B1010" s="1428"/>
      <c r="C1010" s="1428"/>
      <c r="D1010" s="1428"/>
      <c r="E1010" s="1428"/>
      <c r="R1010" s="1429"/>
      <c r="S1010" s="1429"/>
      <c r="T1010" s="1429"/>
      <c r="U1010" s="1429"/>
      <c r="V1010" s="1429"/>
      <c r="W1010" s="1429"/>
      <c r="X1010" s="1429"/>
      <c r="Y1010" s="1429"/>
    </row>
    <row r="1011" spans="1:25">
      <c r="A1011" s="1428"/>
      <c r="B1011" s="1428"/>
      <c r="C1011" s="1428"/>
      <c r="D1011" s="1428"/>
      <c r="E1011" s="1428"/>
      <c r="R1011" s="1429"/>
      <c r="S1011" s="1429"/>
      <c r="T1011" s="1429"/>
      <c r="U1011" s="1429"/>
      <c r="V1011" s="1429"/>
      <c r="W1011" s="1429"/>
      <c r="X1011" s="1429"/>
      <c r="Y1011" s="1429"/>
    </row>
    <row r="1012" spans="1:25">
      <c r="A1012" s="1428"/>
      <c r="B1012" s="1428"/>
      <c r="C1012" s="1428"/>
      <c r="D1012" s="1428"/>
      <c r="E1012" s="1428"/>
      <c r="R1012" s="1429"/>
      <c r="S1012" s="1429"/>
      <c r="T1012" s="1429"/>
      <c r="U1012" s="1429"/>
      <c r="V1012" s="1429"/>
      <c r="W1012" s="1429"/>
      <c r="X1012" s="1429"/>
      <c r="Y1012" s="1429"/>
    </row>
    <row r="1013" spans="1:25">
      <c r="A1013" s="1428"/>
      <c r="B1013" s="1428"/>
      <c r="C1013" s="1428"/>
      <c r="D1013" s="1428"/>
      <c r="E1013" s="1428"/>
      <c r="R1013" s="1429"/>
      <c r="S1013" s="1429"/>
      <c r="T1013" s="1429"/>
      <c r="U1013" s="1429"/>
      <c r="V1013" s="1429"/>
      <c r="W1013" s="1429"/>
      <c r="X1013" s="1429"/>
      <c r="Y1013" s="1429"/>
    </row>
    <row r="1014" spans="1:25">
      <c r="A1014" s="1428"/>
      <c r="B1014" s="1428"/>
      <c r="C1014" s="1428"/>
      <c r="D1014" s="1428"/>
      <c r="E1014" s="1428"/>
      <c r="R1014" s="1429"/>
      <c r="S1014" s="1429"/>
      <c r="T1014" s="1429"/>
      <c r="U1014" s="1429"/>
      <c r="V1014" s="1429"/>
      <c r="W1014" s="1429"/>
      <c r="X1014" s="1429"/>
      <c r="Y1014" s="1429"/>
    </row>
    <row r="1015" spans="1:25">
      <c r="A1015" s="1428"/>
      <c r="B1015" s="1428"/>
      <c r="C1015" s="1428"/>
      <c r="D1015" s="1428"/>
      <c r="E1015" s="1428"/>
      <c r="R1015" s="1429"/>
      <c r="S1015" s="1429"/>
      <c r="T1015" s="1429"/>
      <c r="U1015" s="1429"/>
      <c r="V1015" s="1429"/>
      <c r="W1015" s="1429"/>
      <c r="X1015" s="1429"/>
      <c r="Y1015" s="1429"/>
    </row>
    <row r="1016" spans="1:25">
      <c r="A1016" s="1428"/>
      <c r="B1016" s="1428"/>
      <c r="C1016" s="1428"/>
      <c r="D1016" s="1428"/>
      <c r="E1016" s="1428"/>
      <c r="R1016" s="1429"/>
      <c r="S1016" s="1429"/>
      <c r="T1016" s="1429"/>
      <c r="U1016" s="1429"/>
      <c r="V1016" s="1429"/>
      <c r="W1016" s="1429"/>
      <c r="X1016" s="1429"/>
      <c r="Y1016" s="1429"/>
    </row>
    <row r="1017" spans="1:25">
      <c r="A1017" s="1428"/>
      <c r="B1017" s="1428"/>
      <c r="C1017" s="1428"/>
      <c r="D1017" s="1428"/>
      <c r="E1017" s="1428"/>
      <c r="R1017" s="1429"/>
      <c r="S1017" s="1429"/>
      <c r="T1017" s="1429"/>
      <c r="U1017" s="1429"/>
      <c r="V1017" s="1429"/>
      <c r="W1017" s="1429"/>
      <c r="X1017" s="1429"/>
      <c r="Y1017" s="1429"/>
    </row>
    <row r="1018" spans="1:25">
      <c r="A1018" s="1428"/>
      <c r="B1018" s="1428"/>
      <c r="C1018" s="1428"/>
      <c r="D1018" s="1428"/>
      <c r="E1018" s="1428"/>
      <c r="R1018" s="1429"/>
      <c r="S1018" s="1429"/>
      <c r="T1018" s="1429"/>
      <c r="U1018" s="1429"/>
      <c r="V1018" s="1429"/>
      <c r="W1018" s="1429"/>
      <c r="X1018" s="1429"/>
      <c r="Y1018" s="1429"/>
    </row>
    <row r="1019" spans="1:25">
      <c r="A1019" s="1428"/>
      <c r="B1019" s="1428"/>
      <c r="C1019" s="1428"/>
      <c r="D1019" s="1428"/>
      <c r="E1019" s="1428"/>
      <c r="R1019" s="1429"/>
      <c r="S1019" s="1429"/>
      <c r="T1019" s="1429"/>
      <c r="U1019" s="1429"/>
      <c r="V1019" s="1429"/>
      <c r="W1019" s="1429"/>
      <c r="X1019" s="1429"/>
      <c r="Y1019" s="1429"/>
    </row>
    <row r="1020" spans="1:25">
      <c r="A1020" s="1428"/>
      <c r="B1020" s="1428"/>
      <c r="C1020" s="1428"/>
      <c r="D1020" s="1428"/>
      <c r="E1020" s="1428"/>
      <c r="R1020" s="1429"/>
      <c r="S1020" s="1429"/>
      <c r="T1020" s="1429"/>
      <c r="U1020" s="1429"/>
      <c r="V1020" s="1429"/>
      <c r="W1020" s="1429"/>
      <c r="X1020" s="1429"/>
      <c r="Y1020" s="1429"/>
    </row>
    <row r="1021" spans="1:25">
      <c r="A1021" s="1428"/>
      <c r="B1021" s="1428"/>
      <c r="C1021" s="1428"/>
      <c r="D1021" s="1428"/>
      <c r="E1021" s="1428"/>
      <c r="R1021" s="1429"/>
      <c r="S1021" s="1429"/>
      <c r="T1021" s="1429"/>
      <c r="U1021" s="1429"/>
      <c r="V1021" s="1429"/>
      <c r="W1021" s="1429"/>
      <c r="X1021" s="1429"/>
      <c r="Y1021" s="1429"/>
    </row>
    <row r="1022" spans="1:25">
      <c r="A1022" s="1428"/>
      <c r="B1022" s="1428"/>
      <c r="C1022" s="1428"/>
      <c r="D1022" s="1428"/>
      <c r="E1022" s="1428"/>
      <c r="R1022" s="1429"/>
      <c r="S1022" s="1429"/>
      <c r="T1022" s="1429"/>
      <c r="U1022" s="1429"/>
      <c r="V1022" s="1429"/>
      <c r="W1022" s="1429"/>
      <c r="X1022" s="1429"/>
      <c r="Y1022" s="1429"/>
    </row>
    <row r="1023" spans="1:25">
      <c r="A1023" s="1428"/>
      <c r="B1023" s="1428"/>
      <c r="C1023" s="1428"/>
      <c r="D1023" s="1428"/>
      <c r="E1023" s="1428"/>
      <c r="R1023" s="1429"/>
      <c r="S1023" s="1429"/>
      <c r="T1023" s="1429"/>
      <c r="U1023" s="1429"/>
      <c r="V1023" s="1429"/>
      <c r="W1023" s="1429"/>
      <c r="X1023" s="1429"/>
      <c r="Y1023" s="1429"/>
    </row>
    <row r="1024" spans="1:25">
      <c r="A1024" s="1428"/>
      <c r="B1024" s="1428"/>
      <c r="C1024" s="1428"/>
      <c r="D1024" s="1428"/>
      <c r="E1024" s="1428"/>
      <c r="R1024" s="1429"/>
      <c r="S1024" s="1429"/>
      <c r="T1024" s="1429"/>
      <c r="U1024" s="1429"/>
      <c r="V1024" s="1429"/>
      <c r="W1024" s="1429"/>
      <c r="X1024" s="1429"/>
      <c r="Y1024" s="1429"/>
    </row>
    <row r="1025" spans="1:25">
      <c r="A1025" s="1428"/>
      <c r="B1025" s="1428"/>
      <c r="C1025" s="1428"/>
      <c r="D1025" s="1428"/>
      <c r="E1025" s="1428"/>
      <c r="R1025" s="1429"/>
      <c r="S1025" s="1429"/>
      <c r="T1025" s="1429"/>
      <c r="U1025" s="1429"/>
      <c r="V1025" s="1429"/>
      <c r="W1025" s="1429"/>
      <c r="X1025" s="1429"/>
      <c r="Y1025" s="1429"/>
    </row>
    <row r="1026" spans="1:25">
      <c r="A1026" s="1428"/>
      <c r="B1026" s="1428"/>
      <c r="C1026" s="1428"/>
      <c r="D1026" s="1428"/>
      <c r="E1026" s="1428"/>
      <c r="R1026" s="1429"/>
      <c r="S1026" s="1429"/>
      <c r="T1026" s="1429"/>
      <c r="U1026" s="1429"/>
      <c r="V1026" s="1429"/>
      <c r="W1026" s="1429"/>
      <c r="X1026" s="1429"/>
      <c r="Y1026" s="1429"/>
    </row>
    <row r="1027" spans="1:25">
      <c r="A1027" s="1428"/>
      <c r="B1027" s="1428"/>
      <c r="C1027" s="1428"/>
      <c r="D1027" s="1428"/>
      <c r="E1027" s="1428"/>
      <c r="R1027" s="1429"/>
      <c r="S1027" s="1429"/>
      <c r="T1027" s="1429"/>
      <c r="U1027" s="1429"/>
      <c r="V1027" s="1429"/>
      <c r="W1027" s="1429"/>
      <c r="X1027" s="1429"/>
      <c r="Y1027" s="1429"/>
    </row>
    <row r="1028" spans="1:25">
      <c r="A1028" s="1428"/>
      <c r="B1028" s="1428"/>
      <c r="C1028" s="1428"/>
      <c r="D1028" s="1428"/>
      <c r="E1028" s="1428"/>
      <c r="R1028" s="1429"/>
      <c r="S1028" s="1429"/>
      <c r="T1028" s="1429"/>
      <c r="U1028" s="1429"/>
      <c r="V1028" s="1429"/>
      <c r="W1028" s="1429"/>
      <c r="X1028" s="1429"/>
      <c r="Y1028" s="1429"/>
    </row>
    <row r="1029" spans="1:25">
      <c r="A1029" s="1428"/>
      <c r="B1029" s="1428"/>
      <c r="C1029" s="1428"/>
      <c r="D1029" s="1428"/>
      <c r="E1029" s="1428"/>
      <c r="R1029" s="1429"/>
      <c r="S1029" s="1429"/>
      <c r="T1029" s="1429"/>
      <c r="U1029" s="1429"/>
      <c r="V1029" s="1429"/>
      <c r="W1029" s="1429"/>
      <c r="X1029" s="1429"/>
      <c r="Y1029" s="1429"/>
    </row>
    <row r="1030" spans="1:25">
      <c r="A1030" s="1428"/>
      <c r="B1030" s="1428"/>
      <c r="C1030" s="1428"/>
      <c r="D1030" s="1428"/>
      <c r="E1030" s="1428"/>
      <c r="R1030" s="1429"/>
      <c r="S1030" s="1429"/>
      <c r="T1030" s="1429"/>
      <c r="U1030" s="1429"/>
      <c r="V1030" s="1429"/>
      <c r="W1030" s="1429"/>
      <c r="X1030" s="1429"/>
      <c r="Y1030" s="1429"/>
    </row>
    <row r="1031" spans="1:25">
      <c r="A1031" s="1428"/>
      <c r="B1031" s="1428"/>
      <c r="C1031" s="1428"/>
      <c r="D1031" s="1428"/>
      <c r="E1031" s="1428"/>
      <c r="R1031" s="1429"/>
      <c r="S1031" s="1429"/>
      <c r="T1031" s="1429"/>
      <c r="U1031" s="1429"/>
      <c r="V1031" s="1429"/>
      <c r="W1031" s="1429"/>
      <c r="X1031" s="1429"/>
      <c r="Y1031" s="1429"/>
    </row>
    <row r="1032" spans="1:25">
      <c r="A1032" s="1428"/>
      <c r="B1032" s="1428"/>
      <c r="C1032" s="1428"/>
      <c r="D1032" s="1428"/>
      <c r="E1032" s="1428"/>
      <c r="R1032" s="1429"/>
      <c r="S1032" s="1429"/>
      <c r="T1032" s="1429"/>
      <c r="U1032" s="1429"/>
      <c r="V1032" s="1429"/>
      <c r="W1032" s="1429"/>
      <c r="X1032" s="1429"/>
      <c r="Y1032" s="1429"/>
    </row>
    <row r="1033" spans="1:25">
      <c r="A1033" s="1428"/>
      <c r="B1033" s="1428"/>
      <c r="C1033" s="1428"/>
      <c r="D1033" s="1428"/>
      <c r="E1033" s="1428"/>
      <c r="R1033" s="1429"/>
      <c r="S1033" s="1429"/>
      <c r="T1033" s="1429"/>
      <c r="U1033" s="1429"/>
      <c r="V1033" s="1429"/>
      <c r="W1033" s="1429"/>
      <c r="X1033" s="1429"/>
      <c r="Y1033" s="1429"/>
    </row>
    <row r="1034" spans="1:25">
      <c r="A1034" s="1428"/>
      <c r="B1034" s="1428"/>
      <c r="C1034" s="1428"/>
      <c r="D1034" s="1428"/>
      <c r="E1034" s="1428"/>
      <c r="R1034" s="1429"/>
      <c r="S1034" s="1429"/>
      <c r="T1034" s="1429"/>
      <c r="U1034" s="1429"/>
      <c r="V1034" s="1429"/>
      <c r="W1034" s="1429"/>
      <c r="X1034" s="1429"/>
      <c r="Y1034" s="1429"/>
    </row>
    <row r="1035" spans="1:25">
      <c r="A1035" s="1428"/>
      <c r="B1035" s="1428"/>
      <c r="C1035" s="1428"/>
      <c r="D1035" s="1428"/>
      <c r="E1035" s="1428"/>
      <c r="R1035" s="1429"/>
      <c r="S1035" s="1429"/>
      <c r="T1035" s="1429"/>
      <c r="U1035" s="1429"/>
      <c r="V1035" s="1429"/>
      <c r="W1035" s="1429"/>
      <c r="X1035" s="1429"/>
      <c r="Y1035" s="1429"/>
    </row>
    <row r="1036" spans="1:25">
      <c r="A1036" s="1428"/>
      <c r="B1036" s="1428"/>
      <c r="C1036" s="1428"/>
      <c r="D1036" s="1428"/>
      <c r="E1036" s="1428"/>
      <c r="R1036" s="1429"/>
      <c r="S1036" s="1429"/>
      <c r="T1036" s="1429"/>
      <c r="U1036" s="1429"/>
      <c r="V1036" s="1429"/>
      <c r="W1036" s="1429"/>
      <c r="X1036" s="1429"/>
      <c r="Y1036" s="1429"/>
    </row>
    <row r="1037" spans="1:25">
      <c r="A1037" s="1428"/>
      <c r="B1037" s="1428"/>
      <c r="C1037" s="1428"/>
      <c r="D1037" s="1428"/>
      <c r="E1037" s="1428"/>
      <c r="R1037" s="1429"/>
      <c r="S1037" s="1429"/>
      <c r="T1037" s="1429"/>
      <c r="U1037" s="1429"/>
      <c r="V1037" s="1429"/>
      <c r="W1037" s="1429"/>
      <c r="X1037" s="1429"/>
      <c r="Y1037" s="1429"/>
    </row>
    <row r="1038" spans="1:25">
      <c r="A1038" s="1428"/>
      <c r="B1038" s="1428"/>
      <c r="C1038" s="1428"/>
      <c r="D1038" s="1428"/>
      <c r="E1038" s="1428"/>
      <c r="R1038" s="1429"/>
      <c r="S1038" s="1429"/>
      <c r="T1038" s="1429"/>
      <c r="U1038" s="1429"/>
      <c r="V1038" s="1429"/>
      <c r="W1038" s="1429"/>
      <c r="X1038" s="1429"/>
      <c r="Y1038" s="1429"/>
    </row>
    <row r="1039" spans="1:25">
      <c r="A1039" s="1428"/>
      <c r="B1039" s="1428"/>
      <c r="C1039" s="1428"/>
      <c r="D1039" s="1428"/>
      <c r="E1039" s="1428"/>
      <c r="R1039" s="1429"/>
      <c r="S1039" s="1429"/>
      <c r="T1039" s="1429"/>
      <c r="U1039" s="1429"/>
      <c r="V1039" s="1429"/>
      <c r="W1039" s="1429"/>
      <c r="X1039" s="1429"/>
      <c r="Y1039" s="1429"/>
    </row>
    <row r="1040" spans="1:25">
      <c r="A1040" s="1428"/>
      <c r="B1040" s="1428"/>
      <c r="C1040" s="1428"/>
      <c r="D1040" s="1428"/>
      <c r="E1040" s="1428"/>
      <c r="R1040" s="1429"/>
      <c r="S1040" s="1429"/>
      <c r="T1040" s="1429"/>
      <c r="U1040" s="1429"/>
      <c r="V1040" s="1429"/>
      <c r="W1040" s="1429"/>
      <c r="X1040" s="1429"/>
      <c r="Y1040" s="1429"/>
    </row>
    <row r="1041" spans="1:25">
      <c r="A1041" s="1428"/>
      <c r="B1041" s="1428"/>
      <c r="C1041" s="1428"/>
      <c r="D1041" s="1428"/>
      <c r="E1041" s="1428"/>
      <c r="R1041" s="1429"/>
      <c r="S1041" s="1429"/>
      <c r="T1041" s="1429"/>
      <c r="U1041" s="1429"/>
      <c r="V1041" s="1429"/>
      <c r="W1041" s="1429"/>
      <c r="X1041" s="1429"/>
      <c r="Y1041" s="1429"/>
    </row>
    <row r="1042" spans="1:25">
      <c r="A1042" s="1428"/>
      <c r="B1042" s="1428"/>
      <c r="C1042" s="1428"/>
      <c r="D1042" s="1428"/>
      <c r="E1042" s="1428"/>
      <c r="R1042" s="1429"/>
      <c r="S1042" s="1429"/>
      <c r="T1042" s="1429"/>
      <c r="U1042" s="1429"/>
      <c r="V1042" s="1429"/>
      <c r="W1042" s="1429"/>
      <c r="X1042" s="1429"/>
      <c r="Y1042" s="1429"/>
    </row>
    <row r="1043" spans="1:25">
      <c r="A1043" s="1428"/>
      <c r="B1043" s="1428"/>
      <c r="C1043" s="1428"/>
      <c r="D1043" s="1428"/>
      <c r="E1043" s="1428"/>
      <c r="R1043" s="1429"/>
      <c r="S1043" s="1429"/>
      <c r="T1043" s="1429"/>
      <c r="U1043" s="1429"/>
      <c r="V1043" s="1429"/>
      <c r="W1043" s="1429"/>
      <c r="X1043" s="1429"/>
      <c r="Y1043" s="1429"/>
    </row>
    <row r="1044" spans="1:25">
      <c r="A1044" s="1428"/>
      <c r="B1044" s="1428"/>
      <c r="C1044" s="1428"/>
      <c r="D1044" s="1428"/>
      <c r="E1044" s="1428"/>
      <c r="R1044" s="1429"/>
      <c r="S1044" s="1429"/>
      <c r="T1044" s="1429"/>
      <c r="U1044" s="1429"/>
      <c r="V1044" s="1429"/>
      <c r="W1044" s="1429"/>
      <c r="X1044" s="1429"/>
      <c r="Y1044" s="1429"/>
    </row>
    <row r="1045" spans="1:25">
      <c r="A1045" s="1428"/>
      <c r="B1045" s="1428"/>
      <c r="C1045" s="1428"/>
      <c r="D1045" s="1428"/>
      <c r="E1045" s="1428"/>
      <c r="R1045" s="1429"/>
      <c r="S1045" s="1429"/>
      <c r="T1045" s="1429"/>
      <c r="U1045" s="1429"/>
      <c r="V1045" s="1429"/>
      <c r="W1045" s="1429"/>
      <c r="X1045" s="1429"/>
      <c r="Y1045" s="1429"/>
    </row>
    <row r="1046" spans="1:25">
      <c r="A1046" s="1428"/>
      <c r="B1046" s="1428"/>
      <c r="C1046" s="1428"/>
      <c r="D1046" s="1428"/>
      <c r="E1046" s="1428"/>
      <c r="R1046" s="1429"/>
      <c r="S1046" s="1429"/>
      <c r="T1046" s="1429"/>
      <c r="U1046" s="1429"/>
      <c r="V1046" s="1429"/>
      <c r="W1046" s="1429"/>
      <c r="X1046" s="1429"/>
      <c r="Y1046" s="1429"/>
    </row>
    <row r="1047" spans="1:25">
      <c r="A1047" s="1428"/>
      <c r="B1047" s="1428"/>
      <c r="C1047" s="1428"/>
      <c r="D1047" s="1428"/>
      <c r="E1047" s="1428"/>
      <c r="R1047" s="1429"/>
      <c r="S1047" s="1429"/>
      <c r="T1047" s="1429"/>
      <c r="U1047" s="1429"/>
      <c r="V1047" s="1429"/>
      <c r="W1047" s="1429"/>
      <c r="X1047" s="1429"/>
      <c r="Y1047" s="1429"/>
    </row>
    <row r="1048" spans="1:25">
      <c r="A1048" s="1428"/>
      <c r="B1048" s="1428"/>
      <c r="C1048" s="1428"/>
      <c r="D1048" s="1428"/>
      <c r="E1048" s="1428"/>
      <c r="R1048" s="1429"/>
      <c r="S1048" s="1429"/>
      <c r="T1048" s="1429"/>
      <c r="U1048" s="1429"/>
      <c r="V1048" s="1429"/>
      <c r="W1048" s="1429"/>
      <c r="X1048" s="1429"/>
      <c r="Y1048" s="1429"/>
    </row>
    <row r="1049" spans="1:25">
      <c r="A1049" s="1428"/>
      <c r="B1049" s="1428"/>
      <c r="C1049" s="1428"/>
      <c r="D1049" s="1428"/>
      <c r="E1049" s="1428"/>
      <c r="R1049" s="1429"/>
      <c r="S1049" s="1429"/>
      <c r="T1049" s="1429"/>
      <c r="U1049" s="1429"/>
      <c r="V1049" s="1429"/>
      <c r="W1049" s="1429"/>
      <c r="X1049" s="1429"/>
      <c r="Y1049" s="1429"/>
    </row>
    <row r="1050" spans="1:25">
      <c r="A1050" s="1428"/>
      <c r="B1050" s="1428"/>
      <c r="C1050" s="1428"/>
      <c r="D1050" s="1428"/>
      <c r="E1050" s="1428"/>
      <c r="R1050" s="1429"/>
      <c r="S1050" s="1429"/>
      <c r="T1050" s="1429"/>
      <c r="U1050" s="1429"/>
      <c r="V1050" s="1429"/>
      <c r="W1050" s="1429"/>
      <c r="X1050" s="1429"/>
      <c r="Y1050" s="1429"/>
    </row>
    <row r="1051" spans="1:25">
      <c r="A1051" s="1428"/>
      <c r="B1051" s="1428"/>
      <c r="C1051" s="1428"/>
      <c r="D1051" s="1428"/>
      <c r="E1051" s="1428"/>
      <c r="R1051" s="1429"/>
      <c r="S1051" s="1429"/>
      <c r="T1051" s="1429"/>
      <c r="U1051" s="1429"/>
      <c r="V1051" s="1429"/>
      <c r="W1051" s="1429"/>
      <c r="X1051" s="1429"/>
      <c r="Y1051" s="1429"/>
    </row>
    <row r="1052" spans="1:25">
      <c r="A1052" s="1428"/>
      <c r="B1052" s="1428"/>
      <c r="C1052" s="1428"/>
      <c r="D1052" s="1428"/>
      <c r="E1052" s="1428"/>
      <c r="R1052" s="1429"/>
      <c r="S1052" s="1429"/>
      <c r="T1052" s="1429"/>
      <c r="U1052" s="1429"/>
      <c r="V1052" s="1429"/>
      <c r="W1052" s="1429"/>
      <c r="X1052" s="1429"/>
      <c r="Y1052" s="1429"/>
    </row>
    <row r="1053" spans="1:25">
      <c r="A1053" s="1428"/>
      <c r="B1053" s="1428"/>
      <c r="C1053" s="1428"/>
      <c r="D1053" s="1428"/>
      <c r="E1053" s="1428"/>
      <c r="R1053" s="1429"/>
      <c r="S1053" s="1429"/>
      <c r="T1053" s="1429"/>
      <c r="U1053" s="1429"/>
      <c r="V1053" s="1429"/>
      <c r="W1053" s="1429"/>
      <c r="X1053" s="1429"/>
      <c r="Y1053" s="1429"/>
    </row>
    <row r="1054" spans="1:25">
      <c r="A1054" s="1428"/>
      <c r="B1054" s="1428"/>
      <c r="C1054" s="1428"/>
      <c r="D1054" s="1428"/>
      <c r="E1054" s="1428"/>
      <c r="R1054" s="1429"/>
      <c r="S1054" s="1429"/>
      <c r="T1054" s="1429"/>
      <c r="U1054" s="1429"/>
      <c r="V1054" s="1429"/>
      <c r="W1054" s="1429"/>
      <c r="X1054" s="1429"/>
      <c r="Y1054" s="1429"/>
    </row>
    <row r="1055" spans="1:25">
      <c r="A1055" s="1428"/>
      <c r="B1055" s="1428"/>
      <c r="C1055" s="1428"/>
      <c r="D1055" s="1428"/>
      <c r="E1055" s="1428"/>
      <c r="R1055" s="1429"/>
      <c r="S1055" s="1429"/>
      <c r="T1055" s="1429"/>
      <c r="U1055" s="1429"/>
      <c r="V1055" s="1429"/>
      <c r="W1055" s="1429"/>
      <c r="X1055" s="1429"/>
      <c r="Y1055" s="1429"/>
    </row>
    <row r="1056" spans="1:25">
      <c r="A1056" s="1428"/>
      <c r="B1056" s="1428"/>
      <c r="C1056" s="1428"/>
      <c r="D1056" s="1428"/>
      <c r="E1056" s="1428"/>
      <c r="R1056" s="1429"/>
      <c r="S1056" s="1429"/>
      <c r="T1056" s="1429"/>
      <c r="U1056" s="1429"/>
      <c r="V1056" s="1429"/>
      <c r="W1056" s="1429"/>
      <c r="X1056" s="1429"/>
      <c r="Y1056" s="1429"/>
    </row>
    <row r="1057" spans="1:25">
      <c r="A1057" s="1428"/>
      <c r="B1057" s="1428"/>
      <c r="C1057" s="1428"/>
      <c r="D1057" s="1428"/>
      <c r="E1057" s="1428"/>
      <c r="R1057" s="1429"/>
      <c r="S1057" s="1429"/>
      <c r="T1057" s="1429"/>
      <c r="U1057" s="1429"/>
      <c r="V1057" s="1429"/>
      <c r="W1057" s="1429"/>
      <c r="X1057" s="1429"/>
      <c r="Y1057" s="1429"/>
    </row>
    <row r="1058" spans="1:25">
      <c r="A1058" s="1428"/>
      <c r="B1058" s="1428"/>
      <c r="C1058" s="1428"/>
      <c r="D1058" s="1428"/>
      <c r="E1058" s="1428"/>
      <c r="R1058" s="1429"/>
      <c r="S1058" s="1429"/>
      <c r="T1058" s="1429"/>
      <c r="U1058" s="1429"/>
      <c r="V1058" s="1429"/>
      <c r="W1058" s="1429"/>
      <c r="X1058" s="1429"/>
      <c r="Y1058" s="1429"/>
    </row>
    <row r="1059" spans="1:25">
      <c r="A1059" s="1428"/>
      <c r="B1059" s="1428"/>
      <c r="C1059" s="1428"/>
      <c r="D1059" s="1428"/>
      <c r="E1059" s="1428"/>
      <c r="R1059" s="1429"/>
      <c r="S1059" s="1429"/>
      <c r="T1059" s="1429"/>
      <c r="U1059" s="1429"/>
      <c r="V1059" s="1429"/>
      <c r="W1059" s="1429"/>
      <c r="X1059" s="1429"/>
      <c r="Y1059" s="1429"/>
    </row>
    <row r="1060" spans="1:25">
      <c r="A1060" s="1428"/>
      <c r="B1060" s="1428"/>
      <c r="C1060" s="1428"/>
      <c r="D1060" s="1428"/>
      <c r="E1060" s="1428"/>
      <c r="R1060" s="1429"/>
      <c r="S1060" s="1429"/>
      <c r="T1060" s="1429"/>
      <c r="U1060" s="1429"/>
      <c r="V1060" s="1429"/>
      <c r="W1060" s="1429"/>
      <c r="X1060" s="1429"/>
      <c r="Y1060" s="1429"/>
    </row>
    <row r="1061" spans="1:25">
      <c r="A1061" s="1428"/>
      <c r="B1061" s="1428"/>
      <c r="C1061" s="1428"/>
      <c r="D1061" s="1428"/>
      <c r="E1061" s="1428"/>
      <c r="R1061" s="1429"/>
      <c r="S1061" s="1429"/>
      <c r="T1061" s="1429"/>
      <c r="U1061" s="1429"/>
      <c r="V1061" s="1429"/>
      <c r="W1061" s="1429"/>
      <c r="X1061" s="1429"/>
      <c r="Y1061" s="1429"/>
    </row>
    <row r="1062" spans="1:25">
      <c r="A1062" s="1428"/>
      <c r="B1062" s="1428"/>
      <c r="C1062" s="1428"/>
      <c r="D1062" s="1428"/>
      <c r="E1062" s="1428"/>
      <c r="R1062" s="1429"/>
      <c r="S1062" s="1429"/>
      <c r="T1062" s="1429"/>
      <c r="U1062" s="1429"/>
      <c r="V1062" s="1429"/>
      <c r="W1062" s="1429"/>
      <c r="X1062" s="1429"/>
      <c r="Y1062" s="1429"/>
    </row>
    <row r="1063" spans="1:25">
      <c r="A1063" s="1428"/>
      <c r="B1063" s="1428"/>
      <c r="C1063" s="1428"/>
      <c r="D1063" s="1428"/>
      <c r="E1063" s="1428"/>
      <c r="R1063" s="1429"/>
      <c r="S1063" s="1429"/>
      <c r="T1063" s="1429"/>
      <c r="U1063" s="1429"/>
      <c r="V1063" s="1429"/>
      <c r="W1063" s="1429"/>
      <c r="X1063" s="1429"/>
      <c r="Y1063" s="1429"/>
    </row>
    <row r="1064" spans="1:25">
      <c r="A1064" s="1428"/>
      <c r="B1064" s="1428"/>
      <c r="C1064" s="1428"/>
      <c r="D1064" s="1428"/>
      <c r="E1064" s="1428"/>
      <c r="R1064" s="1429"/>
      <c r="S1064" s="1429"/>
      <c r="T1064" s="1429"/>
      <c r="U1064" s="1429"/>
      <c r="V1064" s="1429"/>
      <c r="W1064" s="1429"/>
      <c r="X1064" s="1429"/>
      <c r="Y1064" s="1429"/>
    </row>
    <row r="1065" spans="1:25">
      <c r="A1065" s="1428"/>
      <c r="B1065" s="1428"/>
      <c r="C1065" s="1428"/>
      <c r="D1065" s="1428"/>
      <c r="E1065" s="1428"/>
      <c r="R1065" s="1429"/>
      <c r="S1065" s="1429"/>
      <c r="T1065" s="1429"/>
      <c r="U1065" s="1429"/>
      <c r="V1065" s="1429"/>
      <c r="W1065" s="1429"/>
      <c r="X1065" s="1429"/>
      <c r="Y1065" s="1429"/>
    </row>
    <row r="1066" spans="1:25">
      <c r="A1066" s="1428"/>
      <c r="B1066" s="1428"/>
      <c r="C1066" s="1428"/>
      <c r="D1066" s="1428"/>
      <c r="E1066" s="1428"/>
      <c r="R1066" s="1429"/>
      <c r="S1066" s="1429"/>
      <c r="T1066" s="1429"/>
      <c r="U1066" s="1429"/>
      <c r="V1066" s="1429"/>
      <c r="W1066" s="1429"/>
      <c r="X1066" s="1429"/>
      <c r="Y1066" s="1429"/>
    </row>
    <row r="1067" spans="1:25">
      <c r="A1067" s="1428"/>
      <c r="B1067" s="1428"/>
      <c r="C1067" s="1428"/>
      <c r="D1067" s="1428"/>
      <c r="E1067" s="1428"/>
      <c r="R1067" s="1429"/>
      <c r="S1067" s="1429"/>
      <c r="T1067" s="1429"/>
      <c r="U1067" s="1429"/>
      <c r="V1067" s="1429"/>
      <c r="W1067" s="1429"/>
      <c r="X1067" s="1429"/>
      <c r="Y1067" s="1429"/>
    </row>
    <row r="1068" spans="1:25">
      <c r="A1068" s="1428"/>
      <c r="B1068" s="1428"/>
      <c r="C1068" s="1428"/>
      <c r="D1068" s="1428"/>
      <c r="E1068" s="1428"/>
      <c r="R1068" s="1429"/>
      <c r="S1068" s="1429"/>
      <c r="T1068" s="1429"/>
      <c r="U1068" s="1429"/>
      <c r="V1068" s="1429"/>
      <c r="W1068" s="1429"/>
      <c r="X1068" s="1429"/>
      <c r="Y1068" s="1429"/>
    </row>
    <row r="1069" spans="1:25">
      <c r="A1069" s="1428"/>
      <c r="B1069" s="1428"/>
      <c r="C1069" s="1428"/>
      <c r="D1069" s="1428"/>
      <c r="E1069" s="1428"/>
      <c r="R1069" s="1429"/>
      <c r="S1069" s="1429"/>
      <c r="T1069" s="1429"/>
      <c r="U1069" s="1429"/>
      <c r="V1069" s="1429"/>
      <c r="W1069" s="1429"/>
      <c r="X1069" s="1429"/>
      <c r="Y1069" s="1429"/>
    </row>
    <row r="1070" spans="1:25">
      <c r="A1070" s="1428"/>
      <c r="B1070" s="1428"/>
      <c r="C1070" s="1428"/>
      <c r="D1070" s="1428"/>
      <c r="E1070" s="1428"/>
      <c r="R1070" s="1429"/>
      <c r="S1070" s="1429"/>
      <c r="T1070" s="1429"/>
      <c r="U1070" s="1429"/>
      <c r="V1070" s="1429"/>
      <c r="W1070" s="1429"/>
      <c r="X1070" s="1429"/>
      <c r="Y1070" s="1429"/>
    </row>
    <row r="1071" spans="1:25">
      <c r="A1071" s="1428"/>
      <c r="B1071" s="1428"/>
      <c r="C1071" s="1428"/>
      <c r="D1071" s="1428"/>
      <c r="E1071" s="1428"/>
      <c r="R1071" s="1429"/>
      <c r="S1071" s="1429"/>
      <c r="T1071" s="1429"/>
      <c r="U1071" s="1429"/>
      <c r="V1071" s="1429"/>
      <c r="W1071" s="1429"/>
      <c r="X1071" s="1429"/>
      <c r="Y1071" s="1429"/>
    </row>
    <row r="1072" spans="1:25">
      <c r="A1072" s="1428"/>
      <c r="B1072" s="1428"/>
      <c r="C1072" s="1428"/>
      <c r="D1072" s="1428"/>
      <c r="E1072" s="1428"/>
      <c r="R1072" s="1429"/>
      <c r="S1072" s="1429"/>
      <c r="T1072" s="1429"/>
      <c r="U1072" s="1429"/>
      <c r="V1072" s="1429"/>
      <c r="W1072" s="1429"/>
      <c r="X1072" s="1429"/>
      <c r="Y1072" s="1429"/>
    </row>
    <row r="1073" spans="1:25">
      <c r="A1073" s="1428"/>
      <c r="B1073" s="1428"/>
      <c r="C1073" s="1428"/>
      <c r="D1073" s="1428"/>
      <c r="E1073" s="1428"/>
      <c r="R1073" s="1429"/>
      <c r="S1073" s="1429"/>
      <c r="T1073" s="1429"/>
      <c r="U1073" s="1429"/>
      <c r="V1073" s="1429"/>
      <c r="W1073" s="1429"/>
      <c r="X1073" s="1429"/>
      <c r="Y1073" s="1429"/>
    </row>
    <row r="1074" spans="1:25">
      <c r="A1074" s="1428"/>
      <c r="B1074" s="1428"/>
      <c r="C1074" s="1428"/>
      <c r="D1074" s="1428"/>
      <c r="E1074" s="1428"/>
      <c r="R1074" s="1429"/>
      <c r="S1074" s="1429"/>
      <c r="T1074" s="1429"/>
      <c r="U1074" s="1429"/>
      <c r="V1074" s="1429"/>
      <c r="W1074" s="1429"/>
      <c r="X1074" s="1429"/>
      <c r="Y1074" s="1429"/>
    </row>
    <row r="1075" spans="1:25">
      <c r="A1075" s="1428"/>
      <c r="B1075" s="1428"/>
      <c r="C1075" s="1428"/>
      <c r="D1075" s="1428"/>
      <c r="E1075" s="1428"/>
      <c r="R1075" s="1429"/>
      <c r="S1075" s="1429"/>
      <c r="T1075" s="1429"/>
      <c r="U1075" s="1429"/>
      <c r="V1075" s="1429"/>
      <c r="W1075" s="1429"/>
      <c r="X1075" s="1429"/>
      <c r="Y1075" s="1429"/>
    </row>
    <row r="1076" spans="1:25">
      <c r="A1076" s="1428"/>
      <c r="B1076" s="1428"/>
      <c r="C1076" s="1428"/>
      <c r="D1076" s="1428"/>
      <c r="E1076" s="1428"/>
      <c r="R1076" s="1429"/>
      <c r="S1076" s="1429"/>
      <c r="T1076" s="1429"/>
      <c r="U1076" s="1429"/>
      <c r="V1076" s="1429"/>
      <c r="W1076" s="1429"/>
      <c r="X1076" s="1429"/>
      <c r="Y1076" s="1429"/>
    </row>
    <row r="1077" spans="1:25">
      <c r="A1077" s="1428"/>
      <c r="B1077" s="1428"/>
      <c r="C1077" s="1428"/>
      <c r="D1077" s="1428"/>
      <c r="E1077" s="1428"/>
      <c r="R1077" s="1429"/>
      <c r="S1077" s="1429"/>
      <c r="T1077" s="1429"/>
      <c r="U1077" s="1429"/>
      <c r="V1077" s="1429"/>
      <c r="W1077" s="1429"/>
      <c r="X1077" s="1429"/>
      <c r="Y1077" s="1429"/>
    </row>
    <row r="1078" spans="1:25">
      <c r="A1078" s="1428"/>
      <c r="B1078" s="1428"/>
      <c r="C1078" s="1428"/>
      <c r="D1078" s="1428"/>
      <c r="E1078" s="1428"/>
      <c r="R1078" s="1429"/>
      <c r="S1078" s="1429"/>
      <c r="T1078" s="1429"/>
      <c r="U1078" s="1429"/>
      <c r="V1078" s="1429"/>
      <c r="W1078" s="1429"/>
      <c r="X1078" s="1429"/>
      <c r="Y1078" s="1429"/>
    </row>
    <row r="1079" spans="1:25">
      <c r="A1079" s="1428"/>
      <c r="B1079" s="1428"/>
      <c r="C1079" s="1428"/>
      <c r="D1079" s="1428"/>
      <c r="E1079" s="1428"/>
      <c r="R1079" s="1429"/>
      <c r="S1079" s="1429"/>
      <c r="T1079" s="1429"/>
      <c r="U1079" s="1429"/>
      <c r="V1079" s="1429"/>
      <c r="W1079" s="1429"/>
      <c r="X1079" s="1429"/>
      <c r="Y1079" s="1429"/>
    </row>
    <row r="1080" spans="1:25">
      <c r="A1080" s="1428"/>
      <c r="B1080" s="1428"/>
      <c r="C1080" s="1428"/>
      <c r="D1080" s="1428"/>
      <c r="E1080" s="1428"/>
      <c r="R1080" s="1429"/>
      <c r="S1080" s="1429"/>
      <c r="T1080" s="1429"/>
      <c r="U1080" s="1429"/>
      <c r="V1080" s="1429"/>
      <c r="W1080" s="1429"/>
      <c r="X1080" s="1429"/>
      <c r="Y1080" s="1429"/>
    </row>
    <row r="1081" spans="1:25">
      <c r="A1081" s="1428"/>
      <c r="B1081" s="1428"/>
      <c r="C1081" s="1428"/>
      <c r="D1081" s="1428"/>
      <c r="E1081" s="1428"/>
      <c r="R1081" s="1429"/>
      <c r="S1081" s="1429"/>
      <c r="T1081" s="1429"/>
      <c r="U1081" s="1429"/>
      <c r="V1081" s="1429"/>
      <c r="W1081" s="1429"/>
      <c r="X1081" s="1429"/>
      <c r="Y1081" s="1429"/>
    </row>
    <row r="1082" spans="1:25">
      <c r="A1082" s="1428"/>
      <c r="B1082" s="1428"/>
      <c r="C1082" s="1428"/>
      <c r="D1082" s="1428"/>
      <c r="E1082" s="1428"/>
      <c r="R1082" s="1429"/>
      <c r="S1082" s="1429"/>
      <c r="T1082" s="1429"/>
      <c r="U1082" s="1429"/>
      <c r="V1082" s="1429"/>
      <c r="W1082" s="1429"/>
      <c r="X1082" s="1429"/>
      <c r="Y1082" s="1429"/>
    </row>
    <row r="1083" spans="1:25">
      <c r="A1083" s="1428"/>
      <c r="B1083" s="1428"/>
      <c r="C1083" s="1428"/>
      <c r="D1083" s="1428"/>
      <c r="E1083" s="1428"/>
      <c r="R1083" s="1429"/>
      <c r="S1083" s="1429"/>
      <c r="T1083" s="1429"/>
      <c r="U1083" s="1429"/>
      <c r="V1083" s="1429"/>
      <c r="W1083" s="1429"/>
      <c r="X1083" s="1429"/>
      <c r="Y1083" s="1429"/>
    </row>
    <row r="1084" spans="1:25">
      <c r="A1084" s="1428"/>
      <c r="B1084" s="1428"/>
      <c r="C1084" s="1428"/>
      <c r="D1084" s="1428"/>
      <c r="E1084" s="1428"/>
      <c r="R1084" s="1429"/>
      <c r="S1084" s="1429"/>
      <c r="T1084" s="1429"/>
      <c r="U1084" s="1429"/>
      <c r="V1084" s="1429"/>
      <c r="W1084" s="1429"/>
      <c r="X1084" s="1429"/>
      <c r="Y1084" s="1429"/>
    </row>
    <row r="1085" spans="1:25">
      <c r="A1085" s="1428"/>
      <c r="B1085" s="1428"/>
      <c r="C1085" s="1428"/>
      <c r="D1085" s="1428"/>
      <c r="E1085" s="1428"/>
      <c r="R1085" s="1429"/>
      <c r="S1085" s="1429"/>
      <c r="T1085" s="1429"/>
      <c r="U1085" s="1429"/>
      <c r="V1085" s="1429"/>
      <c r="W1085" s="1429"/>
      <c r="X1085" s="1429"/>
      <c r="Y1085" s="1429"/>
    </row>
    <row r="1086" spans="1:25">
      <c r="A1086" s="1428"/>
      <c r="B1086" s="1428"/>
      <c r="C1086" s="1428"/>
      <c r="D1086" s="1428"/>
      <c r="E1086" s="1428"/>
      <c r="R1086" s="1429"/>
      <c r="S1086" s="1429"/>
      <c r="T1086" s="1429"/>
      <c r="U1086" s="1429"/>
      <c r="V1086" s="1429"/>
      <c r="W1086" s="1429"/>
      <c r="X1086" s="1429"/>
      <c r="Y1086" s="1429"/>
    </row>
    <row r="1087" spans="1:25">
      <c r="A1087" s="1428"/>
      <c r="B1087" s="1428"/>
      <c r="C1087" s="1428"/>
      <c r="D1087" s="1428"/>
      <c r="E1087" s="1428"/>
      <c r="R1087" s="1429"/>
      <c r="S1087" s="1429"/>
      <c r="T1087" s="1429"/>
      <c r="U1087" s="1429"/>
      <c r="V1087" s="1429"/>
      <c r="W1087" s="1429"/>
      <c r="X1087" s="1429"/>
      <c r="Y1087" s="1429"/>
    </row>
    <row r="1088" spans="1:25">
      <c r="A1088" s="1428"/>
      <c r="B1088" s="1428"/>
      <c r="C1088" s="1428"/>
      <c r="D1088" s="1428"/>
      <c r="E1088" s="1428"/>
      <c r="R1088" s="1429"/>
      <c r="S1088" s="1429"/>
      <c r="T1088" s="1429"/>
      <c r="U1088" s="1429"/>
      <c r="V1088" s="1429"/>
      <c r="W1088" s="1429"/>
      <c r="X1088" s="1429"/>
      <c r="Y1088" s="1429"/>
    </row>
    <row r="1089" spans="1:25">
      <c r="A1089" s="1428"/>
      <c r="B1089" s="1428"/>
      <c r="C1089" s="1428"/>
      <c r="D1089" s="1428"/>
      <c r="E1089" s="1428"/>
      <c r="R1089" s="1429"/>
      <c r="S1089" s="1429"/>
      <c r="T1089" s="1429"/>
      <c r="U1089" s="1429"/>
      <c r="V1089" s="1429"/>
      <c r="W1089" s="1429"/>
      <c r="X1089" s="1429"/>
      <c r="Y1089" s="1429"/>
    </row>
    <row r="1090" spans="1:25">
      <c r="A1090" s="1428"/>
      <c r="B1090" s="1428"/>
      <c r="C1090" s="1428"/>
      <c r="D1090" s="1428"/>
      <c r="E1090" s="1428"/>
      <c r="R1090" s="1429"/>
      <c r="S1090" s="1429"/>
      <c r="T1090" s="1429"/>
      <c r="U1090" s="1429"/>
      <c r="V1090" s="1429"/>
      <c r="W1090" s="1429"/>
      <c r="X1090" s="1429"/>
      <c r="Y1090" s="1429"/>
    </row>
    <row r="1091" spans="1:25">
      <c r="A1091" s="1428"/>
      <c r="B1091" s="1428"/>
      <c r="C1091" s="1428"/>
      <c r="D1091" s="1428"/>
      <c r="E1091" s="1428"/>
      <c r="R1091" s="1429"/>
      <c r="S1091" s="1429"/>
      <c r="T1091" s="1429"/>
      <c r="U1091" s="1429"/>
      <c r="V1091" s="1429"/>
      <c r="W1091" s="1429"/>
      <c r="X1091" s="1429"/>
      <c r="Y1091" s="1429"/>
    </row>
    <row r="1092" spans="1:25">
      <c r="A1092" s="1428"/>
      <c r="B1092" s="1428"/>
      <c r="C1092" s="1428"/>
      <c r="D1092" s="1428"/>
      <c r="E1092" s="1428"/>
      <c r="R1092" s="1429"/>
      <c r="S1092" s="1429"/>
      <c r="T1092" s="1429"/>
      <c r="U1092" s="1429"/>
      <c r="V1092" s="1429"/>
      <c r="W1092" s="1429"/>
      <c r="X1092" s="1429"/>
      <c r="Y1092" s="1429"/>
    </row>
    <row r="1093" spans="1:25">
      <c r="A1093" s="1428"/>
      <c r="B1093" s="1428"/>
      <c r="C1093" s="1428"/>
      <c r="D1093" s="1428"/>
      <c r="E1093" s="1428"/>
      <c r="R1093" s="1429"/>
      <c r="S1093" s="1429"/>
      <c r="T1093" s="1429"/>
      <c r="U1093" s="1429"/>
      <c r="V1093" s="1429"/>
      <c r="W1093" s="1429"/>
      <c r="X1093" s="1429"/>
      <c r="Y1093" s="1429"/>
    </row>
    <row r="1094" spans="1:25">
      <c r="A1094" s="1428"/>
      <c r="B1094" s="1428"/>
      <c r="C1094" s="1428"/>
      <c r="D1094" s="1428"/>
      <c r="E1094" s="1428"/>
      <c r="R1094" s="1429"/>
      <c r="S1094" s="1429"/>
      <c r="T1094" s="1429"/>
      <c r="U1094" s="1429"/>
      <c r="V1094" s="1429"/>
      <c r="W1094" s="1429"/>
      <c r="X1094" s="1429"/>
      <c r="Y1094" s="1429"/>
    </row>
    <row r="1095" spans="1:25">
      <c r="A1095" s="1428"/>
      <c r="B1095" s="1428"/>
      <c r="C1095" s="1428"/>
      <c r="D1095" s="1428"/>
      <c r="E1095" s="1428"/>
      <c r="R1095" s="1429"/>
      <c r="S1095" s="1429"/>
      <c r="T1095" s="1429"/>
      <c r="U1095" s="1429"/>
      <c r="V1095" s="1429"/>
      <c r="W1095" s="1429"/>
      <c r="X1095" s="1429"/>
      <c r="Y1095" s="1429"/>
    </row>
    <row r="1096" spans="1:25">
      <c r="A1096" s="1428"/>
      <c r="B1096" s="1428"/>
      <c r="C1096" s="1428"/>
      <c r="D1096" s="1428"/>
      <c r="E1096" s="1428"/>
      <c r="R1096" s="1429"/>
      <c r="S1096" s="1429"/>
      <c r="T1096" s="1429"/>
      <c r="U1096" s="1429"/>
      <c r="V1096" s="1429"/>
      <c r="W1096" s="1429"/>
      <c r="X1096" s="1429"/>
      <c r="Y1096" s="1429"/>
    </row>
    <row r="1097" spans="1:25">
      <c r="A1097" s="1428"/>
      <c r="B1097" s="1428"/>
      <c r="C1097" s="1428"/>
      <c r="D1097" s="1428"/>
      <c r="E1097" s="1428"/>
      <c r="R1097" s="1429"/>
      <c r="S1097" s="1429"/>
      <c r="T1097" s="1429"/>
      <c r="U1097" s="1429"/>
      <c r="V1097" s="1429"/>
      <c r="W1097" s="1429"/>
      <c r="X1097" s="1429"/>
      <c r="Y1097" s="1429"/>
    </row>
    <row r="1098" spans="1:25">
      <c r="A1098" s="1428"/>
      <c r="B1098" s="1428"/>
      <c r="C1098" s="1428"/>
      <c r="D1098" s="1428"/>
      <c r="E1098" s="1428"/>
      <c r="R1098" s="1429"/>
      <c r="S1098" s="1429"/>
      <c r="T1098" s="1429"/>
      <c r="U1098" s="1429"/>
      <c r="V1098" s="1429"/>
      <c r="W1098" s="1429"/>
      <c r="X1098" s="1429"/>
      <c r="Y1098" s="1429"/>
    </row>
    <row r="1099" spans="1:25">
      <c r="A1099" s="1428"/>
      <c r="B1099" s="1428"/>
      <c r="C1099" s="1428"/>
      <c r="D1099" s="1428"/>
      <c r="E1099" s="1428"/>
      <c r="R1099" s="1429"/>
      <c r="S1099" s="1429"/>
      <c r="T1099" s="1429"/>
      <c r="U1099" s="1429"/>
      <c r="V1099" s="1429"/>
      <c r="W1099" s="1429"/>
      <c r="X1099" s="1429"/>
      <c r="Y1099" s="1429"/>
    </row>
    <row r="1100" spans="1:25">
      <c r="A1100" s="1428"/>
      <c r="B1100" s="1428"/>
      <c r="C1100" s="1428"/>
      <c r="D1100" s="1428"/>
      <c r="E1100" s="1428"/>
      <c r="R1100" s="1429"/>
      <c r="S1100" s="1429"/>
      <c r="T1100" s="1429"/>
      <c r="U1100" s="1429"/>
      <c r="V1100" s="1429"/>
      <c r="W1100" s="1429"/>
      <c r="X1100" s="1429"/>
      <c r="Y1100" s="1429"/>
    </row>
    <row r="1101" spans="1:25">
      <c r="A1101" s="1428"/>
      <c r="B1101" s="1428"/>
      <c r="C1101" s="1428"/>
      <c r="D1101" s="1428"/>
      <c r="E1101" s="1428"/>
      <c r="R1101" s="1429"/>
      <c r="S1101" s="1429"/>
      <c r="T1101" s="1429"/>
      <c r="U1101" s="1429"/>
      <c r="V1101" s="1429"/>
      <c r="W1101" s="1429"/>
      <c r="X1101" s="1429"/>
      <c r="Y1101" s="1429"/>
    </row>
    <row r="1102" spans="1:25">
      <c r="A1102" s="1428"/>
      <c r="B1102" s="1428"/>
      <c r="C1102" s="1428"/>
      <c r="D1102" s="1428"/>
      <c r="E1102" s="1428"/>
      <c r="R1102" s="1429"/>
      <c r="S1102" s="1429"/>
      <c r="T1102" s="1429"/>
      <c r="U1102" s="1429"/>
      <c r="V1102" s="1429"/>
      <c r="W1102" s="1429"/>
      <c r="X1102" s="1429"/>
      <c r="Y1102" s="1429"/>
    </row>
    <row r="1103" spans="1:25">
      <c r="A1103" s="1428"/>
      <c r="B1103" s="1428"/>
      <c r="C1103" s="1428"/>
      <c r="D1103" s="1428"/>
      <c r="E1103" s="1428"/>
      <c r="R1103" s="1429"/>
      <c r="S1103" s="1429"/>
      <c r="T1103" s="1429"/>
      <c r="U1103" s="1429"/>
      <c r="V1103" s="1429"/>
      <c r="W1103" s="1429"/>
      <c r="X1103" s="1429"/>
      <c r="Y1103" s="1429"/>
    </row>
    <row r="1104" spans="1:25">
      <c r="A1104" s="1428"/>
      <c r="B1104" s="1428"/>
      <c r="C1104" s="1428"/>
      <c r="D1104" s="1428"/>
      <c r="E1104" s="1428"/>
      <c r="R1104" s="1429"/>
      <c r="S1104" s="1429"/>
      <c r="T1104" s="1429"/>
      <c r="U1104" s="1429"/>
      <c r="V1104" s="1429"/>
      <c r="W1104" s="1429"/>
      <c r="X1104" s="1429"/>
      <c r="Y1104" s="1429"/>
    </row>
    <row r="1105" spans="1:25">
      <c r="A1105" s="1428"/>
      <c r="B1105" s="1428"/>
      <c r="C1105" s="1428"/>
      <c r="D1105" s="1428"/>
      <c r="E1105" s="1428"/>
      <c r="R1105" s="1429"/>
      <c r="S1105" s="1429"/>
      <c r="T1105" s="1429"/>
      <c r="U1105" s="1429"/>
      <c r="V1105" s="1429"/>
      <c r="W1105" s="1429"/>
      <c r="X1105" s="1429"/>
      <c r="Y1105" s="1429"/>
    </row>
    <row r="1106" spans="1:25">
      <c r="A1106" s="1428"/>
      <c r="B1106" s="1428"/>
      <c r="C1106" s="1428"/>
      <c r="D1106" s="1428"/>
      <c r="E1106" s="1428"/>
      <c r="R1106" s="1429"/>
      <c r="S1106" s="1429"/>
      <c r="T1106" s="1429"/>
      <c r="U1106" s="1429"/>
      <c r="V1106" s="1429"/>
      <c r="W1106" s="1429"/>
      <c r="X1106" s="1429"/>
      <c r="Y1106" s="1429"/>
    </row>
    <row r="1107" spans="1:25">
      <c r="A1107" s="1428"/>
      <c r="B1107" s="1428"/>
      <c r="C1107" s="1428"/>
      <c r="D1107" s="1428"/>
      <c r="E1107" s="1428"/>
      <c r="R1107" s="1429"/>
      <c r="S1107" s="1429"/>
      <c r="T1107" s="1429"/>
      <c r="U1107" s="1429"/>
      <c r="V1107" s="1429"/>
      <c r="W1107" s="1429"/>
      <c r="X1107" s="1429"/>
      <c r="Y1107" s="1429"/>
    </row>
    <row r="1108" spans="1:25">
      <c r="A1108" s="1428"/>
      <c r="B1108" s="1428"/>
      <c r="C1108" s="1428"/>
      <c r="D1108" s="1428"/>
      <c r="E1108" s="1428"/>
      <c r="R1108" s="1429"/>
      <c r="S1108" s="1429"/>
      <c r="T1108" s="1429"/>
      <c r="U1108" s="1429"/>
      <c r="V1108" s="1429"/>
      <c r="W1108" s="1429"/>
      <c r="X1108" s="1429"/>
      <c r="Y1108" s="1429"/>
    </row>
    <row r="1109" spans="1:25">
      <c r="A1109" s="1428"/>
      <c r="B1109" s="1428"/>
      <c r="C1109" s="1428"/>
      <c r="D1109" s="1428"/>
      <c r="E1109" s="1428"/>
      <c r="R1109" s="1429"/>
      <c r="S1109" s="1429"/>
      <c r="T1109" s="1429"/>
      <c r="U1109" s="1429"/>
      <c r="V1109" s="1429"/>
      <c r="W1109" s="1429"/>
      <c r="X1109" s="1429"/>
      <c r="Y1109" s="1429"/>
    </row>
    <row r="1110" spans="1:25">
      <c r="A1110" s="1428"/>
      <c r="B1110" s="1428"/>
      <c r="C1110" s="1428"/>
      <c r="D1110" s="1428"/>
      <c r="E1110" s="1428"/>
      <c r="R1110" s="1429"/>
      <c r="S1110" s="1429"/>
      <c r="T1110" s="1429"/>
      <c r="U1110" s="1429"/>
      <c r="V1110" s="1429"/>
      <c r="W1110" s="1429"/>
      <c r="X1110" s="1429"/>
      <c r="Y1110" s="1429"/>
    </row>
    <row r="1111" spans="1:25">
      <c r="A1111" s="1428"/>
      <c r="B1111" s="1428"/>
      <c r="C1111" s="1428"/>
      <c r="D1111" s="1428"/>
      <c r="E1111" s="1428"/>
      <c r="R1111" s="1429"/>
      <c r="S1111" s="1429"/>
      <c r="T1111" s="1429"/>
      <c r="U1111" s="1429"/>
      <c r="V1111" s="1429"/>
      <c r="W1111" s="1429"/>
      <c r="X1111" s="1429"/>
      <c r="Y1111" s="1429"/>
    </row>
    <row r="1112" spans="1:25">
      <c r="A1112" s="1428"/>
      <c r="B1112" s="1428"/>
      <c r="C1112" s="1428"/>
      <c r="D1112" s="1428"/>
      <c r="E1112" s="1428"/>
      <c r="R1112" s="1429"/>
      <c r="S1112" s="1429"/>
      <c r="T1112" s="1429"/>
      <c r="U1112" s="1429"/>
      <c r="V1112" s="1429"/>
      <c r="W1112" s="1429"/>
      <c r="X1112" s="1429"/>
      <c r="Y1112" s="1429"/>
    </row>
    <row r="1113" spans="1:25">
      <c r="A1113" s="1428"/>
      <c r="B1113" s="1428"/>
      <c r="C1113" s="1428"/>
      <c r="D1113" s="1428"/>
      <c r="E1113" s="1428"/>
      <c r="R1113" s="1429"/>
      <c r="S1113" s="1429"/>
      <c r="T1113" s="1429"/>
      <c r="U1113" s="1429"/>
      <c r="V1113" s="1429"/>
      <c r="W1113" s="1429"/>
      <c r="X1113" s="1429"/>
      <c r="Y1113" s="1429"/>
    </row>
    <row r="1114" spans="1:25">
      <c r="A1114" s="1428"/>
      <c r="B1114" s="1428"/>
      <c r="C1114" s="1428"/>
      <c r="D1114" s="1428"/>
      <c r="E1114" s="1428"/>
      <c r="R1114" s="1429"/>
      <c r="S1114" s="1429"/>
      <c r="T1114" s="1429"/>
      <c r="U1114" s="1429"/>
      <c r="V1114" s="1429"/>
      <c r="W1114" s="1429"/>
      <c r="X1114" s="1429"/>
      <c r="Y1114" s="1429"/>
    </row>
    <row r="1115" spans="1:25">
      <c r="A1115" s="1428"/>
      <c r="B1115" s="1428"/>
      <c r="C1115" s="1428"/>
      <c r="D1115" s="1428"/>
      <c r="E1115" s="1428"/>
      <c r="R1115" s="1429"/>
      <c r="S1115" s="1429"/>
      <c r="T1115" s="1429"/>
      <c r="U1115" s="1429"/>
      <c r="V1115" s="1429"/>
      <c r="W1115" s="1429"/>
      <c r="X1115" s="1429"/>
      <c r="Y1115" s="1429"/>
    </row>
    <row r="1116" spans="1:25">
      <c r="A1116" s="1428"/>
      <c r="B1116" s="1428"/>
      <c r="C1116" s="1428"/>
      <c r="D1116" s="1428"/>
      <c r="E1116" s="1428"/>
      <c r="R1116" s="1429"/>
      <c r="S1116" s="1429"/>
      <c r="T1116" s="1429"/>
      <c r="U1116" s="1429"/>
      <c r="V1116" s="1429"/>
      <c r="W1116" s="1429"/>
      <c r="X1116" s="1429"/>
      <c r="Y1116" s="1429"/>
    </row>
    <row r="1117" spans="1:25">
      <c r="A1117" s="1428"/>
      <c r="B1117" s="1428"/>
      <c r="C1117" s="1428"/>
      <c r="D1117" s="1428"/>
      <c r="E1117" s="1428"/>
      <c r="R1117" s="1429"/>
      <c r="S1117" s="1429"/>
      <c r="T1117" s="1429"/>
      <c r="U1117" s="1429"/>
      <c r="V1117" s="1429"/>
      <c r="W1117" s="1429"/>
      <c r="X1117" s="1429"/>
      <c r="Y1117" s="1429"/>
    </row>
    <row r="1118" spans="1:25">
      <c r="A1118" s="1428"/>
      <c r="B1118" s="1428"/>
      <c r="C1118" s="1428"/>
      <c r="D1118" s="1428"/>
      <c r="E1118" s="1428"/>
      <c r="R1118" s="1429"/>
      <c r="S1118" s="1429"/>
      <c r="T1118" s="1429"/>
      <c r="U1118" s="1429"/>
      <c r="V1118" s="1429"/>
      <c r="W1118" s="1429"/>
      <c r="X1118" s="1429"/>
      <c r="Y1118" s="1429"/>
    </row>
    <row r="1119" spans="1:25">
      <c r="A1119" s="1428"/>
      <c r="B1119" s="1428"/>
      <c r="C1119" s="1428"/>
      <c r="D1119" s="1428"/>
      <c r="E1119" s="1428"/>
      <c r="R1119" s="1429"/>
      <c r="S1119" s="1429"/>
      <c r="T1119" s="1429"/>
      <c r="U1119" s="1429"/>
      <c r="V1119" s="1429"/>
      <c r="W1119" s="1429"/>
      <c r="X1119" s="1429"/>
      <c r="Y1119" s="1429"/>
    </row>
    <row r="1120" spans="1:25">
      <c r="A1120" s="1428"/>
      <c r="B1120" s="1428"/>
      <c r="C1120" s="1428"/>
      <c r="D1120" s="1428"/>
      <c r="E1120" s="1428"/>
      <c r="R1120" s="1429"/>
      <c r="S1120" s="1429"/>
      <c r="T1120" s="1429"/>
      <c r="U1120" s="1429"/>
      <c r="V1120" s="1429"/>
      <c r="W1120" s="1429"/>
      <c r="X1120" s="1429"/>
      <c r="Y1120" s="1429"/>
    </row>
    <row r="1121" spans="1:25">
      <c r="A1121" s="1428"/>
      <c r="B1121" s="1428"/>
      <c r="C1121" s="1428"/>
      <c r="D1121" s="1428"/>
      <c r="E1121" s="1428"/>
      <c r="R1121" s="1429"/>
      <c r="S1121" s="1429"/>
      <c r="T1121" s="1429"/>
      <c r="U1121" s="1429"/>
      <c r="V1121" s="1429"/>
      <c r="W1121" s="1429"/>
      <c r="X1121" s="1429"/>
      <c r="Y1121" s="1429"/>
    </row>
    <row r="1122" spans="1:25">
      <c r="A1122" s="1428"/>
      <c r="B1122" s="1428"/>
      <c r="C1122" s="1428"/>
      <c r="D1122" s="1428"/>
      <c r="E1122" s="1428"/>
      <c r="R1122" s="1429"/>
      <c r="S1122" s="1429"/>
      <c r="T1122" s="1429"/>
      <c r="U1122" s="1429"/>
      <c r="V1122" s="1429"/>
      <c r="W1122" s="1429"/>
      <c r="X1122" s="1429"/>
      <c r="Y1122" s="1429"/>
    </row>
    <row r="1123" spans="1:25">
      <c r="A1123" s="1428"/>
      <c r="B1123" s="1428"/>
      <c r="C1123" s="1428"/>
      <c r="D1123" s="1428"/>
      <c r="E1123" s="1428"/>
      <c r="R1123" s="1429"/>
      <c r="S1123" s="1429"/>
      <c r="T1123" s="1429"/>
      <c r="U1123" s="1429"/>
      <c r="V1123" s="1429"/>
      <c r="W1123" s="1429"/>
      <c r="X1123" s="1429"/>
      <c r="Y1123" s="1429"/>
    </row>
    <row r="1124" spans="1:25">
      <c r="A1124" s="1428"/>
      <c r="B1124" s="1428"/>
      <c r="C1124" s="1428"/>
      <c r="D1124" s="1428"/>
      <c r="E1124" s="1428"/>
      <c r="R1124" s="1429"/>
      <c r="S1124" s="1429"/>
      <c r="T1124" s="1429"/>
      <c r="U1124" s="1429"/>
      <c r="V1124" s="1429"/>
      <c r="W1124" s="1429"/>
      <c r="X1124" s="1429"/>
      <c r="Y1124" s="1429"/>
    </row>
    <row r="1125" spans="1:25">
      <c r="A1125" s="1428"/>
      <c r="B1125" s="1428"/>
      <c r="C1125" s="1428"/>
      <c r="D1125" s="1428"/>
      <c r="E1125" s="1428"/>
      <c r="R1125" s="1429"/>
      <c r="S1125" s="1429"/>
      <c r="T1125" s="1429"/>
      <c r="U1125" s="1429"/>
      <c r="V1125" s="1429"/>
      <c r="W1125" s="1429"/>
      <c r="X1125" s="1429"/>
      <c r="Y1125" s="1429"/>
    </row>
    <row r="1126" spans="1:25">
      <c r="A1126" s="1428"/>
      <c r="B1126" s="1428"/>
      <c r="C1126" s="1428"/>
      <c r="D1126" s="1428"/>
      <c r="E1126" s="1428"/>
      <c r="R1126" s="1429"/>
      <c r="S1126" s="1429"/>
      <c r="T1126" s="1429"/>
      <c r="U1126" s="1429"/>
      <c r="V1126" s="1429"/>
      <c r="W1126" s="1429"/>
      <c r="X1126" s="1429"/>
      <c r="Y1126" s="1429"/>
    </row>
    <row r="1127" spans="1:25">
      <c r="A1127" s="1428"/>
      <c r="B1127" s="1428"/>
      <c r="C1127" s="1428"/>
      <c r="D1127" s="1428"/>
      <c r="E1127" s="1428"/>
      <c r="R1127" s="1429"/>
      <c r="S1127" s="1429"/>
      <c r="T1127" s="1429"/>
      <c r="U1127" s="1429"/>
      <c r="V1127" s="1429"/>
      <c r="W1127" s="1429"/>
      <c r="X1127" s="1429"/>
      <c r="Y1127" s="1429"/>
    </row>
    <row r="1128" spans="1:25">
      <c r="A1128" s="1428"/>
      <c r="B1128" s="1428"/>
      <c r="C1128" s="1428"/>
      <c r="D1128" s="1428"/>
      <c r="E1128" s="1428"/>
      <c r="R1128" s="1429"/>
      <c r="S1128" s="1429"/>
      <c r="T1128" s="1429"/>
      <c r="U1128" s="1429"/>
      <c r="V1128" s="1429"/>
      <c r="W1128" s="1429"/>
      <c r="X1128" s="1429"/>
      <c r="Y1128" s="1429"/>
    </row>
    <row r="1129" spans="1:25">
      <c r="A1129" s="1428"/>
      <c r="B1129" s="1428"/>
      <c r="C1129" s="1428"/>
      <c r="D1129" s="1428"/>
      <c r="E1129" s="1428"/>
      <c r="R1129" s="1429"/>
      <c r="S1129" s="1429"/>
      <c r="T1129" s="1429"/>
      <c r="U1129" s="1429"/>
      <c r="V1129" s="1429"/>
      <c r="W1129" s="1429"/>
      <c r="X1129" s="1429"/>
      <c r="Y1129" s="1429"/>
    </row>
    <row r="1130" spans="1:25">
      <c r="A1130" s="1428"/>
      <c r="B1130" s="1428"/>
      <c r="C1130" s="1428"/>
      <c r="D1130" s="1428"/>
      <c r="E1130" s="1428"/>
      <c r="R1130" s="1429"/>
      <c r="S1130" s="1429"/>
      <c r="T1130" s="1429"/>
      <c r="U1130" s="1429"/>
      <c r="V1130" s="1429"/>
      <c r="W1130" s="1429"/>
      <c r="X1130" s="1429"/>
      <c r="Y1130" s="1429"/>
    </row>
    <row r="1131" spans="1:25">
      <c r="A1131" s="1428"/>
      <c r="B1131" s="1428"/>
      <c r="C1131" s="1428"/>
      <c r="D1131" s="1428"/>
      <c r="E1131" s="1428"/>
      <c r="R1131" s="1429"/>
      <c r="S1131" s="1429"/>
      <c r="T1131" s="1429"/>
      <c r="U1131" s="1429"/>
      <c r="V1131" s="1429"/>
      <c r="W1131" s="1429"/>
      <c r="X1131" s="1429"/>
      <c r="Y1131" s="1429"/>
    </row>
    <row r="1132" spans="1:25">
      <c r="A1132" s="1428"/>
      <c r="B1132" s="1428"/>
      <c r="C1132" s="1428"/>
      <c r="D1132" s="1428"/>
      <c r="E1132" s="1428"/>
      <c r="R1132" s="1429"/>
      <c r="S1132" s="1429"/>
      <c r="T1132" s="1429"/>
      <c r="U1132" s="1429"/>
      <c r="V1132" s="1429"/>
      <c r="W1132" s="1429"/>
      <c r="X1132" s="1429"/>
      <c r="Y1132" s="1429"/>
    </row>
    <row r="1133" spans="1:25">
      <c r="A1133" s="1428"/>
      <c r="B1133" s="1428"/>
      <c r="C1133" s="1428"/>
      <c r="D1133" s="1428"/>
      <c r="E1133" s="1428"/>
      <c r="R1133" s="1429"/>
      <c r="S1133" s="1429"/>
      <c r="T1133" s="1429"/>
      <c r="U1133" s="1429"/>
      <c r="V1133" s="1429"/>
      <c r="W1133" s="1429"/>
      <c r="X1133" s="1429"/>
      <c r="Y1133" s="1429"/>
    </row>
    <row r="1134" spans="1:25">
      <c r="A1134" s="1428"/>
      <c r="B1134" s="1428"/>
      <c r="C1134" s="1428"/>
      <c r="D1134" s="1428"/>
      <c r="E1134" s="1428"/>
      <c r="R1134" s="1429"/>
      <c r="S1134" s="1429"/>
      <c r="T1134" s="1429"/>
      <c r="U1134" s="1429"/>
      <c r="V1134" s="1429"/>
      <c r="W1134" s="1429"/>
      <c r="X1134" s="1429"/>
      <c r="Y1134" s="1429"/>
    </row>
    <row r="1135" spans="1:25">
      <c r="A1135" s="1428"/>
      <c r="B1135" s="1428"/>
      <c r="C1135" s="1428"/>
      <c r="D1135" s="1428"/>
      <c r="E1135" s="1428"/>
      <c r="R1135" s="1429"/>
      <c r="S1135" s="1429"/>
      <c r="T1135" s="1429"/>
      <c r="U1135" s="1429"/>
      <c r="V1135" s="1429"/>
      <c r="W1135" s="1429"/>
      <c r="X1135" s="1429"/>
      <c r="Y1135" s="1429"/>
    </row>
    <row r="1136" spans="1:25">
      <c r="A1136" s="1428"/>
      <c r="B1136" s="1428"/>
      <c r="C1136" s="1428"/>
      <c r="D1136" s="1428"/>
      <c r="E1136" s="1428"/>
      <c r="R1136" s="1429"/>
      <c r="S1136" s="1429"/>
      <c r="T1136" s="1429"/>
      <c r="U1136" s="1429"/>
      <c r="V1136" s="1429"/>
      <c r="W1136" s="1429"/>
      <c r="X1136" s="1429"/>
      <c r="Y1136" s="1429"/>
    </row>
    <row r="1137" spans="1:25">
      <c r="A1137" s="1428"/>
      <c r="B1137" s="1428"/>
      <c r="C1137" s="1428"/>
      <c r="D1137" s="1428"/>
      <c r="E1137" s="1428"/>
      <c r="R1137" s="1429"/>
      <c r="S1137" s="1429"/>
      <c r="T1137" s="1429"/>
      <c r="U1137" s="1429"/>
      <c r="V1137" s="1429"/>
      <c r="W1137" s="1429"/>
      <c r="X1137" s="1429"/>
      <c r="Y1137" s="1429"/>
    </row>
    <row r="1138" spans="1:25">
      <c r="A1138" s="1428"/>
      <c r="B1138" s="1428"/>
      <c r="C1138" s="1428"/>
      <c r="D1138" s="1428"/>
      <c r="E1138" s="1428"/>
      <c r="R1138" s="1429"/>
      <c r="S1138" s="1429"/>
      <c r="T1138" s="1429"/>
      <c r="U1138" s="1429"/>
      <c r="V1138" s="1429"/>
      <c r="W1138" s="1429"/>
      <c r="X1138" s="1429"/>
      <c r="Y1138" s="1429"/>
    </row>
    <row r="1139" spans="1:25">
      <c r="A1139" s="1428"/>
      <c r="B1139" s="1428"/>
      <c r="C1139" s="1428"/>
      <c r="D1139" s="1428"/>
      <c r="E1139" s="1428"/>
      <c r="R1139" s="1429"/>
      <c r="S1139" s="1429"/>
      <c r="T1139" s="1429"/>
      <c r="U1139" s="1429"/>
      <c r="V1139" s="1429"/>
      <c r="W1139" s="1429"/>
      <c r="X1139" s="1429"/>
      <c r="Y1139" s="1429"/>
    </row>
    <row r="1140" spans="1:25">
      <c r="A1140" s="1428"/>
      <c r="B1140" s="1428"/>
      <c r="C1140" s="1428"/>
      <c r="D1140" s="1428"/>
      <c r="E1140" s="1428"/>
      <c r="R1140" s="1429"/>
      <c r="S1140" s="1429"/>
      <c r="T1140" s="1429"/>
      <c r="U1140" s="1429"/>
      <c r="V1140" s="1429"/>
      <c r="W1140" s="1429"/>
      <c r="X1140" s="1429"/>
      <c r="Y1140" s="1429"/>
    </row>
    <row r="1141" spans="1:25">
      <c r="A1141" s="1428"/>
      <c r="B1141" s="1428"/>
      <c r="C1141" s="1428"/>
      <c r="D1141" s="1428"/>
      <c r="E1141" s="1428"/>
      <c r="R1141" s="1429"/>
      <c r="S1141" s="1429"/>
      <c r="T1141" s="1429"/>
      <c r="U1141" s="1429"/>
      <c r="V1141" s="1429"/>
      <c r="W1141" s="1429"/>
      <c r="X1141" s="1429"/>
      <c r="Y1141" s="1429"/>
    </row>
    <row r="1142" spans="1:25">
      <c r="A1142" s="1428"/>
      <c r="B1142" s="1428"/>
      <c r="C1142" s="1428"/>
      <c r="D1142" s="1428"/>
      <c r="E1142" s="1428"/>
      <c r="R1142" s="1429"/>
      <c r="S1142" s="1429"/>
      <c r="T1142" s="1429"/>
      <c r="U1142" s="1429"/>
      <c r="V1142" s="1429"/>
      <c r="W1142" s="1429"/>
      <c r="X1142" s="1429"/>
      <c r="Y1142" s="1429"/>
    </row>
    <row r="1143" spans="1:25">
      <c r="A1143" s="1428"/>
      <c r="B1143" s="1428"/>
      <c r="C1143" s="1428"/>
      <c r="D1143" s="1428"/>
      <c r="E1143" s="1428"/>
      <c r="R1143" s="1429"/>
      <c r="S1143" s="1429"/>
      <c r="T1143" s="1429"/>
      <c r="U1143" s="1429"/>
      <c r="V1143" s="1429"/>
      <c r="W1143" s="1429"/>
      <c r="X1143" s="1429"/>
      <c r="Y1143" s="1429"/>
    </row>
    <row r="1144" spans="1:25">
      <c r="A1144" s="1428"/>
      <c r="B1144" s="1428"/>
      <c r="C1144" s="1428"/>
      <c r="D1144" s="1428"/>
      <c r="E1144" s="1428"/>
      <c r="R1144" s="1429"/>
      <c r="S1144" s="1429"/>
      <c r="T1144" s="1429"/>
      <c r="U1144" s="1429"/>
      <c r="V1144" s="1429"/>
      <c r="W1144" s="1429"/>
      <c r="X1144" s="1429"/>
      <c r="Y1144" s="1429"/>
    </row>
    <row r="1145" spans="1:25">
      <c r="A1145" s="1428"/>
      <c r="B1145" s="1428"/>
      <c r="C1145" s="1428"/>
      <c r="D1145" s="1428"/>
      <c r="E1145" s="1428"/>
      <c r="R1145" s="1429"/>
      <c r="S1145" s="1429"/>
      <c r="T1145" s="1429"/>
      <c r="U1145" s="1429"/>
      <c r="V1145" s="1429"/>
      <c r="W1145" s="1429"/>
      <c r="X1145" s="1429"/>
      <c r="Y1145" s="1429"/>
    </row>
    <row r="1146" spans="1:25">
      <c r="A1146" s="1428"/>
      <c r="B1146" s="1428"/>
      <c r="C1146" s="1428"/>
      <c r="D1146" s="1428"/>
      <c r="E1146" s="1428"/>
      <c r="R1146" s="1429"/>
      <c r="S1146" s="1429"/>
      <c r="T1146" s="1429"/>
      <c r="U1146" s="1429"/>
      <c r="V1146" s="1429"/>
      <c r="W1146" s="1429"/>
      <c r="X1146" s="1429"/>
      <c r="Y1146" s="1429"/>
    </row>
    <row r="1147" spans="1:25">
      <c r="A1147" s="1428"/>
      <c r="B1147" s="1428"/>
      <c r="C1147" s="1428"/>
      <c r="D1147" s="1428"/>
      <c r="E1147" s="1428"/>
      <c r="R1147" s="1429"/>
      <c r="S1147" s="1429"/>
      <c r="T1147" s="1429"/>
      <c r="U1147" s="1429"/>
      <c r="V1147" s="1429"/>
      <c r="W1147" s="1429"/>
      <c r="X1147" s="1429"/>
      <c r="Y1147" s="1429"/>
    </row>
    <row r="1148" spans="1:25">
      <c r="A1148" s="1428"/>
      <c r="B1148" s="1428"/>
      <c r="C1148" s="1428"/>
      <c r="D1148" s="1428"/>
      <c r="E1148" s="1428"/>
      <c r="R1148" s="1429"/>
      <c r="S1148" s="1429"/>
      <c r="T1148" s="1429"/>
      <c r="U1148" s="1429"/>
      <c r="V1148" s="1429"/>
      <c r="W1148" s="1429"/>
      <c r="X1148" s="1429"/>
      <c r="Y1148" s="1429"/>
    </row>
    <row r="1149" spans="1:25">
      <c r="A1149" s="1428"/>
      <c r="B1149" s="1428"/>
      <c r="C1149" s="1428"/>
      <c r="D1149" s="1428"/>
      <c r="E1149" s="1428"/>
      <c r="R1149" s="1429"/>
      <c r="S1149" s="1429"/>
      <c r="T1149" s="1429"/>
      <c r="U1149" s="1429"/>
      <c r="V1149" s="1429"/>
      <c r="W1149" s="1429"/>
      <c r="X1149" s="1429"/>
      <c r="Y1149" s="1429"/>
    </row>
    <row r="1150" spans="1:25">
      <c r="A1150" s="1428"/>
      <c r="B1150" s="1428"/>
      <c r="C1150" s="1428"/>
      <c r="D1150" s="1428"/>
      <c r="E1150" s="1428"/>
      <c r="R1150" s="1429"/>
      <c r="S1150" s="1429"/>
      <c r="T1150" s="1429"/>
      <c r="U1150" s="1429"/>
      <c r="V1150" s="1429"/>
      <c r="W1150" s="1429"/>
      <c r="X1150" s="1429"/>
      <c r="Y1150" s="1429"/>
    </row>
    <row r="1151" spans="1:25">
      <c r="A1151" s="1428"/>
      <c r="B1151" s="1428"/>
      <c r="C1151" s="1428"/>
      <c r="D1151" s="1428"/>
      <c r="E1151" s="1428"/>
      <c r="R1151" s="1429"/>
      <c r="S1151" s="1429"/>
      <c r="T1151" s="1429"/>
      <c r="U1151" s="1429"/>
      <c r="V1151" s="1429"/>
      <c r="W1151" s="1429"/>
      <c r="X1151" s="1429"/>
      <c r="Y1151" s="1429"/>
    </row>
    <row r="1152" spans="1:25">
      <c r="A1152" s="1428"/>
      <c r="B1152" s="1428"/>
      <c r="C1152" s="1428"/>
      <c r="D1152" s="1428"/>
      <c r="E1152" s="1428"/>
      <c r="R1152" s="1429"/>
      <c r="S1152" s="1429"/>
      <c r="T1152" s="1429"/>
      <c r="U1152" s="1429"/>
      <c r="V1152" s="1429"/>
      <c r="W1152" s="1429"/>
      <c r="X1152" s="1429"/>
      <c r="Y1152" s="1429"/>
    </row>
    <row r="1153" spans="1:25">
      <c r="A1153" s="1428"/>
      <c r="B1153" s="1428"/>
      <c r="C1153" s="1428"/>
      <c r="D1153" s="1428"/>
      <c r="E1153" s="1428"/>
      <c r="R1153" s="1429"/>
      <c r="S1153" s="1429"/>
      <c r="T1153" s="1429"/>
      <c r="U1153" s="1429"/>
      <c r="V1153" s="1429"/>
      <c r="W1153" s="1429"/>
      <c r="X1153" s="1429"/>
      <c r="Y1153" s="1429"/>
    </row>
    <row r="1154" spans="1:25">
      <c r="A1154" s="1428"/>
      <c r="B1154" s="1428"/>
      <c r="C1154" s="1428"/>
      <c r="D1154" s="1428"/>
      <c r="E1154" s="1428"/>
      <c r="R1154" s="1429"/>
      <c r="S1154" s="1429"/>
      <c r="T1154" s="1429"/>
      <c r="U1154" s="1429"/>
      <c r="V1154" s="1429"/>
      <c r="W1154" s="1429"/>
      <c r="X1154" s="1429"/>
      <c r="Y1154" s="1429"/>
    </row>
    <row r="1155" spans="1:25">
      <c r="A1155" s="1428"/>
      <c r="B1155" s="1428"/>
      <c r="C1155" s="1428"/>
      <c r="D1155" s="1428"/>
      <c r="E1155" s="1428"/>
      <c r="R1155" s="1429"/>
      <c r="S1155" s="1429"/>
      <c r="T1155" s="1429"/>
      <c r="U1155" s="1429"/>
      <c r="V1155" s="1429"/>
      <c r="W1155" s="1429"/>
      <c r="X1155" s="1429"/>
      <c r="Y1155" s="1429"/>
    </row>
    <row r="1156" spans="1:25">
      <c r="A1156" s="1428"/>
      <c r="B1156" s="1428"/>
      <c r="C1156" s="1428"/>
      <c r="D1156" s="1428"/>
      <c r="E1156" s="1428"/>
      <c r="R1156" s="1429"/>
      <c r="S1156" s="1429"/>
      <c r="T1156" s="1429"/>
      <c r="U1156" s="1429"/>
      <c r="V1156" s="1429"/>
      <c r="W1156" s="1429"/>
      <c r="X1156" s="1429"/>
      <c r="Y1156" s="1429"/>
    </row>
    <row r="1157" spans="1:25">
      <c r="A1157" s="1428"/>
      <c r="B1157" s="1428"/>
      <c r="C1157" s="1428"/>
      <c r="D1157" s="1428"/>
      <c r="E1157" s="1428"/>
      <c r="R1157" s="1429"/>
      <c r="S1157" s="1429"/>
      <c r="T1157" s="1429"/>
      <c r="U1157" s="1429"/>
      <c r="V1157" s="1429"/>
      <c r="W1157" s="1429"/>
      <c r="X1157" s="1429"/>
      <c r="Y1157" s="1429"/>
    </row>
    <row r="1158" spans="1:25">
      <c r="A1158" s="1428"/>
      <c r="B1158" s="1428"/>
      <c r="C1158" s="1428"/>
      <c r="D1158" s="1428"/>
      <c r="E1158" s="1428"/>
      <c r="R1158" s="1429"/>
      <c r="S1158" s="1429"/>
      <c r="T1158" s="1429"/>
      <c r="U1158" s="1429"/>
      <c r="V1158" s="1429"/>
      <c r="W1158" s="1429"/>
      <c r="X1158" s="1429"/>
      <c r="Y1158" s="1429"/>
    </row>
    <row r="1159" spans="1:25">
      <c r="A1159" s="1428"/>
      <c r="B1159" s="1428"/>
      <c r="C1159" s="1428"/>
      <c r="D1159" s="1428"/>
      <c r="E1159" s="1428"/>
      <c r="R1159" s="1429"/>
      <c r="S1159" s="1429"/>
      <c r="T1159" s="1429"/>
      <c r="U1159" s="1429"/>
      <c r="V1159" s="1429"/>
      <c r="W1159" s="1429"/>
      <c r="X1159" s="1429"/>
      <c r="Y1159" s="1429"/>
    </row>
    <row r="1160" spans="1:25">
      <c r="A1160" s="1428"/>
      <c r="B1160" s="1428"/>
      <c r="C1160" s="1428"/>
      <c r="D1160" s="1428"/>
      <c r="E1160" s="1428"/>
      <c r="R1160" s="1429"/>
      <c r="S1160" s="1429"/>
      <c r="T1160" s="1429"/>
      <c r="U1160" s="1429"/>
      <c r="V1160" s="1429"/>
      <c r="W1160" s="1429"/>
      <c r="X1160" s="1429"/>
      <c r="Y1160" s="1429"/>
    </row>
    <row r="1161" spans="1:25">
      <c r="A1161" s="1428"/>
      <c r="B1161" s="1428"/>
      <c r="C1161" s="1428"/>
      <c r="D1161" s="1428"/>
      <c r="E1161" s="1428"/>
      <c r="R1161" s="1429"/>
      <c r="S1161" s="1429"/>
      <c r="T1161" s="1429"/>
      <c r="U1161" s="1429"/>
      <c r="V1161" s="1429"/>
      <c r="W1161" s="1429"/>
      <c r="X1161" s="1429"/>
      <c r="Y1161" s="1429"/>
    </row>
    <row r="1162" spans="1:25">
      <c r="A1162" s="1428"/>
      <c r="B1162" s="1428"/>
      <c r="C1162" s="1428"/>
      <c r="D1162" s="1428"/>
      <c r="E1162" s="1428"/>
      <c r="R1162" s="1429"/>
      <c r="S1162" s="1429"/>
      <c r="T1162" s="1429"/>
      <c r="U1162" s="1429"/>
      <c r="V1162" s="1429"/>
      <c r="W1162" s="1429"/>
      <c r="X1162" s="1429"/>
      <c r="Y1162" s="1429"/>
    </row>
    <row r="1163" spans="1:25">
      <c r="A1163" s="1428"/>
      <c r="B1163" s="1428"/>
      <c r="C1163" s="1428"/>
      <c r="D1163" s="1428"/>
      <c r="E1163" s="1428"/>
      <c r="R1163" s="1429"/>
      <c r="S1163" s="1429"/>
      <c r="T1163" s="1429"/>
      <c r="U1163" s="1429"/>
      <c r="V1163" s="1429"/>
      <c r="W1163" s="1429"/>
      <c r="X1163" s="1429"/>
      <c r="Y1163" s="1429"/>
    </row>
    <row r="1164" spans="1:25">
      <c r="A1164" s="1428"/>
      <c r="B1164" s="1428"/>
      <c r="C1164" s="1428"/>
      <c r="D1164" s="1428"/>
      <c r="E1164" s="1428"/>
      <c r="R1164" s="1429"/>
      <c r="S1164" s="1429"/>
      <c r="T1164" s="1429"/>
      <c r="U1164" s="1429"/>
      <c r="V1164" s="1429"/>
      <c r="W1164" s="1429"/>
      <c r="X1164" s="1429"/>
      <c r="Y1164" s="1429"/>
    </row>
    <row r="1165" spans="1:25">
      <c r="A1165" s="1428"/>
      <c r="B1165" s="1428"/>
      <c r="C1165" s="1428"/>
      <c r="D1165" s="1428"/>
      <c r="E1165" s="1428"/>
      <c r="R1165" s="1429"/>
      <c r="S1165" s="1429"/>
      <c r="T1165" s="1429"/>
      <c r="U1165" s="1429"/>
      <c r="V1165" s="1429"/>
      <c r="W1165" s="1429"/>
      <c r="X1165" s="1429"/>
      <c r="Y1165" s="1429"/>
    </row>
    <row r="1166" spans="1:25">
      <c r="A1166" s="1428"/>
      <c r="B1166" s="1428"/>
      <c r="C1166" s="1428"/>
      <c r="D1166" s="1428"/>
      <c r="E1166" s="1428"/>
      <c r="R1166" s="1429"/>
      <c r="S1166" s="1429"/>
      <c r="T1166" s="1429"/>
      <c r="U1166" s="1429"/>
      <c r="V1166" s="1429"/>
      <c r="W1166" s="1429"/>
      <c r="X1166" s="1429"/>
      <c r="Y1166" s="1429"/>
    </row>
    <row r="1167" spans="1:25">
      <c r="A1167" s="1428"/>
      <c r="B1167" s="1428"/>
      <c r="C1167" s="1428"/>
      <c r="D1167" s="1428"/>
      <c r="E1167" s="1428"/>
      <c r="R1167" s="1429"/>
      <c r="S1167" s="1429"/>
      <c r="T1167" s="1429"/>
      <c r="U1167" s="1429"/>
      <c r="V1167" s="1429"/>
      <c r="W1167" s="1429"/>
      <c r="X1167" s="1429"/>
      <c r="Y1167" s="1429"/>
    </row>
    <row r="1168" spans="1:25">
      <c r="A1168" s="1428"/>
      <c r="B1168" s="1428"/>
      <c r="C1168" s="1428"/>
      <c r="D1168" s="1428"/>
      <c r="E1168" s="1428"/>
      <c r="R1168" s="1429"/>
      <c r="S1168" s="1429"/>
      <c r="T1168" s="1429"/>
      <c r="U1168" s="1429"/>
      <c r="V1168" s="1429"/>
      <c r="W1168" s="1429"/>
      <c r="X1168" s="1429"/>
      <c r="Y1168" s="1429"/>
    </row>
    <row r="1169" spans="1:25">
      <c r="A1169" s="1428"/>
      <c r="B1169" s="1428"/>
      <c r="C1169" s="1428"/>
      <c r="D1169" s="1428"/>
      <c r="E1169" s="1428"/>
      <c r="R1169" s="1429"/>
      <c r="S1169" s="1429"/>
      <c r="T1169" s="1429"/>
      <c r="U1169" s="1429"/>
      <c r="V1169" s="1429"/>
      <c r="W1169" s="1429"/>
      <c r="X1169" s="1429"/>
      <c r="Y1169" s="1429"/>
    </row>
    <row r="1170" spans="1:25">
      <c r="A1170" s="1428"/>
      <c r="B1170" s="1428"/>
      <c r="C1170" s="1428"/>
      <c r="D1170" s="1428"/>
      <c r="E1170" s="1428"/>
      <c r="R1170" s="1429"/>
      <c r="S1170" s="1429"/>
      <c r="T1170" s="1429"/>
      <c r="U1170" s="1429"/>
      <c r="V1170" s="1429"/>
      <c r="W1170" s="1429"/>
      <c r="X1170" s="1429"/>
      <c r="Y1170" s="1429"/>
    </row>
    <row r="1171" spans="1:25">
      <c r="A1171" s="1428"/>
      <c r="B1171" s="1428"/>
      <c r="C1171" s="1428"/>
      <c r="D1171" s="1428"/>
      <c r="E1171" s="1428"/>
      <c r="R1171" s="1429"/>
      <c r="S1171" s="1429"/>
      <c r="T1171" s="1429"/>
      <c r="U1171" s="1429"/>
      <c r="V1171" s="1429"/>
      <c r="W1171" s="1429"/>
      <c r="X1171" s="1429"/>
      <c r="Y1171" s="1429"/>
    </row>
    <row r="1172" spans="1:25">
      <c r="A1172" s="1428"/>
      <c r="B1172" s="1428"/>
      <c r="C1172" s="1428"/>
      <c r="D1172" s="1428"/>
      <c r="E1172" s="1428"/>
      <c r="R1172" s="1429"/>
      <c r="S1172" s="1429"/>
      <c r="T1172" s="1429"/>
      <c r="U1172" s="1429"/>
      <c r="V1172" s="1429"/>
      <c r="W1172" s="1429"/>
      <c r="X1172" s="1429"/>
      <c r="Y1172" s="1429"/>
    </row>
    <row r="1173" spans="1:25">
      <c r="A1173" s="1428"/>
      <c r="B1173" s="1428"/>
      <c r="C1173" s="1428"/>
      <c r="D1173" s="1428"/>
      <c r="E1173" s="1428"/>
      <c r="R1173" s="1429"/>
      <c r="S1173" s="1429"/>
      <c r="T1173" s="1429"/>
      <c r="U1173" s="1429"/>
      <c r="V1173" s="1429"/>
      <c r="W1173" s="1429"/>
      <c r="X1173" s="1429"/>
      <c r="Y1173" s="1429"/>
    </row>
    <row r="1174" spans="1:25">
      <c r="A1174" s="1428"/>
      <c r="B1174" s="1428"/>
      <c r="C1174" s="1428"/>
      <c r="D1174" s="1428"/>
      <c r="E1174" s="1428"/>
      <c r="R1174" s="1429"/>
      <c r="S1174" s="1429"/>
      <c r="T1174" s="1429"/>
      <c r="U1174" s="1429"/>
      <c r="V1174" s="1429"/>
      <c r="W1174" s="1429"/>
      <c r="X1174" s="1429"/>
      <c r="Y1174" s="1429"/>
    </row>
    <row r="1175" spans="1:25">
      <c r="A1175" s="1428"/>
      <c r="B1175" s="1428"/>
      <c r="C1175" s="1428"/>
      <c r="D1175" s="1428"/>
      <c r="E1175" s="1428"/>
      <c r="R1175" s="1429"/>
      <c r="S1175" s="1429"/>
      <c r="T1175" s="1429"/>
      <c r="U1175" s="1429"/>
      <c r="V1175" s="1429"/>
      <c r="W1175" s="1429"/>
      <c r="X1175" s="1429"/>
      <c r="Y1175" s="1429"/>
    </row>
    <row r="1176" spans="1:25">
      <c r="A1176" s="1428"/>
      <c r="B1176" s="1428"/>
      <c r="C1176" s="1428"/>
      <c r="D1176" s="1428"/>
      <c r="E1176" s="1428"/>
      <c r="R1176" s="1429"/>
      <c r="S1176" s="1429"/>
      <c r="T1176" s="1429"/>
      <c r="U1176" s="1429"/>
      <c r="V1176" s="1429"/>
      <c r="W1176" s="1429"/>
      <c r="X1176" s="1429"/>
      <c r="Y1176" s="1429"/>
    </row>
    <row r="1177" spans="1:25">
      <c r="A1177" s="1428"/>
      <c r="B1177" s="1428"/>
      <c r="C1177" s="1428"/>
      <c r="D1177" s="1428"/>
      <c r="E1177" s="1428"/>
      <c r="R1177" s="1429"/>
      <c r="S1177" s="1429"/>
      <c r="T1177" s="1429"/>
      <c r="U1177" s="1429"/>
      <c r="V1177" s="1429"/>
      <c r="W1177" s="1429"/>
      <c r="X1177" s="1429"/>
      <c r="Y1177" s="1429"/>
    </row>
    <row r="1178" spans="1:25">
      <c r="A1178" s="1428"/>
      <c r="B1178" s="1428"/>
      <c r="C1178" s="1428"/>
      <c r="D1178" s="1428"/>
      <c r="E1178" s="1428"/>
      <c r="R1178" s="1429"/>
      <c r="S1178" s="1429"/>
      <c r="T1178" s="1429"/>
      <c r="U1178" s="1429"/>
      <c r="V1178" s="1429"/>
      <c r="W1178" s="1429"/>
      <c r="X1178" s="1429"/>
      <c r="Y1178" s="1429"/>
    </row>
    <row r="1179" spans="1:25">
      <c r="A1179" s="1428"/>
      <c r="B1179" s="1428"/>
      <c r="C1179" s="1428"/>
      <c r="D1179" s="1428"/>
      <c r="E1179" s="1428"/>
      <c r="R1179" s="1429"/>
      <c r="S1179" s="1429"/>
      <c r="T1179" s="1429"/>
      <c r="U1179" s="1429"/>
      <c r="V1179" s="1429"/>
      <c r="W1179" s="1429"/>
      <c r="X1179" s="1429"/>
      <c r="Y1179" s="1429"/>
    </row>
    <row r="1180" spans="1:25">
      <c r="A1180" s="1428"/>
      <c r="B1180" s="1428"/>
      <c r="C1180" s="1428"/>
      <c r="D1180" s="1428"/>
      <c r="E1180" s="1428"/>
      <c r="R1180" s="1429"/>
      <c r="S1180" s="1429"/>
      <c r="T1180" s="1429"/>
      <c r="U1180" s="1429"/>
      <c r="V1180" s="1429"/>
      <c r="W1180" s="1429"/>
      <c r="X1180" s="1429"/>
      <c r="Y1180" s="1429"/>
    </row>
    <row r="1181" spans="1:25">
      <c r="A1181" s="1428"/>
      <c r="B1181" s="1428"/>
      <c r="C1181" s="1428"/>
      <c r="D1181" s="1428"/>
      <c r="E1181" s="1428"/>
      <c r="R1181" s="1429"/>
      <c r="S1181" s="1429"/>
      <c r="T1181" s="1429"/>
      <c r="U1181" s="1429"/>
      <c r="V1181" s="1429"/>
      <c r="W1181" s="1429"/>
      <c r="X1181" s="1429"/>
      <c r="Y1181" s="1429"/>
    </row>
    <row r="1182" spans="1:25">
      <c r="A1182" s="1428"/>
      <c r="B1182" s="1428"/>
      <c r="C1182" s="1428"/>
      <c r="D1182" s="1428"/>
      <c r="E1182" s="1428"/>
      <c r="R1182" s="1429"/>
      <c r="S1182" s="1429"/>
      <c r="T1182" s="1429"/>
      <c r="U1182" s="1429"/>
      <c r="V1182" s="1429"/>
      <c r="W1182" s="1429"/>
      <c r="X1182" s="1429"/>
      <c r="Y1182" s="1429"/>
    </row>
    <row r="1183" spans="1:25">
      <c r="A1183" s="1428"/>
      <c r="B1183" s="1428"/>
      <c r="C1183" s="1428"/>
      <c r="D1183" s="1428"/>
      <c r="E1183" s="1428"/>
      <c r="R1183" s="1429"/>
      <c r="S1183" s="1429"/>
      <c r="T1183" s="1429"/>
      <c r="U1183" s="1429"/>
      <c r="V1183" s="1429"/>
      <c r="W1183" s="1429"/>
      <c r="X1183" s="1429"/>
      <c r="Y1183" s="1429"/>
    </row>
    <row r="1184" spans="1:25">
      <c r="A1184" s="1428"/>
      <c r="B1184" s="1428"/>
      <c r="C1184" s="1428"/>
      <c r="D1184" s="1428"/>
      <c r="E1184" s="1428"/>
      <c r="R1184" s="1429"/>
      <c r="S1184" s="1429"/>
      <c r="T1184" s="1429"/>
      <c r="U1184" s="1429"/>
      <c r="V1184" s="1429"/>
      <c r="W1184" s="1429"/>
      <c r="X1184" s="1429"/>
      <c r="Y1184" s="1429"/>
    </row>
    <row r="1185" spans="1:25">
      <c r="A1185" s="1428"/>
      <c r="B1185" s="1428"/>
      <c r="C1185" s="1428"/>
      <c r="D1185" s="1428"/>
      <c r="E1185" s="1428"/>
      <c r="R1185" s="1429"/>
      <c r="S1185" s="1429"/>
      <c r="T1185" s="1429"/>
      <c r="U1185" s="1429"/>
      <c r="V1185" s="1429"/>
      <c r="W1185" s="1429"/>
      <c r="X1185" s="1429"/>
      <c r="Y1185" s="1429"/>
    </row>
    <row r="1186" spans="1:25">
      <c r="A1186" s="1428"/>
      <c r="B1186" s="1428"/>
      <c r="C1186" s="1428"/>
      <c r="D1186" s="1428"/>
      <c r="E1186" s="1428"/>
      <c r="R1186" s="1429"/>
      <c r="S1186" s="1429"/>
      <c r="T1186" s="1429"/>
      <c r="U1186" s="1429"/>
      <c r="V1186" s="1429"/>
      <c r="W1186" s="1429"/>
      <c r="X1186" s="1429"/>
      <c r="Y1186" s="1429"/>
    </row>
    <row r="1187" spans="1:25">
      <c r="A1187" s="1428"/>
      <c r="B1187" s="1428"/>
      <c r="C1187" s="1428"/>
      <c r="D1187" s="1428"/>
      <c r="E1187" s="1428"/>
      <c r="R1187" s="1429"/>
      <c r="S1187" s="1429"/>
      <c r="T1187" s="1429"/>
      <c r="U1187" s="1429"/>
      <c r="V1187" s="1429"/>
      <c r="W1187" s="1429"/>
      <c r="X1187" s="1429"/>
      <c r="Y1187" s="1429"/>
    </row>
    <row r="1188" spans="1:25">
      <c r="A1188" s="1428"/>
      <c r="B1188" s="1428"/>
      <c r="C1188" s="1428"/>
      <c r="D1188" s="1428"/>
      <c r="E1188" s="1428"/>
      <c r="R1188" s="1429"/>
      <c r="S1188" s="1429"/>
      <c r="T1188" s="1429"/>
      <c r="U1188" s="1429"/>
      <c r="V1188" s="1429"/>
      <c r="W1188" s="1429"/>
      <c r="X1188" s="1429"/>
      <c r="Y1188" s="1429"/>
    </row>
    <row r="1189" spans="1:25">
      <c r="A1189" s="1428"/>
      <c r="B1189" s="1428"/>
      <c r="C1189" s="1428"/>
      <c r="D1189" s="1428"/>
      <c r="E1189" s="1428"/>
      <c r="R1189" s="1429"/>
      <c r="S1189" s="1429"/>
      <c r="T1189" s="1429"/>
      <c r="U1189" s="1429"/>
      <c r="V1189" s="1429"/>
      <c r="W1189" s="1429"/>
      <c r="X1189" s="1429"/>
      <c r="Y1189" s="1429"/>
    </row>
    <row r="1190" spans="1:25">
      <c r="A1190" s="1428"/>
      <c r="B1190" s="1428"/>
      <c r="C1190" s="1428"/>
      <c r="D1190" s="1428"/>
      <c r="E1190" s="1428"/>
      <c r="R1190" s="1429"/>
      <c r="S1190" s="1429"/>
      <c r="T1190" s="1429"/>
      <c r="U1190" s="1429"/>
      <c r="V1190" s="1429"/>
      <c r="W1190" s="1429"/>
      <c r="X1190" s="1429"/>
      <c r="Y1190" s="1429"/>
    </row>
    <row r="1191" spans="1:25">
      <c r="A1191" s="1428"/>
      <c r="B1191" s="1428"/>
      <c r="C1191" s="1428"/>
      <c r="D1191" s="1428"/>
      <c r="E1191" s="1428"/>
      <c r="R1191" s="1429"/>
      <c r="S1191" s="1429"/>
      <c r="T1191" s="1429"/>
      <c r="U1191" s="1429"/>
      <c r="V1191" s="1429"/>
      <c r="W1191" s="1429"/>
      <c r="X1191" s="1429"/>
      <c r="Y1191" s="1429"/>
    </row>
    <row r="1192" spans="1:25">
      <c r="A1192" s="1428"/>
      <c r="B1192" s="1428"/>
      <c r="C1192" s="1428"/>
      <c r="D1192" s="1428"/>
      <c r="E1192" s="1428"/>
      <c r="R1192" s="1429"/>
      <c r="S1192" s="1429"/>
      <c r="T1192" s="1429"/>
      <c r="U1192" s="1429"/>
      <c r="V1192" s="1429"/>
      <c r="W1192" s="1429"/>
      <c r="X1192" s="1429"/>
      <c r="Y1192" s="1429"/>
    </row>
    <row r="1193" spans="1:25">
      <c r="A1193" s="1428"/>
      <c r="B1193" s="1428"/>
      <c r="C1193" s="1428"/>
      <c r="D1193" s="1428"/>
      <c r="E1193" s="1428"/>
      <c r="R1193" s="1429"/>
      <c r="S1193" s="1429"/>
      <c r="T1193" s="1429"/>
      <c r="U1193" s="1429"/>
      <c r="V1193" s="1429"/>
      <c r="W1193" s="1429"/>
      <c r="X1193" s="1429"/>
      <c r="Y1193" s="1429"/>
    </row>
    <row r="1194" spans="1:25">
      <c r="A1194" s="1428"/>
      <c r="B1194" s="1428"/>
      <c r="C1194" s="1428"/>
      <c r="D1194" s="1428"/>
      <c r="E1194" s="1428"/>
      <c r="R1194" s="1429"/>
      <c r="S1194" s="1429"/>
      <c r="T1194" s="1429"/>
      <c r="U1194" s="1429"/>
      <c r="V1194" s="1429"/>
      <c r="W1194" s="1429"/>
      <c r="X1194" s="1429"/>
      <c r="Y1194" s="1429"/>
    </row>
    <row r="1195" spans="1:25">
      <c r="A1195" s="1428"/>
      <c r="B1195" s="1428"/>
      <c r="C1195" s="1428"/>
      <c r="D1195" s="1428"/>
      <c r="E1195" s="1428"/>
      <c r="R1195" s="1429"/>
      <c r="S1195" s="1429"/>
      <c r="T1195" s="1429"/>
      <c r="U1195" s="1429"/>
      <c r="V1195" s="1429"/>
      <c r="W1195" s="1429"/>
      <c r="X1195" s="1429"/>
      <c r="Y1195" s="1429"/>
    </row>
    <row r="1196" spans="1:25">
      <c r="A1196" s="1428"/>
      <c r="B1196" s="1428"/>
      <c r="C1196" s="1428"/>
      <c r="D1196" s="1428"/>
      <c r="E1196" s="1428"/>
      <c r="R1196" s="1429"/>
      <c r="S1196" s="1429"/>
      <c r="T1196" s="1429"/>
      <c r="U1196" s="1429"/>
      <c r="V1196" s="1429"/>
      <c r="W1196" s="1429"/>
      <c r="X1196" s="1429"/>
      <c r="Y1196" s="1429"/>
    </row>
    <row r="1197" spans="1:25">
      <c r="A1197" s="1428"/>
      <c r="B1197" s="1428"/>
      <c r="C1197" s="1428"/>
      <c r="D1197" s="1428"/>
      <c r="E1197" s="1428"/>
      <c r="R1197" s="1429"/>
      <c r="S1197" s="1429"/>
      <c r="T1197" s="1429"/>
      <c r="U1197" s="1429"/>
      <c r="V1197" s="1429"/>
      <c r="W1197" s="1429"/>
      <c r="X1197" s="1429"/>
      <c r="Y1197" s="1429"/>
    </row>
    <row r="1198" spans="1:25">
      <c r="A1198" s="1428"/>
      <c r="B1198" s="1428"/>
      <c r="C1198" s="1428"/>
      <c r="D1198" s="1428"/>
      <c r="E1198" s="1428"/>
      <c r="R1198" s="1429"/>
      <c r="S1198" s="1429"/>
      <c r="T1198" s="1429"/>
      <c r="U1198" s="1429"/>
      <c r="V1198" s="1429"/>
      <c r="W1198" s="1429"/>
      <c r="X1198" s="1429"/>
      <c r="Y1198" s="1429"/>
    </row>
    <row r="1199" spans="1:25">
      <c r="A1199" s="1428"/>
      <c r="B1199" s="1428"/>
      <c r="C1199" s="1428"/>
      <c r="D1199" s="1428"/>
      <c r="E1199" s="1428"/>
      <c r="R1199" s="1429"/>
      <c r="S1199" s="1429"/>
      <c r="T1199" s="1429"/>
      <c r="U1199" s="1429"/>
      <c r="V1199" s="1429"/>
      <c r="W1199" s="1429"/>
      <c r="X1199" s="1429"/>
      <c r="Y1199" s="1429"/>
    </row>
    <row r="1200" spans="1:25">
      <c r="A1200" s="1428"/>
      <c r="B1200" s="1428"/>
      <c r="C1200" s="1428"/>
      <c r="D1200" s="1428"/>
      <c r="E1200" s="1428"/>
      <c r="R1200" s="1429"/>
      <c r="S1200" s="1429"/>
      <c r="T1200" s="1429"/>
      <c r="U1200" s="1429"/>
      <c r="V1200" s="1429"/>
      <c r="W1200" s="1429"/>
      <c r="X1200" s="1429"/>
      <c r="Y1200" s="1429"/>
    </row>
    <row r="1201" spans="1:25">
      <c r="A1201" s="1428"/>
      <c r="B1201" s="1428"/>
      <c r="C1201" s="1428"/>
      <c r="D1201" s="1428"/>
      <c r="E1201" s="1428"/>
      <c r="R1201" s="1429"/>
      <c r="S1201" s="1429"/>
      <c r="T1201" s="1429"/>
      <c r="U1201" s="1429"/>
      <c r="V1201" s="1429"/>
      <c r="W1201" s="1429"/>
      <c r="X1201" s="1429"/>
      <c r="Y1201" s="1429"/>
    </row>
    <row r="1202" spans="1:25">
      <c r="A1202" s="1428"/>
      <c r="B1202" s="1428"/>
      <c r="C1202" s="1428"/>
      <c r="D1202" s="1428"/>
      <c r="E1202" s="1428"/>
      <c r="R1202" s="1429"/>
      <c r="S1202" s="1429"/>
      <c r="T1202" s="1429"/>
      <c r="U1202" s="1429"/>
      <c r="V1202" s="1429"/>
      <c r="W1202" s="1429"/>
      <c r="X1202" s="1429"/>
      <c r="Y1202" s="1429"/>
    </row>
    <row r="1203" spans="1:25">
      <c r="A1203" s="1428"/>
      <c r="B1203" s="1428"/>
      <c r="C1203" s="1428"/>
      <c r="D1203" s="1428"/>
      <c r="E1203" s="1428"/>
      <c r="R1203" s="1429"/>
      <c r="S1203" s="1429"/>
      <c r="T1203" s="1429"/>
      <c r="U1203" s="1429"/>
      <c r="V1203" s="1429"/>
      <c r="W1203" s="1429"/>
      <c r="X1203" s="1429"/>
      <c r="Y1203" s="1429"/>
    </row>
    <row r="1204" spans="1:25">
      <c r="A1204" s="1428"/>
      <c r="B1204" s="1428"/>
      <c r="C1204" s="1428"/>
      <c r="D1204" s="1428"/>
      <c r="E1204" s="1428"/>
      <c r="R1204" s="1429"/>
      <c r="S1204" s="1429"/>
      <c r="T1204" s="1429"/>
      <c r="U1204" s="1429"/>
      <c r="V1204" s="1429"/>
      <c r="W1204" s="1429"/>
      <c r="X1204" s="1429"/>
      <c r="Y1204" s="1429"/>
    </row>
    <row r="1205" spans="1:25">
      <c r="A1205" s="1428"/>
      <c r="B1205" s="1428"/>
      <c r="C1205" s="1428"/>
      <c r="D1205" s="1428"/>
      <c r="E1205" s="1428"/>
      <c r="R1205" s="1429"/>
      <c r="S1205" s="1429"/>
      <c r="T1205" s="1429"/>
      <c r="U1205" s="1429"/>
      <c r="V1205" s="1429"/>
      <c r="W1205" s="1429"/>
      <c r="X1205" s="1429"/>
      <c r="Y1205" s="1429"/>
    </row>
    <row r="1206" spans="1:25">
      <c r="A1206" s="1428"/>
      <c r="B1206" s="1428"/>
      <c r="C1206" s="1428"/>
      <c r="D1206" s="1428"/>
      <c r="E1206" s="1428"/>
      <c r="R1206" s="1429"/>
      <c r="S1206" s="1429"/>
      <c r="T1206" s="1429"/>
      <c r="U1206" s="1429"/>
      <c r="V1206" s="1429"/>
      <c r="W1206" s="1429"/>
      <c r="X1206" s="1429"/>
      <c r="Y1206" s="1429"/>
    </row>
    <row r="1207" spans="1:25">
      <c r="A1207" s="1428"/>
      <c r="B1207" s="1428"/>
      <c r="C1207" s="1428"/>
      <c r="D1207" s="1428"/>
      <c r="E1207" s="1428"/>
      <c r="R1207" s="1429"/>
      <c r="S1207" s="1429"/>
      <c r="T1207" s="1429"/>
      <c r="U1207" s="1429"/>
      <c r="V1207" s="1429"/>
      <c r="W1207" s="1429"/>
      <c r="X1207" s="1429"/>
      <c r="Y1207" s="1429"/>
    </row>
    <row r="1208" spans="1:25">
      <c r="A1208" s="1428"/>
      <c r="B1208" s="1428"/>
      <c r="C1208" s="1428"/>
      <c r="D1208" s="1428"/>
      <c r="E1208" s="1428"/>
      <c r="R1208" s="1429"/>
      <c r="S1208" s="1429"/>
      <c r="T1208" s="1429"/>
      <c r="U1208" s="1429"/>
      <c r="V1208" s="1429"/>
      <c r="W1208" s="1429"/>
      <c r="X1208" s="1429"/>
      <c r="Y1208" s="1429"/>
    </row>
    <row r="1209" spans="1:25">
      <c r="A1209" s="1428"/>
      <c r="B1209" s="1428"/>
      <c r="C1209" s="1428"/>
      <c r="D1209" s="1428"/>
      <c r="E1209" s="1428"/>
      <c r="R1209" s="1429"/>
      <c r="S1209" s="1429"/>
      <c r="T1209" s="1429"/>
      <c r="U1209" s="1429"/>
      <c r="V1209" s="1429"/>
      <c r="W1209" s="1429"/>
      <c r="X1209" s="1429"/>
      <c r="Y1209" s="1429"/>
    </row>
    <row r="1210" spans="1:25">
      <c r="A1210" s="1428"/>
      <c r="B1210" s="1428"/>
      <c r="C1210" s="1428"/>
      <c r="D1210" s="1428"/>
      <c r="E1210" s="1428"/>
      <c r="R1210" s="1429"/>
      <c r="S1210" s="1429"/>
      <c r="T1210" s="1429"/>
      <c r="U1210" s="1429"/>
      <c r="V1210" s="1429"/>
      <c r="W1210" s="1429"/>
      <c r="X1210" s="1429"/>
      <c r="Y1210" s="1429"/>
    </row>
    <row r="1211" spans="1:25">
      <c r="A1211" s="1428"/>
      <c r="B1211" s="1428"/>
      <c r="C1211" s="1428"/>
      <c r="D1211" s="1428"/>
      <c r="E1211" s="1428"/>
      <c r="R1211" s="1429"/>
      <c r="S1211" s="1429"/>
      <c r="T1211" s="1429"/>
      <c r="U1211" s="1429"/>
      <c r="V1211" s="1429"/>
      <c r="W1211" s="1429"/>
      <c r="X1211" s="1429"/>
      <c r="Y1211" s="1429"/>
    </row>
    <row r="1212" spans="1:25">
      <c r="A1212" s="1428"/>
      <c r="B1212" s="1428"/>
      <c r="C1212" s="1428"/>
      <c r="D1212" s="1428"/>
      <c r="E1212" s="1428"/>
      <c r="R1212" s="1429"/>
      <c r="S1212" s="1429"/>
      <c r="T1212" s="1429"/>
      <c r="U1212" s="1429"/>
      <c r="V1212" s="1429"/>
      <c r="W1212" s="1429"/>
      <c r="X1212" s="1429"/>
      <c r="Y1212" s="1429"/>
    </row>
    <row r="1213" spans="1:25">
      <c r="A1213" s="1428"/>
      <c r="B1213" s="1428"/>
      <c r="C1213" s="1428"/>
      <c r="D1213" s="1428"/>
      <c r="E1213" s="1428"/>
      <c r="R1213" s="1429"/>
      <c r="S1213" s="1429"/>
      <c r="T1213" s="1429"/>
      <c r="U1213" s="1429"/>
      <c r="V1213" s="1429"/>
      <c r="W1213" s="1429"/>
      <c r="X1213" s="1429"/>
      <c r="Y1213" s="1429"/>
    </row>
    <row r="1214" spans="1:25">
      <c r="A1214" s="1428"/>
      <c r="B1214" s="1428"/>
      <c r="C1214" s="1428"/>
      <c r="D1214" s="1428"/>
      <c r="E1214" s="1428"/>
      <c r="R1214" s="1429"/>
      <c r="S1214" s="1429"/>
      <c r="T1214" s="1429"/>
      <c r="U1214" s="1429"/>
      <c r="V1214" s="1429"/>
      <c r="W1214" s="1429"/>
      <c r="X1214" s="1429"/>
      <c r="Y1214" s="1429"/>
    </row>
    <row r="1215" spans="1:25">
      <c r="A1215" s="1428"/>
      <c r="B1215" s="1428"/>
      <c r="C1215" s="1428"/>
      <c r="D1215" s="1428"/>
      <c r="E1215" s="1428"/>
      <c r="R1215" s="1429"/>
      <c r="S1215" s="1429"/>
      <c r="T1215" s="1429"/>
      <c r="U1215" s="1429"/>
      <c r="V1215" s="1429"/>
      <c r="W1215" s="1429"/>
      <c r="X1215" s="1429"/>
      <c r="Y1215" s="1429"/>
    </row>
    <row r="1216" spans="1:25">
      <c r="A1216" s="1428"/>
      <c r="B1216" s="1428"/>
      <c r="C1216" s="1428"/>
      <c r="D1216" s="1428"/>
      <c r="E1216" s="1428"/>
      <c r="R1216" s="1429"/>
      <c r="S1216" s="1429"/>
      <c r="T1216" s="1429"/>
      <c r="U1216" s="1429"/>
      <c r="V1216" s="1429"/>
      <c r="W1216" s="1429"/>
      <c r="X1216" s="1429"/>
      <c r="Y1216" s="1429"/>
    </row>
    <row r="1217" spans="1:25">
      <c r="A1217" s="1428"/>
      <c r="B1217" s="1428"/>
      <c r="C1217" s="1428"/>
      <c r="D1217" s="1428"/>
      <c r="E1217" s="1428"/>
      <c r="R1217" s="1429"/>
      <c r="S1217" s="1429"/>
      <c r="T1217" s="1429"/>
      <c r="U1217" s="1429"/>
      <c r="V1217" s="1429"/>
      <c r="W1217" s="1429"/>
      <c r="X1217" s="1429"/>
      <c r="Y1217" s="1429"/>
    </row>
    <row r="1218" spans="1:25">
      <c r="A1218" s="1428"/>
      <c r="B1218" s="1428"/>
      <c r="C1218" s="1428"/>
      <c r="D1218" s="1428"/>
      <c r="E1218" s="1428"/>
      <c r="R1218" s="1429"/>
      <c r="S1218" s="1429"/>
      <c r="T1218" s="1429"/>
      <c r="U1218" s="1429"/>
      <c r="V1218" s="1429"/>
      <c r="W1218" s="1429"/>
      <c r="X1218" s="1429"/>
      <c r="Y1218" s="1429"/>
    </row>
    <row r="1219" spans="1:25">
      <c r="A1219" s="1428"/>
      <c r="B1219" s="1428"/>
      <c r="C1219" s="1428"/>
      <c r="D1219" s="1428"/>
      <c r="E1219" s="1428"/>
      <c r="R1219" s="1429"/>
      <c r="S1219" s="1429"/>
      <c r="T1219" s="1429"/>
      <c r="U1219" s="1429"/>
      <c r="V1219" s="1429"/>
      <c r="W1219" s="1429"/>
      <c r="X1219" s="1429"/>
      <c r="Y1219" s="1429"/>
    </row>
    <row r="1220" spans="1:25">
      <c r="A1220" s="1428"/>
      <c r="B1220" s="1428"/>
      <c r="C1220" s="1428"/>
      <c r="D1220" s="1428"/>
      <c r="E1220" s="1428"/>
      <c r="R1220" s="1429"/>
      <c r="S1220" s="1429"/>
      <c r="T1220" s="1429"/>
      <c r="U1220" s="1429"/>
      <c r="V1220" s="1429"/>
      <c r="W1220" s="1429"/>
      <c r="X1220" s="1429"/>
      <c r="Y1220" s="1429"/>
    </row>
    <row r="1221" spans="1:25">
      <c r="A1221" s="1428"/>
      <c r="B1221" s="1428"/>
      <c r="C1221" s="1428"/>
      <c r="D1221" s="1428"/>
      <c r="E1221" s="1428"/>
      <c r="R1221" s="1429"/>
      <c r="S1221" s="1429"/>
      <c r="T1221" s="1429"/>
      <c r="U1221" s="1429"/>
      <c r="V1221" s="1429"/>
      <c r="W1221" s="1429"/>
      <c r="X1221" s="1429"/>
      <c r="Y1221" s="1429"/>
    </row>
    <row r="1222" spans="1:25">
      <c r="A1222" s="1428"/>
      <c r="B1222" s="1428"/>
      <c r="C1222" s="1428"/>
      <c r="D1222" s="1428"/>
      <c r="E1222" s="1428"/>
      <c r="R1222" s="1429"/>
      <c r="S1222" s="1429"/>
      <c r="T1222" s="1429"/>
      <c r="U1222" s="1429"/>
      <c r="V1222" s="1429"/>
      <c r="W1222" s="1429"/>
      <c r="X1222" s="1429"/>
      <c r="Y1222" s="1429"/>
    </row>
    <row r="1223" spans="1:25">
      <c r="A1223" s="1428"/>
      <c r="B1223" s="1428"/>
      <c r="C1223" s="1428"/>
      <c r="D1223" s="1428"/>
      <c r="E1223" s="1428"/>
      <c r="R1223" s="1429"/>
      <c r="S1223" s="1429"/>
      <c r="T1223" s="1429"/>
      <c r="U1223" s="1429"/>
      <c r="V1223" s="1429"/>
      <c r="W1223" s="1429"/>
      <c r="X1223" s="1429"/>
      <c r="Y1223" s="1429"/>
    </row>
    <row r="1224" spans="1:25">
      <c r="A1224" s="1428"/>
      <c r="B1224" s="1428"/>
      <c r="C1224" s="1428"/>
      <c r="D1224" s="1428"/>
      <c r="E1224" s="1428"/>
      <c r="R1224" s="1429"/>
      <c r="S1224" s="1429"/>
      <c r="T1224" s="1429"/>
      <c r="U1224" s="1429"/>
      <c r="V1224" s="1429"/>
      <c r="W1224" s="1429"/>
      <c r="X1224" s="1429"/>
      <c r="Y1224" s="1429"/>
    </row>
    <row r="1225" spans="1:25">
      <c r="A1225" s="1428"/>
      <c r="B1225" s="1428"/>
      <c r="C1225" s="1428"/>
      <c r="D1225" s="1428"/>
      <c r="E1225" s="1428"/>
      <c r="R1225" s="1429"/>
      <c r="S1225" s="1429"/>
      <c r="T1225" s="1429"/>
      <c r="U1225" s="1429"/>
      <c r="V1225" s="1429"/>
      <c r="W1225" s="1429"/>
      <c r="X1225" s="1429"/>
      <c r="Y1225" s="1429"/>
    </row>
    <row r="1226" spans="1:25">
      <c r="A1226" s="1428"/>
      <c r="B1226" s="1428"/>
      <c r="C1226" s="1428"/>
      <c r="D1226" s="1428"/>
      <c r="E1226" s="1428"/>
      <c r="R1226" s="1429"/>
      <c r="S1226" s="1429"/>
      <c r="T1226" s="1429"/>
      <c r="U1226" s="1429"/>
      <c r="V1226" s="1429"/>
      <c r="W1226" s="1429"/>
      <c r="X1226" s="1429"/>
      <c r="Y1226" s="1429"/>
    </row>
    <row r="1227" spans="1:25">
      <c r="A1227" s="1428"/>
      <c r="B1227" s="1428"/>
      <c r="C1227" s="1428"/>
      <c r="D1227" s="1428"/>
      <c r="E1227" s="1428"/>
      <c r="R1227" s="1429"/>
      <c r="S1227" s="1429"/>
      <c r="T1227" s="1429"/>
      <c r="U1227" s="1429"/>
      <c r="V1227" s="1429"/>
      <c r="W1227" s="1429"/>
      <c r="X1227" s="1429"/>
      <c r="Y1227" s="1429"/>
    </row>
    <row r="1228" spans="1:25">
      <c r="A1228" s="1428"/>
      <c r="B1228" s="1428"/>
      <c r="C1228" s="1428"/>
      <c r="D1228" s="1428"/>
      <c r="E1228" s="1428"/>
      <c r="R1228" s="1429"/>
      <c r="S1228" s="1429"/>
      <c r="T1228" s="1429"/>
      <c r="U1228" s="1429"/>
      <c r="V1228" s="1429"/>
      <c r="W1228" s="1429"/>
      <c r="X1228" s="1429"/>
      <c r="Y1228" s="1429"/>
    </row>
    <row r="1229" spans="1:25">
      <c r="A1229" s="1428"/>
      <c r="B1229" s="1428"/>
      <c r="C1229" s="1428"/>
      <c r="D1229" s="1428"/>
      <c r="E1229" s="1428"/>
      <c r="R1229" s="1429"/>
      <c r="S1229" s="1429"/>
      <c r="T1229" s="1429"/>
      <c r="U1229" s="1429"/>
      <c r="V1229" s="1429"/>
      <c r="W1229" s="1429"/>
      <c r="X1229" s="1429"/>
      <c r="Y1229" s="1429"/>
    </row>
    <row r="1230" spans="1:25">
      <c r="A1230" s="1428"/>
      <c r="B1230" s="1428"/>
      <c r="C1230" s="1428"/>
      <c r="D1230" s="1428"/>
      <c r="E1230" s="1428"/>
      <c r="R1230" s="1429"/>
      <c r="S1230" s="1429"/>
      <c r="T1230" s="1429"/>
      <c r="U1230" s="1429"/>
      <c r="V1230" s="1429"/>
      <c r="W1230" s="1429"/>
      <c r="X1230" s="1429"/>
      <c r="Y1230" s="1429"/>
    </row>
    <row r="1231" spans="1:25">
      <c r="A1231" s="1428"/>
      <c r="B1231" s="1428"/>
      <c r="C1231" s="1428"/>
      <c r="D1231" s="1428"/>
      <c r="E1231" s="1428"/>
      <c r="R1231" s="1429"/>
      <c r="S1231" s="1429"/>
      <c r="T1231" s="1429"/>
      <c r="U1231" s="1429"/>
      <c r="V1231" s="1429"/>
      <c r="W1231" s="1429"/>
      <c r="X1231" s="1429"/>
      <c r="Y1231" s="1429"/>
    </row>
    <row r="1232" spans="1:25">
      <c r="A1232" s="1428"/>
      <c r="B1232" s="1428"/>
      <c r="C1232" s="1428"/>
      <c r="D1232" s="1428"/>
      <c r="E1232" s="1428"/>
      <c r="R1232" s="1429"/>
      <c r="S1232" s="1429"/>
      <c r="T1232" s="1429"/>
      <c r="U1232" s="1429"/>
      <c r="V1232" s="1429"/>
      <c r="W1232" s="1429"/>
      <c r="X1232" s="1429"/>
      <c r="Y1232" s="1429"/>
    </row>
    <row r="1233" spans="1:25">
      <c r="A1233" s="1428"/>
      <c r="B1233" s="1428"/>
      <c r="C1233" s="1428"/>
      <c r="D1233" s="1428"/>
      <c r="E1233" s="1428"/>
      <c r="R1233" s="1429"/>
      <c r="S1233" s="1429"/>
      <c r="T1233" s="1429"/>
      <c r="U1233" s="1429"/>
      <c r="V1233" s="1429"/>
      <c r="W1233" s="1429"/>
      <c r="X1233" s="1429"/>
      <c r="Y1233" s="1429"/>
    </row>
    <row r="1234" spans="1:25">
      <c r="A1234" s="1428"/>
      <c r="B1234" s="1428"/>
      <c r="C1234" s="1428"/>
      <c r="D1234" s="1428"/>
      <c r="E1234" s="1428"/>
      <c r="R1234" s="1429"/>
      <c r="S1234" s="1429"/>
      <c r="T1234" s="1429"/>
      <c r="U1234" s="1429"/>
      <c r="V1234" s="1429"/>
      <c r="W1234" s="1429"/>
      <c r="X1234" s="1429"/>
      <c r="Y1234" s="1429"/>
    </row>
    <row r="1235" spans="1:25">
      <c r="A1235" s="1428"/>
      <c r="B1235" s="1428"/>
      <c r="C1235" s="1428"/>
      <c r="D1235" s="1428"/>
      <c r="E1235" s="1428"/>
      <c r="R1235" s="1429"/>
      <c r="S1235" s="1429"/>
      <c r="T1235" s="1429"/>
      <c r="U1235" s="1429"/>
      <c r="V1235" s="1429"/>
      <c r="W1235" s="1429"/>
      <c r="X1235" s="1429"/>
      <c r="Y1235" s="1429"/>
    </row>
    <row r="1236" spans="1:25">
      <c r="A1236" s="1428"/>
      <c r="B1236" s="1428"/>
      <c r="C1236" s="1428"/>
      <c r="D1236" s="1428"/>
      <c r="E1236" s="1428"/>
      <c r="R1236" s="1429"/>
      <c r="S1236" s="1429"/>
      <c r="T1236" s="1429"/>
      <c r="U1236" s="1429"/>
      <c r="V1236" s="1429"/>
      <c r="W1236" s="1429"/>
      <c r="X1236" s="1429"/>
      <c r="Y1236" s="1429"/>
    </row>
    <row r="1237" spans="1:25">
      <c r="A1237" s="1428"/>
      <c r="B1237" s="1428"/>
      <c r="C1237" s="1428"/>
      <c r="D1237" s="1428"/>
      <c r="E1237" s="1428"/>
      <c r="R1237" s="1429"/>
      <c r="S1237" s="1429"/>
      <c r="T1237" s="1429"/>
      <c r="U1237" s="1429"/>
      <c r="V1237" s="1429"/>
      <c r="W1237" s="1429"/>
      <c r="X1237" s="1429"/>
      <c r="Y1237" s="1429"/>
    </row>
    <row r="1238" spans="1:25">
      <c r="A1238" s="1428"/>
      <c r="B1238" s="1428"/>
      <c r="C1238" s="1428"/>
      <c r="D1238" s="1428"/>
      <c r="E1238" s="1428"/>
      <c r="R1238" s="1429"/>
      <c r="S1238" s="1429"/>
      <c r="T1238" s="1429"/>
      <c r="U1238" s="1429"/>
      <c r="V1238" s="1429"/>
      <c r="W1238" s="1429"/>
      <c r="X1238" s="1429"/>
      <c r="Y1238" s="1429"/>
    </row>
    <row r="1239" spans="1:25">
      <c r="A1239" s="1428"/>
      <c r="B1239" s="1428"/>
      <c r="C1239" s="1428"/>
      <c r="D1239" s="1428"/>
      <c r="E1239" s="1428"/>
      <c r="R1239" s="1429"/>
      <c r="S1239" s="1429"/>
      <c r="T1239" s="1429"/>
      <c r="U1239" s="1429"/>
      <c r="V1239" s="1429"/>
      <c r="W1239" s="1429"/>
      <c r="X1239" s="1429"/>
      <c r="Y1239" s="1429"/>
    </row>
    <row r="1240" spans="1:25">
      <c r="A1240" s="1428"/>
      <c r="B1240" s="1428"/>
      <c r="C1240" s="1428"/>
      <c r="D1240" s="1428"/>
      <c r="E1240" s="1428"/>
      <c r="R1240" s="1429"/>
      <c r="S1240" s="1429"/>
      <c r="T1240" s="1429"/>
      <c r="U1240" s="1429"/>
      <c r="V1240" s="1429"/>
      <c r="W1240" s="1429"/>
      <c r="X1240" s="1429"/>
      <c r="Y1240" s="1429"/>
    </row>
    <row r="1241" spans="1:25">
      <c r="A1241" s="1428"/>
      <c r="B1241" s="1428"/>
      <c r="C1241" s="1428"/>
      <c r="D1241" s="1428"/>
      <c r="E1241" s="1428"/>
      <c r="R1241" s="1429"/>
      <c r="S1241" s="1429"/>
      <c r="T1241" s="1429"/>
      <c r="U1241" s="1429"/>
      <c r="V1241" s="1429"/>
      <c r="W1241" s="1429"/>
      <c r="X1241" s="1429"/>
      <c r="Y1241" s="1429"/>
    </row>
    <row r="1242" spans="1:25">
      <c r="A1242" s="1428"/>
      <c r="B1242" s="1428"/>
      <c r="C1242" s="1428"/>
      <c r="D1242" s="1428"/>
      <c r="E1242" s="1428"/>
      <c r="R1242" s="1429"/>
      <c r="S1242" s="1429"/>
      <c r="T1242" s="1429"/>
      <c r="U1242" s="1429"/>
      <c r="V1242" s="1429"/>
      <c r="W1242" s="1429"/>
      <c r="X1242" s="1429"/>
      <c r="Y1242" s="1429"/>
    </row>
    <row r="1243" spans="1:25">
      <c r="A1243" s="1428"/>
      <c r="B1243" s="1428"/>
      <c r="C1243" s="1428"/>
      <c r="D1243" s="1428"/>
      <c r="E1243" s="1428"/>
      <c r="R1243" s="1429"/>
      <c r="S1243" s="1429"/>
      <c r="T1243" s="1429"/>
      <c r="U1243" s="1429"/>
      <c r="V1243" s="1429"/>
      <c r="W1243" s="1429"/>
      <c r="X1243" s="1429"/>
      <c r="Y1243" s="1429"/>
    </row>
    <row r="1244" spans="1:25">
      <c r="A1244" s="1428"/>
      <c r="B1244" s="1428"/>
      <c r="C1244" s="1428"/>
      <c r="D1244" s="1428"/>
      <c r="E1244" s="1428"/>
      <c r="R1244" s="1429"/>
      <c r="S1244" s="1429"/>
      <c r="T1244" s="1429"/>
      <c r="U1244" s="1429"/>
      <c r="V1244" s="1429"/>
      <c r="W1244" s="1429"/>
      <c r="X1244" s="1429"/>
      <c r="Y1244" s="1429"/>
    </row>
    <row r="1245" spans="1:25">
      <c r="A1245" s="1428"/>
      <c r="B1245" s="1428"/>
      <c r="C1245" s="1428"/>
      <c r="D1245" s="1428"/>
      <c r="E1245" s="1428"/>
      <c r="R1245" s="1429"/>
      <c r="S1245" s="1429"/>
      <c r="T1245" s="1429"/>
      <c r="U1245" s="1429"/>
      <c r="V1245" s="1429"/>
      <c r="W1245" s="1429"/>
      <c r="X1245" s="1429"/>
      <c r="Y1245" s="1429"/>
    </row>
    <row r="1246" spans="1:25">
      <c r="A1246" s="1428"/>
      <c r="B1246" s="1428"/>
      <c r="C1246" s="1428"/>
      <c r="D1246" s="1428"/>
      <c r="E1246" s="1428"/>
      <c r="R1246" s="1429"/>
      <c r="S1246" s="1429"/>
      <c r="T1246" s="1429"/>
      <c r="U1246" s="1429"/>
      <c r="V1246" s="1429"/>
      <c r="W1246" s="1429"/>
      <c r="X1246" s="1429"/>
      <c r="Y1246" s="1429"/>
    </row>
    <row r="1247" spans="1:25">
      <c r="A1247" s="1428"/>
      <c r="B1247" s="1428"/>
      <c r="C1247" s="1428"/>
      <c r="D1247" s="1428"/>
      <c r="E1247" s="1428"/>
      <c r="R1247" s="1429"/>
      <c r="S1247" s="1429"/>
      <c r="T1247" s="1429"/>
      <c r="U1247" s="1429"/>
      <c r="V1247" s="1429"/>
      <c r="W1247" s="1429"/>
      <c r="X1247" s="1429"/>
      <c r="Y1247" s="1429"/>
    </row>
    <row r="1248" spans="1:25">
      <c r="A1248" s="1428"/>
      <c r="B1248" s="1428"/>
      <c r="C1248" s="1428"/>
      <c r="D1248" s="1428"/>
      <c r="E1248" s="1428"/>
      <c r="R1248" s="1429"/>
      <c r="S1248" s="1429"/>
      <c r="T1248" s="1429"/>
      <c r="U1248" s="1429"/>
      <c r="V1248" s="1429"/>
      <c r="W1248" s="1429"/>
      <c r="X1248" s="1429"/>
      <c r="Y1248" s="1429"/>
    </row>
    <row r="1249" spans="1:25">
      <c r="A1249" s="1428"/>
      <c r="B1249" s="1428"/>
      <c r="C1249" s="1428"/>
      <c r="D1249" s="1428"/>
      <c r="E1249" s="1428"/>
      <c r="R1249" s="1429"/>
      <c r="S1249" s="1429"/>
      <c r="T1249" s="1429"/>
      <c r="U1249" s="1429"/>
      <c r="V1249" s="1429"/>
      <c r="W1249" s="1429"/>
      <c r="X1249" s="1429"/>
      <c r="Y1249" s="1429"/>
    </row>
    <row r="1250" spans="1:25">
      <c r="A1250" s="1428"/>
      <c r="B1250" s="1428"/>
      <c r="C1250" s="1428"/>
      <c r="D1250" s="1428"/>
      <c r="E1250" s="1428"/>
      <c r="R1250" s="1429"/>
      <c r="S1250" s="1429"/>
      <c r="T1250" s="1429"/>
      <c r="U1250" s="1429"/>
      <c r="V1250" s="1429"/>
      <c r="W1250" s="1429"/>
      <c r="X1250" s="1429"/>
      <c r="Y1250" s="1429"/>
    </row>
    <row r="1251" spans="1:25">
      <c r="A1251" s="1428"/>
      <c r="B1251" s="1428"/>
      <c r="C1251" s="1428"/>
      <c r="D1251" s="1428"/>
      <c r="E1251" s="1428"/>
      <c r="R1251" s="1429"/>
      <c r="S1251" s="1429"/>
      <c r="T1251" s="1429"/>
      <c r="U1251" s="1429"/>
      <c r="V1251" s="1429"/>
      <c r="W1251" s="1429"/>
      <c r="X1251" s="1429"/>
      <c r="Y1251" s="1429"/>
    </row>
    <row r="1252" spans="1:25">
      <c r="A1252" s="1428"/>
      <c r="B1252" s="1428"/>
      <c r="C1252" s="1428"/>
      <c r="D1252" s="1428"/>
      <c r="E1252" s="1428"/>
      <c r="R1252" s="1429"/>
      <c r="S1252" s="1429"/>
      <c r="T1252" s="1429"/>
      <c r="U1252" s="1429"/>
      <c r="V1252" s="1429"/>
      <c r="W1252" s="1429"/>
      <c r="X1252" s="1429"/>
      <c r="Y1252" s="1429"/>
    </row>
    <row r="1253" spans="1:25">
      <c r="A1253" s="1428"/>
      <c r="B1253" s="1428"/>
      <c r="C1253" s="1428"/>
      <c r="D1253" s="1428"/>
      <c r="E1253" s="1428"/>
      <c r="R1253" s="1429"/>
      <c r="S1253" s="1429"/>
      <c r="T1253" s="1429"/>
      <c r="U1253" s="1429"/>
      <c r="V1253" s="1429"/>
      <c r="W1253" s="1429"/>
      <c r="X1253" s="1429"/>
      <c r="Y1253" s="1429"/>
    </row>
    <row r="1254" spans="1:25">
      <c r="A1254" s="1428"/>
      <c r="B1254" s="1428"/>
      <c r="C1254" s="1428"/>
      <c r="D1254" s="1428"/>
      <c r="E1254" s="1428"/>
      <c r="R1254" s="1429"/>
      <c r="S1254" s="1429"/>
      <c r="T1254" s="1429"/>
      <c r="U1254" s="1429"/>
      <c r="V1254" s="1429"/>
      <c r="W1254" s="1429"/>
      <c r="X1254" s="1429"/>
      <c r="Y1254" s="1429"/>
    </row>
    <row r="1255" spans="1:25">
      <c r="A1255" s="1428"/>
      <c r="B1255" s="1428"/>
      <c r="C1255" s="1428"/>
      <c r="D1255" s="1428"/>
      <c r="E1255" s="1428"/>
      <c r="R1255" s="1429"/>
      <c r="S1255" s="1429"/>
      <c r="T1255" s="1429"/>
      <c r="U1255" s="1429"/>
      <c r="V1255" s="1429"/>
      <c r="W1255" s="1429"/>
      <c r="X1255" s="1429"/>
      <c r="Y1255" s="1429"/>
    </row>
    <row r="1256" spans="1:25">
      <c r="A1256" s="1428"/>
      <c r="B1256" s="1428"/>
      <c r="C1256" s="1428"/>
      <c r="D1256" s="1428"/>
      <c r="E1256" s="1428"/>
      <c r="R1256" s="1429"/>
      <c r="S1256" s="1429"/>
      <c r="T1256" s="1429"/>
      <c r="U1256" s="1429"/>
      <c r="V1256" s="1429"/>
      <c r="W1256" s="1429"/>
      <c r="X1256" s="1429"/>
      <c r="Y1256" s="1429"/>
    </row>
    <row r="1257" spans="1:25">
      <c r="A1257" s="1428"/>
      <c r="B1257" s="1428"/>
      <c r="C1257" s="1428"/>
      <c r="D1257" s="1428"/>
      <c r="E1257" s="1428"/>
      <c r="R1257" s="1429"/>
      <c r="S1257" s="1429"/>
      <c r="T1257" s="1429"/>
      <c r="U1257" s="1429"/>
      <c r="V1257" s="1429"/>
      <c r="W1257" s="1429"/>
      <c r="X1257" s="1429"/>
      <c r="Y1257" s="1429"/>
    </row>
    <row r="1258" spans="1:25">
      <c r="A1258" s="1428"/>
      <c r="B1258" s="1428"/>
      <c r="C1258" s="1428"/>
      <c r="D1258" s="1428"/>
      <c r="E1258" s="1428"/>
      <c r="R1258" s="1429"/>
      <c r="S1258" s="1429"/>
      <c r="T1258" s="1429"/>
      <c r="U1258" s="1429"/>
      <c r="V1258" s="1429"/>
      <c r="W1258" s="1429"/>
      <c r="X1258" s="1429"/>
      <c r="Y1258" s="1429"/>
    </row>
    <row r="1259" spans="1:25">
      <c r="A1259" s="1428"/>
      <c r="B1259" s="1428"/>
      <c r="C1259" s="1428"/>
      <c r="D1259" s="1428"/>
      <c r="E1259" s="1428"/>
      <c r="R1259" s="1429"/>
      <c r="S1259" s="1429"/>
      <c r="T1259" s="1429"/>
      <c r="U1259" s="1429"/>
      <c r="V1259" s="1429"/>
      <c r="W1259" s="1429"/>
      <c r="X1259" s="1429"/>
      <c r="Y1259" s="1429"/>
    </row>
    <row r="1260" spans="1:25">
      <c r="A1260" s="1428"/>
      <c r="B1260" s="1428"/>
      <c r="C1260" s="1428"/>
      <c r="D1260" s="1428"/>
      <c r="E1260" s="1428"/>
      <c r="R1260" s="1429"/>
      <c r="S1260" s="1429"/>
      <c r="T1260" s="1429"/>
      <c r="U1260" s="1429"/>
      <c r="V1260" s="1429"/>
      <c r="W1260" s="1429"/>
      <c r="X1260" s="1429"/>
      <c r="Y1260" s="1429"/>
    </row>
    <row r="1261" spans="1:25">
      <c r="A1261" s="1428"/>
      <c r="B1261" s="1428"/>
      <c r="C1261" s="1428"/>
      <c r="D1261" s="1428"/>
      <c r="E1261" s="1428"/>
      <c r="R1261" s="1429"/>
      <c r="S1261" s="1429"/>
      <c r="T1261" s="1429"/>
      <c r="U1261" s="1429"/>
      <c r="V1261" s="1429"/>
      <c r="W1261" s="1429"/>
      <c r="X1261" s="1429"/>
      <c r="Y1261" s="1429"/>
    </row>
    <row r="1262" spans="1:25">
      <c r="A1262" s="1428"/>
      <c r="B1262" s="1428"/>
      <c r="C1262" s="1428"/>
      <c r="D1262" s="1428"/>
      <c r="E1262" s="1428"/>
      <c r="R1262" s="1429"/>
      <c r="S1262" s="1429"/>
      <c r="T1262" s="1429"/>
      <c r="U1262" s="1429"/>
      <c r="V1262" s="1429"/>
      <c r="W1262" s="1429"/>
      <c r="X1262" s="1429"/>
      <c r="Y1262" s="1429"/>
    </row>
    <row r="1263" spans="1:25">
      <c r="A1263" s="1428"/>
      <c r="B1263" s="1428"/>
      <c r="C1263" s="1428"/>
      <c r="D1263" s="1428"/>
      <c r="E1263" s="1428"/>
      <c r="R1263" s="1429"/>
      <c r="S1263" s="1429"/>
      <c r="T1263" s="1429"/>
      <c r="U1263" s="1429"/>
      <c r="V1263" s="1429"/>
      <c r="W1263" s="1429"/>
      <c r="X1263" s="1429"/>
      <c r="Y1263" s="1429"/>
    </row>
    <row r="1264" spans="1:25">
      <c r="A1264" s="1428"/>
      <c r="B1264" s="1428"/>
      <c r="C1264" s="1428"/>
      <c r="D1264" s="1428"/>
      <c r="E1264" s="1428"/>
      <c r="R1264" s="1429"/>
      <c r="S1264" s="1429"/>
      <c r="T1264" s="1429"/>
      <c r="U1264" s="1429"/>
      <c r="V1264" s="1429"/>
      <c r="W1264" s="1429"/>
      <c r="X1264" s="1429"/>
      <c r="Y1264" s="1429"/>
    </row>
    <row r="1265" spans="1:25">
      <c r="A1265" s="1428"/>
      <c r="B1265" s="1428"/>
      <c r="C1265" s="1428"/>
      <c r="D1265" s="1428"/>
      <c r="E1265" s="1428"/>
      <c r="R1265" s="1429"/>
      <c r="S1265" s="1429"/>
      <c r="T1265" s="1429"/>
      <c r="U1265" s="1429"/>
      <c r="V1265" s="1429"/>
      <c r="W1265" s="1429"/>
      <c r="X1265" s="1429"/>
      <c r="Y1265" s="1429"/>
    </row>
    <row r="1266" spans="1:25">
      <c r="A1266" s="1428"/>
      <c r="B1266" s="1428"/>
      <c r="C1266" s="1428"/>
      <c r="D1266" s="1428"/>
      <c r="E1266" s="1428"/>
      <c r="R1266" s="1429"/>
      <c r="S1266" s="1429"/>
      <c r="T1266" s="1429"/>
      <c r="U1266" s="1429"/>
      <c r="V1266" s="1429"/>
      <c r="W1266" s="1429"/>
      <c r="X1266" s="1429"/>
      <c r="Y1266" s="1429"/>
    </row>
    <row r="1267" spans="1:25">
      <c r="A1267" s="1428"/>
      <c r="B1267" s="1428"/>
      <c r="C1267" s="1428"/>
      <c r="D1267" s="1428"/>
      <c r="E1267" s="1428"/>
      <c r="R1267" s="1429"/>
      <c r="S1267" s="1429"/>
      <c r="T1267" s="1429"/>
      <c r="U1267" s="1429"/>
      <c r="V1267" s="1429"/>
      <c r="W1267" s="1429"/>
      <c r="X1267" s="1429"/>
      <c r="Y1267" s="1429"/>
    </row>
    <row r="1268" spans="1:25">
      <c r="A1268" s="1428"/>
      <c r="B1268" s="1428"/>
      <c r="C1268" s="1428"/>
      <c r="D1268" s="1428"/>
      <c r="E1268" s="1428"/>
      <c r="R1268" s="1429"/>
      <c r="S1268" s="1429"/>
      <c r="T1268" s="1429"/>
      <c r="U1268" s="1429"/>
      <c r="V1268" s="1429"/>
      <c r="W1268" s="1429"/>
      <c r="X1268" s="1429"/>
      <c r="Y1268" s="1429"/>
    </row>
    <row r="1269" spans="1:25">
      <c r="A1269" s="1428"/>
      <c r="B1269" s="1428"/>
      <c r="C1269" s="1428"/>
      <c r="D1269" s="1428"/>
      <c r="E1269" s="1428"/>
      <c r="R1269" s="1429"/>
      <c r="S1269" s="1429"/>
      <c r="T1269" s="1429"/>
      <c r="U1269" s="1429"/>
      <c r="V1269" s="1429"/>
      <c r="W1269" s="1429"/>
      <c r="X1269" s="1429"/>
      <c r="Y1269" s="1429"/>
    </row>
    <row r="1270" spans="1:25">
      <c r="A1270" s="1428"/>
      <c r="B1270" s="1428"/>
      <c r="C1270" s="1428"/>
      <c r="D1270" s="1428"/>
      <c r="E1270" s="1428"/>
      <c r="R1270" s="1429"/>
      <c r="S1270" s="1429"/>
      <c r="T1270" s="1429"/>
      <c r="U1270" s="1429"/>
      <c r="V1270" s="1429"/>
      <c r="W1270" s="1429"/>
      <c r="X1270" s="1429"/>
      <c r="Y1270" s="1429"/>
    </row>
    <row r="1271" spans="1:25">
      <c r="A1271" s="1428"/>
      <c r="B1271" s="1428"/>
      <c r="C1271" s="1428"/>
      <c r="D1271" s="1428"/>
      <c r="E1271" s="1428"/>
      <c r="R1271" s="1429"/>
      <c r="S1271" s="1429"/>
      <c r="T1271" s="1429"/>
      <c r="U1271" s="1429"/>
      <c r="V1271" s="1429"/>
      <c r="W1271" s="1429"/>
      <c r="X1271" s="1429"/>
      <c r="Y1271" s="1429"/>
    </row>
    <row r="1272" spans="1:25">
      <c r="A1272" s="1428"/>
      <c r="B1272" s="1428"/>
      <c r="C1272" s="1428"/>
      <c r="D1272" s="1428"/>
      <c r="E1272" s="1428"/>
      <c r="R1272" s="1429"/>
      <c r="S1272" s="1429"/>
      <c r="T1272" s="1429"/>
      <c r="U1272" s="1429"/>
      <c r="V1272" s="1429"/>
      <c r="W1272" s="1429"/>
      <c r="X1272" s="1429"/>
      <c r="Y1272" s="1429"/>
    </row>
    <row r="1273" spans="1:25">
      <c r="A1273" s="1428"/>
      <c r="B1273" s="1428"/>
      <c r="C1273" s="1428"/>
      <c r="D1273" s="1428"/>
      <c r="E1273" s="1428"/>
      <c r="R1273" s="1429"/>
      <c r="S1273" s="1429"/>
      <c r="T1273" s="1429"/>
      <c r="U1273" s="1429"/>
      <c r="V1273" s="1429"/>
      <c r="W1273" s="1429"/>
      <c r="X1273" s="1429"/>
      <c r="Y1273" s="1429"/>
    </row>
    <row r="1274" spans="1:25">
      <c r="A1274" s="1428"/>
      <c r="B1274" s="1428"/>
      <c r="C1274" s="1428"/>
      <c r="D1274" s="1428"/>
      <c r="E1274" s="1428"/>
      <c r="R1274" s="1429"/>
      <c r="S1274" s="1429"/>
      <c r="T1274" s="1429"/>
      <c r="U1274" s="1429"/>
      <c r="V1274" s="1429"/>
      <c r="W1274" s="1429"/>
      <c r="X1274" s="1429"/>
      <c r="Y1274" s="1429"/>
    </row>
    <row r="1275" spans="1:25">
      <c r="A1275" s="1428"/>
      <c r="B1275" s="1428"/>
      <c r="C1275" s="1428"/>
      <c r="D1275" s="1428"/>
      <c r="E1275" s="1428"/>
      <c r="R1275" s="1429"/>
      <c r="S1275" s="1429"/>
      <c r="T1275" s="1429"/>
      <c r="U1275" s="1429"/>
      <c r="V1275" s="1429"/>
      <c r="W1275" s="1429"/>
      <c r="X1275" s="1429"/>
      <c r="Y1275" s="1429"/>
    </row>
    <row r="1276" spans="1:25">
      <c r="A1276" s="1428"/>
      <c r="B1276" s="1428"/>
      <c r="C1276" s="1428"/>
      <c r="D1276" s="1428"/>
      <c r="E1276" s="1428"/>
      <c r="R1276" s="1429"/>
      <c r="S1276" s="1429"/>
      <c r="T1276" s="1429"/>
      <c r="U1276" s="1429"/>
      <c r="V1276" s="1429"/>
      <c r="W1276" s="1429"/>
      <c r="X1276" s="1429"/>
      <c r="Y1276" s="1429"/>
    </row>
    <row r="1277" spans="1:25">
      <c r="A1277" s="1428"/>
      <c r="B1277" s="1428"/>
      <c r="C1277" s="1428"/>
      <c r="D1277" s="1428"/>
      <c r="E1277" s="1428"/>
      <c r="R1277" s="1429"/>
      <c r="S1277" s="1429"/>
      <c r="T1277" s="1429"/>
      <c r="U1277" s="1429"/>
      <c r="V1277" s="1429"/>
      <c r="W1277" s="1429"/>
      <c r="X1277" s="1429"/>
      <c r="Y1277" s="1429"/>
    </row>
    <row r="1278" spans="1:25">
      <c r="A1278" s="1428"/>
      <c r="B1278" s="1428"/>
      <c r="C1278" s="1428"/>
      <c r="D1278" s="1428"/>
      <c r="E1278" s="1428"/>
      <c r="R1278" s="1429"/>
      <c r="S1278" s="1429"/>
      <c r="T1278" s="1429"/>
      <c r="U1278" s="1429"/>
      <c r="V1278" s="1429"/>
      <c r="W1278" s="1429"/>
      <c r="X1278" s="1429"/>
      <c r="Y1278" s="1429"/>
    </row>
    <row r="1279" spans="1:25">
      <c r="A1279" s="1428"/>
      <c r="B1279" s="1428"/>
      <c r="C1279" s="1428"/>
      <c r="D1279" s="1428"/>
      <c r="E1279" s="1428"/>
      <c r="R1279" s="1429"/>
      <c r="S1279" s="1429"/>
      <c r="T1279" s="1429"/>
      <c r="U1279" s="1429"/>
      <c r="V1279" s="1429"/>
      <c r="W1279" s="1429"/>
      <c r="X1279" s="1429"/>
      <c r="Y1279" s="1429"/>
    </row>
    <row r="1280" spans="1:25">
      <c r="A1280" s="1428"/>
      <c r="B1280" s="1428"/>
      <c r="C1280" s="1428"/>
      <c r="D1280" s="1428"/>
      <c r="E1280" s="1428"/>
      <c r="R1280" s="1429"/>
      <c r="S1280" s="1429"/>
      <c r="T1280" s="1429"/>
      <c r="U1280" s="1429"/>
      <c r="V1280" s="1429"/>
      <c r="W1280" s="1429"/>
      <c r="X1280" s="1429"/>
      <c r="Y1280" s="1429"/>
    </row>
    <row r="1281" spans="1:25">
      <c r="A1281" s="1428"/>
      <c r="B1281" s="1428"/>
      <c r="C1281" s="1428"/>
      <c r="D1281" s="1428"/>
      <c r="E1281" s="1428"/>
      <c r="R1281" s="1429"/>
      <c r="S1281" s="1429"/>
      <c r="T1281" s="1429"/>
      <c r="U1281" s="1429"/>
      <c r="V1281" s="1429"/>
      <c r="W1281" s="1429"/>
      <c r="X1281" s="1429"/>
      <c r="Y1281" s="1429"/>
    </row>
    <row r="1282" spans="1:25">
      <c r="A1282" s="1428"/>
      <c r="B1282" s="1428"/>
      <c r="C1282" s="1428"/>
      <c r="D1282" s="1428"/>
      <c r="E1282" s="1428"/>
      <c r="R1282" s="1429"/>
      <c r="S1282" s="1429"/>
      <c r="T1282" s="1429"/>
      <c r="U1282" s="1429"/>
      <c r="V1282" s="1429"/>
      <c r="W1282" s="1429"/>
      <c r="X1282" s="1429"/>
      <c r="Y1282" s="1429"/>
    </row>
    <row r="1283" spans="1:25">
      <c r="A1283" s="1428"/>
      <c r="B1283" s="1428"/>
      <c r="C1283" s="1428"/>
      <c r="D1283" s="1428"/>
      <c r="E1283" s="1428"/>
      <c r="R1283" s="1429"/>
      <c r="S1283" s="1429"/>
      <c r="T1283" s="1429"/>
      <c r="U1283" s="1429"/>
      <c r="V1283" s="1429"/>
      <c r="W1283" s="1429"/>
      <c r="X1283" s="1429"/>
      <c r="Y1283" s="1429"/>
    </row>
    <row r="1284" spans="1:25">
      <c r="A1284" s="1428"/>
      <c r="B1284" s="1428"/>
      <c r="C1284" s="1428"/>
      <c r="D1284" s="1428"/>
      <c r="E1284" s="1428"/>
      <c r="R1284" s="1429"/>
      <c r="S1284" s="1429"/>
      <c r="T1284" s="1429"/>
      <c r="U1284" s="1429"/>
      <c r="V1284" s="1429"/>
      <c r="W1284" s="1429"/>
      <c r="X1284" s="1429"/>
      <c r="Y1284" s="1429"/>
    </row>
    <row r="1285" spans="1:25">
      <c r="A1285" s="1428"/>
      <c r="B1285" s="1428"/>
      <c r="C1285" s="1428"/>
      <c r="D1285" s="1428"/>
      <c r="E1285" s="1428"/>
      <c r="R1285" s="1429"/>
      <c r="S1285" s="1429"/>
      <c r="T1285" s="1429"/>
      <c r="U1285" s="1429"/>
      <c r="V1285" s="1429"/>
      <c r="W1285" s="1429"/>
      <c r="X1285" s="1429"/>
      <c r="Y1285" s="1429"/>
    </row>
    <row r="1286" spans="1:25">
      <c r="A1286" s="1428"/>
      <c r="B1286" s="1428"/>
      <c r="C1286" s="1428"/>
      <c r="D1286" s="1428"/>
      <c r="E1286" s="1428"/>
      <c r="R1286" s="1429"/>
      <c r="S1286" s="1429"/>
      <c r="T1286" s="1429"/>
      <c r="U1286" s="1429"/>
      <c r="V1286" s="1429"/>
      <c r="W1286" s="1429"/>
      <c r="X1286" s="1429"/>
      <c r="Y1286" s="1429"/>
    </row>
    <row r="1287" spans="1:25">
      <c r="A1287" s="1428"/>
      <c r="B1287" s="1428"/>
      <c r="C1287" s="1428"/>
      <c r="D1287" s="1428"/>
      <c r="E1287" s="1428"/>
      <c r="R1287" s="1429"/>
      <c r="S1287" s="1429"/>
      <c r="T1287" s="1429"/>
      <c r="U1287" s="1429"/>
      <c r="V1287" s="1429"/>
      <c r="W1287" s="1429"/>
      <c r="X1287" s="1429"/>
      <c r="Y1287" s="1429"/>
    </row>
    <row r="1288" spans="1:25">
      <c r="A1288" s="1428"/>
      <c r="B1288" s="1428"/>
      <c r="C1288" s="1428"/>
      <c r="D1288" s="1428"/>
      <c r="E1288" s="1428"/>
      <c r="R1288" s="1429"/>
      <c r="S1288" s="1429"/>
      <c r="T1288" s="1429"/>
      <c r="U1288" s="1429"/>
      <c r="V1288" s="1429"/>
      <c r="W1288" s="1429"/>
      <c r="X1288" s="1429"/>
      <c r="Y1288" s="1429"/>
    </row>
    <row r="1289" spans="1:25">
      <c r="A1289" s="1428"/>
      <c r="B1289" s="1428"/>
      <c r="C1289" s="1428"/>
      <c r="D1289" s="1428"/>
      <c r="E1289" s="1428"/>
      <c r="R1289" s="1429"/>
      <c r="S1289" s="1429"/>
      <c r="T1289" s="1429"/>
      <c r="U1289" s="1429"/>
      <c r="V1289" s="1429"/>
      <c r="W1289" s="1429"/>
      <c r="X1289" s="1429"/>
      <c r="Y1289" s="1429"/>
    </row>
    <row r="1290" spans="1:25">
      <c r="A1290" s="1428"/>
      <c r="B1290" s="1428"/>
      <c r="C1290" s="1428"/>
      <c r="D1290" s="1428"/>
      <c r="E1290" s="1428"/>
      <c r="R1290" s="1429"/>
      <c r="S1290" s="1429"/>
      <c r="T1290" s="1429"/>
      <c r="U1290" s="1429"/>
      <c r="V1290" s="1429"/>
      <c r="W1290" s="1429"/>
      <c r="X1290" s="1429"/>
      <c r="Y1290" s="1429"/>
    </row>
    <row r="1291" spans="1:25">
      <c r="A1291" s="1428"/>
      <c r="B1291" s="1428"/>
      <c r="C1291" s="1428"/>
      <c r="D1291" s="1428"/>
      <c r="E1291" s="1428"/>
      <c r="R1291" s="1429"/>
      <c r="S1291" s="1429"/>
      <c r="T1291" s="1429"/>
      <c r="U1291" s="1429"/>
      <c r="V1291" s="1429"/>
      <c r="W1291" s="1429"/>
      <c r="X1291" s="1429"/>
      <c r="Y1291" s="1429"/>
    </row>
    <row r="1292" spans="1:25">
      <c r="A1292" s="1428"/>
      <c r="B1292" s="1428"/>
      <c r="C1292" s="1428"/>
      <c r="D1292" s="1428"/>
      <c r="E1292" s="1428"/>
      <c r="R1292" s="1429"/>
      <c r="S1292" s="1429"/>
      <c r="T1292" s="1429"/>
      <c r="U1292" s="1429"/>
      <c r="V1292" s="1429"/>
      <c r="W1292" s="1429"/>
      <c r="X1292" s="1429"/>
      <c r="Y1292" s="1429"/>
    </row>
    <row r="1293" spans="1:25">
      <c r="A1293" s="1428"/>
      <c r="B1293" s="1428"/>
      <c r="C1293" s="1428"/>
      <c r="D1293" s="1428"/>
      <c r="E1293" s="1428"/>
      <c r="R1293" s="1429"/>
      <c r="S1293" s="1429"/>
      <c r="T1293" s="1429"/>
      <c r="U1293" s="1429"/>
      <c r="V1293" s="1429"/>
      <c r="W1293" s="1429"/>
      <c r="X1293" s="1429"/>
      <c r="Y1293" s="1429"/>
    </row>
    <row r="1294" spans="1:25">
      <c r="A1294" s="1428"/>
      <c r="B1294" s="1428"/>
      <c r="C1294" s="1428"/>
      <c r="D1294" s="1428"/>
      <c r="E1294" s="1428"/>
      <c r="R1294" s="1429"/>
      <c r="S1294" s="1429"/>
      <c r="T1294" s="1429"/>
      <c r="U1294" s="1429"/>
      <c r="V1294" s="1429"/>
      <c r="W1294" s="1429"/>
      <c r="X1294" s="1429"/>
      <c r="Y1294" s="1429"/>
    </row>
    <row r="1295" spans="1:25">
      <c r="A1295" s="1428"/>
      <c r="B1295" s="1428"/>
      <c r="C1295" s="1428"/>
      <c r="D1295" s="1428"/>
      <c r="E1295" s="1428"/>
      <c r="R1295" s="1429"/>
      <c r="S1295" s="1429"/>
      <c r="T1295" s="1429"/>
      <c r="U1295" s="1429"/>
      <c r="V1295" s="1429"/>
      <c r="W1295" s="1429"/>
      <c r="X1295" s="1429"/>
      <c r="Y1295" s="1429"/>
    </row>
    <row r="1296" spans="1:25">
      <c r="A1296" s="1428"/>
      <c r="B1296" s="1428"/>
      <c r="C1296" s="1428"/>
      <c r="D1296" s="1428"/>
      <c r="E1296" s="1428"/>
      <c r="R1296" s="1429"/>
      <c r="S1296" s="1429"/>
      <c r="T1296" s="1429"/>
      <c r="U1296" s="1429"/>
      <c r="V1296" s="1429"/>
      <c r="W1296" s="1429"/>
      <c r="X1296" s="1429"/>
      <c r="Y1296" s="1429"/>
    </row>
    <row r="1297" spans="1:25">
      <c r="A1297" s="1428"/>
      <c r="B1297" s="1428"/>
      <c r="C1297" s="1428"/>
      <c r="D1297" s="1428"/>
      <c r="E1297" s="1428"/>
      <c r="R1297" s="1429"/>
      <c r="S1297" s="1429"/>
      <c r="T1297" s="1429"/>
      <c r="U1297" s="1429"/>
      <c r="V1297" s="1429"/>
      <c r="W1297" s="1429"/>
      <c r="X1297" s="1429"/>
      <c r="Y1297" s="1429"/>
    </row>
    <row r="1298" spans="1:25">
      <c r="A1298" s="1428"/>
      <c r="B1298" s="1428"/>
      <c r="C1298" s="1428"/>
      <c r="D1298" s="1428"/>
      <c r="E1298" s="1428"/>
      <c r="R1298" s="1429"/>
      <c r="S1298" s="1429"/>
      <c r="T1298" s="1429"/>
      <c r="U1298" s="1429"/>
      <c r="V1298" s="1429"/>
      <c r="W1298" s="1429"/>
      <c r="X1298" s="1429"/>
      <c r="Y1298" s="1429"/>
    </row>
    <row r="1299" spans="1:25">
      <c r="A1299" s="1428"/>
      <c r="B1299" s="1428"/>
      <c r="C1299" s="1428"/>
      <c r="D1299" s="1428"/>
      <c r="E1299" s="1428"/>
      <c r="R1299" s="1429"/>
      <c r="S1299" s="1429"/>
      <c r="T1299" s="1429"/>
      <c r="U1299" s="1429"/>
      <c r="V1299" s="1429"/>
      <c r="W1299" s="1429"/>
      <c r="X1299" s="1429"/>
      <c r="Y1299" s="1429"/>
    </row>
    <row r="1300" spans="1:25">
      <c r="A1300" s="1428"/>
      <c r="B1300" s="1428"/>
      <c r="C1300" s="1428"/>
      <c r="D1300" s="1428"/>
      <c r="E1300" s="1428"/>
      <c r="R1300" s="1429"/>
      <c r="S1300" s="1429"/>
      <c r="T1300" s="1429"/>
      <c r="U1300" s="1429"/>
      <c r="V1300" s="1429"/>
      <c r="W1300" s="1429"/>
      <c r="X1300" s="1429"/>
      <c r="Y1300" s="1429"/>
    </row>
    <row r="1301" spans="1:25">
      <c r="A1301" s="1428"/>
      <c r="B1301" s="1428"/>
      <c r="C1301" s="1428"/>
      <c r="D1301" s="1428"/>
      <c r="E1301" s="1428"/>
      <c r="R1301" s="1429"/>
      <c r="S1301" s="1429"/>
      <c r="T1301" s="1429"/>
      <c r="U1301" s="1429"/>
      <c r="V1301" s="1429"/>
      <c r="W1301" s="1429"/>
      <c r="X1301" s="1429"/>
      <c r="Y1301" s="1429"/>
    </row>
    <row r="1302" spans="1:25">
      <c r="A1302" s="1428"/>
      <c r="B1302" s="1428"/>
      <c r="C1302" s="1428"/>
      <c r="D1302" s="1428"/>
      <c r="E1302" s="1428"/>
      <c r="R1302" s="1429"/>
      <c r="S1302" s="1429"/>
      <c r="T1302" s="1429"/>
      <c r="U1302" s="1429"/>
      <c r="V1302" s="1429"/>
      <c r="W1302" s="1429"/>
      <c r="X1302" s="1429"/>
      <c r="Y1302" s="1429"/>
    </row>
    <row r="1303" spans="1:25">
      <c r="A1303" s="1428"/>
      <c r="B1303" s="1428"/>
      <c r="C1303" s="1428"/>
      <c r="D1303" s="1428"/>
      <c r="E1303" s="1428"/>
      <c r="R1303" s="1429"/>
      <c r="S1303" s="1429"/>
      <c r="T1303" s="1429"/>
      <c r="U1303" s="1429"/>
      <c r="V1303" s="1429"/>
      <c r="W1303" s="1429"/>
      <c r="X1303" s="1429"/>
      <c r="Y1303" s="1429"/>
    </row>
    <row r="1304" spans="1:25">
      <c r="A1304" s="1428"/>
      <c r="B1304" s="1428"/>
      <c r="C1304" s="1428"/>
      <c r="D1304" s="1428"/>
      <c r="E1304" s="1428"/>
      <c r="R1304" s="1429"/>
      <c r="S1304" s="1429"/>
      <c r="T1304" s="1429"/>
      <c r="U1304" s="1429"/>
      <c r="V1304" s="1429"/>
      <c r="W1304" s="1429"/>
      <c r="X1304" s="1429"/>
      <c r="Y1304" s="1429"/>
    </row>
    <row r="1305" spans="1:25">
      <c r="A1305" s="1428"/>
      <c r="B1305" s="1428"/>
      <c r="C1305" s="1428"/>
      <c r="D1305" s="1428"/>
      <c r="E1305" s="1428"/>
      <c r="R1305" s="1429"/>
      <c r="S1305" s="1429"/>
      <c r="T1305" s="1429"/>
      <c r="U1305" s="1429"/>
      <c r="V1305" s="1429"/>
      <c r="W1305" s="1429"/>
      <c r="X1305" s="1429"/>
      <c r="Y1305" s="1429"/>
    </row>
    <row r="1306" spans="1:25">
      <c r="A1306" s="1428"/>
      <c r="B1306" s="1428"/>
      <c r="C1306" s="1428"/>
      <c r="D1306" s="1428"/>
      <c r="E1306" s="1428"/>
      <c r="R1306" s="1429"/>
      <c r="S1306" s="1429"/>
      <c r="T1306" s="1429"/>
      <c r="U1306" s="1429"/>
      <c r="V1306" s="1429"/>
      <c r="W1306" s="1429"/>
      <c r="X1306" s="1429"/>
      <c r="Y1306" s="1429"/>
    </row>
    <row r="1307" spans="1:25">
      <c r="A1307" s="1428"/>
      <c r="B1307" s="1428"/>
      <c r="C1307" s="1428"/>
      <c r="D1307" s="1428"/>
      <c r="E1307" s="1428"/>
      <c r="R1307" s="1429"/>
      <c r="S1307" s="1429"/>
      <c r="T1307" s="1429"/>
      <c r="U1307" s="1429"/>
      <c r="V1307" s="1429"/>
      <c r="W1307" s="1429"/>
      <c r="X1307" s="1429"/>
      <c r="Y1307" s="1429"/>
    </row>
    <row r="1308" spans="1:25">
      <c r="A1308" s="1428"/>
      <c r="B1308" s="1428"/>
      <c r="C1308" s="1428"/>
      <c r="D1308" s="1428"/>
      <c r="E1308" s="1428"/>
      <c r="R1308" s="1429"/>
      <c r="S1308" s="1429"/>
      <c r="T1308" s="1429"/>
      <c r="U1308" s="1429"/>
      <c r="V1308" s="1429"/>
      <c r="W1308" s="1429"/>
      <c r="X1308" s="1429"/>
      <c r="Y1308" s="1429"/>
    </row>
    <row r="1309" spans="1:25">
      <c r="A1309" s="1428"/>
      <c r="B1309" s="1428"/>
      <c r="C1309" s="1428"/>
      <c r="D1309" s="1428"/>
      <c r="E1309" s="1428"/>
      <c r="R1309" s="1429"/>
      <c r="S1309" s="1429"/>
      <c r="T1309" s="1429"/>
      <c r="U1309" s="1429"/>
      <c r="V1309" s="1429"/>
      <c r="W1309" s="1429"/>
      <c r="X1309" s="1429"/>
      <c r="Y1309" s="1429"/>
    </row>
    <row r="1310" spans="1:25">
      <c r="A1310" s="1428"/>
      <c r="B1310" s="1428"/>
      <c r="C1310" s="1428"/>
      <c r="D1310" s="1428"/>
      <c r="E1310" s="1428"/>
      <c r="R1310" s="1429"/>
      <c r="S1310" s="1429"/>
      <c r="T1310" s="1429"/>
      <c r="U1310" s="1429"/>
      <c r="V1310" s="1429"/>
      <c r="W1310" s="1429"/>
      <c r="X1310" s="1429"/>
      <c r="Y1310" s="1429"/>
    </row>
    <row r="1311" spans="1:25">
      <c r="A1311" s="1428"/>
      <c r="B1311" s="1428"/>
      <c r="C1311" s="1428"/>
      <c r="D1311" s="1428"/>
      <c r="E1311" s="1428"/>
      <c r="R1311" s="1429"/>
      <c r="S1311" s="1429"/>
      <c r="T1311" s="1429"/>
      <c r="U1311" s="1429"/>
      <c r="V1311" s="1429"/>
      <c r="W1311" s="1429"/>
      <c r="X1311" s="1429"/>
      <c r="Y1311" s="1429"/>
    </row>
    <row r="1312" spans="1:25">
      <c r="A1312" s="1428"/>
      <c r="B1312" s="1428"/>
      <c r="C1312" s="1428"/>
      <c r="D1312" s="1428"/>
      <c r="E1312" s="1428"/>
      <c r="R1312" s="1429"/>
      <c r="S1312" s="1429"/>
      <c r="T1312" s="1429"/>
      <c r="U1312" s="1429"/>
      <c r="V1312" s="1429"/>
      <c r="W1312" s="1429"/>
      <c r="X1312" s="1429"/>
      <c r="Y1312" s="1429"/>
    </row>
    <row r="1313" spans="1:25">
      <c r="A1313" s="1428"/>
      <c r="B1313" s="1428"/>
      <c r="C1313" s="1428"/>
      <c r="D1313" s="1428"/>
      <c r="E1313" s="1428"/>
      <c r="R1313" s="1429"/>
      <c r="S1313" s="1429"/>
      <c r="T1313" s="1429"/>
      <c r="U1313" s="1429"/>
      <c r="V1313" s="1429"/>
      <c r="W1313" s="1429"/>
      <c r="X1313" s="1429"/>
      <c r="Y1313" s="1429"/>
    </row>
    <row r="1314" spans="1:25">
      <c r="A1314" s="1428"/>
      <c r="B1314" s="1428"/>
      <c r="C1314" s="1428"/>
      <c r="D1314" s="1428"/>
      <c r="E1314" s="1428"/>
      <c r="R1314" s="1429"/>
      <c r="S1314" s="1429"/>
      <c r="T1314" s="1429"/>
      <c r="U1314" s="1429"/>
      <c r="V1314" s="1429"/>
      <c r="W1314" s="1429"/>
      <c r="X1314" s="1429"/>
      <c r="Y1314" s="1429"/>
    </row>
    <row r="1315" spans="1:25">
      <c r="A1315" s="1428"/>
      <c r="B1315" s="1428"/>
      <c r="C1315" s="1428"/>
      <c r="D1315" s="1428"/>
      <c r="E1315" s="1428"/>
      <c r="R1315" s="1429"/>
      <c r="S1315" s="1429"/>
      <c r="T1315" s="1429"/>
      <c r="U1315" s="1429"/>
      <c r="V1315" s="1429"/>
      <c r="W1315" s="1429"/>
      <c r="X1315" s="1429"/>
      <c r="Y1315" s="1429"/>
    </row>
    <row r="1316" spans="1:25">
      <c r="A1316" s="1428"/>
      <c r="B1316" s="1428"/>
      <c r="C1316" s="1428"/>
      <c r="D1316" s="1428"/>
      <c r="E1316" s="1428"/>
      <c r="R1316" s="1429"/>
      <c r="S1316" s="1429"/>
      <c r="T1316" s="1429"/>
      <c r="U1316" s="1429"/>
      <c r="V1316" s="1429"/>
      <c r="W1316" s="1429"/>
      <c r="X1316" s="1429"/>
      <c r="Y1316" s="1429"/>
    </row>
    <row r="1317" spans="1:25">
      <c r="A1317" s="1428"/>
      <c r="B1317" s="1428"/>
      <c r="C1317" s="1428"/>
      <c r="D1317" s="1428"/>
      <c r="E1317" s="1428"/>
      <c r="R1317" s="1429"/>
      <c r="S1317" s="1429"/>
      <c r="T1317" s="1429"/>
      <c r="U1317" s="1429"/>
      <c r="V1317" s="1429"/>
      <c r="W1317" s="1429"/>
      <c r="X1317" s="1429"/>
      <c r="Y1317" s="1429"/>
    </row>
    <row r="1318" spans="1:25">
      <c r="A1318" s="1428"/>
      <c r="B1318" s="1428"/>
      <c r="C1318" s="1428"/>
      <c r="D1318" s="1428"/>
      <c r="E1318" s="1428"/>
      <c r="R1318" s="1429"/>
      <c r="S1318" s="1429"/>
      <c r="T1318" s="1429"/>
      <c r="U1318" s="1429"/>
      <c r="V1318" s="1429"/>
      <c r="W1318" s="1429"/>
      <c r="X1318" s="1429"/>
      <c r="Y1318" s="1429"/>
    </row>
    <row r="1319" spans="1:25">
      <c r="A1319" s="1428"/>
      <c r="B1319" s="1428"/>
      <c r="C1319" s="1428"/>
      <c r="D1319" s="1428"/>
      <c r="E1319" s="1428"/>
      <c r="R1319" s="1429"/>
      <c r="S1319" s="1429"/>
      <c r="T1319" s="1429"/>
      <c r="U1319" s="1429"/>
      <c r="V1319" s="1429"/>
      <c r="W1319" s="1429"/>
      <c r="X1319" s="1429"/>
      <c r="Y1319" s="1429"/>
    </row>
    <row r="1320" spans="1:25">
      <c r="A1320" s="1428"/>
      <c r="B1320" s="1428"/>
      <c r="C1320" s="1428"/>
      <c r="D1320" s="1428"/>
      <c r="E1320" s="1428"/>
      <c r="R1320" s="1429"/>
      <c r="S1320" s="1429"/>
      <c r="T1320" s="1429"/>
      <c r="U1320" s="1429"/>
      <c r="V1320" s="1429"/>
      <c r="W1320" s="1429"/>
      <c r="X1320" s="1429"/>
      <c r="Y1320" s="1429"/>
    </row>
    <row r="1321" spans="1:25">
      <c r="A1321" s="1428"/>
      <c r="B1321" s="1428"/>
      <c r="C1321" s="1428"/>
      <c r="D1321" s="1428"/>
      <c r="E1321" s="1428"/>
      <c r="R1321" s="1429"/>
      <c r="S1321" s="1429"/>
      <c r="T1321" s="1429"/>
      <c r="U1321" s="1429"/>
      <c r="V1321" s="1429"/>
      <c r="W1321" s="1429"/>
      <c r="X1321" s="1429"/>
      <c r="Y1321" s="1429"/>
    </row>
    <row r="1322" spans="1:25">
      <c r="A1322" s="1428"/>
      <c r="B1322" s="1428"/>
      <c r="C1322" s="1428"/>
      <c r="D1322" s="1428"/>
      <c r="E1322" s="1428"/>
      <c r="R1322" s="1429"/>
      <c r="S1322" s="1429"/>
      <c r="T1322" s="1429"/>
      <c r="U1322" s="1429"/>
      <c r="V1322" s="1429"/>
      <c r="W1322" s="1429"/>
      <c r="X1322" s="1429"/>
      <c r="Y1322" s="1429"/>
    </row>
    <row r="1323" spans="1:25">
      <c r="A1323" s="1428"/>
      <c r="B1323" s="1428"/>
      <c r="C1323" s="1428"/>
      <c r="D1323" s="1428"/>
      <c r="E1323" s="1428"/>
      <c r="R1323" s="1429"/>
      <c r="S1323" s="1429"/>
      <c r="T1323" s="1429"/>
      <c r="U1323" s="1429"/>
      <c r="V1323" s="1429"/>
      <c r="W1323" s="1429"/>
      <c r="X1323" s="1429"/>
      <c r="Y1323" s="1429"/>
    </row>
    <row r="1324" spans="1:25">
      <c r="A1324" s="1428"/>
      <c r="B1324" s="1428"/>
      <c r="C1324" s="1428"/>
      <c r="D1324" s="1428"/>
      <c r="E1324" s="1428"/>
      <c r="R1324" s="1429"/>
      <c r="S1324" s="1429"/>
      <c r="T1324" s="1429"/>
      <c r="U1324" s="1429"/>
      <c r="V1324" s="1429"/>
      <c r="W1324" s="1429"/>
      <c r="X1324" s="1429"/>
      <c r="Y1324" s="1429"/>
    </row>
    <row r="1325" spans="1:25">
      <c r="A1325" s="1428"/>
      <c r="B1325" s="1428"/>
      <c r="C1325" s="1428"/>
      <c r="D1325" s="1428"/>
      <c r="E1325" s="1428"/>
      <c r="R1325" s="1429"/>
      <c r="S1325" s="1429"/>
      <c r="T1325" s="1429"/>
      <c r="U1325" s="1429"/>
      <c r="V1325" s="1429"/>
      <c r="W1325" s="1429"/>
      <c r="X1325" s="1429"/>
      <c r="Y1325" s="1429"/>
    </row>
    <row r="1326" spans="1:25">
      <c r="A1326" s="1428"/>
      <c r="B1326" s="1428"/>
      <c r="C1326" s="1428"/>
      <c r="D1326" s="1428"/>
      <c r="E1326" s="1428"/>
      <c r="R1326" s="1429"/>
      <c r="S1326" s="1429"/>
      <c r="T1326" s="1429"/>
      <c r="U1326" s="1429"/>
      <c r="V1326" s="1429"/>
      <c r="W1326" s="1429"/>
      <c r="X1326" s="1429"/>
      <c r="Y1326" s="1429"/>
    </row>
    <row r="1327" spans="1:25">
      <c r="A1327" s="1428"/>
      <c r="B1327" s="1428"/>
      <c r="C1327" s="1428"/>
      <c r="D1327" s="1428"/>
      <c r="E1327" s="1428"/>
      <c r="R1327" s="1429"/>
      <c r="S1327" s="1429"/>
      <c r="T1327" s="1429"/>
      <c r="U1327" s="1429"/>
      <c r="V1327" s="1429"/>
      <c r="W1327" s="1429"/>
      <c r="X1327" s="1429"/>
      <c r="Y1327" s="1429"/>
    </row>
    <row r="1328" spans="1:25">
      <c r="A1328" s="1428"/>
      <c r="B1328" s="1428"/>
      <c r="C1328" s="1428"/>
      <c r="D1328" s="1428"/>
      <c r="E1328" s="1428"/>
      <c r="R1328" s="1429"/>
      <c r="S1328" s="1429"/>
      <c r="T1328" s="1429"/>
      <c r="U1328" s="1429"/>
      <c r="V1328" s="1429"/>
      <c r="W1328" s="1429"/>
      <c r="X1328" s="1429"/>
      <c r="Y1328" s="1429"/>
    </row>
    <row r="1329" spans="1:25">
      <c r="A1329" s="1428"/>
      <c r="B1329" s="1428"/>
      <c r="C1329" s="1428"/>
      <c r="D1329" s="1428"/>
      <c r="E1329" s="1428"/>
      <c r="R1329" s="1429"/>
      <c r="S1329" s="1429"/>
      <c r="T1329" s="1429"/>
      <c r="U1329" s="1429"/>
      <c r="V1329" s="1429"/>
      <c r="W1329" s="1429"/>
      <c r="X1329" s="1429"/>
      <c r="Y1329" s="1429"/>
    </row>
    <row r="1330" spans="1:25">
      <c r="A1330" s="1428"/>
      <c r="B1330" s="1428"/>
      <c r="C1330" s="1428"/>
      <c r="D1330" s="1428"/>
      <c r="E1330" s="1428"/>
      <c r="R1330" s="1429"/>
      <c r="S1330" s="1429"/>
      <c r="T1330" s="1429"/>
      <c r="U1330" s="1429"/>
      <c r="V1330" s="1429"/>
      <c r="W1330" s="1429"/>
      <c r="X1330" s="1429"/>
      <c r="Y1330" s="1429"/>
    </row>
    <row r="1331" spans="1:25">
      <c r="A1331" s="1428"/>
      <c r="B1331" s="1428"/>
      <c r="C1331" s="1428"/>
      <c r="D1331" s="1428"/>
      <c r="E1331" s="1428"/>
      <c r="R1331" s="1429"/>
      <c r="S1331" s="1429"/>
      <c r="T1331" s="1429"/>
      <c r="U1331" s="1429"/>
      <c r="V1331" s="1429"/>
      <c r="W1331" s="1429"/>
      <c r="X1331" s="1429"/>
      <c r="Y1331" s="1429"/>
    </row>
    <row r="1332" spans="1:25">
      <c r="A1332" s="1428"/>
      <c r="B1332" s="1428"/>
      <c r="C1332" s="1428"/>
      <c r="D1332" s="1428"/>
      <c r="E1332" s="1428"/>
      <c r="R1332" s="1429"/>
      <c r="S1332" s="1429"/>
      <c r="T1332" s="1429"/>
      <c r="U1332" s="1429"/>
      <c r="V1332" s="1429"/>
      <c r="W1332" s="1429"/>
      <c r="X1332" s="1429"/>
      <c r="Y1332" s="1429"/>
    </row>
    <row r="1333" spans="1:25">
      <c r="A1333" s="1428"/>
      <c r="B1333" s="1428"/>
      <c r="C1333" s="1428"/>
      <c r="D1333" s="1428"/>
      <c r="E1333" s="1428"/>
      <c r="R1333" s="1429"/>
      <c r="S1333" s="1429"/>
      <c r="T1333" s="1429"/>
      <c r="U1333" s="1429"/>
      <c r="V1333" s="1429"/>
      <c r="W1333" s="1429"/>
      <c r="X1333" s="1429"/>
      <c r="Y1333" s="1429"/>
    </row>
    <row r="1334" spans="1:25">
      <c r="A1334" s="1428"/>
      <c r="B1334" s="1428"/>
      <c r="C1334" s="1428"/>
      <c r="D1334" s="1428"/>
      <c r="E1334" s="1428"/>
      <c r="R1334" s="1429"/>
      <c r="S1334" s="1429"/>
      <c r="T1334" s="1429"/>
      <c r="U1334" s="1429"/>
      <c r="V1334" s="1429"/>
      <c r="W1334" s="1429"/>
      <c r="X1334" s="1429"/>
      <c r="Y1334" s="1429"/>
    </row>
    <row r="1335" spans="1:25">
      <c r="A1335" s="1428"/>
      <c r="B1335" s="1428"/>
      <c r="C1335" s="1428"/>
      <c r="D1335" s="1428"/>
      <c r="E1335" s="1428"/>
      <c r="R1335" s="1429"/>
      <c r="S1335" s="1429"/>
      <c r="T1335" s="1429"/>
      <c r="U1335" s="1429"/>
      <c r="V1335" s="1429"/>
      <c r="W1335" s="1429"/>
      <c r="X1335" s="1429"/>
      <c r="Y1335" s="1429"/>
    </row>
    <row r="1336" spans="1:25">
      <c r="A1336" s="1428"/>
      <c r="B1336" s="1428"/>
      <c r="C1336" s="1428"/>
      <c r="D1336" s="1428"/>
      <c r="E1336" s="1428"/>
      <c r="R1336" s="1429"/>
      <c r="S1336" s="1429"/>
      <c r="T1336" s="1429"/>
      <c r="U1336" s="1429"/>
      <c r="V1336" s="1429"/>
      <c r="W1336" s="1429"/>
      <c r="X1336" s="1429"/>
      <c r="Y1336" s="1429"/>
    </row>
    <row r="1337" spans="1:25">
      <c r="A1337" s="1428"/>
      <c r="B1337" s="1428"/>
      <c r="C1337" s="1428"/>
      <c r="D1337" s="1428"/>
      <c r="E1337" s="1428"/>
      <c r="R1337" s="1429"/>
      <c r="S1337" s="1429"/>
      <c r="T1337" s="1429"/>
      <c r="U1337" s="1429"/>
      <c r="V1337" s="1429"/>
      <c r="W1337" s="1429"/>
      <c r="X1337" s="1429"/>
      <c r="Y1337" s="1429"/>
    </row>
    <row r="1338" spans="1:25">
      <c r="A1338" s="1428"/>
      <c r="B1338" s="1428"/>
      <c r="C1338" s="1428"/>
      <c r="D1338" s="1428"/>
      <c r="E1338" s="1428"/>
      <c r="R1338" s="1429"/>
      <c r="S1338" s="1429"/>
      <c r="T1338" s="1429"/>
      <c r="U1338" s="1429"/>
      <c r="V1338" s="1429"/>
      <c r="W1338" s="1429"/>
      <c r="X1338" s="1429"/>
      <c r="Y1338" s="1429"/>
    </row>
    <row r="1339" spans="1:25">
      <c r="A1339" s="1428"/>
      <c r="B1339" s="1428"/>
      <c r="C1339" s="1428"/>
      <c r="D1339" s="1428"/>
      <c r="E1339" s="1428"/>
      <c r="R1339" s="1429"/>
      <c r="S1339" s="1429"/>
      <c r="T1339" s="1429"/>
      <c r="U1339" s="1429"/>
      <c r="V1339" s="1429"/>
      <c r="W1339" s="1429"/>
      <c r="X1339" s="1429"/>
      <c r="Y1339" s="1429"/>
    </row>
    <row r="1340" spans="1:25">
      <c r="A1340" s="1428"/>
      <c r="B1340" s="1428"/>
      <c r="C1340" s="1428"/>
      <c r="D1340" s="1428"/>
      <c r="E1340" s="1428"/>
      <c r="R1340" s="1429"/>
      <c r="S1340" s="1429"/>
      <c r="T1340" s="1429"/>
      <c r="U1340" s="1429"/>
      <c r="V1340" s="1429"/>
      <c r="W1340" s="1429"/>
      <c r="X1340" s="1429"/>
      <c r="Y1340" s="1429"/>
    </row>
    <row r="1341" spans="1:25">
      <c r="A1341" s="1428"/>
      <c r="B1341" s="1428"/>
      <c r="C1341" s="1428"/>
      <c r="D1341" s="1428"/>
      <c r="E1341" s="1428"/>
      <c r="R1341" s="1429"/>
      <c r="S1341" s="1429"/>
      <c r="T1341" s="1429"/>
      <c r="U1341" s="1429"/>
      <c r="V1341" s="1429"/>
      <c r="W1341" s="1429"/>
      <c r="X1341" s="1429"/>
      <c r="Y1341" s="1429"/>
    </row>
    <row r="1342" spans="1:25">
      <c r="A1342" s="1428"/>
      <c r="B1342" s="1428"/>
      <c r="C1342" s="1428"/>
      <c r="D1342" s="1428"/>
      <c r="E1342" s="1428"/>
      <c r="R1342" s="1429"/>
      <c r="S1342" s="1429"/>
      <c r="T1342" s="1429"/>
      <c r="U1342" s="1429"/>
      <c r="V1342" s="1429"/>
      <c r="W1342" s="1429"/>
      <c r="X1342" s="1429"/>
      <c r="Y1342" s="1429"/>
    </row>
    <row r="1343" spans="1:25">
      <c r="A1343" s="1428"/>
      <c r="B1343" s="1428"/>
      <c r="C1343" s="1428"/>
      <c r="D1343" s="1428"/>
      <c r="E1343" s="1428"/>
      <c r="R1343" s="1429"/>
      <c r="S1343" s="1429"/>
      <c r="T1343" s="1429"/>
      <c r="U1343" s="1429"/>
      <c r="V1343" s="1429"/>
      <c r="W1343" s="1429"/>
      <c r="X1343" s="1429"/>
      <c r="Y1343" s="1429"/>
    </row>
    <row r="1344" spans="1:25">
      <c r="A1344" s="1428"/>
      <c r="B1344" s="1428"/>
      <c r="C1344" s="1428"/>
      <c r="D1344" s="1428"/>
      <c r="E1344" s="1428"/>
      <c r="R1344" s="1429"/>
      <c r="S1344" s="1429"/>
      <c r="T1344" s="1429"/>
      <c r="U1344" s="1429"/>
      <c r="V1344" s="1429"/>
      <c r="W1344" s="1429"/>
      <c r="X1344" s="1429"/>
      <c r="Y1344" s="1429"/>
    </row>
    <row r="1345" spans="1:25">
      <c r="A1345" s="1428"/>
      <c r="B1345" s="1428"/>
      <c r="C1345" s="1428"/>
      <c r="D1345" s="1428"/>
      <c r="E1345" s="1428"/>
      <c r="R1345" s="1429"/>
      <c r="S1345" s="1429"/>
      <c r="T1345" s="1429"/>
      <c r="U1345" s="1429"/>
      <c r="V1345" s="1429"/>
      <c r="W1345" s="1429"/>
      <c r="X1345" s="1429"/>
      <c r="Y1345" s="1429"/>
    </row>
    <row r="1346" spans="1:25">
      <c r="A1346" s="1428"/>
      <c r="B1346" s="1428"/>
      <c r="C1346" s="1428"/>
      <c r="D1346" s="1428"/>
      <c r="E1346" s="1428"/>
      <c r="R1346" s="1429"/>
      <c r="S1346" s="1429"/>
      <c r="T1346" s="1429"/>
      <c r="U1346" s="1429"/>
      <c r="V1346" s="1429"/>
      <c r="W1346" s="1429"/>
      <c r="X1346" s="1429"/>
      <c r="Y1346" s="1429"/>
    </row>
    <row r="1347" spans="1:25">
      <c r="A1347" s="1428"/>
      <c r="B1347" s="1428"/>
      <c r="C1347" s="1428"/>
      <c r="D1347" s="1428"/>
      <c r="E1347" s="1428"/>
      <c r="R1347" s="1429"/>
      <c r="S1347" s="1429"/>
      <c r="T1347" s="1429"/>
      <c r="U1347" s="1429"/>
      <c r="V1347" s="1429"/>
      <c r="W1347" s="1429"/>
      <c r="X1347" s="1429"/>
      <c r="Y1347" s="1429"/>
    </row>
    <row r="1348" spans="1:25">
      <c r="A1348" s="1428"/>
      <c r="B1348" s="1428"/>
      <c r="C1348" s="1428"/>
      <c r="D1348" s="1428"/>
      <c r="E1348" s="1428"/>
      <c r="R1348" s="1429"/>
      <c r="S1348" s="1429"/>
      <c r="T1348" s="1429"/>
      <c r="U1348" s="1429"/>
      <c r="V1348" s="1429"/>
      <c r="W1348" s="1429"/>
      <c r="X1348" s="1429"/>
      <c r="Y1348" s="1429"/>
    </row>
    <row r="1349" spans="1:25">
      <c r="A1349" s="1428"/>
      <c r="B1349" s="1428"/>
      <c r="C1349" s="1428"/>
      <c r="D1349" s="1428"/>
      <c r="E1349" s="1428"/>
      <c r="R1349" s="1429"/>
      <c r="S1349" s="1429"/>
      <c r="T1349" s="1429"/>
      <c r="U1349" s="1429"/>
      <c r="V1349" s="1429"/>
      <c r="W1349" s="1429"/>
      <c r="X1349" s="1429"/>
      <c r="Y1349" s="1429"/>
    </row>
    <row r="1350" spans="1:25">
      <c r="A1350" s="1428"/>
      <c r="B1350" s="1428"/>
      <c r="C1350" s="1428"/>
      <c r="D1350" s="1428"/>
      <c r="E1350" s="1428"/>
      <c r="R1350" s="1429"/>
      <c r="S1350" s="1429"/>
      <c r="T1350" s="1429"/>
      <c r="U1350" s="1429"/>
      <c r="V1350" s="1429"/>
      <c r="W1350" s="1429"/>
      <c r="X1350" s="1429"/>
      <c r="Y1350" s="1429"/>
    </row>
    <row r="1351" spans="1:25">
      <c r="A1351" s="1428"/>
      <c r="B1351" s="1428"/>
      <c r="C1351" s="1428"/>
      <c r="D1351" s="1428"/>
      <c r="E1351" s="1428"/>
      <c r="R1351" s="1429"/>
      <c r="S1351" s="1429"/>
      <c r="T1351" s="1429"/>
      <c r="U1351" s="1429"/>
      <c r="V1351" s="1429"/>
      <c r="W1351" s="1429"/>
      <c r="X1351" s="1429"/>
      <c r="Y1351" s="1429"/>
    </row>
    <row r="1352" spans="1:25">
      <c r="A1352" s="1428"/>
      <c r="B1352" s="1428"/>
      <c r="C1352" s="1428"/>
      <c r="D1352" s="1428"/>
      <c r="E1352" s="1428"/>
      <c r="R1352" s="1429"/>
      <c r="S1352" s="1429"/>
      <c r="T1352" s="1429"/>
      <c r="U1352" s="1429"/>
      <c r="V1352" s="1429"/>
      <c r="W1352" s="1429"/>
      <c r="X1352" s="1429"/>
      <c r="Y1352" s="1429"/>
    </row>
    <row r="1353" spans="1:25">
      <c r="A1353" s="1428"/>
      <c r="B1353" s="1428"/>
      <c r="C1353" s="1428"/>
      <c r="D1353" s="1428"/>
      <c r="E1353" s="1428"/>
      <c r="R1353" s="1429"/>
      <c r="S1353" s="1429"/>
      <c r="T1353" s="1429"/>
      <c r="U1353" s="1429"/>
      <c r="V1353" s="1429"/>
      <c r="W1353" s="1429"/>
      <c r="X1353" s="1429"/>
      <c r="Y1353" s="1429"/>
    </row>
    <row r="1354" spans="1:25">
      <c r="A1354" s="1428"/>
      <c r="B1354" s="1428"/>
      <c r="C1354" s="1428"/>
      <c r="D1354" s="1428"/>
      <c r="E1354" s="1428"/>
      <c r="R1354" s="1429"/>
      <c r="S1354" s="1429"/>
      <c r="T1354" s="1429"/>
      <c r="U1354" s="1429"/>
      <c r="V1354" s="1429"/>
      <c r="W1354" s="1429"/>
      <c r="X1354" s="1429"/>
      <c r="Y1354" s="1429"/>
    </row>
    <row r="1355" spans="1:25">
      <c r="A1355" s="1428"/>
      <c r="B1355" s="1428"/>
      <c r="C1355" s="1428"/>
      <c r="D1355" s="1428"/>
      <c r="E1355" s="1428"/>
      <c r="R1355" s="1429"/>
      <c r="S1355" s="1429"/>
      <c r="T1355" s="1429"/>
      <c r="U1355" s="1429"/>
      <c r="V1355" s="1429"/>
      <c r="W1355" s="1429"/>
      <c r="X1355" s="1429"/>
      <c r="Y1355" s="1429"/>
    </row>
    <row r="1356" spans="1:25">
      <c r="A1356" s="1428"/>
      <c r="B1356" s="1428"/>
      <c r="C1356" s="1428"/>
      <c r="D1356" s="1428"/>
      <c r="E1356" s="1428"/>
      <c r="R1356" s="1429"/>
      <c r="S1356" s="1429"/>
      <c r="T1356" s="1429"/>
      <c r="U1356" s="1429"/>
      <c r="V1356" s="1429"/>
      <c r="W1356" s="1429"/>
      <c r="X1356" s="1429"/>
      <c r="Y1356" s="1429"/>
    </row>
    <row r="1357" spans="1:25">
      <c r="A1357" s="1428"/>
      <c r="B1357" s="1428"/>
      <c r="C1357" s="1428"/>
      <c r="D1357" s="1428"/>
      <c r="E1357" s="1428"/>
      <c r="R1357" s="1429"/>
      <c r="S1357" s="1429"/>
      <c r="T1357" s="1429"/>
      <c r="U1357" s="1429"/>
      <c r="V1357" s="1429"/>
      <c r="W1357" s="1429"/>
      <c r="X1357" s="1429"/>
      <c r="Y1357" s="1429"/>
    </row>
    <row r="1358" spans="1:25">
      <c r="A1358" s="1428"/>
      <c r="B1358" s="1428"/>
      <c r="C1358" s="1428"/>
      <c r="D1358" s="1428"/>
      <c r="E1358" s="1428"/>
      <c r="R1358" s="1429"/>
      <c r="S1358" s="1429"/>
      <c r="T1358" s="1429"/>
      <c r="U1358" s="1429"/>
      <c r="V1358" s="1429"/>
      <c r="W1358" s="1429"/>
      <c r="X1358" s="1429"/>
      <c r="Y1358" s="1429"/>
    </row>
    <row r="1359" spans="1:25">
      <c r="A1359" s="1428"/>
      <c r="B1359" s="1428"/>
      <c r="C1359" s="1428"/>
      <c r="D1359" s="1428"/>
      <c r="E1359" s="1428"/>
      <c r="R1359" s="1429"/>
      <c r="S1359" s="1429"/>
      <c r="T1359" s="1429"/>
      <c r="U1359" s="1429"/>
      <c r="V1359" s="1429"/>
      <c r="W1359" s="1429"/>
      <c r="X1359" s="1429"/>
      <c r="Y1359" s="1429"/>
    </row>
    <row r="1360" spans="1:25">
      <c r="A1360" s="1428"/>
      <c r="B1360" s="1428"/>
      <c r="C1360" s="1428"/>
      <c r="D1360" s="1428"/>
      <c r="E1360" s="1428"/>
      <c r="R1360" s="1429"/>
      <c r="S1360" s="1429"/>
      <c r="T1360" s="1429"/>
      <c r="U1360" s="1429"/>
      <c r="V1360" s="1429"/>
      <c r="W1360" s="1429"/>
      <c r="X1360" s="1429"/>
      <c r="Y1360" s="1429"/>
    </row>
    <row r="1361" spans="1:25">
      <c r="A1361" s="1428"/>
      <c r="B1361" s="1428"/>
      <c r="C1361" s="1428"/>
      <c r="D1361" s="1428"/>
      <c r="E1361" s="1428"/>
      <c r="R1361" s="1429"/>
      <c r="S1361" s="1429"/>
      <c r="T1361" s="1429"/>
      <c r="U1361" s="1429"/>
      <c r="V1361" s="1429"/>
      <c r="W1361" s="1429"/>
      <c r="X1361" s="1429"/>
      <c r="Y1361" s="1429"/>
    </row>
    <row r="1362" spans="1:25">
      <c r="A1362" s="1428"/>
      <c r="B1362" s="1428"/>
      <c r="C1362" s="1428"/>
      <c r="D1362" s="1428"/>
      <c r="E1362" s="1428"/>
      <c r="R1362" s="1429"/>
      <c r="S1362" s="1429"/>
      <c r="T1362" s="1429"/>
      <c r="U1362" s="1429"/>
      <c r="V1362" s="1429"/>
      <c r="W1362" s="1429"/>
      <c r="X1362" s="1429"/>
      <c r="Y1362" s="1429"/>
    </row>
    <row r="1363" spans="1:25">
      <c r="A1363" s="1428"/>
      <c r="B1363" s="1428"/>
      <c r="C1363" s="1428"/>
      <c r="D1363" s="1428"/>
      <c r="E1363" s="1428"/>
      <c r="R1363" s="1429"/>
      <c r="S1363" s="1429"/>
      <c r="T1363" s="1429"/>
      <c r="U1363" s="1429"/>
      <c r="V1363" s="1429"/>
      <c r="W1363" s="1429"/>
      <c r="X1363" s="1429"/>
      <c r="Y1363" s="1429"/>
    </row>
    <row r="1364" spans="1:25">
      <c r="A1364" s="1428"/>
      <c r="B1364" s="1428"/>
      <c r="C1364" s="1428"/>
      <c r="D1364" s="1428"/>
      <c r="E1364" s="1428"/>
      <c r="R1364" s="1429"/>
      <c r="S1364" s="1429"/>
      <c r="T1364" s="1429"/>
      <c r="U1364" s="1429"/>
      <c r="V1364" s="1429"/>
      <c r="W1364" s="1429"/>
      <c r="X1364" s="1429"/>
      <c r="Y1364" s="1429"/>
    </row>
    <row r="1365" spans="1:25">
      <c r="A1365" s="1428"/>
      <c r="B1365" s="1428"/>
      <c r="C1365" s="1428"/>
      <c r="D1365" s="1428"/>
      <c r="E1365" s="1428"/>
      <c r="R1365" s="1429"/>
      <c r="S1365" s="1429"/>
      <c r="T1365" s="1429"/>
      <c r="U1365" s="1429"/>
      <c r="V1365" s="1429"/>
      <c r="W1365" s="1429"/>
      <c r="X1365" s="1429"/>
      <c r="Y1365" s="1429"/>
    </row>
    <row r="1366" spans="1:25">
      <c r="A1366" s="1428"/>
      <c r="B1366" s="1428"/>
      <c r="C1366" s="1428"/>
      <c r="D1366" s="1428"/>
      <c r="E1366" s="1428"/>
      <c r="R1366" s="1429"/>
      <c r="S1366" s="1429"/>
      <c r="T1366" s="1429"/>
      <c r="U1366" s="1429"/>
      <c r="V1366" s="1429"/>
      <c r="W1366" s="1429"/>
      <c r="X1366" s="1429"/>
      <c r="Y1366" s="1429"/>
    </row>
    <row r="1367" spans="1:25">
      <c r="A1367" s="1428"/>
      <c r="B1367" s="1428"/>
      <c r="C1367" s="1428"/>
      <c r="D1367" s="1428"/>
      <c r="E1367" s="1428"/>
      <c r="R1367" s="1429"/>
      <c r="S1367" s="1429"/>
      <c r="T1367" s="1429"/>
      <c r="U1367" s="1429"/>
      <c r="V1367" s="1429"/>
      <c r="W1367" s="1429"/>
      <c r="X1367" s="1429"/>
      <c r="Y1367" s="1429"/>
    </row>
    <row r="1368" spans="1:25">
      <c r="A1368" s="1428"/>
      <c r="B1368" s="1428"/>
      <c r="C1368" s="1428"/>
      <c r="D1368" s="1428"/>
      <c r="E1368" s="1428"/>
      <c r="R1368" s="1429"/>
      <c r="S1368" s="1429"/>
      <c r="T1368" s="1429"/>
      <c r="U1368" s="1429"/>
      <c r="V1368" s="1429"/>
      <c r="W1368" s="1429"/>
      <c r="X1368" s="1429"/>
      <c r="Y1368" s="1429"/>
    </row>
    <row r="1369" spans="1:25">
      <c r="A1369" s="1428"/>
      <c r="B1369" s="1428"/>
      <c r="C1369" s="1428"/>
      <c r="D1369" s="1428"/>
      <c r="E1369" s="1428"/>
      <c r="R1369" s="1429"/>
      <c r="S1369" s="1429"/>
      <c r="T1369" s="1429"/>
      <c r="U1369" s="1429"/>
      <c r="V1369" s="1429"/>
      <c r="W1369" s="1429"/>
      <c r="X1369" s="1429"/>
      <c r="Y1369" s="1429"/>
    </row>
    <row r="1370" spans="1:25">
      <c r="A1370" s="1428"/>
      <c r="B1370" s="1428"/>
      <c r="C1370" s="1428"/>
      <c r="D1370" s="1428"/>
      <c r="E1370" s="1428"/>
      <c r="R1370" s="1429"/>
      <c r="S1370" s="1429"/>
      <c r="T1370" s="1429"/>
      <c r="U1370" s="1429"/>
      <c r="V1370" s="1429"/>
      <c r="W1370" s="1429"/>
      <c r="X1370" s="1429"/>
      <c r="Y1370" s="1429"/>
    </row>
    <row r="1371" spans="1:25">
      <c r="A1371" s="1428"/>
      <c r="B1371" s="1428"/>
      <c r="C1371" s="1428"/>
      <c r="D1371" s="1428"/>
      <c r="E1371" s="1428"/>
      <c r="R1371" s="1429"/>
      <c r="S1371" s="1429"/>
      <c r="T1371" s="1429"/>
      <c r="U1371" s="1429"/>
      <c r="V1371" s="1429"/>
      <c r="W1371" s="1429"/>
      <c r="X1371" s="1429"/>
      <c r="Y1371" s="1429"/>
    </row>
    <row r="1372" spans="1:25">
      <c r="A1372" s="1428"/>
      <c r="B1372" s="1428"/>
      <c r="C1372" s="1428"/>
      <c r="D1372" s="1428"/>
      <c r="E1372" s="1428"/>
      <c r="R1372" s="1429"/>
      <c r="S1372" s="1429"/>
      <c r="T1372" s="1429"/>
      <c r="U1372" s="1429"/>
      <c r="V1372" s="1429"/>
      <c r="W1372" s="1429"/>
      <c r="X1372" s="1429"/>
      <c r="Y1372" s="1429"/>
    </row>
    <row r="1373" spans="1:25">
      <c r="A1373" s="1428"/>
      <c r="B1373" s="1428"/>
      <c r="C1373" s="1428"/>
      <c r="D1373" s="1428"/>
      <c r="E1373" s="1428"/>
      <c r="R1373" s="1429"/>
      <c r="S1373" s="1429"/>
      <c r="T1373" s="1429"/>
      <c r="U1373" s="1429"/>
      <c r="V1373" s="1429"/>
      <c r="W1373" s="1429"/>
      <c r="X1373" s="1429"/>
      <c r="Y1373" s="1429"/>
    </row>
    <row r="1374" spans="1:25">
      <c r="A1374" s="1428"/>
      <c r="B1374" s="1428"/>
      <c r="C1374" s="1428"/>
      <c r="D1374" s="1428"/>
      <c r="E1374" s="1428"/>
      <c r="R1374" s="1429"/>
      <c r="S1374" s="1429"/>
      <c r="T1374" s="1429"/>
      <c r="U1374" s="1429"/>
      <c r="V1374" s="1429"/>
      <c r="W1374" s="1429"/>
      <c r="X1374" s="1429"/>
      <c r="Y1374" s="1429"/>
    </row>
    <row r="1375" spans="1:25">
      <c r="A1375" s="1428"/>
      <c r="B1375" s="1428"/>
      <c r="C1375" s="1428"/>
      <c r="D1375" s="1428"/>
      <c r="E1375" s="1428"/>
      <c r="R1375" s="1429"/>
      <c r="S1375" s="1429"/>
      <c r="T1375" s="1429"/>
      <c r="U1375" s="1429"/>
      <c r="V1375" s="1429"/>
      <c r="W1375" s="1429"/>
      <c r="X1375" s="1429"/>
      <c r="Y1375" s="1429"/>
    </row>
    <row r="1376" spans="1:25">
      <c r="A1376" s="1428"/>
      <c r="B1376" s="1428"/>
      <c r="C1376" s="1428"/>
      <c r="D1376" s="1428"/>
      <c r="E1376" s="1428"/>
      <c r="R1376" s="1429"/>
      <c r="S1376" s="1429"/>
      <c r="T1376" s="1429"/>
      <c r="U1376" s="1429"/>
      <c r="V1376" s="1429"/>
      <c r="W1376" s="1429"/>
      <c r="X1376" s="1429"/>
      <c r="Y1376" s="1429"/>
    </row>
    <row r="1377" spans="1:25">
      <c r="A1377" s="1428"/>
      <c r="B1377" s="1428"/>
      <c r="C1377" s="1428"/>
      <c r="D1377" s="1428"/>
      <c r="E1377" s="1428"/>
      <c r="R1377" s="1429"/>
      <c r="S1377" s="1429"/>
      <c r="T1377" s="1429"/>
      <c r="U1377" s="1429"/>
      <c r="V1377" s="1429"/>
      <c r="W1377" s="1429"/>
      <c r="X1377" s="1429"/>
      <c r="Y1377" s="1429"/>
    </row>
    <row r="1378" spans="1:25">
      <c r="A1378" s="1428"/>
      <c r="B1378" s="1428"/>
      <c r="C1378" s="1428"/>
      <c r="D1378" s="1428"/>
      <c r="E1378" s="1428"/>
      <c r="R1378" s="1429"/>
      <c r="S1378" s="1429"/>
      <c r="T1378" s="1429"/>
      <c r="U1378" s="1429"/>
      <c r="V1378" s="1429"/>
      <c r="W1378" s="1429"/>
      <c r="X1378" s="1429"/>
      <c r="Y1378" s="1429"/>
    </row>
    <row r="1379" spans="1:25">
      <c r="A1379" s="1428"/>
      <c r="B1379" s="1428"/>
      <c r="C1379" s="1428"/>
      <c r="D1379" s="1428"/>
      <c r="E1379" s="1428"/>
      <c r="R1379" s="1429"/>
      <c r="S1379" s="1429"/>
      <c r="T1379" s="1429"/>
      <c r="U1379" s="1429"/>
      <c r="V1379" s="1429"/>
      <c r="W1379" s="1429"/>
      <c r="X1379" s="1429"/>
      <c r="Y1379" s="1429"/>
    </row>
    <row r="1380" spans="1:25">
      <c r="A1380" s="1428"/>
      <c r="B1380" s="1428"/>
      <c r="C1380" s="1428"/>
      <c r="D1380" s="1428"/>
      <c r="E1380" s="1428"/>
      <c r="R1380" s="1429"/>
      <c r="S1380" s="1429"/>
      <c r="T1380" s="1429"/>
      <c r="U1380" s="1429"/>
      <c r="V1380" s="1429"/>
      <c r="W1380" s="1429"/>
      <c r="X1380" s="1429"/>
      <c r="Y1380" s="1429"/>
    </row>
    <row r="1381" spans="1:25">
      <c r="A1381" s="1428"/>
      <c r="B1381" s="1428"/>
      <c r="C1381" s="1428"/>
      <c r="D1381" s="1428"/>
      <c r="E1381" s="1428"/>
      <c r="R1381" s="1429"/>
      <c r="S1381" s="1429"/>
      <c r="T1381" s="1429"/>
      <c r="U1381" s="1429"/>
      <c r="V1381" s="1429"/>
      <c r="W1381" s="1429"/>
      <c r="X1381" s="1429"/>
      <c r="Y1381" s="1429"/>
    </row>
    <row r="1382" spans="1:25">
      <c r="A1382" s="1428"/>
      <c r="B1382" s="1428"/>
      <c r="C1382" s="1428"/>
      <c r="D1382" s="1428"/>
      <c r="E1382" s="1428"/>
      <c r="R1382" s="1429"/>
      <c r="S1382" s="1429"/>
      <c r="T1382" s="1429"/>
      <c r="U1382" s="1429"/>
      <c r="V1382" s="1429"/>
      <c r="W1382" s="1429"/>
      <c r="X1382" s="1429"/>
      <c r="Y1382" s="1429"/>
    </row>
    <row r="1383" spans="1:25">
      <c r="A1383" s="1428"/>
      <c r="B1383" s="1428"/>
      <c r="C1383" s="1428"/>
      <c r="D1383" s="1428"/>
      <c r="E1383" s="1428"/>
      <c r="R1383" s="1429"/>
      <c r="S1383" s="1429"/>
      <c r="T1383" s="1429"/>
      <c r="U1383" s="1429"/>
      <c r="V1383" s="1429"/>
      <c r="W1383" s="1429"/>
      <c r="X1383" s="1429"/>
      <c r="Y1383" s="1429"/>
    </row>
    <row r="1384" spans="1:25">
      <c r="A1384" s="1428"/>
      <c r="B1384" s="1428"/>
      <c r="C1384" s="1428"/>
      <c r="D1384" s="1428"/>
      <c r="E1384" s="1428"/>
      <c r="R1384" s="1429"/>
      <c r="S1384" s="1429"/>
      <c r="T1384" s="1429"/>
      <c r="U1384" s="1429"/>
      <c r="V1384" s="1429"/>
      <c r="W1384" s="1429"/>
      <c r="X1384" s="1429"/>
      <c r="Y1384" s="1429"/>
    </row>
    <row r="1385" spans="1:25">
      <c r="A1385" s="1428"/>
      <c r="B1385" s="1428"/>
      <c r="C1385" s="1428"/>
      <c r="D1385" s="1428"/>
      <c r="E1385" s="1428"/>
      <c r="R1385" s="1429"/>
      <c r="S1385" s="1429"/>
      <c r="T1385" s="1429"/>
      <c r="U1385" s="1429"/>
      <c r="V1385" s="1429"/>
      <c r="W1385" s="1429"/>
      <c r="X1385" s="1429"/>
      <c r="Y1385" s="1429"/>
    </row>
    <row r="1386" spans="1:25">
      <c r="A1386" s="1428"/>
      <c r="B1386" s="1428"/>
      <c r="C1386" s="1428"/>
      <c r="D1386" s="1428"/>
      <c r="E1386" s="1428"/>
      <c r="R1386" s="1429"/>
      <c r="S1386" s="1429"/>
      <c r="T1386" s="1429"/>
      <c r="U1386" s="1429"/>
      <c r="V1386" s="1429"/>
      <c r="W1386" s="1429"/>
      <c r="X1386" s="1429"/>
      <c r="Y1386" s="1429"/>
    </row>
    <row r="1387" spans="1:25">
      <c r="A1387" s="1428"/>
      <c r="B1387" s="1428"/>
      <c r="C1387" s="1428"/>
      <c r="D1387" s="1428"/>
      <c r="E1387" s="1428"/>
      <c r="R1387" s="1429"/>
      <c r="S1387" s="1429"/>
      <c r="T1387" s="1429"/>
      <c r="U1387" s="1429"/>
      <c r="V1387" s="1429"/>
      <c r="W1387" s="1429"/>
      <c r="X1387" s="1429"/>
      <c r="Y1387" s="1429"/>
    </row>
    <row r="1388" spans="1:25">
      <c r="A1388" s="1428"/>
      <c r="B1388" s="1428"/>
      <c r="C1388" s="1428"/>
      <c r="D1388" s="1428"/>
      <c r="E1388" s="1428"/>
      <c r="R1388" s="1429"/>
      <c r="S1388" s="1429"/>
      <c r="T1388" s="1429"/>
      <c r="U1388" s="1429"/>
      <c r="V1388" s="1429"/>
      <c r="W1388" s="1429"/>
      <c r="X1388" s="1429"/>
      <c r="Y1388" s="1429"/>
    </row>
    <row r="1389" spans="1:25">
      <c r="A1389" s="1428"/>
      <c r="B1389" s="1428"/>
      <c r="C1389" s="1428"/>
      <c r="D1389" s="1428"/>
      <c r="E1389" s="1428"/>
      <c r="R1389" s="1429"/>
      <c r="S1389" s="1429"/>
      <c r="T1389" s="1429"/>
      <c r="U1389" s="1429"/>
      <c r="V1389" s="1429"/>
      <c r="W1389" s="1429"/>
      <c r="X1389" s="1429"/>
      <c r="Y1389" s="1429"/>
    </row>
    <row r="1390" spans="1:25">
      <c r="A1390" s="1428"/>
      <c r="B1390" s="1428"/>
      <c r="C1390" s="1428"/>
      <c r="D1390" s="1428"/>
      <c r="E1390" s="1428"/>
      <c r="R1390" s="1429"/>
      <c r="S1390" s="1429"/>
      <c r="T1390" s="1429"/>
      <c r="U1390" s="1429"/>
      <c r="V1390" s="1429"/>
      <c r="W1390" s="1429"/>
      <c r="X1390" s="1429"/>
      <c r="Y1390" s="1429"/>
    </row>
    <row r="1391" spans="1:25">
      <c r="A1391" s="1428"/>
      <c r="B1391" s="1428"/>
      <c r="C1391" s="1428"/>
      <c r="D1391" s="1428"/>
      <c r="E1391" s="1428"/>
      <c r="R1391" s="1429"/>
      <c r="S1391" s="1429"/>
      <c r="T1391" s="1429"/>
      <c r="U1391" s="1429"/>
      <c r="V1391" s="1429"/>
      <c r="W1391" s="1429"/>
      <c r="X1391" s="1429"/>
      <c r="Y1391" s="1429"/>
    </row>
    <row r="1392" spans="1:25">
      <c r="A1392" s="1428"/>
      <c r="B1392" s="1428"/>
      <c r="C1392" s="1428"/>
      <c r="D1392" s="1428"/>
      <c r="E1392" s="1428"/>
      <c r="R1392" s="1429"/>
      <c r="S1392" s="1429"/>
      <c r="T1392" s="1429"/>
      <c r="U1392" s="1429"/>
      <c r="V1392" s="1429"/>
      <c r="W1392" s="1429"/>
      <c r="X1392" s="1429"/>
      <c r="Y1392" s="1429"/>
    </row>
    <row r="1393" spans="1:25">
      <c r="A1393" s="1428"/>
      <c r="B1393" s="1428"/>
      <c r="C1393" s="1428"/>
      <c r="D1393" s="1428"/>
      <c r="E1393" s="1428"/>
      <c r="R1393" s="1429"/>
      <c r="S1393" s="1429"/>
      <c r="T1393" s="1429"/>
      <c r="U1393" s="1429"/>
      <c r="V1393" s="1429"/>
      <c r="W1393" s="1429"/>
      <c r="X1393" s="1429"/>
      <c r="Y1393" s="1429"/>
    </row>
    <row r="1394" spans="1:25">
      <c r="A1394" s="1428"/>
      <c r="B1394" s="1428"/>
      <c r="C1394" s="1428"/>
      <c r="D1394" s="1428"/>
      <c r="E1394" s="1428"/>
      <c r="R1394" s="1429"/>
      <c r="S1394" s="1429"/>
      <c r="T1394" s="1429"/>
      <c r="U1394" s="1429"/>
      <c r="V1394" s="1429"/>
      <c r="W1394" s="1429"/>
      <c r="X1394" s="1429"/>
      <c r="Y1394" s="1429"/>
    </row>
    <row r="1395" spans="1:25">
      <c r="A1395" s="1428"/>
      <c r="B1395" s="1428"/>
      <c r="C1395" s="1428"/>
      <c r="D1395" s="1428"/>
      <c r="E1395" s="1428"/>
      <c r="R1395" s="1429"/>
      <c r="S1395" s="1429"/>
      <c r="T1395" s="1429"/>
      <c r="U1395" s="1429"/>
      <c r="V1395" s="1429"/>
      <c r="W1395" s="1429"/>
      <c r="X1395" s="1429"/>
      <c r="Y1395" s="1429"/>
    </row>
    <row r="1396" spans="1:25">
      <c r="A1396" s="1428"/>
      <c r="B1396" s="1428"/>
      <c r="C1396" s="1428"/>
      <c r="D1396" s="1428"/>
      <c r="E1396" s="1428"/>
      <c r="R1396" s="1429"/>
      <c r="S1396" s="1429"/>
      <c r="T1396" s="1429"/>
      <c r="U1396" s="1429"/>
      <c r="V1396" s="1429"/>
      <c r="W1396" s="1429"/>
      <c r="X1396" s="1429"/>
      <c r="Y1396" s="1429"/>
    </row>
    <row r="1397" spans="1:25">
      <c r="A1397" s="1428"/>
      <c r="B1397" s="1428"/>
      <c r="C1397" s="1428"/>
      <c r="D1397" s="1428"/>
      <c r="E1397" s="1428"/>
      <c r="R1397" s="1429"/>
      <c r="S1397" s="1429"/>
      <c r="T1397" s="1429"/>
      <c r="U1397" s="1429"/>
      <c r="V1397" s="1429"/>
      <c r="W1397" s="1429"/>
      <c r="X1397" s="1429"/>
      <c r="Y1397" s="1429"/>
    </row>
    <row r="1398" spans="1:25">
      <c r="A1398" s="1428"/>
      <c r="B1398" s="1428"/>
      <c r="C1398" s="1428"/>
      <c r="D1398" s="1428"/>
      <c r="E1398" s="1428"/>
      <c r="R1398" s="1429"/>
      <c r="S1398" s="1429"/>
      <c r="T1398" s="1429"/>
      <c r="U1398" s="1429"/>
      <c r="V1398" s="1429"/>
      <c r="W1398" s="1429"/>
      <c r="X1398" s="1429"/>
      <c r="Y1398" s="1429"/>
    </row>
    <row r="1399" spans="1:25">
      <c r="A1399" s="1428"/>
      <c r="B1399" s="1428"/>
      <c r="C1399" s="1428"/>
      <c r="D1399" s="1428"/>
      <c r="E1399" s="1428"/>
      <c r="R1399" s="1429"/>
      <c r="S1399" s="1429"/>
      <c r="T1399" s="1429"/>
      <c r="U1399" s="1429"/>
      <c r="V1399" s="1429"/>
      <c r="W1399" s="1429"/>
      <c r="X1399" s="1429"/>
      <c r="Y1399" s="1429"/>
    </row>
    <row r="1400" spans="1:25">
      <c r="A1400" s="1428"/>
      <c r="B1400" s="1428"/>
      <c r="C1400" s="1428"/>
      <c r="D1400" s="1428"/>
      <c r="E1400" s="1428"/>
      <c r="R1400" s="1429"/>
      <c r="S1400" s="1429"/>
      <c r="T1400" s="1429"/>
      <c r="U1400" s="1429"/>
      <c r="V1400" s="1429"/>
      <c r="W1400" s="1429"/>
      <c r="X1400" s="1429"/>
      <c r="Y1400" s="1429"/>
    </row>
    <row r="1401" spans="1:25">
      <c r="A1401" s="1428"/>
      <c r="B1401" s="1428"/>
      <c r="C1401" s="1428"/>
      <c r="D1401" s="1428"/>
      <c r="E1401" s="1428"/>
      <c r="R1401" s="1429"/>
      <c r="S1401" s="1429"/>
      <c r="T1401" s="1429"/>
      <c r="U1401" s="1429"/>
      <c r="V1401" s="1429"/>
      <c r="W1401" s="1429"/>
      <c r="X1401" s="1429"/>
      <c r="Y1401" s="1429"/>
    </row>
    <row r="1402" spans="1:25">
      <c r="A1402" s="1428"/>
      <c r="B1402" s="1428"/>
      <c r="C1402" s="1428"/>
      <c r="D1402" s="1428"/>
      <c r="E1402" s="1428"/>
      <c r="R1402" s="1429"/>
      <c r="S1402" s="1429"/>
      <c r="T1402" s="1429"/>
      <c r="U1402" s="1429"/>
      <c r="V1402" s="1429"/>
      <c r="W1402" s="1429"/>
      <c r="X1402" s="1429"/>
      <c r="Y1402" s="1429"/>
    </row>
    <row r="1403" spans="1:25">
      <c r="A1403" s="1428"/>
      <c r="B1403" s="1428"/>
      <c r="C1403" s="1428"/>
      <c r="D1403" s="1428"/>
      <c r="E1403" s="1428"/>
      <c r="R1403" s="1429"/>
      <c r="S1403" s="1429"/>
      <c r="T1403" s="1429"/>
      <c r="U1403" s="1429"/>
      <c r="V1403" s="1429"/>
      <c r="W1403" s="1429"/>
      <c r="X1403" s="1429"/>
      <c r="Y1403" s="1429"/>
    </row>
    <row r="1404" spans="1:25">
      <c r="A1404" s="1428"/>
      <c r="B1404" s="1428"/>
      <c r="C1404" s="1428"/>
      <c r="D1404" s="1428"/>
      <c r="E1404" s="1428"/>
      <c r="R1404" s="1429"/>
      <c r="S1404" s="1429"/>
      <c r="T1404" s="1429"/>
      <c r="U1404" s="1429"/>
      <c r="V1404" s="1429"/>
      <c r="W1404" s="1429"/>
      <c r="X1404" s="1429"/>
      <c r="Y1404" s="1429"/>
    </row>
    <row r="1405" spans="1:25">
      <c r="A1405" s="1428"/>
      <c r="B1405" s="1428"/>
      <c r="C1405" s="1428"/>
      <c r="D1405" s="1428"/>
      <c r="E1405" s="1428"/>
      <c r="R1405" s="1429"/>
      <c r="S1405" s="1429"/>
      <c r="T1405" s="1429"/>
      <c r="U1405" s="1429"/>
      <c r="V1405" s="1429"/>
      <c r="W1405" s="1429"/>
      <c r="X1405" s="1429"/>
      <c r="Y1405" s="1429"/>
    </row>
    <row r="1406" spans="1:25">
      <c r="A1406" s="1428"/>
      <c r="B1406" s="1428"/>
      <c r="C1406" s="1428"/>
      <c r="D1406" s="1428"/>
      <c r="E1406" s="1428"/>
      <c r="R1406" s="1429"/>
      <c r="S1406" s="1429"/>
      <c r="T1406" s="1429"/>
      <c r="U1406" s="1429"/>
      <c r="V1406" s="1429"/>
      <c r="W1406" s="1429"/>
      <c r="X1406" s="1429"/>
      <c r="Y1406" s="1429"/>
    </row>
    <row r="1407" spans="1:25">
      <c r="A1407" s="1428"/>
      <c r="B1407" s="1428"/>
      <c r="C1407" s="1428"/>
      <c r="D1407" s="1428"/>
      <c r="E1407" s="1428"/>
      <c r="R1407" s="1429"/>
      <c r="S1407" s="1429"/>
      <c r="T1407" s="1429"/>
      <c r="U1407" s="1429"/>
      <c r="V1407" s="1429"/>
      <c r="W1407" s="1429"/>
      <c r="X1407" s="1429"/>
      <c r="Y1407" s="1429"/>
    </row>
    <row r="1408" spans="1:25">
      <c r="A1408" s="1428"/>
      <c r="B1408" s="1428"/>
      <c r="C1408" s="1428"/>
      <c r="D1408" s="1428"/>
      <c r="E1408" s="1428"/>
      <c r="R1408" s="1429"/>
      <c r="S1408" s="1429"/>
      <c r="T1408" s="1429"/>
      <c r="U1408" s="1429"/>
      <c r="V1408" s="1429"/>
      <c r="W1408" s="1429"/>
      <c r="X1408" s="1429"/>
      <c r="Y1408" s="1429"/>
    </row>
    <row r="1409" spans="1:25">
      <c r="A1409" s="1428"/>
      <c r="B1409" s="1428"/>
      <c r="C1409" s="1428"/>
      <c r="D1409" s="1428"/>
      <c r="E1409" s="1428"/>
      <c r="R1409" s="1429"/>
      <c r="S1409" s="1429"/>
      <c r="T1409" s="1429"/>
      <c r="U1409" s="1429"/>
      <c r="V1409" s="1429"/>
      <c r="W1409" s="1429"/>
      <c r="X1409" s="1429"/>
      <c r="Y1409" s="1429"/>
    </row>
    <row r="1410" spans="1:25">
      <c r="A1410" s="1428"/>
      <c r="B1410" s="1428"/>
      <c r="C1410" s="1428"/>
      <c r="D1410" s="1428"/>
      <c r="E1410" s="1428"/>
      <c r="R1410" s="1429"/>
      <c r="S1410" s="1429"/>
      <c r="T1410" s="1429"/>
      <c r="U1410" s="1429"/>
      <c r="V1410" s="1429"/>
      <c r="W1410" s="1429"/>
      <c r="X1410" s="1429"/>
      <c r="Y1410" s="1429"/>
    </row>
    <row r="1411" spans="1:25">
      <c r="A1411" s="1428"/>
      <c r="B1411" s="1428"/>
      <c r="C1411" s="1428"/>
      <c r="D1411" s="1428"/>
      <c r="E1411" s="1428"/>
      <c r="R1411" s="1429"/>
      <c r="S1411" s="1429"/>
      <c r="T1411" s="1429"/>
      <c r="U1411" s="1429"/>
      <c r="V1411" s="1429"/>
      <c r="W1411" s="1429"/>
      <c r="X1411" s="1429"/>
      <c r="Y1411" s="1429"/>
    </row>
    <row r="1412" spans="1:25">
      <c r="A1412" s="1428"/>
      <c r="B1412" s="1428"/>
      <c r="C1412" s="1428"/>
      <c r="D1412" s="1428"/>
      <c r="E1412" s="1428"/>
      <c r="R1412" s="1429"/>
      <c r="S1412" s="1429"/>
      <c r="T1412" s="1429"/>
      <c r="U1412" s="1429"/>
      <c r="V1412" s="1429"/>
      <c r="W1412" s="1429"/>
      <c r="X1412" s="1429"/>
      <c r="Y1412" s="1429"/>
    </row>
    <row r="1413" spans="1:25">
      <c r="A1413" s="1428"/>
      <c r="B1413" s="1428"/>
      <c r="C1413" s="1428"/>
      <c r="D1413" s="1428"/>
      <c r="E1413" s="1428"/>
      <c r="R1413" s="1429"/>
      <c r="S1413" s="1429"/>
      <c r="T1413" s="1429"/>
      <c r="U1413" s="1429"/>
      <c r="V1413" s="1429"/>
      <c r="W1413" s="1429"/>
      <c r="X1413" s="1429"/>
      <c r="Y1413" s="1429"/>
    </row>
    <row r="1414" spans="1:25">
      <c r="A1414" s="1428"/>
      <c r="B1414" s="1428"/>
      <c r="C1414" s="1428"/>
      <c r="D1414" s="1428"/>
      <c r="E1414" s="1428"/>
      <c r="R1414" s="1429"/>
      <c r="S1414" s="1429"/>
      <c r="T1414" s="1429"/>
      <c r="U1414" s="1429"/>
      <c r="V1414" s="1429"/>
      <c r="W1414" s="1429"/>
      <c r="X1414" s="1429"/>
      <c r="Y1414" s="1429"/>
    </row>
    <row r="1415" spans="1:25">
      <c r="A1415" s="1428"/>
      <c r="B1415" s="1428"/>
      <c r="C1415" s="1428"/>
      <c r="D1415" s="1428"/>
      <c r="E1415" s="1428"/>
      <c r="R1415" s="1429"/>
      <c r="S1415" s="1429"/>
      <c r="T1415" s="1429"/>
      <c r="U1415" s="1429"/>
      <c r="V1415" s="1429"/>
      <c r="W1415" s="1429"/>
      <c r="X1415" s="1429"/>
      <c r="Y1415" s="1429"/>
    </row>
    <row r="1416" spans="1:25">
      <c r="A1416" s="1428"/>
      <c r="B1416" s="1428"/>
      <c r="C1416" s="1428"/>
      <c r="D1416" s="1428"/>
      <c r="E1416" s="1428"/>
      <c r="R1416" s="1429"/>
      <c r="S1416" s="1429"/>
      <c r="T1416" s="1429"/>
      <c r="U1416" s="1429"/>
      <c r="V1416" s="1429"/>
      <c r="W1416" s="1429"/>
      <c r="X1416" s="1429"/>
      <c r="Y1416" s="1429"/>
    </row>
    <row r="1417" spans="1:25">
      <c r="A1417" s="1428"/>
      <c r="B1417" s="1428"/>
      <c r="C1417" s="1428"/>
      <c r="D1417" s="1428"/>
      <c r="E1417" s="1428"/>
      <c r="R1417" s="1429"/>
      <c r="S1417" s="1429"/>
      <c r="T1417" s="1429"/>
      <c r="U1417" s="1429"/>
      <c r="V1417" s="1429"/>
      <c r="W1417" s="1429"/>
      <c r="X1417" s="1429"/>
      <c r="Y1417" s="1429"/>
    </row>
    <row r="1418" spans="1:25">
      <c r="A1418" s="1428"/>
      <c r="B1418" s="1428"/>
      <c r="C1418" s="1428"/>
      <c r="D1418" s="1428"/>
      <c r="E1418" s="1428"/>
      <c r="R1418" s="1429"/>
      <c r="S1418" s="1429"/>
      <c r="T1418" s="1429"/>
      <c r="U1418" s="1429"/>
      <c r="V1418" s="1429"/>
      <c r="W1418" s="1429"/>
      <c r="X1418" s="1429"/>
      <c r="Y1418" s="1429"/>
    </row>
    <row r="1419" spans="1:25">
      <c r="A1419" s="1428"/>
      <c r="B1419" s="1428"/>
      <c r="C1419" s="1428"/>
      <c r="D1419" s="1428"/>
      <c r="E1419" s="1428"/>
      <c r="R1419" s="1429"/>
      <c r="S1419" s="1429"/>
      <c r="T1419" s="1429"/>
      <c r="U1419" s="1429"/>
      <c r="V1419" s="1429"/>
      <c r="W1419" s="1429"/>
      <c r="X1419" s="1429"/>
      <c r="Y1419" s="1429"/>
    </row>
    <row r="1420" spans="1:25">
      <c r="A1420" s="1428"/>
      <c r="B1420" s="1428"/>
      <c r="C1420" s="1428"/>
      <c r="D1420" s="1428"/>
      <c r="E1420" s="1428"/>
      <c r="R1420" s="1429"/>
      <c r="S1420" s="1429"/>
      <c r="T1420" s="1429"/>
      <c r="U1420" s="1429"/>
      <c r="V1420" s="1429"/>
      <c r="W1420" s="1429"/>
      <c r="X1420" s="1429"/>
      <c r="Y1420" s="1429"/>
    </row>
    <row r="1421" spans="1:25">
      <c r="A1421" s="1428"/>
      <c r="B1421" s="1428"/>
      <c r="C1421" s="1428"/>
      <c r="D1421" s="1428"/>
      <c r="E1421" s="1428"/>
      <c r="R1421" s="1429"/>
      <c r="S1421" s="1429"/>
      <c r="T1421" s="1429"/>
      <c r="U1421" s="1429"/>
      <c r="V1421" s="1429"/>
      <c r="W1421" s="1429"/>
      <c r="X1421" s="1429"/>
      <c r="Y1421" s="1429"/>
    </row>
    <row r="1422" spans="1:25">
      <c r="A1422" s="1428"/>
      <c r="B1422" s="1428"/>
      <c r="C1422" s="1428"/>
      <c r="D1422" s="1428"/>
      <c r="E1422" s="1428"/>
      <c r="R1422" s="1429"/>
      <c r="S1422" s="1429"/>
      <c r="T1422" s="1429"/>
      <c r="U1422" s="1429"/>
      <c r="V1422" s="1429"/>
      <c r="W1422" s="1429"/>
      <c r="X1422" s="1429"/>
      <c r="Y1422" s="1429"/>
    </row>
    <row r="1423" spans="1:25">
      <c r="A1423" s="1428"/>
      <c r="B1423" s="1428"/>
      <c r="C1423" s="1428"/>
      <c r="D1423" s="1428"/>
      <c r="E1423" s="1428"/>
      <c r="R1423" s="1429"/>
      <c r="S1423" s="1429"/>
      <c r="T1423" s="1429"/>
      <c r="U1423" s="1429"/>
      <c r="V1423" s="1429"/>
      <c r="W1423" s="1429"/>
      <c r="X1423" s="1429"/>
      <c r="Y1423" s="1429"/>
    </row>
    <row r="1424" spans="1:25">
      <c r="A1424" s="1428"/>
      <c r="B1424" s="1428"/>
      <c r="C1424" s="1428"/>
      <c r="D1424" s="1428"/>
      <c r="E1424" s="1428"/>
      <c r="R1424" s="1429"/>
      <c r="S1424" s="1429"/>
      <c r="T1424" s="1429"/>
      <c r="U1424" s="1429"/>
      <c r="V1424" s="1429"/>
      <c r="W1424" s="1429"/>
      <c r="X1424" s="1429"/>
      <c r="Y1424" s="1429"/>
    </row>
    <row r="1425" spans="1:25">
      <c r="A1425" s="1428"/>
      <c r="B1425" s="1428"/>
      <c r="C1425" s="1428"/>
      <c r="D1425" s="1428"/>
      <c r="E1425" s="1428"/>
      <c r="R1425" s="1429"/>
      <c r="S1425" s="1429"/>
      <c r="T1425" s="1429"/>
      <c r="U1425" s="1429"/>
      <c r="V1425" s="1429"/>
      <c r="W1425" s="1429"/>
      <c r="X1425" s="1429"/>
      <c r="Y1425" s="1429"/>
    </row>
    <row r="1426" spans="1:25">
      <c r="A1426" s="1428"/>
      <c r="B1426" s="1428"/>
      <c r="C1426" s="1428"/>
      <c r="D1426" s="1428"/>
      <c r="E1426" s="1428"/>
      <c r="R1426" s="1429"/>
      <c r="S1426" s="1429"/>
      <c r="T1426" s="1429"/>
      <c r="U1426" s="1429"/>
      <c r="V1426" s="1429"/>
      <c r="W1426" s="1429"/>
      <c r="X1426" s="1429"/>
      <c r="Y1426" s="1429"/>
    </row>
    <row r="1427" spans="1:25">
      <c r="A1427" s="1428"/>
      <c r="B1427" s="1428"/>
      <c r="C1427" s="1428"/>
      <c r="D1427" s="1428"/>
      <c r="E1427" s="1428"/>
      <c r="R1427" s="1429"/>
      <c r="S1427" s="1429"/>
      <c r="T1427" s="1429"/>
      <c r="U1427" s="1429"/>
      <c r="V1427" s="1429"/>
      <c r="W1427" s="1429"/>
      <c r="X1427" s="1429"/>
      <c r="Y1427" s="1429"/>
    </row>
    <row r="1428" spans="1:25">
      <c r="A1428" s="1428"/>
      <c r="B1428" s="1428"/>
      <c r="C1428" s="1428"/>
      <c r="D1428" s="1428"/>
      <c r="E1428" s="1428"/>
      <c r="R1428" s="1429"/>
      <c r="S1428" s="1429"/>
      <c r="T1428" s="1429"/>
      <c r="U1428" s="1429"/>
      <c r="V1428" s="1429"/>
      <c r="W1428" s="1429"/>
      <c r="X1428" s="1429"/>
      <c r="Y1428" s="1429"/>
    </row>
    <row r="1429" spans="1:25">
      <c r="A1429" s="1428"/>
      <c r="B1429" s="1428"/>
      <c r="C1429" s="1428"/>
      <c r="D1429" s="1428"/>
      <c r="E1429" s="1428"/>
      <c r="R1429" s="1429"/>
      <c r="S1429" s="1429"/>
      <c r="T1429" s="1429"/>
      <c r="U1429" s="1429"/>
      <c r="V1429" s="1429"/>
      <c r="W1429" s="1429"/>
      <c r="X1429" s="1429"/>
      <c r="Y1429" s="1429"/>
    </row>
    <row r="1430" spans="1:25">
      <c r="A1430" s="1428"/>
      <c r="B1430" s="1428"/>
      <c r="C1430" s="1428"/>
      <c r="D1430" s="1428"/>
      <c r="E1430" s="1428"/>
      <c r="R1430" s="1429"/>
      <c r="S1430" s="1429"/>
      <c r="T1430" s="1429"/>
      <c r="U1430" s="1429"/>
      <c r="V1430" s="1429"/>
      <c r="W1430" s="1429"/>
      <c r="X1430" s="1429"/>
      <c r="Y1430" s="1429"/>
    </row>
    <row r="1431" spans="1:25">
      <c r="A1431" s="1428"/>
      <c r="B1431" s="1428"/>
      <c r="C1431" s="1428"/>
      <c r="D1431" s="1428"/>
      <c r="E1431" s="1428"/>
      <c r="R1431" s="1429"/>
      <c r="S1431" s="1429"/>
      <c r="T1431" s="1429"/>
      <c r="U1431" s="1429"/>
      <c r="V1431" s="1429"/>
      <c r="W1431" s="1429"/>
      <c r="X1431" s="1429"/>
      <c r="Y1431" s="1429"/>
    </row>
    <row r="1432" spans="1:25">
      <c r="A1432" s="1428"/>
      <c r="B1432" s="1428"/>
      <c r="C1432" s="1428"/>
      <c r="D1432" s="1428"/>
      <c r="E1432" s="1428"/>
      <c r="R1432" s="1429"/>
      <c r="S1432" s="1429"/>
      <c r="T1432" s="1429"/>
      <c r="U1432" s="1429"/>
      <c r="V1432" s="1429"/>
      <c r="W1432" s="1429"/>
      <c r="X1432" s="1429"/>
      <c r="Y1432" s="1429"/>
    </row>
    <row r="1433" spans="1:25">
      <c r="A1433" s="1428"/>
      <c r="B1433" s="1428"/>
      <c r="C1433" s="1428"/>
      <c r="D1433" s="1428"/>
      <c r="E1433" s="1428"/>
      <c r="R1433" s="1429"/>
      <c r="S1433" s="1429"/>
      <c r="T1433" s="1429"/>
      <c r="U1433" s="1429"/>
      <c r="V1433" s="1429"/>
      <c r="W1433" s="1429"/>
      <c r="X1433" s="1429"/>
      <c r="Y1433" s="1429"/>
    </row>
    <row r="1434" spans="1:25">
      <c r="A1434" s="1428"/>
      <c r="B1434" s="1428"/>
      <c r="C1434" s="1428"/>
      <c r="D1434" s="1428"/>
      <c r="E1434" s="1428"/>
      <c r="R1434" s="1429"/>
      <c r="S1434" s="1429"/>
      <c r="T1434" s="1429"/>
      <c r="U1434" s="1429"/>
      <c r="V1434" s="1429"/>
      <c r="W1434" s="1429"/>
      <c r="X1434" s="1429"/>
      <c r="Y1434" s="1429"/>
    </row>
    <row r="1435" spans="1:25">
      <c r="A1435" s="1428"/>
      <c r="B1435" s="1428"/>
      <c r="C1435" s="1428"/>
      <c r="D1435" s="1428"/>
      <c r="E1435" s="1428"/>
      <c r="R1435" s="1429"/>
      <c r="S1435" s="1429"/>
      <c r="T1435" s="1429"/>
      <c r="U1435" s="1429"/>
      <c r="V1435" s="1429"/>
      <c r="W1435" s="1429"/>
      <c r="X1435" s="1429"/>
      <c r="Y1435" s="1429"/>
    </row>
    <row r="1436" spans="1:25">
      <c r="A1436" s="1428"/>
      <c r="B1436" s="1428"/>
      <c r="C1436" s="1428"/>
      <c r="D1436" s="1428"/>
      <c r="E1436" s="1428"/>
      <c r="R1436" s="1429"/>
      <c r="S1436" s="1429"/>
      <c r="T1436" s="1429"/>
      <c r="U1436" s="1429"/>
      <c r="V1436" s="1429"/>
      <c r="W1436" s="1429"/>
      <c r="X1436" s="1429"/>
      <c r="Y1436" s="1429"/>
    </row>
    <row r="1437" spans="1:25">
      <c r="A1437" s="1428"/>
      <c r="B1437" s="1428"/>
      <c r="C1437" s="1428"/>
      <c r="D1437" s="1428"/>
      <c r="E1437" s="1428"/>
      <c r="R1437" s="1429"/>
      <c r="S1437" s="1429"/>
      <c r="T1437" s="1429"/>
      <c r="U1437" s="1429"/>
      <c r="V1437" s="1429"/>
      <c r="W1437" s="1429"/>
      <c r="X1437" s="1429"/>
      <c r="Y1437" s="1429"/>
    </row>
    <row r="1438" spans="1:25">
      <c r="A1438" s="1428"/>
      <c r="B1438" s="1428"/>
      <c r="C1438" s="1428"/>
      <c r="D1438" s="1428"/>
      <c r="E1438" s="1428"/>
      <c r="R1438" s="1429"/>
      <c r="S1438" s="1429"/>
      <c r="T1438" s="1429"/>
      <c r="U1438" s="1429"/>
      <c r="V1438" s="1429"/>
      <c r="W1438" s="1429"/>
      <c r="X1438" s="1429"/>
      <c r="Y1438" s="1429"/>
    </row>
    <row r="1439" spans="1:25">
      <c r="A1439" s="1428"/>
      <c r="B1439" s="1428"/>
      <c r="C1439" s="1428"/>
      <c r="D1439" s="1428"/>
      <c r="E1439" s="1428"/>
      <c r="R1439" s="1429"/>
      <c r="S1439" s="1429"/>
      <c r="T1439" s="1429"/>
      <c r="U1439" s="1429"/>
      <c r="V1439" s="1429"/>
      <c r="W1439" s="1429"/>
      <c r="X1439" s="1429"/>
      <c r="Y1439" s="1429"/>
    </row>
    <row r="1440" spans="1:25">
      <c r="A1440" s="1428"/>
      <c r="B1440" s="1428"/>
      <c r="C1440" s="1428"/>
      <c r="D1440" s="1428"/>
      <c r="E1440" s="1428"/>
      <c r="R1440" s="1429"/>
      <c r="S1440" s="1429"/>
      <c r="T1440" s="1429"/>
      <c r="U1440" s="1429"/>
      <c r="V1440" s="1429"/>
      <c r="W1440" s="1429"/>
      <c r="X1440" s="1429"/>
      <c r="Y1440" s="1429"/>
    </row>
    <row r="1441" spans="1:25">
      <c r="A1441" s="1428"/>
      <c r="B1441" s="1428"/>
      <c r="C1441" s="1428"/>
      <c r="D1441" s="1428"/>
      <c r="E1441" s="1428"/>
      <c r="R1441" s="1429"/>
      <c r="S1441" s="1429"/>
      <c r="T1441" s="1429"/>
      <c r="U1441" s="1429"/>
      <c r="V1441" s="1429"/>
      <c r="W1441" s="1429"/>
      <c r="X1441" s="1429"/>
      <c r="Y1441" s="1429"/>
    </row>
    <row r="1442" spans="1:25">
      <c r="A1442" s="1428"/>
      <c r="B1442" s="1428"/>
      <c r="C1442" s="1428"/>
      <c r="D1442" s="1428"/>
      <c r="E1442" s="1428"/>
      <c r="R1442" s="1429"/>
      <c r="S1442" s="1429"/>
      <c r="T1442" s="1429"/>
      <c r="U1442" s="1429"/>
      <c r="V1442" s="1429"/>
      <c r="W1442" s="1429"/>
      <c r="X1442" s="1429"/>
      <c r="Y1442" s="1429"/>
    </row>
    <row r="1443" spans="1:25">
      <c r="A1443" s="1428"/>
      <c r="B1443" s="1428"/>
      <c r="C1443" s="1428"/>
      <c r="D1443" s="1428"/>
      <c r="E1443" s="1428"/>
      <c r="R1443" s="1429"/>
      <c r="S1443" s="1429"/>
      <c r="T1443" s="1429"/>
      <c r="U1443" s="1429"/>
      <c r="V1443" s="1429"/>
      <c r="W1443" s="1429"/>
      <c r="X1443" s="1429"/>
      <c r="Y1443" s="1429"/>
    </row>
    <row r="1444" spans="1:25">
      <c r="A1444" s="1428"/>
      <c r="B1444" s="1428"/>
      <c r="C1444" s="1428"/>
      <c r="D1444" s="1428"/>
      <c r="E1444" s="1428"/>
      <c r="R1444" s="1429"/>
      <c r="S1444" s="1429"/>
      <c r="T1444" s="1429"/>
      <c r="U1444" s="1429"/>
      <c r="V1444" s="1429"/>
      <c r="W1444" s="1429"/>
      <c r="X1444" s="1429"/>
      <c r="Y1444" s="1429"/>
    </row>
    <row r="1445" spans="1:25">
      <c r="A1445" s="1428"/>
      <c r="B1445" s="1428"/>
      <c r="C1445" s="1428"/>
      <c r="D1445" s="1428"/>
      <c r="E1445" s="1428"/>
      <c r="R1445" s="1429"/>
      <c r="S1445" s="1429"/>
      <c r="T1445" s="1429"/>
      <c r="U1445" s="1429"/>
      <c r="V1445" s="1429"/>
      <c r="W1445" s="1429"/>
      <c r="X1445" s="1429"/>
      <c r="Y1445" s="1429"/>
    </row>
    <row r="1446" spans="1:25">
      <c r="A1446" s="1428"/>
      <c r="B1446" s="1428"/>
      <c r="C1446" s="1428"/>
      <c r="D1446" s="1428"/>
      <c r="E1446" s="1428"/>
      <c r="R1446" s="1429"/>
      <c r="S1446" s="1429"/>
      <c r="T1446" s="1429"/>
      <c r="U1446" s="1429"/>
      <c r="V1446" s="1429"/>
      <c r="W1446" s="1429"/>
      <c r="X1446" s="1429"/>
      <c r="Y1446" s="1429"/>
    </row>
    <row r="1447" spans="1:25">
      <c r="A1447" s="1428"/>
      <c r="B1447" s="1428"/>
      <c r="C1447" s="1428"/>
      <c r="D1447" s="1428"/>
      <c r="E1447" s="1428"/>
      <c r="R1447" s="1429"/>
      <c r="S1447" s="1429"/>
      <c r="T1447" s="1429"/>
      <c r="U1447" s="1429"/>
      <c r="V1447" s="1429"/>
      <c r="W1447" s="1429"/>
      <c r="X1447" s="1429"/>
      <c r="Y1447" s="1429"/>
    </row>
    <row r="1448" spans="1:25">
      <c r="A1448" s="1428"/>
      <c r="B1448" s="1428"/>
      <c r="C1448" s="1428"/>
      <c r="D1448" s="1428"/>
      <c r="E1448" s="1428"/>
      <c r="R1448" s="1429"/>
      <c r="S1448" s="1429"/>
      <c r="T1448" s="1429"/>
      <c r="U1448" s="1429"/>
      <c r="V1448" s="1429"/>
      <c r="W1448" s="1429"/>
      <c r="X1448" s="1429"/>
      <c r="Y1448" s="1429"/>
    </row>
    <row r="1449" spans="1:25">
      <c r="A1449" s="1428"/>
      <c r="B1449" s="1428"/>
      <c r="C1449" s="1428"/>
      <c r="D1449" s="1428"/>
      <c r="E1449" s="1428"/>
      <c r="R1449" s="1429"/>
      <c r="S1449" s="1429"/>
      <c r="T1449" s="1429"/>
      <c r="U1449" s="1429"/>
      <c r="V1449" s="1429"/>
      <c r="W1449" s="1429"/>
      <c r="X1449" s="1429"/>
      <c r="Y1449" s="1429"/>
    </row>
    <row r="1450" spans="1:25">
      <c r="A1450" s="1428"/>
      <c r="B1450" s="1428"/>
      <c r="C1450" s="1428"/>
      <c r="D1450" s="1428"/>
      <c r="E1450" s="1428"/>
      <c r="R1450" s="1429"/>
      <c r="S1450" s="1429"/>
      <c r="T1450" s="1429"/>
      <c r="U1450" s="1429"/>
      <c r="V1450" s="1429"/>
      <c r="W1450" s="1429"/>
      <c r="X1450" s="1429"/>
      <c r="Y1450" s="1429"/>
    </row>
    <row r="1451" spans="1:25">
      <c r="A1451" s="1428"/>
      <c r="B1451" s="1428"/>
      <c r="C1451" s="1428"/>
      <c r="D1451" s="1428"/>
      <c r="E1451" s="1428"/>
      <c r="R1451" s="1429"/>
      <c r="S1451" s="1429"/>
      <c r="T1451" s="1429"/>
      <c r="U1451" s="1429"/>
      <c r="V1451" s="1429"/>
      <c r="W1451" s="1429"/>
      <c r="X1451" s="1429"/>
      <c r="Y1451" s="1429"/>
    </row>
    <row r="1452" spans="1:25">
      <c r="A1452" s="1428"/>
      <c r="B1452" s="1428"/>
      <c r="C1452" s="1428"/>
      <c r="D1452" s="1428"/>
      <c r="E1452" s="1428"/>
      <c r="R1452" s="1429"/>
      <c r="S1452" s="1429"/>
      <c r="T1452" s="1429"/>
      <c r="U1452" s="1429"/>
      <c r="V1452" s="1429"/>
      <c r="W1452" s="1429"/>
      <c r="X1452" s="1429"/>
      <c r="Y1452" s="1429"/>
    </row>
    <row r="1453" spans="1:25">
      <c r="A1453" s="1428"/>
      <c r="B1453" s="1428"/>
      <c r="C1453" s="1428"/>
      <c r="D1453" s="1428"/>
      <c r="E1453" s="1428"/>
      <c r="R1453" s="1429"/>
      <c r="S1453" s="1429"/>
      <c r="T1453" s="1429"/>
      <c r="U1453" s="1429"/>
      <c r="V1453" s="1429"/>
      <c r="W1453" s="1429"/>
      <c r="X1453" s="1429"/>
      <c r="Y1453" s="1429"/>
    </row>
    <row r="1454" spans="1:25">
      <c r="A1454" s="1428"/>
      <c r="B1454" s="1428"/>
      <c r="C1454" s="1428"/>
      <c r="D1454" s="1428"/>
      <c r="E1454" s="1428"/>
      <c r="R1454" s="1429"/>
      <c r="S1454" s="1429"/>
      <c r="T1454" s="1429"/>
      <c r="U1454" s="1429"/>
      <c r="V1454" s="1429"/>
      <c r="W1454" s="1429"/>
      <c r="X1454" s="1429"/>
      <c r="Y1454" s="1429"/>
    </row>
    <row r="1455" spans="1:25">
      <c r="A1455" s="1428"/>
      <c r="B1455" s="1428"/>
      <c r="C1455" s="1428"/>
      <c r="D1455" s="1428"/>
      <c r="E1455" s="1428"/>
      <c r="R1455" s="1429"/>
      <c r="S1455" s="1429"/>
      <c r="T1455" s="1429"/>
      <c r="U1455" s="1429"/>
      <c r="V1455" s="1429"/>
      <c r="W1455" s="1429"/>
      <c r="X1455" s="1429"/>
      <c r="Y1455" s="1429"/>
    </row>
    <row r="1456" spans="1:25">
      <c r="A1456" s="1428"/>
      <c r="B1456" s="1428"/>
      <c r="C1456" s="1428"/>
      <c r="D1456" s="1428"/>
      <c r="E1456" s="1428"/>
      <c r="R1456" s="1429"/>
      <c r="S1456" s="1429"/>
      <c r="T1456" s="1429"/>
      <c r="U1456" s="1429"/>
      <c r="V1456" s="1429"/>
      <c r="W1456" s="1429"/>
      <c r="X1456" s="1429"/>
      <c r="Y1456" s="1429"/>
    </row>
    <row r="1457" spans="1:25">
      <c r="A1457" s="1428"/>
      <c r="B1457" s="1428"/>
      <c r="C1457" s="1428"/>
      <c r="D1457" s="1428"/>
      <c r="E1457" s="1428"/>
      <c r="R1457" s="1429"/>
      <c r="S1457" s="1429"/>
      <c r="T1457" s="1429"/>
      <c r="U1457" s="1429"/>
      <c r="V1457" s="1429"/>
      <c r="W1457" s="1429"/>
      <c r="X1457" s="1429"/>
      <c r="Y1457" s="1429"/>
    </row>
    <row r="1458" spans="1:25">
      <c r="A1458" s="1428"/>
      <c r="B1458" s="1428"/>
      <c r="C1458" s="1428"/>
      <c r="D1458" s="1428"/>
      <c r="E1458" s="1428"/>
      <c r="R1458" s="1429"/>
      <c r="S1458" s="1429"/>
      <c r="T1458" s="1429"/>
      <c r="U1458" s="1429"/>
      <c r="V1458" s="1429"/>
      <c r="W1458" s="1429"/>
      <c r="X1458" s="1429"/>
      <c r="Y1458" s="1429"/>
    </row>
    <row r="1459" spans="1:25">
      <c r="A1459" s="1428"/>
      <c r="B1459" s="1428"/>
      <c r="C1459" s="1428"/>
      <c r="D1459" s="1428"/>
      <c r="E1459" s="1428"/>
      <c r="R1459" s="1429"/>
      <c r="S1459" s="1429"/>
      <c r="T1459" s="1429"/>
      <c r="U1459" s="1429"/>
      <c r="V1459" s="1429"/>
      <c r="W1459" s="1429"/>
      <c r="X1459" s="1429"/>
      <c r="Y1459" s="1429"/>
    </row>
    <row r="1460" spans="1:25">
      <c r="A1460" s="1428"/>
      <c r="B1460" s="1428"/>
      <c r="C1460" s="1428"/>
      <c r="D1460" s="1428"/>
      <c r="E1460" s="1428"/>
      <c r="R1460" s="1429"/>
      <c r="S1460" s="1429"/>
      <c r="T1460" s="1429"/>
      <c r="U1460" s="1429"/>
      <c r="V1460" s="1429"/>
      <c r="W1460" s="1429"/>
      <c r="X1460" s="1429"/>
      <c r="Y1460" s="1429"/>
    </row>
    <row r="1461" spans="1:25">
      <c r="A1461" s="1428"/>
      <c r="B1461" s="1428"/>
      <c r="C1461" s="1428"/>
      <c r="D1461" s="1428"/>
      <c r="E1461" s="1428"/>
      <c r="R1461" s="1429"/>
      <c r="S1461" s="1429"/>
      <c r="T1461" s="1429"/>
      <c r="U1461" s="1429"/>
      <c r="V1461" s="1429"/>
      <c r="W1461" s="1429"/>
      <c r="X1461" s="1429"/>
      <c r="Y1461" s="1429"/>
    </row>
    <row r="1462" spans="1:25">
      <c r="A1462" s="1428"/>
      <c r="B1462" s="1428"/>
      <c r="C1462" s="1428"/>
      <c r="D1462" s="1428"/>
      <c r="E1462" s="1428"/>
      <c r="R1462" s="1429"/>
      <c r="S1462" s="1429"/>
      <c r="T1462" s="1429"/>
      <c r="U1462" s="1429"/>
      <c r="V1462" s="1429"/>
      <c r="W1462" s="1429"/>
      <c r="X1462" s="1429"/>
      <c r="Y1462" s="1429"/>
    </row>
    <row r="1463" spans="1:25">
      <c r="A1463" s="1428"/>
      <c r="B1463" s="1428"/>
      <c r="C1463" s="1428"/>
      <c r="D1463" s="1428"/>
      <c r="E1463" s="1428"/>
      <c r="R1463" s="1429"/>
      <c r="S1463" s="1429"/>
      <c r="T1463" s="1429"/>
      <c r="U1463" s="1429"/>
      <c r="V1463" s="1429"/>
      <c r="W1463" s="1429"/>
      <c r="X1463" s="1429"/>
      <c r="Y1463" s="1429"/>
    </row>
    <row r="1464" spans="1:25">
      <c r="A1464" s="1428"/>
      <c r="B1464" s="1428"/>
      <c r="C1464" s="1428"/>
      <c r="D1464" s="1428"/>
      <c r="E1464" s="1428"/>
      <c r="R1464" s="1429"/>
      <c r="S1464" s="1429"/>
      <c r="T1464" s="1429"/>
      <c r="U1464" s="1429"/>
      <c r="V1464" s="1429"/>
      <c r="W1464" s="1429"/>
      <c r="X1464" s="1429"/>
      <c r="Y1464" s="1429"/>
    </row>
    <row r="1465" spans="1:25">
      <c r="A1465" s="1428"/>
      <c r="B1465" s="1428"/>
      <c r="C1465" s="1428"/>
      <c r="D1465" s="1428"/>
      <c r="E1465" s="1428"/>
      <c r="R1465" s="1429"/>
      <c r="S1465" s="1429"/>
      <c r="T1465" s="1429"/>
      <c r="U1465" s="1429"/>
      <c r="V1465" s="1429"/>
      <c r="W1465" s="1429"/>
      <c r="X1465" s="1429"/>
      <c r="Y1465" s="1429"/>
    </row>
    <row r="1466" spans="1:25">
      <c r="A1466" s="1428"/>
      <c r="B1466" s="1428"/>
      <c r="C1466" s="1428"/>
      <c r="D1466" s="1428"/>
      <c r="E1466" s="1428"/>
      <c r="R1466" s="1429"/>
      <c r="S1466" s="1429"/>
      <c r="T1466" s="1429"/>
      <c r="U1466" s="1429"/>
      <c r="V1466" s="1429"/>
      <c r="W1466" s="1429"/>
      <c r="X1466" s="1429"/>
      <c r="Y1466" s="1429"/>
    </row>
    <row r="1467" spans="1:25">
      <c r="A1467" s="1428"/>
      <c r="B1467" s="1428"/>
      <c r="C1467" s="1428"/>
      <c r="D1467" s="1428"/>
      <c r="E1467" s="1428"/>
      <c r="R1467" s="1429"/>
      <c r="S1467" s="1429"/>
      <c r="T1467" s="1429"/>
      <c r="U1467" s="1429"/>
      <c r="V1467" s="1429"/>
      <c r="W1467" s="1429"/>
      <c r="X1467" s="1429"/>
      <c r="Y1467" s="1429"/>
    </row>
    <row r="1468" spans="1:25">
      <c r="A1468" s="1428"/>
      <c r="B1468" s="1428"/>
      <c r="C1468" s="1428"/>
      <c r="D1468" s="1428"/>
      <c r="E1468" s="1428"/>
      <c r="R1468" s="1429"/>
      <c r="S1468" s="1429"/>
      <c r="T1468" s="1429"/>
      <c r="U1468" s="1429"/>
      <c r="V1468" s="1429"/>
      <c r="W1468" s="1429"/>
      <c r="X1468" s="1429"/>
      <c r="Y1468" s="1429"/>
    </row>
    <row r="1469" spans="1:25">
      <c r="A1469" s="1428"/>
      <c r="B1469" s="1428"/>
      <c r="C1469" s="1428"/>
      <c r="D1469" s="1428"/>
      <c r="E1469" s="1428"/>
      <c r="R1469" s="1429"/>
      <c r="S1469" s="1429"/>
      <c r="T1469" s="1429"/>
      <c r="U1469" s="1429"/>
      <c r="V1469" s="1429"/>
      <c r="W1469" s="1429"/>
      <c r="X1469" s="1429"/>
      <c r="Y1469" s="1429"/>
    </row>
    <row r="1470" spans="1:25">
      <c r="A1470" s="1428"/>
      <c r="B1470" s="1428"/>
      <c r="C1470" s="1428"/>
      <c r="D1470" s="1428"/>
      <c r="E1470" s="1428"/>
      <c r="R1470" s="1429"/>
      <c r="S1470" s="1429"/>
      <c r="T1470" s="1429"/>
      <c r="U1470" s="1429"/>
      <c r="V1470" s="1429"/>
      <c r="W1470" s="1429"/>
      <c r="X1470" s="1429"/>
      <c r="Y1470" s="1429"/>
    </row>
    <row r="1471" spans="1:25">
      <c r="A1471" s="1428"/>
      <c r="B1471" s="1428"/>
      <c r="C1471" s="1428"/>
      <c r="D1471" s="1428"/>
      <c r="E1471" s="1428"/>
      <c r="R1471" s="1429"/>
      <c r="S1471" s="1429"/>
      <c r="T1471" s="1429"/>
      <c r="U1471" s="1429"/>
      <c r="V1471" s="1429"/>
      <c r="W1471" s="1429"/>
      <c r="X1471" s="1429"/>
      <c r="Y1471" s="1429"/>
    </row>
    <row r="1472" spans="1:25">
      <c r="A1472" s="1428"/>
      <c r="B1472" s="1428"/>
      <c r="C1472" s="1428"/>
      <c r="D1472" s="1428"/>
      <c r="E1472" s="1428"/>
      <c r="R1472" s="1429"/>
      <c r="S1472" s="1429"/>
      <c r="T1472" s="1429"/>
      <c r="U1472" s="1429"/>
      <c r="V1472" s="1429"/>
      <c r="W1472" s="1429"/>
      <c r="X1472" s="1429"/>
      <c r="Y1472" s="1429"/>
    </row>
    <row r="1473" spans="1:25">
      <c r="A1473" s="1428"/>
      <c r="B1473" s="1428"/>
      <c r="C1473" s="1428"/>
      <c r="D1473" s="1428"/>
      <c r="E1473" s="1428"/>
      <c r="R1473" s="1429"/>
      <c r="S1473" s="1429"/>
      <c r="T1473" s="1429"/>
      <c r="U1473" s="1429"/>
      <c r="V1473" s="1429"/>
      <c r="W1473" s="1429"/>
      <c r="X1473" s="1429"/>
      <c r="Y1473" s="1429"/>
    </row>
    <row r="1474" spans="1:25">
      <c r="A1474" s="1428"/>
      <c r="B1474" s="1428"/>
      <c r="C1474" s="1428"/>
      <c r="D1474" s="1428"/>
      <c r="E1474" s="1428"/>
      <c r="R1474" s="1429"/>
      <c r="S1474" s="1429"/>
      <c r="T1474" s="1429"/>
      <c r="U1474" s="1429"/>
      <c r="V1474" s="1429"/>
      <c r="W1474" s="1429"/>
      <c r="X1474" s="1429"/>
      <c r="Y1474" s="1429"/>
    </row>
    <row r="1475" spans="1:25">
      <c r="A1475" s="1428"/>
      <c r="B1475" s="1428"/>
      <c r="C1475" s="1428"/>
      <c r="D1475" s="1428"/>
      <c r="E1475" s="1428"/>
      <c r="R1475" s="1429"/>
      <c r="S1475" s="1429"/>
      <c r="T1475" s="1429"/>
      <c r="U1475" s="1429"/>
      <c r="V1475" s="1429"/>
      <c r="W1475" s="1429"/>
      <c r="X1475" s="1429"/>
      <c r="Y1475" s="1429"/>
    </row>
    <row r="1476" spans="1:25">
      <c r="A1476" s="1428"/>
      <c r="B1476" s="1428"/>
      <c r="C1476" s="1428"/>
      <c r="D1476" s="1428"/>
      <c r="E1476" s="1428"/>
      <c r="R1476" s="1429"/>
      <c r="S1476" s="1429"/>
      <c r="T1476" s="1429"/>
      <c r="U1476" s="1429"/>
      <c r="V1476" s="1429"/>
      <c r="W1476" s="1429"/>
      <c r="X1476" s="1429"/>
      <c r="Y1476" s="1429"/>
    </row>
    <row r="1477" spans="1:25">
      <c r="A1477" s="1428"/>
      <c r="B1477" s="1428"/>
      <c r="C1477" s="1428"/>
      <c r="D1477" s="1428"/>
      <c r="E1477" s="1428"/>
      <c r="R1477" s="1429"/>
      <c r="S1477" s="1429"/>
      <c r="T1477" s="1429"/>
      <c r="U1477" s="1429"/>
      <c r="V1477" s="1429"/>
      <c r="W1477" s="1429"/>
      <c r="X1477" s="1429"/>
      <c r="Y1477" s="1429"/>
    </row>
    <row r="1478" spans="1:25">
      <c r="A1478" s="1428"/>
      <c r="B1478" s="1428"/>
      <c r="C1478" s="1428"/>
      <c r="D1478" s="1428"/>
      <c r="E1478" s="1428"/>
      <c r="R1478" s="1429"/>
      <c r="S1478" s="1429"/>
      <c r="T1478" s="1429"/>
      <c r="U1478" s="1429"/>
      <c r="V1478" s="1429"/>
      <c r="W1478" s="1429"/>
      <c r="X1478" s="1429"/>
      <c r="Y1478" s="1429"/>
    </row>
    <row r="1479" spans="1:25">
      <c r="A1479" s="1428"/>
      <c r="B1479" s="1428"/>
      <c r="C1479" s="1428"/>
      <c r="D1479" s="1428"/>
      <c r="E1479" s="1428"/>
      <c r="R1479" s="1429"/>
      <c r="S1479" s="1429"/>
      <c r="T1479" s="1429"/>
      <c r="U1479" s="1429"/>
      <c r="V1479" s="1429"/>
      <c r="W1479" s="1429"/>
      <c r="X1479" s="1429"/>
      <c r="Y1479" s="1429"/>
    </row>
    <row r="1480" spans="1:25">
      <c r="A1480" s="1428"/>
      <c r="B1480" s="1428"/>
      <c r="C1480" s="1428"/>
      <c r="D1480" s="1428"/>
      <c r="E1480" s="1428"/>
      <c r="R1480" s="1429"/>
      <c r="S1480" s="1429"/>
      <c r="T1480" s="1429"/>
      <c r="U1480" s="1429"/>
      <c r="V1480" s="1429"/>
      <c r="W1480" s="1429"/>
      <c r="X1480" s="1429"/>
      <c r="Y1480" s="1429"/>
    </row>
    <row r="1481" spans="1:25">
      <c r="A1481" s="1428"/>
      <c r="B1481" s="1428"/>
      <c r="C1481" s="1428"/>
      <c r="D1481" s="1428"/>
      <c r="E1481" s="1428"/>
      <c r="R1481" s="1429"/>
      <c r="S1481" s="1429"/>
      <c r="T1481" s="1429"/>
      <c r="U1481" s="1429"/>
      <c r="V1481" s="1429"/>
      <c r="W1481" s="1429"/>
      <c r="X1481" s="1429"/>
      <c r="Y1481" s="1429"/>
    </row>
    <row r="1482" spans="1:25">
      <c r="A1482" s="1428"/>
      <c r="B1482" s="1428"/>
      <c r="C1482" s="1428"/>
      <c r="D1482" s="1428"/>
      <c r="E1482" s="1428"/>
      <c r="R1482" s="1429"/>
      <c r="S1482" s="1429"/>
      <c r="T1482" s="1429"/>
      <c r="U1482" s="1429"/>
      <c r="V1482" s="1429"/>
      <c r="W1482" s="1429"/>
      <c r="X1482" s="1429"/>
      <c r="Y1482" s="1429"/>
    </row>
    <row r="1483" spans="1:25">
      <c r="A1483" s="1428"/>
      <c r="B1483" s="1428"/>
      <c r="C1483" s="1428"/>
      <c r="D1483" s="1428"/>
      <c r="E1483" s="1428"/>
      <c r="R1483" s="1429"/>
      <c r="S1483" s="1429"/>
      <c r="T1483" s="1429"/>
      <c r="U1483" s="1429"/>
      <c r="V1483" s="1429"/>
      <c r="W1483" s="1429"/>
      <c r="X1483" s="1429"/>
      <c r="Y1483" s="1429"/>
    </row>
    <row r="1484" spans="1:25">
      <c r="A1484" s="1428"/>
      <c r="B1484" s="1428"/>
      <c r="C1484" s="1428"/>
      <c r="D1484" s="1428"/>
      <c r="E1484" s="1428"/>
      <c r="R1484" s="1429"/>
      <c r="S1484" s="1429"/>
      <c r="T1484" s="1429"/>
      <c r="U1484" s="1429"/>
      <c r="V1484" s="1429"/>
      <c r="W1484" s="1429"/>
      <c r="X1484" s="1429"/>
      <c r="Y1484" s="1429"/>
    </row>
    <row r="1485" spans="1:25">
      <c r="A1485" s="1428"/>
      <c r="B1485" s="1428"/>
      <c r="C1485" s="1428"/>
      <c r="D1485" s="1428"/>
      <c r="E1485" s="1428"/>
      <c r="R1485" s="1429"/>
      <c r="S1485" s="1429"/>
      <c r="T1485" s="1429"/>
      <c r="U1485" s="1429"/>
      <c r="V1485" s="1429"/>
      <c r="W1485" s="1429"/>
      <c r="X1485" s="1429"/>
      <c r="Y1485" s="1429"/>
    </row>
    <row r="1486" spans="1:25">
      <c r="A1486" s="1428"/>
      <c r="B1486" s="1428"/>
      <c r="C1486" s="1428"/>
      <c r="D1486" s="1428"/>
      <c r="E1486" s="1428"/>
      <c r="R1486" s="1429"/>
      <c r="S1486" s="1429"/>
      <c r="T1486" s="1429"/>
      <c r="U1486" s="1429"/>
      <c r="V1486" s="1429"/>
      <c r="W1486" s="1429"/>
      <c r="X1486" s="1429"/>
      <c r="Y1486" s="1429"/>
    </row>
    <row r="1487" spans="1:25">
      <c r="A1487" s="1428"/>
      <c r="B1487" s="1428"/>
      <c r="C1487" s="1428"/>
      <c r="D1487" s="1428"/>
      <c r="E1487" s="1428"/>
      <c r="R1487" s="1429"/>
      <c r="S1487" s="1429"/>
      <c r="T1487" s="1429"/>
      <c r="U1487" s="1429"/>
      <c r="V1487" s="1429"/>
      <c r="W1487" s="1429"/>
      <c r="X1487" s="1429"/>
      <c r="Y1487" s="1429"/>
    </row>
    <row r="1488" spans="1:25">
      <c r="A1488" s="1428"/>
      <c r="B1488" s="1428"/>
      <c r="C1488" s="1428"/>
      <c r="D1488" s="1428"/>
      <c r="E1488" s="1428"/>
      <c r="R1488" s="1429"/>
      <c r="S1488" s="1429"/>
      <c r="T1488" s="1429"/>
      <c r="U1488" s="1429"/>
      <c r="V1488" s="1429"/>
      <c r="W1488" s="1429"/>
      <c r="X1488" s="1429"/>
      <c r="Y1488" s="1429"/>
    </row>
    <row r="1489" spans="1:25">
      <c r="A1489" s="1428"/>
      <c r="B1489" s="1428"/>
      <c r="C1489" s="1428"/>
      <c r="D1489" s="1428"/>
      <c r="E1489" s="1428"/>
      <c r="R1489" s="1429"/>
      <c r="S1489" s="1429"/>
      <c r="T1489" s="1429"/>
      <c r="U1489" s="1429"/>
      <c r="V1489" s="1429"/>
      <c r="W1489" s="1429"/>
      <c r="X1489" s="1429"/>
      <c r="Y1489" s="1429"/>
    </row>
    <row r="1490" spans="1:25">
      <c r="A1490" s="1428"/>
      <c r="B1490" s="1428"/>
      <c r="C1490" s="1428"/>
      <c r="D1490" s="1428"/>
      <c r="E1490" s="1428"/>
      <c r="R1490" s="1429"/>
      <c r="S1490" s="1429"/>
      <c r="T1490" s="1429"/>
      <c r="U1490" s="1429"/>
      <c r="V1490" s="1429"/>
      <c r="W1490" s="1429"/>
      <c r="X1490" s="1429"/>
      <c r="Y1490" s="1429"/>
    </row>
    <row r="1491" spans="1:25">
      <c r="A1491" s="1428"/>
      <c r="B1491" s="1428"/>
      <c r="C1491" s="1428"/>
      <c r="D1491" s="1428"/>
      <c r="E1491" s="1428"/>
      <c r="R1491" s="1429"/>
      <c r="S1491" s="1429"/>
      <c r="T1491" s="1429"/>
      <c r="U1491" s="1429"/>
      <c r="V1491" s="1429"/>
      <c r="W1491" s="1429"/>
      <c r="X1491" s="1429"/>
      <c r="Y1491" s="1429"/>
    </row>
    <row r="1492" spans="1:25">
      <c r="A1492" s="1428"/>
      <c r="B1492" s="1428"/>
      <c r="C1492" s="1428"/>
      <c r="D1492" s="1428"/>
      <c r="E1492" s="1428"/>
      <c r="R1492" s="1429"/>
      <c r="S1492" s="1429"/>
      <c r="T1492" s="1429"/>
      <c r="U1492" s="1429"/>
      <c r="V1492" s="1429"/>
      <c r="W1492" s="1429"/>
      <c r="X1492" s="1429"/>
      <c r="Y1492" s="1429"/>
    </row>
    <row r="1493" spans="1:25">
      <c r="A1493" s="1428"/>
      <c r="B1493" s="1428"/>
      <c r="C1493" s="1428"/>
      <c r="D1493" s="1428"/>
      <c r="E1493" s="1428"/>
      <c r="R1493" s="1429"/>
      <c r="S1493" s="1429"/>
      <c r="T1493" s="1429"/>
      <c r="U1493" s="1429"/>
      <c r="V1493" s="1429"/>
      <c r="W1493" s="1429"/>
      <c r="X1493" s="1429"/>
      <c r="Y1493" s="1429"/>
    </row>
    <row r="1494" spans="1:25">
      <c r="A1494" s="1428"/>
      <c r="B1494" s="1428"/>
      <c r="C1494" s="1428"/>
      <c r="D1494" s="1428"/>
      <c r="E1494" s="1428"/>
      <c r="R1494" s="1429"/>
      <c r="S1494" s="1429"/>
      <c r="T1494" s="1429"/>
      <c r="U1494" s="1429"/>
      <c r="V1494" s="1429"/>
      <c r="W1494" s="1429"/>
      <c r="X1494" s="1429"/>
      <c r="Y1494" s="1429"/>
    </row>
    <row r="1495" spans="1:25">
      <c r="A1495" s="1428"/>
      <c r="B1495" s="1428"/>
      <c r="C1495" s="1428"/>
      <c r="D1495" s="1428"/>
      <c r="E1495" s="1428"/>
      <c r="R1495" s="1429"/>
      <c r="S1495" s="1429"/>
      <c r="T1495" s="1429"/>
      <c r="U1495" s="1429"/>
      <c r="V1495" s="1429"/>
      <c r="W1495" s="1429"/>
      <c r="X1495" s="1429"/>
      <c r="Y1495" s="1429"/>
    </row>
    <row r="1496" spans="1:25">
      <c r="A1496" s="1428"/>
      <c r="B1496" s="1428"/>
      <c r="C1496" s="1428"/>
      <c r="D1496" s="1428"/>
      <c r="E1496" s="1428"/>
      <c r="R1496" s="1429"/>
      <c r="S1496" s="1429"/>
      <c r="T1496" s="1429"/>
      <c r="U1496" s="1429"/>
      <c r="V1496" s="1429"/>
      <c r="W1496" s="1429"/>
      <c r="X1496" s="1429"/>
      <c r="Y1496" s="1429"/>
    </row>
    <row r="1497" spans="1:25">
      <c r="A1497" s="1428"/>
      <c r="B1497" s="1428"/>
      <c r="C1497" s="1428"/>
      <c r="D1497" s="1428"/>
      <c r="E1497" s="1428"/>
      <c r="R1497" s="1429"/>
      <c r="S1497" s="1429"/>
      <c r="T1497" s="1429"/>
      <c r="U1497" s="1429"/>
      <c r="V1497" s="1429"/>
      <c r="W1497" s="1429"/>
      <c r="X1497" s="1429"/>
      <c r="Y1497" s="1429"/>
    </row>
    <row r="1498" spans="1:25">
      <c r="A1498" s="1428"/>
      <c r="B1498" s="1428"/>
      <c r="C1498" s="1428"/>
      <c r="D1498" s="1428"/>
      <c r="E1498" s="1428"/>
      <c r="R1498" s="1429"/>
      <c r="S1498" s="1429"/>
      <c r="T1498" s="1429"/>
      <c r="U1498" s="1429"/>
      <c r="V1498" s="1429"/>
      <c r="W1498" s="1429"/>
      <c r="X1498" s="1429"/>
      <c r="Y1498" s="1429"/>
    </row>
    <row r="1499" spans="1:25">
      <c r="A1499" s="1428"/>
      <c r="B1499" s="1428"/>
      <c r="C1499" s="1428"/>
      <c r="D1499" s="1428"/>
      <c r="E1499" s="1428"/>
      <c r="R1499" s="1429"/>
      <c r="S1499" s="1429"/>
      <c r="T1499" s="1429"/>
      <c r="U1499" s="1429"/>
      <c r="V1499" s="1429"/>
      <c r="W1499" s="1429"/>
      <c r="X1499" s="1429"/>
      <c r="Y1499" s="1429"/>
    </row>
    <row r="1500" spans="1:25">
      <c r="A1500" s="1428"/>
      <c r="B1500" s="1428"/>
      <c r="C1500" s="1428"/>
      <c r="D1500" s="1428"/>
      <c r="E1500" s="1428"/>
      <c r="R1500" s="1429"/>
      <c r="S1500" s="1429"/>
      <c r="T1500" s="1429"/>
      <c r="U1500" s="1429"/>
      <c r="V1500" s="1429"/>
      <c r="W1500" s="1429"/>
      <c r="X1500" s="1429"/>
      <c r="Y1500" s="1429"/>
    </row>
    <row r="1501" spans="1:25">
      <c r="A1501" s="1428"/>
      <c r="B1501" s="1428"/>
      <c r="C1501" s="1428"/>
      <c r="D1501" s="1428"/>
      <c r="E1501" s="1428"/>
      <c r="R1501" s="1429"/>
      <c r="S1501" s="1429"/>
      <c r="T1501" s="1429"/>
      <c r="U1501" s="1429"/>
      <c r="V1501" s="1429"/>
      <c r="W1501" s="1429"/>
      <c r="X1501" s="1429"/>
      <c r="Y1501" s="1429"/>
    </row>
    <row r="1502" spans="1:25">
      <c r="A1502" s="1428"/>
      <c r="B1502" s="1428"/>
      <c r="C1502" s="1428"/>
      <c r="D1502" s="1428"/>
      <c r="E1502" s="1428"/>
      <c r="R1502" s="1429"/>
      <c r="S1502" s="1429"/>
      <c r="T1502" s="1429"/>
      <c r="U1502" s="1429"/>
      <c r="V1502" s="1429"/>
      <c r="W1502" s="1429"/>
      <c r="X1502" s="1429"/>
      <c r="Y1502" s="1429"/>
    </row>
    <row r="1503" spans="1:25">
      <c r="A1503" s="1428"/>
      <c r="B1503" s="1428"/>
      <c r="C1503" s="1428"/>
      <c r="D1503" s="1428"/>
      <c r="E1503" s="1428"/>
      <c r="R1503" s="1429"/>
      <c r="S1503" s="1429"/>
      <c r="T1503" s="1429"/>
      <c r="U1503" s="1429"/>
      <c r="V1503" s="1429"/>
      <c r="W1503" s="1429"/>
      <c r="X1503" s="1429"/>
      <c r="Y1503" s="1429"/>
    </row>
    <row r="1504" spans="1:25">
      <c r="A1504" s="1428"/>
      <c r="B1504" s="1428"/>
      <c r="C1504" s="1428"/>
      <c r="D1504" s="1428"/>
      <c r="E1504" s="1428"/>
      <c r="R1504" s="1429"/>
      <c r="S1504" s="1429"/>
      <c r="T1504" s="1429"/>
      <c r="U1504" s="1429"/>
      <c r="V1504" s="1429"/>
      <c r="W1504" s="1429"/>
      <c r="X1504" s="1429"/>
      <c r="Y1504" s="1429"/>
    </row>
    <row r="1505" spans="1:25">
      <c r="A1505" s="1428"/>
      <c r="B1505" s="1428"/>
      <c r="C1505" s="1428"/>
      <c r="D1505" s="1428"/>
      <c r="E1505" s="1428"/>
      <c r="R1505" s="1429"/>
      <c r="S1505" s="1429"/>
      <c r="T1505" s="1429"/>
      <c r="U1505" s="1429"/>
      <c r="V1505" s="1429"/>
      <c r="W1505" s="1429"/>
      <c r="X1505" s="1429"/>
      <c r="Y1505" s="1429"/>
    </row>
    <row r="1506" spans="1:25">
      <c r="A1506" s="1428"/>
      <c r="B1506" s="1428"/>
      <c r="C1506" s="1428"/>
      <c r="D1506" s="1428"/>
      <c r="E1506" s="1428"/>
      <c r="R1506" s="1429"/>
      <c r="S1506" s="1429"/>
      <c r="T1506" s="1429"/>
      <c r="U1506" s="1429"/>
      <c r="V1506" s="1429"/>
      <c r="W1506" s="1429"/>
      <c r="X1506" s="1429"/>
      <c r="Y1506" s="1429"/>
    </row>
    <row r="1507" spans="1:25">
      <c r="A1507" s="1428"/>
      <c r="B1507" s="1428"/>
      <c r="C1507" s="1428"/>
      <c r="D1507" s="1428"/>
      <c r="E1507" s="1428"/>
      <c r="R1507" s="1429"/>
      <c r="S1507" s="1429"/>
      <c r="T1507" s="1429"/>
      <c r="U1507" s="1429"/>
      <c r="V1507" s="1429"/>
      <c r="W1507" s="1429"/>
      <c r="X1507" s="1429"/>
      <c r="Y1507" s="1429"/>
    </row>
    <row r="1508" spans="1:25">
      <c r="A1508" s="1428"/>
      <c r="B1508" s="1428"/>
      <c r="C1508" s="1428"/>
      <c r="D1508" s="1428"/>
      <c r="E1508" s="1428"/>
      <c r="R1508" s="1429"/>
      <c r="S1508" s="1429"/>
      <c r="T1508" s="1429"/>
      <c r="U1508" s="1429"/>
      <c r="V1508" s="1429"/>
      <c r="W1508" s="1429"/>
      <c r="X1508" s="1429"/>
      <c r="Y1508" s="1429"/>
    </row>
    <row r="1509" spans="1:25">
      <c r="A1509" s="1428"/>
      <c r="B1509" s="1428"/>
      <c r="C1509" s="1428"/>
      <c r="D1509" s="1428"/>
      <c r="E1509" s="1428"/>
      <c r="R1509" s="1429"/>
      <c r="S1509" s="1429"/>
      <c r="T1509" s="1429"/>
      <c r="U1509" s="1429"/>
      <c r="V1509" s="1429"/>
      <c r="W1509" s="1429"/>
      <c r="X1509" s="1429"/>
      <c r="Y1509" s="1429"/>
    </row>
    <row r="1510" spans="1:25">
      <c r="A1510" s="1428"/>
      <c r="B1510" s="1428"/>
      <c r="C1510" s="1428"/>
      <c r="D1510" s="1428"/>
      <c r="E1510" s="1428"/>
      <c r="R1510" s="1429"/>
      <c r="S1510" s="1429"/>
      <c r="T1510" s="1429"/>
      <c r="U1510" s="1429"/>
      <c r="V1510" s="1429"/>
      <c r="W1510" s="1429"/>
      <c r="X1510" s="1429"/>
      <c r="Y1510" s="1429"/>
    </row>
    <row r="1511" spans="1:25">
      <c r="A1511" s="1428"/>
      <c r="B1511" s="1428"/>
      <c r="C1511" s="1428"/>
      <c r="D1511" s="1428"/>
      <c r="E1511" s="1428"/>
      <c r="R1511" s="1429"/>
      <c r="S1511" s="1429"/>
      <c r="T1511" s="1429"/>
      <c r="U1511" s="1429"/>
      <c r="V1511" s="1429"/>
      <c r="W1511" s="1429"/>
      <c r="X1511" s="1429"/>
      <c r="Y1511" s="1429"/>
    </row>
    <row r="1512" spans="1:25">
      <c r="A1512" s="1428"/>
      <c r="B1512" s="1428"/>
      <c r="C1512" s="1428"/>
      <c r="D1512" s="1428"/>
      <c r="E1512" s="1428"/>
      <c r="R1512" s="1429"/>
      <c r="S1512" s="1429"/>
      <c r="T1512" s="1429"/>
      <c r="U1512" s="1429"/>
      <c r="V1512" s="1429"/>
      <c r="W1512" s="1429"/>
      <c r="X1512" s="1429"/>
      <c r="Y1512" s="1429"/>
    </row>
    <row r="1513" spans="1:25">
      <c r="A1513" s="1428"/>
      <c r="B1513" s="1428"/>
      <c r="C1513" s="1428"/>
      <c r="D1513" s="1428"/>
      <c r="E1513" s="1428"/>
      <c r="R1513" s="1429"/>
      <c r="S1513" s="1429"/>
      <c r="T1513" s="1429"/>
      <c r="U1513" s="1429"/>
      <c r="V1513" s="1429"/>
      <c r="W1513" s="1429"/>
      <c r="X1513" s="1429"/>
      <c r="Y1513" s="1429"/>
    </row>
    <row r="1514" spans="1:25">
      <c r="A1514" s="1428"/>
      <c r="B1514" s="1428"/>
      <c r="C1514" s="1428"/>
      <c r="D1514" s="1428"/>
      <c r="E1514" s="1428"/>
      <c r="R1514" s="1429"/>
      <c r="S1514" s="1429"/>
      <c r="T1514" s="1429"/>
      <c r="U1514" s="1429"/>
      <c r="V1514" s="1429"/>
      <c r="W1514" s="1429"/>
      <c r="X1514" s="1429"/>
      <c r="Y1514" s="1429"/>
    </row>
    <row r="1515" spans="1:25">
      <c r="A1515" s="1428"/>
      <c r="B1515" s="1428"/>
      <c r="C1515" s="1428"/>
      <c r="D1515" s="1428"/>
      <c r="E1515" s="1428"/>
      <c r="R1515" s="1429"/>
      <c r="S1515" s="1429"/>
      <c r="T1515" s="1429"/>
      <c r="U1515" s="1429"/>
      <c r="V1515" s="1429"/>
      <c r="W1515" s="1429"/>
      <c r="X1515" s="1429"/>
      <c r="Y1515" s="1429"/>
    </row>
    <row r="1516" spans="1:25">
      <c r="A1516" s="1428"/>
      <c r="B1516" s="1428"/>
      <c r="C1516" s="1428"/>
      <c r="D1516" s="1428"/>
      <c r="E1516" s="1428"/>
      <c r="R1516" s="1429"/>
      <c r="S1516" s="1429"/>
      <c r="T1516" s="1429"/>
      <c r="U1516" s="1429"/>
      <c r="V1516" s="1429"/>
      <c r="W1516" s="1429"/>
      <c r="X1516" s="1429"/>
      <c r="Y1516" s="1429"/>
    </row>
    <row r="1517" spans="1:25">
      <c r="A1517" s="1428"/>
      <c r="B1517" s="1428"/>
      <c r="C1517" s="1428"/>
      <c r="D1517" s="1428"/>
      <c r="E1517" s="1428"/>
      <c r="R1517" s="1429"/>
      <c r="S1517" s="1429"/>
      <c r="T1517" s="1429"/>
      <c r="U1517" s="1429"/>
      <c r="V1517" s="1429"/>
      <c r="W1517" s="1429"/>
      <c r="X1517" s="1429"/>
      <c r="Y1517" s="1429"/>
    </row>
    <row r="1518" spans="1:25">
      <c r="A1518" s="1428"/>
      <c r="B1518" s="1428"/>
      <c r="C1518" s="1428"/>
      <c r="D1518" s="1428"/>
      <c r="E1518" s="1428"/>
      <c r="R1518" s="1429"/>
      <c r="S1518" s="1429"/>
      <c r="T1518" s="1429"/>
      <c r="U1518" s="1429"/>
      <c r="V1518" s="1429"/>
      <c r="W1518" s="1429"/>
      <c r="X1518" s="1429"/>
      <c r="Y1518" s="1429"/>
    </row>
    <row r="1519" spans="1:25">
      <c r="A1519" s="1428"/>
      <c r="B1519" s="1428"/>
      <c r="C1519" s="1428"/>
      <c r="D1519" s="1428"/>
      <c r="E1519" s="1428"/>
      <c r="R1519" s="1429"/>
      <c r="S1519" s="1429"/>
      <c r="T1519" s="1429"/>
      <c r="U1519" s="1429"/>
      <c r="V1519" s="1429"/>
      <c r="W1519" s="1429"/>
      <c r="X1519" s="1429"/>
      <c r="Y1519" s="1429"/>
    </row>
    <row r="1520" spans="1:25">
      <c r="A1520" s="1428"/>
      <c r="B1520" s="1428"/>
      <c r="C1520" s="1428"/>
      <c r="D1520" s="1428"/>
      <c r="E1520" s="1428"/>
      <c r="R1520" s="1429"/>
      <c r="S1520" s="1429"/>
      <c r="T1520" s="1429"/>
      <c r="U1520" s="1429"/>
      <c r="V1520" s="1429"/>
      <c r="W1520" s="1429"/>
      <c r="X1520" s="1429"/>
      <c r="Y1520" s="1429"/>
    </row>
    <row r="1521" spans="1:25">
      <c r="A1521" s="1428"/>
      <c r="B1521" s="1428"/>
      <c r="C1521" s="1428"/>
      <c r="D1521" s="1428"/>
      <c r="E1521" s="1428"/>
      <c r="R1521" s="1429"/>
      <c r="S1521" s="1429"/>
      <c r="T1521" s="1429"/>
      <c r="U1521" s="1429"/>
      <c r="V1521" s="1429"/>
      <c r="W1521" s="1429"/>
      <c r="X1521" s="1429"/>
      <c r="Y1521" s="1429"/>
    </row>
    <row r="1522" spans="1:25">
      <c r="A1522" s="1428"/>
      <c r="B1522" s="1428"/>
      <c r="C1522" s="1428"/>
      <c r="D1522" s="1428"/>
      <c r="E1522" s="1428"/>
      <c r="R1522" s="1429"/>
      <c r="S1522" s="1429"/>
      <c r="T1522" s="1429"/>
      <c r="U1522" s="1429"/>
      <c r="V1522" s="1429"/>
      <c r="W1522" s="1429"/>
      <c r="X1522" s="1429"/>
      <c r="Y1522" s="1429"/>
    </row>
    <row r="1523" spans="1:25">
      <c r="A1523" s="1428"/>
      <c r="B1523" s="1428"/>
      <c r="C1523" s="1428"/>
      <c r="D1523" s="1428"/>
      <c r="E1523" s="1428"/>
      <c r="R1523" s="1429"/>
      <c r="S1523" s="1429"/>
      <c r="T1523" s="1429"/>
      <c r="U1523" s="1429"/>
      <c r="V1523" s="1429"/>
      <c r="W1523" s="1429"/>
      <c r="X1523" s="1429"/>
      <c r="Y1523" s="1429"/>
    </row>
    <row r="1524" spans="1:25">
      <c r="A1524" s="1428"/>
      <c r="B1524" s="1428"/>
      <c r="C1524" s="1428"/>
      <c r="D1524" s="1428"/>
      <c r="E1524" s="1428"/>
      <c r="R1524" s="1429"/>
      <c r="S1524" s="1429"/>
      <c r="T1524" s="1429"/>
      <c r="U1524" s="1429"/>
      <c r="V1524" s="1429"/>
      <c r="W1524" s="1429"/>
      <c r="X1524" s="1429"/>
      <c r="Y1524" s="1429"/>
    </row>
    <row r="1525" spans="1:25">
      <c r="A1525" s="1428"/>
      <c r="B1525" s="1428"/>
      <c r="C1525" s="1428"/>
      <c r="D1525" s="1428"/>
      <c r="E1525" s="1428"/>
      <c r="R1525" s="1429"/>
      <c r="S1525" s="1429"/>
      <c r="T1525" s="1429"/>
      <c r="U1525" s="1429"/>
      <c r="V1525" s="1429"/>
      <c r="W1525" s="1429"/>
      <c r="X1525" s="1429"/>
      <c r="Y1525" s="1429"/>
    </row>
    <row r="1526" spans="1:25">
      <c r="A1526" s="1428"/>
      <c r="B1526" s="1428"/>
      <c r="C1526" s="1428"/>
      <c r="D1526" s="1428"/>
      <c r="E1526" s="1428"/>
      <c r="R1526" s="1429"/>
      <c r="S1526" s="1429"/>
      <c r="T1526" s="1429"/>
      <c r="U1526" s="1429"/>
      <c r="V1526" s="1429"/>
      <c r="W1526" s="1429"/>
      <c r="X1526" s="1429"/>
      <c r="Y1526" s="1429"/>
    </row>
    <row r="1527" spans="1:25">
      <c r="E1527" s="1428"/>
      <c r="R1527" s="1429"/>
      <c r="S1527" s="1429"/>
      <c r="T1527" s="1429"/>
      <c r="U1527" s="1429"/>
      <c r="V1527" s="1429"/>
      <c r="W1527" s="1429"/>
      <c r="X1527" s="1429"/>
      <c r="Y1527" s="1429"/>
    </row>
    <row r="1528" spans="1:25">
      <c r="E1528" s="1428"/>
      <c r="R1528" s="1429"/>
      <c r="S1528" s="1429"/>
      <c r="T1528" s="1429"/>
      <c r="U1528" s="1429"/>
      <c r="V1528" s="1429"/>
      <c r="W1528" s="1429"/>
      <c r="X1528" s="1429"/>
      <c r="Y1528" s="1429"/>
    </row>
  </sheetData>
  <mergeCells count="21">
    <mergeCell ref="C8:D8"/>
    <mergeCell ref="A14:B14"/>
    <mergeCell ref="A30:B30"/>
    <mergeCell ref="C11:D11"/>
    <mergeCell ref="C13:D13"/>
    <mergeCell ref="A73:B73"/>
    <mergeCell ref="C30:D30"/>
    <mergeCell ref="C53:D53"/>
    <mergeCell ref="A79:B79"/>
    <mergeCell ref="C79:D79"/>
    <mergeCell ref="A67:B67"/>
    <mergeCell ref="A52:B52"/>
    <mergeCell ref="C67:D67"/>
    <mergeCell ref="A45:B45"/>
    <mergeCell ref="C73:D73"/>
    <mergeCell ref="C60:D60"/>
    <mergeCell ref="C31:D31"/>
    <mergeCell ref="C38:D38"/>
    <mergeCell ref="C45:D45"/>
    <mergeCell ref="C52:D52"/>
    <mergeCell ref="A38:B38"/>
  </mergeCells>
  <phoneticPr fontId="3" type="noConversion"/>
  <dataValidations count="2">
    <dataValidation type="whole" allowBlank="1" showInputMessage="1" showErrorMessage="1" sqref="B18:B19 B24:B25">
      <formula1>0</formula1>
      <formula2>9999</formula2>
    </dataValidation>
    <dataValidation type="list" allowBlank="1" showInputMessage="1" showErrorMessage="1" sqref="B5">
      <formula1>$P$4:$P$338</formula1>
    </dataValidation>
  </dataValidations>
  <hyperlinks>
    <hyperlink ref="C6" location="_ftn1" display="¹  Grade in terms of the Remuneration of Public Office Bearers Act."/>
    <hyperlink ref="B10" r:id="rId1"/>
    <hyperlink ref="B12" r:id="rId2"/>
    <hyperlink ref="B43" r:id="rId3"/>
    <hyperlink ref="D43" r:id="rId4"/>
    <hyperlink ref="B58" r:id="rId5"/>
    <hyperlink ref="D58" r:id="rId6"/>
    <hyperlink ref="B65" r:id="rId7"/>
    <hyperlink ref="D65" r:id="rId8"/>
  </hyperlinks>
  <pageMargins left="0.75" right="0.27" top="1" bottom="1" header="0.5" footer="0.5"/>
  <pageSetup scale="67" orientation="portrait" r:id="rId9"/>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indexed="40"/>
    <pageSetUpPr fitToPage="1"/>
  </sheetPr>
  <dimension ref="A1:L79"/>
  <sheetViews>
    <sheetView workbookViewId="0"/>
  </sheetViews>
  <sheetFormatPr defaultRowHeight="12.75"/>
  <sheetData>
    <row r="1" spans="1:12">
      <c r="A1" s="1190" t="s">
        <v>1956</v>
      </c>
    </row>
    <row r="2" spans="1:12">
      <c r="A2" s="2848" t="s">
        <v>1838</v>
      </c>
      <c r="B2" s="2849"/>
      <c r="C2" s="2849"/>
      <c r="D2" s="2849"/>
      <c r="E2" s="2849"/>
      <c r="F2" s="2849"/>
      <c r="G2" s="2849"/>
      <c r="H2" s="2849"/>
      <c r="I2" s="2849"/>
      <c r="J2" s="2850"/>
      <c r="K2" s="2"/>
      <c r="L2" s="2"/>
    </row>
    <row r="3" spans="1:12">
      <c r="A3" s="41" t="s">
        <v>1785</v>
      </c>
      <c r="B3" s="49"/>
      <c r="C3" s="49"/>
      <c r="D3" s="49"/>
      <c r="E3" s="42"/>
      <c r="F3" s="42"/>
      <c r="G3" s="42"/>
      <c r="H3" s="42"/>
      <c r="I3" s="42"/>
      <c r="J3" s="43"/>
      <c r="K3" s="2"/>
      <c r="L3" s="2"/>
    </row>
    <row r="4" spans="1:12">
      <c r="A4" s="44" t="s">
        <v>708</v>
      </c>
      <c r="B4" s="50"/>
      <c r="C4" s="50"/>
      <c r="D4" s="50"/>
      <c r="E4" s="45"/>
      <c r="F4" s="45"/>
      <c r="G4" s="45"/>
      <c r="H4" s="45"/>
      <c r="I4" s="45"/>
      <c r="J4" s="46"/>
      <c r="K4" s="2"/>
      <c r="L4" s="2"/>
    </row>
    <row r="5" spans="1:12">
      <c r="A5" s="44" t="s">
        <v>1840</v>
      </c>
      <c r="B5" s="50"/>
      <c r="C5" s="50"/>
      <c r="D5" s="50"/>
      <c r="E5" s="45"/>
      <c r="F5" s="45"/>
      <c r="G5" s="45"/>
      <c r="H5" s="45"/>
      <c r="I5" s="45"/>
      <c r="J5" s="46"/>
      <c r="K5" s="2"/>
      <c r="L5" s="2"/>
    </row>
    <row r="6" spans="1:12">
      <c r="A6" s="44" t="s">
        <v>1839</v>
      </c>
      <c r="B6" s="50"/>
      <c r="C6" s="50"/>
      <c r="D6" s="50"/>
      <c r="E6" s="45"/>
      <c r="F6" s="45"/>
      <c r="G6" s="45"/>
      <c r="H6" s="45"/>
      <c r="I6" s="45"/>
      <c r="J6" s="46"/>
      <c r="K6" s="2"/>
      <c r="L6" s="2"/>
    </row>
    <row r="7" spans="1:12">
      <c r="A7" s="44" t="s">
        <v>1793</v>
      </c>
      <c r="B7" s="50"/>
      <c r="C7" s="50"/>
      <c r="D7" s="50"/>
      <c r="E7" s="45"/>
      <c r="F7" s="45"/>
      <c r="G7" s="45"/>
      <c r="H7" s="45"/>
      <c r="I7" s="45"/>
      <c r="J7" s="46"/>
      <c r="K7" s="2"/>
      <c r="L7" s="2"/>
    </row>
    <row r="8" spans="1:12">
      <c r="A8" s="2848" t="s">
        <v>1786</v>
      </c>
      <c r="B8" s="2849"/>
      <c r="C8" s="2849"/>
      <c r="D8" s="2849"/>
      <c r="E8" s="2849"/>
      <c r="F8" s="2849"/>
      <c r="G8" s="2849"/>
      <c r="H8" s="2849"/>
      <c r="I8" s="2849"/>
      <c r="J8" s="2850"/>
      <c r="K8" s="2"/>
      <c r="L8" s="2"/>
    </row>
    <row r="9" spans="1:12">
      <c r="A9" s="47" t="s">
        <v>1787</v>
      </c>
      <c r="B9" s="40" t="s">
        <v>1804</v>
      </c>
      <c r="C9" s="40" t="s">
        <v>1805</v>
      </c>
      <c r="D9" s="40" t="s">
        <v>1806</v>
      </c>
      <c r="E9" s="2851" t="s">
        <v>1788</v>
      </c>
      <c r="F9" s="2852"/>
      <c r="G9" s="2852"/>
      <c r="H9" s="2853"/>
      <c r="I9" s="48" t="s">
        <v>1789</v>
      </c>
      <c r="J9" s="48" t="s">
        <v>1631</v>
      </c>
      <c r="K9" s="48" t="s">
        <v>1829</v>
      </c>
      <c r="L9" s="48" t="s">
        <v>1830</v>
      </c>
    </row>
    <row r="10" spans="1:12">
      <c r="A10" s="21">
        <v>3</v>
      </c>
      <c r="B10" s="21" t="s">
        <v>1790</v>
      </c>
      <c r="C10" s="21" t="s">
        <v>1790</v>
      </c>
      <c r="D10" s="21" t="s">
        <v>1790</v>
      </c>
      <c r="E10" s="10" t="str">
        <f t="shared" ref="E10:E19" si="0">IF(A10=3,"Fully completed",IF(A10=2,"Substantially completed with missing information",IF(A10=1,"Presented but with numerous information gaps",IF(A10=0,"Not presented","error"))))</f>
        <v>Fully completed</v>
      </c>
      <c r="F10" s="6"/>
      <c r="G10" s="6"/>
      <c r="H10" s="18"/>
      <c r="I10" s="52">
        <v>0.01</v>
      </c>
      <c r="J10" s="64">
        <f t="shared" ref="J10:J19" si="1">ROUND(((A10*I10)*100)/Scale,2)</f>
        <v>0.98</v>
      </c>
      <c r="K10" s="4">
        <v>3</v>
      </c>
      <c r="L10" s="60">
        <f t="shared" ref="L10:L19" si="2">ROUND((K10*I10)*100,0)</f>
        <v>3</v>
      </c>
    </row>
    <row r="11" spans="1:12">
      <c r="A11" s="4">
        <v>3</v>
      </c>
      <c r="B11" s="4" t="s">
        <v>1790</v>
      </c>
      <c r="C11" s="4" t="s">
        <v>1790</v>
      </c>
      <c r="D11" s="4" t="s">
        <v>1790</v>
      </c>
      <c r="E11" s="10" t="str">
        <f t="shared" si="0"/>
        <v>Fully completed</v>
      </c>
      <c r="F11" s="6"/>
      <c r="G11" s="6"/>
      <c r="H11" s="18"/>
      <c r="I11" s="52">
        <v>0.06</v>
      </c>
      <c r="J11" s="64">
        <f t="shared" si="1"/>
        <v>5.9</v>
      </c>
      <c r="K11" s="4">
        <v>3</v>
      </c>
      <c r="L11" s="60">
        <f t="shared" si="2"/>
        <v>18</v>
      </c>
    </row>
    <row r="12" spans="1:12">
      <c r="A12" s="4">
        <v>3</v>
      </c>
      <c r="B12" s="4" t="s">
        <v>1790</v>
      </c>
      <c r="C12" s="4" t="s">
        <v>1790</v>
      </c>
      <c r="D12" s="4" t="s">
        <v>1790</v>
      </c>
      <c r="E12" s="10" t="str">
        <f t="shared" si="0"/>
        <v>Fully completed</v>
      </c>
      <c r="F12" s="6"/>
      <c r="G12" s="6"/>
      <c r="H12" s="18"/>
      <c r="I12" s="52">
        <v>0.03</v>
      </c>
      <c r="J12" s="64">
        <f t="shared" si="1"/>
        <v>2.95</v>
      </c>
      <c r="K12" s="4">
        <v>3</v>
      </c>
      <c r="L12" s="60">
        <f t="shared" si="2"/>
        <v>9</v>
      </c>
    </row>
    <row r="13" spans="1:12">
      <c r="A13" s="4">
        <v>3</v>
      </c>
      <c r="B13" s="4" t="s">
        <v>1790</v>
      </c>
      <c r="C13" s="4" t="s">
        <v>1790</v>
      </c>
      <c r="D13" s="4" t="s">
        <v>1790</v>
      </c>
      <c r="E13" s="10" t="str">
        <f t="shared" si="0"/>
        <v>Fully completed</v>
      </c>
      <c r="F13" s="6"/>
      <c r="G13" s="6"/>
      <c r="H13" s="18"/>
      <c r="I13" s="52">
        <v>0.04</v>
      </c>
      <c r="J13" s="64">
        <f t="shared" si="1"/>
        <v>3.93</v>
      </c>
      <c r="K13" s="4">
        <v>3</v>
      </c>
      <c r="L13" s="60">
        <f t="shared" si="2"/>
        <v>12</v>
      </c>
    </row>
    <row r="14" spans="1:12">
      <c r="A14" s="4">
        <v>3</v>
      </c>
      <c r="B14" s="4" t="s">
        <v>1790</v>
      </c>
      <c r="C14" s="4" t="s">
        <v>1790</v>
      </c>
      <c r="D14" s="4" t="s">
        <v>1790</v>
      </c>
      <c r="E14" s="10" t="str">
        <f t="shared" si="0"/>
        <v>Fully completed</v>
      </c>
      <c r="F14" s="6"/>
      <c r="G14" s="6"/>
      <c r="H14" s="18"/>
      <c r="I14" s="52">
        <v>0.06</v>
      </c>
      <c r="J14" s="64">
        <f t="shared" si="1"/>
        <v>5.9</v>
      </c>
      <c r="K14" s="4">
        <v>3</v>
      </c>
      <c r="L14" s="60">
        <f t="shared" si="2"/>
        <v>18</v>
      </c>
    </row>
    <row r="15" spans="1:12">
      <c r="A15" s="4">
        <v>3</v>
      </c>
      <c r="B15" s="4" t="s">
        <v>1790</v>
      </c>
      <c r="C15" s="4" t="s">
        <v>1790</v>
      </c>
      <c r="D15" s="4" t="s">
        <v>1790</v>
      </c>
      <c r="E15" s="10" t="str">
        <f t="shared" si="0"/>
        <v>Fully completed</v>
      </c>
      <c r="F15" s="6"/>
      <c r="G15" s="6"/>
      <c r="H15" s="18"/>
      <c r="I15" s="52">
        <v>0.03</v>
      </c>
      <c r="J15" s="64">
        <f t="shared" si="1"/>
        <v>2.95</v>
      </c>
      <c r="K15" s="4">
        <v>3</v>
      </c>
      <c r="L15" s="60">
        <f t="shared" si="2"/>
        <v>9</v>
      </c>
    </row>
    <row r="16" spans="1:12">
      <c r="A16" s="4">
        <v>3</v>
      </c>
      <c r="B16" s="4" t="s">
        <v>1790</v>
      </c>
      <c r="C16" s="4" t="s">
        <v>1790</v>
      </c>
      <c r="D16" s="4" t="s">
        <v>1790</v>
      </c>
      <c r="E16" s="10" t="str">
        <f t="shared" si="0"/>
        <v>Fully completed</v>
      </c>
      <c r="F16" s="6"/>
      <c r="G16" s="6"/>
      <c r="H16" s="18"/>
      <c r="I16" s="52">
        <v>0.04</v>
      </c>
      <c r="J16" s="64">
        <f t="shared" si="1"/>
        <v>3.93</v>
      </c>
      <c r="K16" s="4">
        <v>3</v>
      </c>
      <c r="L16" s="60">
        <f t="shared" si="2"/>
        <v>12</v>
      </c>
    </row>
    <row r="17" spans="1:12">
      <c r="A17" s="4">
        <v>2</v>
      </c>
      <c r="B17" s="4" t="s">
        <v>1790</v>
      </c>
      <c r="C17" s="4" t="s">
        <v>1790</v>
      </c>
      <c r="D17" s="4" t="s">
        <v>1790</v>
      </c>
      <c r="E17" s="10" t="str">
        <f t="shared" si="0"/>
        <v>Substantially completed with missing information</v>
      </c>
      <c r="F17" s="6"/>
      <c r="G17" s="6"/>
      <c r="H17" s="18"/>
      <c r="I17" s="52">
        <v>0.03</v>
      </c>
      <c r="J17" s="64">
        <f t="shared" si="1"/>
        <v>1.97</v>
      </c>
      <c r="K17" s="4">
        <v>3</v>
      </c>
      <c r="L17" s="60">
        <f t="shared" si="2"/>
        <v>9</v>
      </c>
    </row>
    <row r="18" spans="1:12">
      <c r="A18" s="4">
        <v>2</v>
      </c>
      <c r="B18" s="4" t="s">
        <v>1791</v>
      </c>
      <c r="C18" s="4" t="s">
        <v>1791</v>
      </c>
      <c r="D18" s="24" t="s">
        <v>1790</v>
      </c>
      <c r="E18" s="10" t="str">
        <f t="shared" si="0"/>
        <v>Substantially completed with missing information</v>
      </c>
      <c r="F18" s="6"/>
      <c r="G18" s="6"/>
      <c r="H18" s="18"/>
      <c r="I18" s="52">
        <v>0.02</v>
      </c>
      <c r="J18" s="64">
        <f t="shared" si="1"/>
        <v>1.31</v>
      </c>
      <c r="K18" s="4">
        <v>3</v>
      </c>
      <c r="L18" s="60">
        <f t="shared" si="2"/>
        <v>6</v>
      </c>
    </row>
    <row r="19" spans="1:12">
      <c r="A19" s="22">
        <v>1</v>
      </c>
      <c r="B19" s="22" t="s">
        <v>1791</v>
      </c>
      <c r="C19" s="25" t="s">
        <v>1790</v>
      </c>
      <c r="D19" s="25" t="s">
        <v>1790</v>
      </c>
      <c r="E19" s="11" t="str">
        <f t="shared" si="0"/>
        <v>Presented but with numerous information gaps</v>
      </c>
      <c r="F19" s="19"/>
      <c r="G19" s="19"/>
      <c r="H19" s="20"/>
      <c r="I19" s="53">
        <v>0.03</v>
      </c>
      <c r="J19" s="65">
        <f t="shared" si="1"/>
        <v>0.98</v>
      </c>
      <c r="K19" s="4">
        <v>3</v>
      </c>
      <c r="L19" s="60">
        <f t="shared" si="2"/>
        <v>9</v>
      </c>
    </row>
    <row r="20" spans="1:12">
      <c r="A20" s="9"/>
      <c r="B20" s="9"/>
      <c r="C20" s="9"/>
      <c r="D20" s="9"/>
      <c r="E20" s="2"/>
      <c r="F20" s="2"/>
      <c r="G20" s="2"/>
      <c r="H20" s="51" t="s">
        <v>1792</v>
      </c>
      <c r="I20" s="7">
        <f>SUM(I10:I19)</f>
        <v>0.35</v>
      </c>
      <c r="J20" s="62">
        <f>SUM(J10:J19)</f>
        <v>30.8</v>
      </c>
      <c r="K20" s="12"/>
      <c r="L20" s="60"/>
    </row>
    <row r="21" spans="1:12">
      <c r="A21" s="21">
        <v>3</v>
      </c>
      <c r="B21" s="21" t="s">
        <v>1790</v>
      </c>
      <c r="C21" s="23" t="s">
        <v>1790</v>
      </c>
      <c r="D21" s="23" t="s">
        <v>1790</v>
      </c>
      <c r="E21" s="54" t="str">
        <f t="shared" ref="E21:E35" si="3">IF(A21=3,"Fully completed",IF(A21=2,"Substantially completed with missing information",IF(A21=1,"Presented but with numerous information gaps",IF(A21=0,"Not presented","error"))))</f>
        <v>Fully completed</v>
      </c>
      <c r="F21" s="16"/>
      <c r="G21" s="16"/>
      <c r="H21" s="17"/>
      <c r="I21" s="55">
        <v>0.02</v>
      </c>
      <c r="J21" s="66">
        <f t="shared" ref="J21:J35" si="4">ROUND(((A21*I21)*100)/Scale,2)</f>
        <v>1.97</v>
      </c>
      <c r="K21" s="4">
        <v>3</v>
      </c>
      <c r="L21" s="60">
        <f t="shared" ref="L21:L35" si="5">ROUND((K21*I21)*100,0)</f>
        <v>6</v>
      </c>
    </row>
    <row r="22" spans="1:12">
      <c r="A22" s="4">
        <v>1</v>
      </c>
      <c r="B22" s="4" t="s">
        <v>1791</v>
      </c>
      <c r="C22" s="4" t="s">
        <v>1791</v>
      </c>
      <c r="D22" s="24" t="s">
        <v>1790</v>
      </c>
      <c r="E22" s="10" t="str">
        <f t="shared" si="3"/>
        <v>Presented but with numerous information gaps</v>
      </c>
      <c r="F22" s="6"/>
      <c r="G22" s="6"/>
      <c r="H22" s="18"/>
      <c r="I22" s="52">
        <v>0.01</v>
      </c>
      <c r="J22" s="64">
        <f t="shared" si="4"/>
        <v>0.33</v>
      </c>
      <c r="K22" s="4">
        <v>3</v>
      </c>
      <c r="L22" s="60">
        <f t="shared" si="5"/>
        <v>3</v>
      </c>
    </row>
    <row r="23" spans="1:12">
      <c r="A23" s="4">
        <v>3</v>
      </c>
      <c r="B23" s="4" t="s">
        <v>1790</v>
      </c>
      <c r="C23" s="4" t="s">
        <v>1790</v>
      </c>
      <c r="D23" s="24" t="s">
        <v>1790</v>
      </c>
      <c r="E23" s="10" t="str">
        <f t="shared" si="3"/>
        <v>Fully completed</v>
      </c>
      <c r="F23" s="6"/>
      <c r="G23" s="6"/>
      <c r="H23" s="18"/>
      <c r="I23" s="52">
        <v>0.02</v>
      </c>
      <c r="J23" s="64">
        <f t="shared" si="4"/>
        <v>1.97</v>
      </c>
      <c r="K23" s="4">
        <v>3</v>
      </c>
      <c r="L23" s="60">
        <f t="shared" si="5"/>
        <v>6</v>
      </c>
    </row>
    <row r="24" spans="1:12">
      <c r="A24" s="4">
        <v>3</v>
      </c>
      <c r="B24" s="4" t="s">
        <v>1791</v>
      </c>
      <c r="C24" s="24" t="s">
        <v>1790</v>
      </c>
      <c r="D24" s="24" t="s">
        <v>1790</v>
      </c>
      <c r="E24" s="10" t="str">
        <f t="shared" si="3"/>
        <v>Fully completed</v>
      </c>
      <c r="F24" s="6"/>
      <c r="G24" s="6"/>
      <c r="H24" s="18"/>
      <c r="I24" s="52">
        <v>0.01</v>
      </c>
      <c r="J24" s="64">
        <f t="shared" si="4"/>
        <v>0.98</v>
      </c>
      <c r="K24" s="4">
        <v>3</v>
      </c>
      <c r="L24" s="60">
        <f t="shared" si="5"/>
        <v>3</v>
      </c>
    </row>
    <row r="25" spans="1:12">
      <c r="A25" s="4">
        <v>3</v>
      </c>
      <c r="B25" s="4" t="s">
        <v>1791</v>
      </c>
      <c r="C25" s="24" t="s">
        <v>1790</v>
      </c>
      <c r="D25" s="24" t="s">
        <v>1790</v>
      </c>
      <c r="E25" s="10" t="str">
        <f t="shared" si="3"/>
        <v>Fully completed</v>
      </c>
      <c r="F25" s="6"/>
      <c r="G25" s="6"/>
      <c r="H25" s="18"/>
      <c r="I25" s="52">
        <v>0.01</v>
      </c>
      <c r="J25" s="64">
        <f t="shared" si="4"/>
        <v>0.98</v>
      </c>
      <c r="K25" s="4">
        <v>3</v>
      </c>
      <c r="L25" s="60">
        <f t="shared" si="5"/>
        <v>3</v>
      </c>
    </row>
    <row r="26" spans="1:12">
      <c r="A26" s="4">
        <v>3</v>
      </c>
      <c r="B26" s="4" t="s">
        <v>1791</v>
      </c>
      <c r="C26" s="24" t="s">
        <v>1790</v>
      </c>
      <c r="D26" s="24" t="s">
        <v>1790</v>
      </c>
      <c r="E26" s="10" t="str">
        <f t="shared" si="3"/>
        <v>Fully completed</v>
      </c>
      <c r="F26" s="6"/>
      <c r="G26" s="6"/>
      <c r="H26" s="18"/>
      <c r="I26" s="52">
        <v>0.01</v>
      </c>
      <c r="J26" s="64">
        <f t="shared" si="4"/>
        <v>0.98</v>
      </c>
      <c r="K26" s="4">
        <v>3</v>
      </c>
      <c r="L26" s="60">
        <f t="shared" si="5"/>
        <v>3</v>
      </c>
    </row>
    <row r="27" spans="1:12">
      <c r="A27" s="4">
        <v>0</v>
      </c>
      <c r="B27" s="4" t="s">
        <v>1791</v>
      </c>
      <c r="C27" s="24" t="s">
        <v>1790</v>
      </c>
      <c r="D27" s="24" t="s">
        <v>1790</v>
      </c>
      <c r="E27" s="10" t="str">
        <f t="shared" si="3"/>
        <v>Not presented</v>
      </c>
      <c r="F27" s="6"/>
      <c r="G27" s="6"/>
      <c r="H27" s="18"/>
      <c r="I27" s="52">
        <v>0.01</v>
      </c>
      <c r="J27" s="64">
        <f t="shared" si="4"/>
        <v>0</v>
      </c>
      <c r="K27" s="4">
        <v>3</v>
      </c>
      <c r="L27" s="60">
        <f t="shared" si="5"/>
        <v>3</v>
      </c>
    </row>
    <row r="28" spans="1:12">
      <c r="A28" s="4">
        <v>2</v>
      </c>
      <c r="B28" s="4" t="s">
        <v>1790</v>
      </c>
      <c r="C28" s="4" t="s">
        <v>1790</v>
      </c>
      <c r="D28" s="4" t="s">
        <v>1790</v>
      </c>
      <c r="E28" s="10" t="str">
        <f t="shared" si="3"/>
        <v>Substantially completed with missing information</v>
      </c>
      <c r="F28" s="6"/>
      <c r="G28" s="6"/>
      <c r="H28" s="18"/>
      <c r="I28" s="52">
        <v>0.01</v>
      </c>
      <c r="J28" s="64">
        <f t="shared" si="4"/>
        <v>0.66</v>
      </c>
      <c r="K28" s="4">
        <v>3</v>
      </c>
      <c r="L28" s="60">
        <f t="shared" si="5"/>
        <v>3</v>
      </c>
    </row>
    <row r="29" spans="1:12">
      <c r="A29" s="4">
        <v>3</v>
      </c>
      <c r="B29" s="4" t="s">
        <v>1791</v>
      </c>
      <c r="C29" s="24" t="s">
        <v>1791</v>
      </c>
      <c r="D29" s="4" t="s">
        <v>1790</v>
      </c>
      <c r="E29" s="10" t="str">
        <f t="shared" si="3"/>
        <v>Fully completed</v>
      </c>
      <c r="F29" s="6"/>
      <c r="G29" s="6"/>
      <c r="H29" s="18"/>
      <c r="I29" s="52">
        <v>0.01</v>
      </c>
      <c r="J29" s="64">
        <f t="shared" si="4"/>
        <v>0.98</v>
      </c>
      <c r="K29" s="4">
        <v>3</v>
      </c>
      <c r="L29" s="60">
        <f t="shared" si="5"/>
        <v>3</v>
      </c>
    </row>
    <row r="30" spans="1:12">
      <c r="A30" s="4">
        <v>2</v>
      </c>
      <c r="B30" s="4" t="s">
        <v>1790</v>
      </c>
      <c r="C30" s="4" t="s">
        <v>1790</v>
      </c>
      <c r="D30" s="4" t="s">
        <v>1790</v>
      </c>
      <c r="E30" s="10" t="str">
        <f t="shared" si="3"/>
        <v>Substantially completed with missing information</v>
      </c>
      <c r="F30" s="6"/>
      <c r="G30" s="6"/>
      <c r="H30" s="18"/>
      <c r="I30" s="52">
        <v>0.03</v>
      </c>
      <c r="J30" s="64">
        <f t="shared" si="4"/>
        <v>1.97</v>
      </c>
      <c r="K30" s="4">
        <v>3</v>
      </c>
      <c r="L30" s="60">
        <f t="shared" si="5"/>
        <v>9</v>
      </c>
    </row>
    <row r="31" spans="1:12">
      <c r="A31" s="4">
        <v>3</v>
      </c>
      <c r="B31" s="4" t="s">
        <v>1790</v>
      </c>
      <c r="C31" s="4" t="s">
        <v>1790</v>
      </c>
      <c r="D31" s="4" t="s">
        <v>1790</v>
      </c>
      <c r="E31" s="10" t="str">
        <f t="shared" si="3"/>
        <v>Fully completed</v>
      </c>
      <c r="F31" s="6"/>
      <c r="G31" s="6"/>
      <c r="H31" s="18"/>
      <c r="I31" s="52">
        <v>0.01</v>
      </c>
      <c r="J31" s="64">
        <f t="shared" si="4"/>
        <v>0.98</v>
      </c>
      <c r="K31" s="4">
        <v>3</v>
      </c>
      <c r="L31" s="60">
        <f t="shared" si="5"/>
        <v>3</v>
      </c>
    </row>
    <row r="32" spans="1:12">
      <c r="A32" s="4">
        <v>3</v>
      </c>
      <c r="B32" s="4" t="s">
        <v>1790</v>
      </c>
      <c r="C32" s="4" t="s">
        <v>1790</v>
      </c>
      <c r="D32" s="4" t="s">
        <v>1790</v>
      </c>
      <c r="E32" s="10" t="str">
        <f t="shared" si="3"/>
        <v>Fully completed</v>
      </c>
      <c r="F32" s="6"/>
      <c r="G32" s="6"/>
      <c r="H32" s="18"/>
      <c r="I32" s="52">
        <v>0.01</v>
      </c>
      <c r="J32" s="64">
        <f t="shared" si="4"/>
        <v>0.98</v>
      </c>
      <c r="K32" s="4">
        <v>3</v>
      </c>
      <c r="L32" s="60">
        <f t="shared" si="5"/>
        <v>3</v>
      </c>
    </row>
    <row r="33" spans="1:12">
      <c r="A33" s="4">
        <v>3</v>
      </c>
      <c r="B33" s="4" t="s">
        <v>1790</v>
      </c>
      <c r="C33" s="4" t="s">
        <v>1790</v>
      </c>
      <c r="D33" s="4" t="s">
        <v>1790</v>
      </c>
      <c r="E33" s="10" t="str">
        <f t="shared" si="3"/>
        <v>Fully completed</v>
      </c>
      <c r="F33" s="6"/>
      <c r="G33" s="6"/>
      <c r="H33" s="18"/>
      <c r="I33" s="52">
        <v>0.01</v>
      </c>
      <c r="J33" s="64">
        <f t="shared" si="4"/>
        <v>0.98</v>
      </c>
      <c r="K33" s="4">
        <v>3</v>
      </c>
      <c r="L33" s="60">
        <f t="shared" si="5"/>
        <v>3</v>
      </c>
    </row>
    <row r="34" spans="1:12">
      <c r="A34" s="4">
        <v>0</v>
      </c>
      <c r="B34" s="4" t="s">
        <v>1790</v>
      </c>
      <c r="C34" s="4" t="s">
        <v>1790</v>
      </c>
      <c r="D34" s="4" t="s">
        <v>1790</v>
      </c>
      <c r="E34" s="10" t="str">
        <f t="shared" si="3"/>
        <v>Not presented</v>
      </c>
      <c r="F34" s="6"/>
      <c r="G34" s="6"/>
      <c r="H34" s="18"/>
      <c r="I34" s="52">
        <v>0.02</v>
      </c>
      <c r="J34" s="64">
        <f t="shared" si="4"/>
        <v>0</v>
      </c>
      <c r="K34" s="4">
        <v>3</v>
      </c>
      <c r="L34" s="60">
        <f t="shared" si="5"/>
        <v>6</v>
      </c>
    </row>
    <row r="35" spans="1:12">
      <c r="A35" s="4">
        <v>0</v>
      </c>
      <c r="B35" s="4" t="s">
        <v>1791</v>
      </c>
      <c r="C35" s="24" t="s">
        <v>1790</v>
      </c>
      <c r="D35" s="24" t="s">
        <v>1790</v>
      </c>
      <c r="E35" s="10" t="str">
        <f t="shared" si="3"/>
        <v>Not presented</v>
      </c>
      <c r="F35" s="6"/>
      <c r="G35" s="6"/>
      <c r="H35" s="18"/>
      <c r="I35" s="52">
        <v>0.02</v>
      </c>
      <c r="J35" s="64">
        <f t="shared" si="4"/>
        <v>0</v>
      </c>
      <c r="K35" s="4">
        <v>3</v>
      </c>
      <c r="L35" s="60">
        <f t="shared" si="5"/>
        <v>6</v>
      </c>
    </row>
    <row r="36" spans="1:12">
      <c r="A36" s="4"/>
      <c r="B36" s="4"/>
      <c r="C36" s="24"/>
      <c r="D36" s="24"/>
      <c r="E36" s="10"/>
      <c r="F36" s="6"/>
      <c r="G36" s="6"/>
      <c r="H36" s="18"/>
      <c r="I36" s="52"/>
      <c r="J36" s="64"/>
      <c r="K36" s="4"/>
      <c r="L36" s="60"/>
    </row>
    <row r="37" spans="1:12">
      <c r="A37" s="4">
        <v>0</v>
      </c>
      <c r="B37" s="4" t="s">
        <v>1791</v>
      </c>
      <c r="C37" s="24" t="s">
        <v>1790</v>
      </c>
      <c r="D37" s="24" t="s">
        <v>1790</v>
      </c>
      <c r="E37" s="10" t="str">
        <f t="shared" ref="E37:E53" si="6">IF(A37=3,"Fully completed",IF(A37=2,"Substantially completed with missing information",IF(A37=1,"Presented but with numerous information gaps",IF(A37=0,"Not presented","error"))))</f>
        <v>Not presented</v>
      </c>
      <c r="F37" s="6"/>
      <c r="G37" s="6"/>
      <c r="H37" s="18"/>
      <c r="I37" s="52">
        <v>0.01</v>
      </c>
      <c r="J37" s="64">
        <f t="shared" ref="J37:J53" si="7">ROUND(((A37*I37)*100)/Scale,2)</f>
        <v>0</v>
      </c>
      <c r="K37" s="4">
        <v>3</v>
      </c>
      <c r="L37" s="60">
        <f t="shared" ref="L37:L53" si="8">ROUND((K37*I37)*100,0)</f>
        <v>3</v>
      </c>
    </row>
    <row r="38" spans="1:12">
      <c r="A38" s="4">
        <v>3</v>
      </c>
      <c r="B38" s="4" t="s">
        <v>1790</v>
      </c>
      <c r="C38" s="4" t="s">
        <v>1790</v>
      </c>
      <c r="D38" s="4" t="s">
        <v>1790</v>
      </c>
      <c r="E38" s="10" t="str">
        <f t="shared" si="6"/>
        <v>Fully completed</v>
      </c>
      <c r="F38" s="6"/>
      <c r="G38" s="6"/>
      <c r="H38" s="18"/>
      <c r="I38" s="52">
        <v>0.01</v>
      </c>
      <c r="J38" s="64">
        <f t="shared" si="7"/>
        <v>0.98</v>
      </c>
      <c r="K38" s="4">
        <v>3</v>
      </c>
      <c r="L38" s="60">
        <f t="shared" si="8"/>
        <v>3</v>
      </c>
    </row>
    <row r="39" spans="1:12">
      <c r="A39" s="4">
        <v>2</v>
      </c>
      <c r="B39" s="4" t="s">
        <v>1790</v>
      </c>
      <c r="C39" s="4" t="s">
        <v>1790</v>
      </c>
      <c r="D39" s="4" t="s">
        <v>1790</v>
      </c>
      <c r="E39" s="10" t="str">
        <f t="shared" si="6"/>
        <v>Substantially completed with missing information</v>
      </c>
      <c r="F39" s="6"/>
      <c r="G39" s="6"/>
      <c r="H39" s="18"/>
      <c r="I39" s="52">
        <v>0.01</v>
      </c>
      <c r="J39" s="64">
        <f t="shared" si="7"/>
        <v>0.66</v>
      </c>
      <c r="K39" s="4">
        <v>3</v>
      </c>
      <c r="L39" s="60">
        <f t="shared" si="8"/>
        <v>3</v>
      </c>
    </row>
    <row r="40" spans="1:12">
      <c r="A40" s="4">
        <v>1</v>
      </c>
      <c r="B40" s="4" t="s">
        <v>1791</v>
      </c>
      <c r="C40" s="24" t="s">
        <v>1790</v>
      </c>
      <c r="D40" s="24" t="s">
        <v>1790</v>
      </c>
      <c r="E40" s="10" t="str">
        <f t="shared" si="6"/>
        <v>Presented but with numerous information gaps</v>
      </c>
      <c r="F40" s="6"/>
      <c r="G40" s="6"/>
      <c r="H40" s="18"/>
      <c r="I40" s="52">
        <v>0.01</v>
      </c>
      <c r="J40" s="64">
        <f t="shared" si="7"/>
        <v>0.33</v>
      </c>
      <c r="K40" s="4">
        <v>3</v>
      </c>
      <c r="L40" s="60">
        <f t="shared" si="8"/>
        <v>3</v>
      </c>
    </row>
    <row r="41" spans="1:12">
      <c r="A41" s="4">
        <v>3</v>
      </c>
      <c r="B41" s="4" t="s">
        <v>1790</v>
      </c>
      <c r="C41" s="4" t="s">
        <v>1790</v>
      </c>
      <c r="D41" s="4" t="s">
        <v>1790</v>
      </c>
      <c r="E41" s="10" t="str">
        <f t="shared" si="6"/>
        <v>Fully completed</v>
      </c>
      <c r="F41" s="6"/>
      <c r="G41" s="6"/>
      <c r="H41" s="18"/>
      <c r="I41" s="52">
        <v>0.01</v>
      </c>
      <c r="J41" s="64">
        <f t="shared" si="7"/>
        <v>0.98</v>
      </c>
      <c r="K41" s="4">
        <v>3</v>
      </c>
      <c r="L41" s="60">
        <f t="shared" si="8"/>
        <v>3</v>
      </c>
    </row>
    <row r="42" spans="1:12">
      <c r="A42" s="4">
        <v>3</v>
      </c>
      <c r="B42" s="4" t="s">
        <v>1790</v>
      </c>
      <c r="C42" s="4" t="s">
        <v>1790</v>
      </c>
      <c r="D42" s="4" t="s">
        <v>1790</v>
      </c>
      <c r="E42" s="10" t="str">
        <f t="shared" si="6"/>
        <v>Fully completed</v>
      </c>
      <c r="F42" s="6"/>
      <c r="G42" s="6"/>
      <c r="H42" s="18"/>
      <c r="I42" s="52">
        <v>0.01</v>
      </c>
      <c r="J42" s="64">
        <f t="shared" si="7"/>
        <v>0.98</v>
      </c>
      <c r="K42" s="4">
        <v>3</v>
      </c>
      <c r="L42" s="60">
        <f t="shared" si="8"/>
        <v>3</v>
      </c>
    </row>
    <row r="43" spans="1:12">
      <c r="A43" s="4">
        <v>3</v>
      </c>
      <c r="B43" s="4" t="s">
        <v>1790</v>
      </c>
      <c r="C43" s="4" t="s">
        <v>1790</v>
      </c>
      <c r="D43" s="4" t="s">
        <v>1790</v>
      </c>
      <c r="E43" s="10" t="str">
        <f t="shared" si="6"/>
        <v>Fully completed</v>
      </c>
      <c r="F43" s="6"/>
      <c r="G43" s="6"/>
      <c r="H43" s="18"/>
      <c r="I43" s="52">
        <v>0.01</v>
      </c>
      <c r="J43" s="64">
        <f t="shared" si="7"/>
        <v>0.98</v>
      </c>
      <c r="K43" s="4">
        <v>3</v>
      </c>
      <c r="L43" s="60">
        <f t="shared" si="8"/>
        <v>3</v>
      </c>
    </row>
    <row r="44" spans="1:12">
      <c r="A44" s="4">
        <v>3</v>
      </c>
      <c r="B44" s="4" t="s">
        <v>1790</v>
      </c>
      <c r="C44" s="4" t="s">
        <v>1790</v>
      </c>
      <c r="D44" s="4" t="s">
        <v>1790</v>
      </c>
      <c r="E44" s="10" t="str">
        <f t="shared" si="6"/>
        <v>Fully completed</v>
      </c>
      <c r="F44" s="6"/>
      <c r="G44" s="6"/>
      <c r="H44" s="18"/>
      <c r="I44" s="52">
        <v>0.01</v>
      </c>
      <c r="J44" s="64">
        <f t="shared" si="7"/>
        <v>0.98</v>
      </c>
      <c r="K44" s="4">
        <v>3</v>
      </c>
      <c r="L44" s="60">
        <f t="shared" si="8"/>
        <v>3</v>
      </c>
    </row>
    <row r="45" spans="1:12">
      <c r="A45" s="4">
        <v>1</v>
      </c>
      <c r="B45" s="4" t="s">
        <v>1790</v>
      </c>
      <c r="C45" s="4" t="s">
        <v>1790</v>
      </c>
      <c r="D45" s="4" t="s">
        <v>1790</v>
      </c>
      <c r="E45" s="10" t="str">
        <f t="shared" si="6"/>
        <v>Presented but with numerous information gaps</v>
      </c>
      <c r="F45" s="6"/>
      <c r="G45" s="6"/>
      <c r="H45" s="18"/>
      <c r="I45" s="52">
        <v>0.01</v>
      </c>
      <c r="J45" s="64">
        <f t="shared" si="7"/>
        <v>0.33</v>
      </c>
      <c r="K45" s="4">
        <v>3</v>
      </c>
      <c r="L45" s="60">
        <f t="shared" si="8"/>
        <v>3</v>
      </c>
    </row>
    <row r="46" spans="1:12">
      <c r="A46" s="4">
        <v>0</v>
      </c>
      <c r="B46" s="4" t="s">
        <v>1790</v>
      </c>
      <c r="C46" s="4" t="s">
        <v>1790</v>
      </c>
      <c r="D46" s="4" t="s">
        <v>1790</v>
      </c>
      <c r="E46" s="10" t="str">
        <f t="shared" si="6"/>
        <v>Not presented</v>
      </c>
      <c r="F46" s="6"/>
      <c r="G46" s="6"/>
      <c r="H46" s="18"/>
      <c r="I46" s="52">
        <v>0.01</v>
      </c>
      <c r="J46" s="64">
        <f t="shared" si="7"/>
        <v>0</v>
      </c>
      <c r="K46" s="4">
        <v>3</v>
      </c>
      <c r="L46" s="60">
        <f t="shared" si="8"/>
        <v>3</v>
      </c>
    </row>
    <row r="47" spans="1:12">
      <c r="A47" s="4">
        <v>0</v>
      </c>
      <c r="B47" s="4" t="s">
        <v>1791</v>
      </c>
      <c r="C47" s="24" t="s">
        <v>1790</v>
      </c>
      <c r="D47" s="24" t="s">
        <v>1790</v>
      </c>
      <c r="E47" s="10" t="str">
        <f t="shared" si="6"/>
        <v>Not presented</v>
      </c>
      <c r="F47" s="6"/>
      <c r="G47" s="6"/>
      <c r="H47" s="18"/>
      <c r="I47" s="52">
        <v>0.01</v>
      </c>
      <c r="J47" s="64">
        <f t="shared" si="7"/>
        <v>0</v>
      </c>
      <c r="K47" s="4">
        <v>3</v>
      </c>
      <c r="L47" s="60">
        <f t="shared" si="8"/>
        <v>3</v>
      </c>
    </row>
    <row r="48" spans="1:12">
      <c r="A48" s="4">
        <v>0</v>
      </c>
      <c r="B48" s="4" t="s">
        <v>1791</v>
      </c>
      <c r="C48" s="24" t="s">
        <v>1790</v>
      </c>
      <c r="D48" s="24" t="s">
        <v>1790</v>
      </c>
      <c r="E48" s="10" t="str">
        <f t="shared" si="6"/>
        <v>Not presented</v>
      </c>
      <c r="F48" s="6"/>
      <c r="G48" s="6"/>
      <c r="H48" s="18"/>
      <c r="I48" s="52">
        <v>0.01</v>
      </c>
      <c r="J48" s="64">
        <f t="shared" si="7"/>
        <v>0</v>
      </c>
      <c r="K48" s="4">
        <v>3</v>
      </c>
      <c r="L48" s="60">
        <f t="shared" si="8"/>
        <v>3</v>
      </c>
    </row>
    <row r="49" spans="1:12">
      <c r="A49" s="4">
        <v>0</v>
      </c>
      <c r="B49" s="4" t="s">
        <v>1791</v>
      </c>
      <c r="C49" s="24" t="s">
        <v>1790</v>
      </c>
      <c r="D49" s="24" t="s">
        <v>1790</v>
      </c>
      <c r="E49" s="10" t="str">
        <f t="shared" si="6"/>
        <v>Not presented</v>
      </c>
      <c r="F49" s="6"/>
      <c r="G49" s="6"/>
      <c r="H49" s="18"/>
      <c r="I49" s="52">
        <v>0.02</v>
      </c>
      <c r="J49" s="64">
        <f t="shared" si="7"/>
        <v>0</v>
      </c>
      <c r="K49" s="4">
        <v>3</v>
      </c>
      <c r="L49" s="60">
        <f t="shared" si="8"/>
        <v>6</v>
      </c>
    </row>
    <row r="50" spans="1:12">
      <c r="A50" s="4">
        <v>2</v>
      </c>
      <c r="B50" s="4" t="s">
        <v>1791</v>
      </c>
      <c r="C50" s="24" t="s">
        <v>1790</v>
      </c>
      <c r="D50" s="24" t="s">
        <v>1790</v>
      </c>
      <c r="E50" s="10" t="str">
        <f t="shared" si="6"/>
        <v>Substantially completed with missing information</v>
      </c>
      <c r="F50" s="6"/>
      <c r="G50" s="6"/>
      <c r="H50" s="18"/>
      <c r="I50" s="52">
        <v>0.01</v>
      </c>
      <c r="J50" s="64">
        <f t="shared" si="7"/>
        <v>0.66</v>
      </c>
      <c r="K50" s="4">
        <v>3</v>
      </c>
      <c r="L50" s="60">
        <f t="shared" si="8"/>
        <v>3</v>
      </c>
    </row>
    <row r="51" spans="1:12">
      <c r="A51" s="4">
        <v>1</v>
      </c>
      <c r="B51" s="4" t="s">
        <v>1791</v>
      </c>
      <c r="C51" s="24" t="s">
        <v>1790</v>
      </c>
      <c r="D51" s="24" t="s">
        <v>1790</v>
      </c>
      <c r="E51" s="10" t="str">
        <f t="shared" si="6"/>
        <v>Presented but with numerous information gaps</v>
      </c>
      <c r="F51" s="6"/>
      <c r="G51" s="6"/>
      <c r="H51" s="18"/>
      <c r="I51" s="52">
        <v>0.02</v>
      </c>
      <c r="J51" s="64">
        <f t="shared" si="7"/>
        <v>0.66</v>
      </c>
      <c r="K51" s="4">
        <v>3</v>
      </c>
      <c r="L51" s="60">
        <f t="shared" si="8"/>
        <v>6</v>
      </c>
    </row>
    <row r="52" spans="1:12">
      <c r="A52" s="4">
        <v>0</v>
      </c>
      <c r="B52" s="4" t="s">
        <v>1790</v>
      </c>
      <c r="C52" s="4" t="s">
        <v>1790</v>
      </c>
      <c r="D52" s="4" t="s">
        <v>1790</v>
      </c>
      <c r="E52" s="10" t="str">
        <f t="shared" si="6"/>
        <v>Not presented</v>
      </c>
      <c r="F52" s="6"/>
      <c r="G52" s="6"/>
      <c r="H52" s="18"/>
      <c r="I52" s="52">
        <v>0.01</v>
      </c>
      <c r="J52" s="64">
        <f t="shared" si="7"/>
        <v>0</v>
      </c>
      <c r="K52" s="4">
        <v>3</v>
      </c>
      <c r="L52" s="60">
        <f t="shared" si="8"/>
        <v>3</v>
      </c>
    </row>
    <row r="53" spans="1:12">
      <c r="A53" s="22">
        <v>0</v>
      </c>
      <c r="B53" s="22" t="s">
        <v>1791</v>
      </c>
      <c r="C53" s="25" t="s">
        <v>1790</v>
      </c>
      <c r="D53" s="25" t="s">
        <v>1790</v>
      </c>
      <c r="E53" s="11" t="str">
        <f t="shared" si="6"/>
        <v>Not presented</v>
      </c>
      <c r="F53" s="19"/>
      <c r="G53" s="19"/>
      <c r="H53" s="20"/>
      <c r="I53" s="53">
        <v>0.02</v>
      </c>
      <c r="J53" s="65">
        <f t="shared" si="7"/>
        <v>0</v>
      </c>
      <c r="K53" s="4">
        <v>3</v>
      </c>
      <c r="L53" s="60">
        <f t="shared" si="8"/>
        <v>6</v>
      </c>
    </row>
    <row r="54" spans="1:12">
      <c r="A54" s="9"/>
      <c r="B54" s="9"/>
      <c r="C54" s="9"/>
      <c r="D54" s="9"/>
      <c r="E54" s="2"/>
      <c r="F54" s="2"/>
      <c r="G54" s="2"/>
      <c r="H54" s="51" t="s">
        <v>1792</v>
      </c>
      <c r="I54" s="7">
        <f>SUM(I21:I53)</f>
        <v>0.41000000000000014</v>
      </c>
      <c r="J54" s="62">
        <f>SUM(J21:J53)</f>
        <v>21.300000000000004</v>
      </c>
      <c r="K54" s="12"/>
      <c r="L54" s="60"/>
    </row>
    <row r="55" spans="1:12">
      <c r="A55" s="9"/>
      <c r="B55" s="9"/>
      <c r="C55" s="9"/>
      <c r="D55" s="9"/>
      <c r="E55" s="2"/>
      <c r="F55" s="2"/>
      <c r="G55" s="2"/>
      <c r="H55" s="51"/>
      <c r="I55" s="136"/>
      <c r="J55" s="137"/>
      <c r="K55" s="12"/>
      <c r="L55" s="60"/>
    </row>
    <row r="56" spans="1:12">
      <c r="A56" s="21">
        <v>3</v>
      </c>
      <c r="B56" s="21" t="s">
        <v>1790</v>
      </c>
      <c r="C56" s="21" t="s">
        <v>1790</v>
      </c>
      <c r="D56" s="21" t="s">
        <v>1790</v>
      </c>
      <c r="E56" s="54" t="str">
        <f t="shared" ref="E56:E75" si="9">IF(A56=3,"Fully completed",IF(A56=2,"Substantially completed with missing information",IF(A56=1,"Presented but with numerous information gaps",IF(A56=0,"Not presented","error"))))</f>
        <v>Fully completed</v>
      </c>
      <c r="F56" s="16"/>
      <c r="G56" s="16"/>
      <c r="H56" s="17"/>
      <c r="I56" s="55">
        <v>0.01</v>
      </c>
      <c r="J56" s="21">
        <f t="shared" ref="J56:J75" si="10">ROUND(((A56*I56)*100)/Scale,2)</f>
        <v>0.98</v>
      </c>
      <c r="K56" s="4">
        <v>3</v>
      </c>
      <c r="L56" s="60">
        <f t="shared" ref="L56:L75" si="11">ROUND((K56*I56)*100,0)</f>
        <v>3</v>
      </c>
    </row>
    <row r="57" spans="1:12">
      <c r="A57" s="4">
        <v>3</v>
      </c>
      <c r="B57" s="4" t="s">
        <v>1790</v>
      </c>
      <c r="C57" s="4" t="s">
        <v>1790</v>
      </c>
      <c r="D57" s="4" t="s">
        <v>1790</v>
      </c>
      <c r="E57" s="10" t="str">
        <f t="shared" si="9"/>
        <v>Fully completed</v>
      </c>
      <c r="F57" s="6"/>
      <c r="G57" s="6"/>
      <c r="H57" s="18"/>
      <c r="I57" s="52">
        <v>0.01</v>
      </c>
      <c r="J57" s="4">
        <f t="shared" si="10"/>
        <v>0.98</v>
      </c>
      <c r="K57" s="4">
        <v>3</v>
      </c>
      <c r="L57" s="60">
        <f t="shared" si="11"/>
        <v>3</v>
      </c>
    </row>
    <row r="58" spans="1:12">
      <c r="A58" s="4">
        <v>3</v>
      </c>
      <c r="B58" s="4" t="s">
        <v>1790</v>
      </c>
      <c r="C58" s="4" t="s">
        <v>1790</v>
      </c>
      <c r="D58" s="4" t="s">
        <v>1790</v>
      </c>
      <c r="E58" s="10" t="str">
        <f t="shared" si="9"/>
        <v>Fully completed</v>
      </c>
      <c r="F58" s="6"/>
      <c r="G58" s="6"/>
      <c r="H58" s="18"/>
      <c r="I58" s="52">
        <v>0.01</v>
      </c>
      <c r="J58" s="4">
        <f t="shared" si="10"/>
        <v>0.98</v>
      </c>
      <c r="K58" s="4">
        <v>3</v>
      </c>
      <c r="L58" s="60">
        <f t="shared" si="11"/>
        <v>3</v>
      </c>
    </row>
    <row r="59" spans="1:12">
      <c r="A59" s="4">
        <v>3</v>
      </c>
      <c r="B59" s="4" t="s">
        <v>1791</v>
      </c>
      <c r="C59" s="4" t="s">
        <v>1791</v>
      </c>
      <c r="D59" s="4" t="s">
        <v>1791</v>
      </c>
      <c r="E59" s="10" t="str">
        <f t="shared" si="9"/>
        <v>Fully completed</v>
      </c>
      <c r="F59" s="6"/>
      <c r="G59" s="6"/>
      <c r="H59" s="18"/>
      <c r="I59" s="56">
        <v>5.0000000000000001E-3</v>
      </c>
      <c r="J59" s="4">
        <f t="shared" si="10"/>
        <v>0.49</v>
      </c>
      <c r="K59" s="4">
        <v>3</v>
      </c>
      <c r="L59" s="60">
        <f t="shared" si="11"/>
        <v>2</v>
      </c>
    </row>
    <row r="60" spans="1:12">
      <c r="A60" s="4">
        <v>3</v>
      </c>
      <c r="B60" s="4" t="s">
        <v>1790</v>
      </c>
      <c r="C60" s="4" t="s">
        <v>1790</v>
      </c>
      <c r="D60" s="4" t="s">
        <v>1790</v>
      </c>
      <c r="E60" s="10" t="str">
        <f t="shared" si="9"/>
        <v>Fully completed</v>
      </c>
      <c r="F60" s="6"/>
      <c r="G60" s="6"/>
      <c r="H60" s="18"/>
      <c r="I60" s="52">
        <v>0.01</v>
      </c>
      <c r="J60" s="4">
        <f t="shared" si="10"/>
        <v>0.98</v>
      </c>
      <c r="K60" s="4">
        <v>3</v>
      </c>
      <c r="L60" s="60">
        <f t="shared" si="11"/>
        <v>3</v>
      </c>
    </row>
    <row r="61" spans="1:12">
      <c r="A61" s="4">
        <v>3</v>
      </c>
      <c r="B61" s="4" t="s">
        <v>1791</v>
      </c>
      <c r="C61" s="4" t="s">
        <v>1791</v>
      </c>
      <c r="D61" s="4" t="s">
        <v>1791</v>
      </c>
      <c r="E61" s="10" t="str">
        <f t="shared" si="9"/>
        <v>Fully completed</v>
      </c>
      <c r="F61" s="6"/>
      <c r="G61" s="6"/>
      <c r="H61" s="18"/>
      <c r="I61" s="56">
        <v>5.0000000000000001E-3</v>
      </c>
      <c r="J61" s="4">
        <f t="shared" si="10"/>
        <v>0.49</v>
      </c>
      <c r="K61" s="4">
        <v>3</v>
      </c>
      <c r="L61" s="60">
        <f t="shared" si="11"/>
        <v>2</v>
      </c>
    </row>
    <row r="62" spans="1:12">
      <c r="A62" s="4">
        <v>3</v>
      </c>
      <c r="B62" s="4" t="s">
        <v>1790</v>
      </c>
      <c r="C62" s="4" t="s">
        <v>1790</v>
      </c>
      <c r="D62" s="4" t="s">
        <v>1790</v>
      </c>
      <c r="E62" s="10" t="str">
        <f t="shared" si="9"/>
        <v>Fully completed</v>
      </c>
      <c r="F62" s="6"/>
      <c r="G62" s="6"/>
      <c r="H62" s="18"/>
      <c r="I62" s="52">
        <v>0.01</v>
      </c>
      <c r="J62" s="4">
        <f t="shared" si="10"/>
        <v>0.98</v>
      </c>
      <c r="K62" s="4">
        <v>3</v>
      </c>
      <c r="L62" s="60">
        <f t="shared" si="11"/>
        <v>3</v>
      </c>
    </row>
    <row r="63" spans="1:12">
      <c r="A63" s="4">
        <v>3</v>
      </c>
      <c r="B63" s="4" t="s">
        <v>1791</v>
      </c>
      <c r="C63" s="4" t="s">
        <v>1791</v>
      </c>
      <c r="D63" s="4" t="s">
        <v>1791</v>
      </c>
      <c r="E63" s="10" t="str">
        <f t="shared" si="9"/>
        <v>Fully completed</v>
      </c>
      <c r="F63" s="6"/>
      <c r="G63" s="6"/>
      <c r="H63" s="18"/>
      <c r="I63" s="56">
        <v>5.0000000000000001E-3</v>
      </c>
      <c r="J63" s="4">
        <f t="shared" si="10"/>
        <v>0.49</v>
      </c>
      <c r="K63" s="4">
        <v>3</v>
      </c>
      <c r="L63" s="60">
        <f t="shared" si="11"/>
        <v>2</v>
      </c>
    </row>
    <row r="64" spans="1:12">
      <c r="A64" s="4">
        <v>3</v>
      </c>
      <c r="B64" s="4" t="s">
        <v>1791</v>
      </c>
      <c r="C64" s="4" t="s">
        <v>1791</v>
      </c>
      <c r="D64" s="4" t="s">
        <v>1791</v>
      </c>
      <c r="E64" s="10" t="str">
        <f t="shared" si="9"/>
        <v>Fully completed</v>
      </c>
      <c r="F64" s="6"/>
      <c r="G64" s="6"/>
      <c r="H64" s="18"/>
      <c r="I64" s="56">
        <v>5.0000000000000001E-3</v>
      </c>
      <c r="J64" s="4">
        <f t="shared" si="10"/>
        <v>0.49</v>
      </c>
      <c r="K64" s="4">
        <v>3</v>
      </c>
      <c r="L64" s="60">
        <f t="shared" si="11"/>
        <v>2</v>
      </c>
    </row>
    <row r="65" spans="1:12">
      <c r="A65" s="4">
        <v>3</v>
      </c>
      <c r="B65" s="4" t="s">
        <v>1790</v>
      </c>
      <c r="C65" s="4" t="s">
        <v>1790</v>
      </c>
      <c r="D65" s="4" t="s">
        <v>1790</v>
      </c>
      <c r="E65" s="10" t="str">
        <f t="shared" si="9"/>
        <v>Fully completed</v>
      </c>
      <c r="F65" s="6"/>
      <c r="G65" s="6"/>
      <c r="H65" s="18"/>
      <c r="I65" s="52">
        <v>0.01</v>
      </c>
      <c r="J65" s="4">
        <f t="shared" si="10"/>
        <v>0.98</v>
      </c>
      <c r="K65" s="4">
        <v>3</v>
      </c>
      <c r="L65" s="60">
        <f t="shared" si="11"/>
        <v>3</v>
      </c>
    </row>
    <row r="66" spans="1:12">
      <c r="A66" s="4">
        <v>3</v>
      </c>
      <c r="B66" s="4" t="s">
        <v>1791</v>
      </c>
      <c r="C66" s="4" t="s">
        <v>1791</v>
      </c>
      <c r="D66" s="4" t="s">
        <v>1791</v>
      </c>
      <c r="E66" s="10" t="str">
        <f t="shared" si="9"/>
        <v>Fully completed</v>
      </c>
      <c r="F66" s="6"/>
      <c r="G66" s="6"/>
      <c r="H66" s="18"/>
      <c r="I66" s="56">
        <v>5.0000000000000001E-3</v>
      </c>
      <c r="J66" s="4">
        <f t="shared" si="10"/>
        <v>0.49</v>
      </c>
      <c r="K66" s="4">
        <v>3</v>
      </c>
      <c r="L66" s="60">
        <f t="shared" si="11"/>
        <v>2</v>
      </c>
    </row>
    <row r="67" spans="1:12">
      <c r="A67" s="4">
        <v>3</v>
      </c>
      <c r="B67" s="4" t="s">
        <v>1791</v>
      </c>
      <c r="C67" s="4" t="s">
        <v>1791</v>
      </c>
      <c r="D67" s="4" t="s">
        <v>1791</v>
      </c>
      <c r="E67" s="10" t="str">
        <f t="shared" si="9"/>
        <v>Fully completed</v>
      </c>
      <c r="F67" s="6"/>
      <c r="G67" s="6"/>
      <c r="H67" s="18"/>
      <c r="I67" s="56">
        <v>5.0000000000000001E-3</v>
      </c>
      <c r="J67" s="4">
        <f t="shared" si="10"/>
        <v>0.49</v>
      </c>
      <c r="K67" s="4">
        <v>3</v>
      </c>
      <c r="L67" s="60">
        <f t="shared" si="11"/>
        <v>2</v>
      </c>
    </row>
    <row r="68" spans="1:12">
      <c r="A68" s="4">
        <v>3</v>
      </c>
      <c r="B68" s="4" t="s">
        <v>1791</v>
      </c>
      <c r="C68" s="4" t="s">
        <v>1791</v>
      </c>
      <c r="D68" s="4" t="s">
        <v>1791</v>
      </c>
      <c r="E68" s="10" t="str">
        <f t="shared" si="9"/>
        <v>Fully completed</v>
      </c>
      <c r="F68" s="6"/>
      <c r="G68" s="6"/>
      <c r="H68" s="18"/>
      <c r="I68" s="56">
        <v>5.0000000000000001E-3</v>
      </c>
      <c r="J68" s="4">
        <f t="shared" si="10"/>
        <v>0.49</v>
      </c>
      <c r="K68" s="4">
        <v>3</v>
      </c>
      <c r="L68" s="60">
        <f t="shared" si="11"/>
        <v>2</v>
      </c>
    </row>
    <row r="69" spans="1:12">
      <c r="A69" s="4">
        <v>3</v>
      </c>
      <c r="B69" s="4" t="s">
        <v>1791</v>
      </c>
      <c r="C69" s="4" t="s">
        <v>1791</v>
      </c>
      <c r="D69" s="4" t="s">
        <v>1791</v>
      </c>
      <c r="E69" s="10" t="str">
        <f t="shared" si="9"/>
        <v>Fully completed</v>
      </c>
      <c r="F69" s="6"/>
      <c r="G69" s="6"/>
      <c r="H69" s="18"/>
      <c r="I69" s="56">
        <v>5.0000000000000001E-3</v>
      </c>
      <c r="J69" s="4">
        <f t="shared" si="10"/>
        <v>0.49</v>
      </c>
      <c r="K69" s="4">
        <v>3</v>
      </c>
      <c r="L69" s="60">
        <f t="shared" si="11"/>
        <v>2</v>
      </c>
    </row>
    <row r="70" spans="1:12">
      <c r="A70" s="4">
        <v>3</v>
      </c>
      <c r="B70" s="4" t="s">
        <v>1791</v>
      </c>
      <c r="C70" s="4" t="s">
        <v>1791</v>
      </c>
      <c r="D70" s="4" t="s">
        <v>1791</v>
      </c>
      <c r="E70" s="10" t="str">
        <f t="shared" si="9"/>
        <v>Fully completed</v>
      </c>
      <c r="F70" s="6"/>
      <c r="G70" s="6"/>
      <c r="H70" s="18"/>
      <c r="I70" s="56">
        <v>5.0000000000000001E-3</v>
      </c>
      <c r="J70" s="4">
        <f t="shared" si="10"/>
        <v>0.49</v>
      </c>
      <c r="K70" s="4">
        <v>3</v>
      </c>
      <c r="L70" s="60">
        <f t="shared" si="11"/>
        <v>2</v>
      </c>
    </row>
    <row r="71" spans="1:12">
      <c r="A71" s="4">
        <v>3</v>
      </c>
      <c r="B71" s="4" t="s">
        <v>1790</v>
      </c>
      <c r="C71" s="4" t="s">
        <v>1790</v>
      </c>
      <c r="D71" s="4" t="s">
        <v>1790</v>
      </c>
      <c r="E71" s="10" t="str">
        <f t="shared" si="9"/>
        <v>Fully completed</v>
      </c>
      <c r="F71" s="6"/>
      <c r="G71" s="6"/>
      <c r="H71" s="18"/>
      <c r="I71" s="52">
        <v>0.01</v>
      </c>
      <c r="J71" s="4">
        <f t="shared" si="10"/>
        <v>0.98</v>
      </c>
      <c r="K71" s="4">
        <v>3</v>
      </c>
      <c r="L71" s="60">
        <f t="shared" si="11"/>
        <v>3</v>
      </c>
    </row>
    <row r="72" spans="1:12">
      <c r="A72" s="4">
        <v>1</v>
      </c>
      <c r="B72" s="4" t="s">
        <v>1790</v>
      </c>
      <c r="C72" s="4" t="s">
        <v>1790</v>
      </c>
      <c r="D72" s="4" t="s">
        <v>1790</v>
      </c>
      <c r="E72" s="10" t="str">
        <f t="shared" si="9"/>
        <v>Presented but with numerous information gaps</v>
      </c>
      <c r="F72" s="6"/>
      <c r="G72" s="6"/>
      <c r="H72" s="18"/>
      <c r="I72" s="58">
        <v>7.4999999999999997E-3</v>
      </c>
      <c r="J72" s="4">
        <f t="shared" si="10"/>
        <v>0.25</v>
      </c>
      <c r="K72" s="4">
        <v>3</v>
      </c>
      <c r="L72" s="60">
        <f t="shared" si="11"/>
        <v>2</v>
      </c>
    </row>
    <row r="73" spans="1:12">
      <c r="A73" s="4">
        <v>2</v>
      </c>
      <c r="B73" s="4" t="s">
        <v>1790</v>
      </c>
      <c r="C73" s="4" t="s">
        <v>1790</v>
      </c>
      <c r="D73" s="4" t="s">
        <v>1790</v>
      </c>
      <c r="E73" s="10" t="str">
        <f t="shared" si="9"/>
        <v>Substantially completed with missing information</v>
      </c>
      <c r="F73" s="6"/>
      <c r="G73" s="6"/>
      <c r="H73" s="18"/>
      <c r="I73" s="58">
        <v>7.4999999999999997E-3</v>
      </c>
      <c r="J73" s="4">
        <f t="shared" si="10"/>
        <v>0.49</v>
      </c>
      <c r="K73" s="4">
        <v>3</v>
      </c>
      <c r="L73" s="60">
        <f t="shared" si="11"/>
        <v>2</v>
      </c>
    </row>
    <row r="74" spans="1:12">
      <c r="A74" s="4">
        <v>3</v>
      </c>
      <c r="B74" s="4" t="s">
        <v>1791</v>
      </c>
      <c r="C74" s="4" t="s">
        <v>1791</v>
      </c>
      <c r="D74" s="4" t="s">
        <v>1791</v>
      </c>
      <c r="E74" s="10" t="str">
        <f t="shared" si="9"/>
        <v>Fully completed</v>
      </c>
      <c r="F74" s="6"/>
      <c r="G74" s="6"/>
      <c r="H74" s="18"/>
      <c r="I74" s="56">
        <v>5.0000000000000001E-3</v>
      </c>
      <c r="J74" s="4">
        <f t="shared" si="10"/>
        <v>0.49</v>
      </c>
      <c r="K74" s="4">
        <v>3</v>
      </c>
      <c r="L74" s="60">
        <f t="shared" si="11"/>
        <v>2</v>
      </c>
    </row>
    <row r="75" spans="1:12">
      <c r="A75" s="22">
        <v>3</v>
      </c>
      <c r="B75" s="22" t="s">
        <v>1790</v>
      </c>
      <c r="C75" s="22" t="s">
        <v>1790</v>
      </c>
      <c r="D75" s="22" t="s">
        <v>1790</v>
      </c>
      <c r="E75" s="11" t="str">
        <f t="shared" si="9"/>
        <v>Fully completed</v>
      </c>
      <c r="F75" s="19"/>
      <c r="G75" s="19"/>
      <c r="H75" s="20"/>
      <c r="I75" s="57">
        <v>1.4999999999999999E-2</v>
      </c>
      <c r="J75" s="22">
        <f t="shared" si="10"/>
        <v>1.48</v>
      </c>
      <c r="K75" s="4">
        <v>3</v>
      </c>
      <c r="L75" s="60">
        <f t="shared" si="11"/>
        <v>5</v>
      </c>
    </row>
    <row r="76" spans="1:12">
      <c r="A76" s="5"/>
      <c r="B76" s="5"/>
      <c r="C76" s="5"/>
      <c r="D76" s="5"/>
      <c r="E76" s="6"/>
      <c r="F76" s="6"/>
      <c r="G76" s="6"/>
      <c r="H76" s="51" t="s">
        <v>1633</v>
      </c>
      <c r="I76" s="67">
        <f>SUM(I56:I75)</f>
        <v>0.15000000000000002</v>
      </c>
      <c r="J76" s="62">
        <f>SUM(J56:J75)</f>
        <v>13.980000000000004</v>
      </c>
      <c r="K76" s="12"/>
      <c r="L76" s="63">
        <f>SUM(L10:L75)</f>
        <v>278</v>
      </c>
    </row>
    <row r="77" spans="1:12">
      <c r="A77" s="9"/>
      <c r="B77" s="9"/>
      <c r="C77" s="9"/>
      <c r="D77" s="9"/>
      <c r="E77" s="2"/>
      <c r="F77" s="2"/>
      <c r="G77" s="2"/>
      <c r="H77" s="51" t="s">
        <v>1630</v>
      </c>
      <c r="I77" s="59">
        <f>I20+I54+I76</f>
        <v>0.91000000000000014</v>
      </c>
      <c r="J77" s="62">
        <f>J20+J54+J76</f>
        <v>66.080000000000013</v>
      </c>
      <c r="K77" s="38"/>
      <c r="L77" s="38">
        <v>3.05</v>
      </c>
    </row>
    <row r="78" spans="1:12">
      <c r="A78" s="9"/>
      <c r="B78" s="9"/>
      <c r="C78" s="9"/>
      <c r="D78" s="9"/>
      <c r="E78" s="2"/>
      <c r="F78" s="2"/>
      <c r="G78" s="2"/>
      <c r="H78" s="51"/>
      <c r="I78" s="2"/>
      <c r="J78" s="2"/>
      <c r="K78" s="2"/>
      <c r="L78" s="2"/>
    </row>
    <row r="79" spans="1:12">
      <c r="A79" s="9"/>
      <c r="B79" s="9"/>
      <c r="C79" s="9"/>
      <c r="D79" s="9"/>
      <c r="E79" s="2"/>
      <c r="F79" s="2"/>
      <c r="G79" s="2"/>
      <c r="H79" s="51" t="s">
        <v>1632</v>
      </c>
      <c r="I79" s="2"/>
      <c r="J79" s="2"/>
      <c r="K79" s="2"/>
      <c r="L79" s="2"/>
    </row>
  </sheetData>
  <sheetProtection selectLockedCells="1"/>
  <mergeCells count="3">
    <mergeCell ref="A8:J8"/>
    <mergeCell ref="E9:H9"/>
    <mergeCell ref="A2:J2"/>
  </mergeCells>
  <phoneticPr fontId="3" type="noConversion"/>
  <printOptions horizontalCentered="1"/>
  <pageMargins left="0.43307086614173229" right="0.15748031496062992" top="0.51181102362204722" bottom="0.55118110236220474" header="0.51181102362204722" footer="0.51181102362204722"/>
  <pageSetup paperSize="9" scale="78"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C568"/>
  <sheetViews>
    <sheetView topLeftCell="O1" workbookViewId="0">
      <selection activeCell="Y12" sqref="Y12"/>
    </sheetView>
  </sheetViews>
  <sheetFormatPr defaultRowHeight="12.75"/>
  <cols>
    <col min="1" max="1" width="10" bestFit="1" customWidth="1"/>
    <col min="2" max="2" width="36.5703125" customWidth="1"/>
    <col min="3" max="5" width="9.140625" customWidth="1"/>
    <col min="6" max="6" width="26.42578125" customWidth="1"/>
    <col min="7" max="7" width="26" customWidth="1"/>
    <col min="8" max="8" width="9.140625" customWidth="1"/>
    <col min="9" max="9" width="33.28515625" customWidth="1"/>
    <col min="10" max="10" width="64.140625" customWidth="1"/>
    <col min="11" max="11" width="33.28515625" customWidth="1"/>
    <col min="12" max="12" width="39.28515625" customWidth="1"/>
    <col min="13" max="13" width="28.7109375" customWidth="1"/>
    <col min="14" max="16" width="13.85546875" customWidth="1"/>
    <col min="17" max="17" width="14.5703125" customWidth="1"/>
    <col min="18" max="20" width="18.42578125" customWidth="1"/>
    <col min="21" max="21" width="19.7109375" customWidth="1"/>
    <col min="22" max="22" width="17.5703125" bestFit="1" customWidth="1"/>
    <col min="23" max="23" width="17.7109375" bestFit="1" customWidth="1"/>
    <col min="24" max="24" width="11.28515625" bestFit="1" customWidth="1"/>
    <col min="26" max="26" width="11.42578125" bestFit="1" customWidth="1"/>
    <col min="27" max="27" width="11.28515625" bestFit="1" customWidth="1"/>
    <col min="28" max="28" width="12.28515625" bestFit="1" customWidth="1"/>
    <col min="29" max="29" width="11.28515625" bestFit="1" customWidth="1"/>
    <col min="30" max="30" width="11.42578125" bestFit="1" customWidth="1"/>
    <col min="31" max="31" width="11.7109375" bestFit="1" customWidth="1"/>
    <col min="32" max="37" width="11.28515625" bestFit="1" customWidth="1"/>
    <col min="38" max="38" width="12.85546875" bestFit="1" customWidth="1"/>
  </cols>
  <sheetData>
    <row r="1" spans="1:55">
      <c r="A1" s="1740" t="s">
        <v>2088</v>
      </c>
      <c r="B1" s="1740" t="s">
        <v>814</v>
      </c>
      <c r="C1" s="1740" t="s">
        <v>2089</v>
      </c>
      <c r="D1" s="1740" t="s">
        <v>2090</v>
      </c>
      <c r="E1" s="1740" t="s">
        <v>2091</v>
      </c>
      <c r="F1" s="1740" t="s">
        <v>2092</v>
      </c>
      <c r="G1" s="1740" t="s">
        <v>2093</v>
      </c>
      <c r="H1" s="1740" t="s">
        <v>2094</v>
      </c>
      <c r="I1" s="1740" t="s">
        <v>2095</v>
      </c>
      <c r="J1" s="1744" t="s">
        <v>2096</v>
      </c>
      <c r="K1" s="1740" t="s">
        <v>2097</v>
      </c>
      <c r="L1" s="1744" t="s">
        <v>2098</v>
      </c>
      <c r="M1" s="1744" t="s">
        <v>2099</v>
      </c>
      <c r="N1" s="1745" t="s">
        <v>2100</v>
      </c>
      <c r="O1" s="1746" t="s">
        <v>2101</v>
      </c>
      <c r="P1" s="1747" t="s">
        <v>2102</v>
      </c>
      <c r="Q1" s="1748" t="s">
        <v>2103</v>
      </c>
      <c r="R1" s="1749" t="s">
        <v>2104</v>
      </c>
      <c r="S1" s="1749" t="s">
        <v>1918</v>
      </c>
      <c r="T1" s="1749" t="s">
        <v>2172</v>
      </c>
      <c r="U1" s="1750" t="s">
        <v>2105</v>
      </c>
      <c r="V1" s="1751" t="s">
        <v>2106</v>
      </c>
      <c r="W1" s="1752" t="s">
        <v>2107</v>
      </c>
      <c r="Z1" t="s">
        <v>2199</v>
      </c>
      <c r="AA1" t="s">
        <v>1506</v>
      </c>
      <c r="AB1" t="s">
        <v>2200</v>
      </c>
      <c r="AC1" t="s">
        <v>1508</v>
      </c>
      <c r="AD1" t="s">
        <v>738</v>
      </c>
      <c r="AE1" t="s">
        <v>739</v>
      </c>
      <c r="AF1" t="s">
        <v>740</v>
      </c>
      <c r="AG1" t="s">
        <v>741</v>
      </c>
      <c r="AH1" t="s">
        <v>2201</v>
      </c>
      <c r="AI1" t="s">
        <v>2202</v>
      </c>
      <c r="AJ1" t="s">
        <v>2203</v>
      </c>
      <c r="AK1" t="s">
        <v>745</v>
      </c>
      <c r="AL1" t="s">
        <v>815</v>
      </c>
      <c r="AN1" t="s">
        <v>2199</v>
      </c>
      <c r="AO1" t="s">
        <v>1506</v>
      </c>
      <c r="AP1" t="s">
        <v>2200</v>
      </c>
      <c r="AQ1" t="s">
        <v>1508</v>
      </c>
      <c r="AR1" t="s">
        <v>738</v>
      </c>
      <c r="AS1" t="s">
        <v>739</v>
      </c>
      <c r="AT1" t="s">
        <v>740</v>
      </c>
      <c r="AU1" t="s">
        <v>741</v>
      </c>
      <c r="AV1" t="s">
        <v>2201</v>
      </c>
      <c r="AW1" t="s">
        <v>2202</v>
      </c>
      <c r="AX1" t="s">
        <v>2203</v>
      </c>
      <c r="AY1" t="s">
        <v>745</v>
      </c>
      <c r="AZ1" t="s">
        <v>815</v>
      </c>
      <c r="BC1" s="1741"/>
    </row>
    <row r="2" spans="1:55" ht="13.5">
      <c r="A2" s="1479" t="s">
        <v>2230</v>
      </c>
      <c r="B2" s="1479" t="s">
        <v>2231</v>
      </c>
      <c r="C2" s="1741" t="s">
        <v>2108</v>
      </c>
      <c r="D2" s="1741">
        <v>1010</v>
      </c>
      <c r="E2" s="1741">
        <v>10</v>
      </c>
      <c r="F2" s="1741" t="s">
        <v>2208</v>
      </c>
      <c r="G2" s="1741" t="s">
        <v>1912</v>
      </c>
      <c r="H2" s="1741" t="s">
        <v>1658</v>
      </c>
      <c r="I2" s="1753" t="s">
        <v>3003</v>
      </c>
      <c r="J2" s="1754" t="s">
        <v>2109</v>
      </c>
      <c r="K2" s="1753" t="s">
        <v>497</v>
      </c>
      <c r="L2" s="1754" t="s">
        <v>1158</v>
      </c>
      <c r="M2" s="1755"/>
      <c r="N2" s="1756">
        <v>90438.71</v>
      </c>
      <c r="O2" s="1757">
        <v>98407.34</v>
      </c>
      <c r="P2" s="1758">
        <v>105928.46</v>
      </c>
      <c r="Q2" s="1759">
        <v>219500</v>
      </c>
      <c r="R2" s="1760">
        <v>219500</v>
      </c>
      <c r="S2" s="1760">
        <v>110270</v>
      </c>
      <c r="T2" s="1760">
        <v>110270</v>
      </c>
      <c r="U2" s="1761">
        <v>231291.41759999999</v>
      </c>
      <c r="V2" s="1762">
        <f>U2*108%</f>
        <v>249794.731008</v>
      </c>
      <c r="W2" s="1757">
        <v>251305</v>
      </c>
      <c r="X2" s="1773"/>
      <c r="Z2" s="1773">
        <f t="shared" ref="Z2:Z33" si="0">$AL2*AN2</f>
        <v>0</v>
      </c>
      <c r="AA2" s="1773">
        <f t="shared" ref="AA2:AK2" si="1">$AL2*AO2</f>
        <v>0</v>
      </c>
      <c r="AB2" s="1773">
        <f t="shared" si="1"/>
        <v>0</v>
      </c>
      <c r="AC2" s="1773">
        <f t="shared" si="1"/>
        <v>0</v>
      </c>
      <c r="AD2" s="1773">
        <f t="shared" si="1"/>
        <v>0</v>
      </c>
      <c r="AE2" s="1773">
        <f t="shared" si="1"/>
        <v>0</v>
      </c>
      <c r="AF2" s="1773">
        <f t="shared" si="1"/>
        <v>0</v>
      </c>
      <c r="AG2" s="1773">
        <f t="shared" si="1"/>
        <v>0</v>
      </c>
      <c r="AH2" s="1773">
        <f t="shared" si="1"/>
        <v>0</v>
      </c>
      <c r="AI2" s="1773">
        <f t="shared" si="1"/>
        <v>0</v>
      </c>
      <c r="AJ2" s="1773">
        <f t="shared" si="1"/>
        <v>0</v>
      </c>
      <c r="AK2" s="1773">
        <f t="shared" si="1"/>
        <v>0</v>
      </c>
      <c r="AL2" s="1773">
        <f t="shared" ref="AL2:AL65" si="2">U2</f>
        <v>231291.41759999999</v>
      </c>
      <c r="AN2" s="1776"/>
      <c r="AO2" s="1776"/>
      <c r="AP2" s="1776"/>
      <c r="AQ2" s="1776"/>
      <c r="AR2" s="1776"/>
      <c r="AS2" s="1776"/>
      <c r="AT2" s="1776"/>
      <c r="AU2" s="1776"/>
      <c r="AV2" s="1776"/>
      <c r="AW2" s="1776"/>
      <c r="AX2" s="1776"/>
      <c r="AY2" s="1776"/>
      <c r="AZ2" s="1776">
        <v>1</v>
      </c>
      <c r="BC2" s="1741"/>
    </row>
    <row r="3" spans="1:55" ht="13.5">
      <c r="A3" s="1479" t="s">
        <v>2232</v>
      </c>
      <c r="B3" s="1479" t="s">
        <v>2233</v>
      </c>
      <c r="C3" s="1741" t="s">
        <v>2108</v>
      </c>
      <c r="D3" s="1741">
        <v>1010</v>
      </c>
      <c r="E3" s="1741">
        <v>30</v>
      </c>
      <c r="F3" s="1741" t="s">
        <v>2208</v>
      </c>
      <c r="G3" s="1741" t="s">
        <v>1912</v>
      </c>
      <c r="H3" s="1741" t="s">
        <v>1658</v>
      </c>
      <c r="I3" s="1753" t="s">
        <v>3003</v>
      </c>
      <c r="J3" s="1754" t="s">
        <v>3004</v>
      </c>
      <c r="K3" s="1753" t="s">
        <v>497</v>
      </c>
      <c r="L3" s="1754" t="s">
        <v>1159</v>
      </c>
      <c r="M3" s="1755"/>
      <c r="N3" s="1756">
        <v>76.8</v>
      </c>
      <c r="O3" s="1757">
        <v>82.8</v>
      </c>
      <c r="P3" s="1758">
        <v>86.25</v>
      </c>
      <c r="Q3" s="1759">
        <v>230</v>
      </c>
      <c r="R3" s="1760">
        <v>230</v>
      </c>
      <c r="S3" s="1760">
        <v>98</v>
      </c>
      <c r="T3" s="1760">
        <v>98</v>
      </c>
      <c r="U3" s="1761">
        <v>240.54307430399999</v>
      </c>
      <c r="V3" s="1762">
        <v>250</v>
      </c>
      <c r="W3" s="1757">
        <v>265</v>
      </c>
      <c r="Z3" s="1773">
        <f t="shared" si="0"/>
        <v>0</v>
      </c>
      <c r="AA3" s="1773">
        <f t="shared" ref="AA3:AA34" si="3">$AL3*AO3</f>
        <v>0</v>
      </c>
      <c r="AB3" s="1773">
        <f t="shared" ref="AB3:AB34" si="4">$AL3*AP3</f>
        <v>0</v>
      </c>
      <c r="AC3" s="1773">
        <f t="shared" ref="AC3:AC34" si="5">$AL3*AQ3</f>
        <v>0</v>
      </c>
      <c r="AD3" s="1773">
        <f t="shared" ref="AD3:AD34" si="6">$AL3*AR3</f>
        <v>0</v>
      </c>
      <c r="AE3" s="1773">
        <f t="shared" ref="AE3:AE34" si="7">$AL3*AS3</f>
        <v>0</v>
      </c>
      <c r="AF3" s="1773">
        <f t="shared" ref="AF3:AF34" si="8">$AL3*AT3</f>
        <v>0</v>
      </c>
      <c r="AG3" s="1773">
        <f t="shared" ref="AG3:AG34" si="9">$AL3*AU3</f>
        <v>0</v>
      </c>
      <c r="AH3" s="1773">
        <f t="shared" ref="AH3:AH34" si="10">$AL3*AV3</f>
        <v>0</v>
      </c>
      <c r="AI3" s="1773">
        <f t="shared" ref="AI3:AI34" si="11">$AL3*AW3</f>
        <v>0</v>
      </c>
      <c r="AJ3" s="1773">
        <f t="shared" ref="AJ3:AJ34" si="12">$AL3*AX3</f>
        <v>0</v>
      </c>
      <c r="AK3" s="1773">
        <f t="shared" ref="AK3:AK34" si="13">$AL3*AY3</f>
        <v>0</v>
      </c>
      <c r="AL3" s="1773">
        <f t="shared" si="2"/>
        <v>240.54307430399999</v>
      </c>
      <c r="AN3" s="1776"/>
      <c r="AO3" s="1776"/>
      <c r="AP3" s="1776"/>
      <c r="AQ3" s="1776"/>
      <c r="AR3" s="1776"/>
      <c r="AS3" s="1776"/>
      <c r="AT3" s="1776"/>
      <c r="AU3" s="1776"/>
      <c r="AV3" s="1776"/>
      <c r="AW3" s="1776"/>
      <c r="AX3" s="1776"/>
      <c r="AY3" s="1776"/>
      <c r="AZ3" s="1776">
        <v>1</v>
      </c>
      <c r="BC3" s="1741"/>
    </row>
    <row r="4" spans="1:55" ht="13.5">
      <c r="A4" s="1479" t="s">
        <v>2234</v>
      </c>
      <c r="B4" s="1479" t="s">
        <v>2235</v>
      </c>
      <c r="C4" s="1741" t="s">
        <v>2108</v>
      </c>
      <c r="D4" s="1741">
        <v>1010</v>
      </c>
      <c r="E4" s="1741">
        <v>50</v>
      </c>
      <c r="F4" s="1741" t="s">
        <v>2208</v>
      </c>
      <c r="G4" s="1741" t="s">
        <v>1912</v>
      </c>
      <c r="H4" s="1741" t="s">
        <v>1658</v>
      </c>
      <c r="I4" s="1753" t="s">
        <v>3003</v>
      </c>
      <c r="J4" s="1754" t="s">
        <v>2110</v>
      </c>
      <c r="K4" s="1753" t="s">
        <v>497</v>
      </c>
      <c r="L4" s="1754" t="s">
        <v>1159</v>
      </c>
      <c r="M4" s="1755"/>
      <c r="N4" s="1756">
        <v>18826.68</v>
      </c>
      <c r="O4" s="1757">
        <v>20390.16</v>
      </c>
      <c r="P4" s="1758">
        <v>20688.04</v>
      </c>
      <c r="Q4" s="1759">
        <v>27270</v>
      </c>
      <c r="R4" s="1760">
        <v>27270</v>
      </c>
      <c r="S4" s="1760">
        <v>21177</v>
      </c>
      <c r="T4" s="1760">
        <v>21177</v>
      </c>
      <c r="U4" s="1761">
        <v>29784.117635999995</v>
      </c>
      <c r="V4" s="1762">
        <v>29180</v>
      </c>
      <c r="W4" s="1757">
        <v>31225</v>
      </c>
      <c r="Z4" s="1773">
        <f t="shared" si="0"/>
        <v>0</v>
      </c>
      <c r="AA4" s="1773">
        <f t="shared" si="3"/>
        <v>0</v>
      </c>
      <c r="AB4" s="1773">
        <f t="shared" si="4"/>
        <v>0</v>
      </c>
      <c r="AC4" s="1773">
        <f t="shared" si="5"/>
        <v>0</v>
      </c>
      <c r="AD4" s="1773">
        <f t="shared" si="6"/>
        <v>0</v>
      </c>
      <c r="AE4" s="1773">
        <f t="shared" si="7"/>
        <v>0</v>
      </c>
      <c r="AF4" s="1773">
        <f t="shared" si="8"/>
        <v>0</v>
      </c>
      <c r="AG4" s="1773">
        <f t="shared" si="9"/>
        <v>0</v>
      </c>
      <c r="AH4" s="1773">
        <f t="shared" si="10"/>
        <v>0</v>
      </c>
      <c r="AI4" s="1773">
        <f t="shared" si="11"/>
        <v>0</v>
      </c>
      <c r="AJ4" s="1773">
        <f t="shared" si="12"/>
        <v>0</v>
      </c>
      <c r="AK4" s="1773">
        <f t="shared" si="13"/>
        <v>0</v>
      </c>
      <c r="AL4" s="1773">
        <f t="shared" si="2"/>
        <v>29784.117635999995</v>
      </c>
      <c r="AN4" s="1776"/>
      <c r="AO4" s="1776"/>
      <c r="AP4" s="1776"/>
      <c r="AQ4" s="1776"/>
      <c r="AR4" s="1776"/>
      <c r="AS4" s="1776"/>
      <c r="AT4" s="1776"/>
      <c r="AU4" s="1776"/>
      <c r="AV4" s="1776"/>
      <c r="AW4" s="1776"/>
      <c r="AX4" s="1776"/>
      <c r="AY4" s="1776"/>
      <c r="AZ4" s="1776">
        <v>1</v>
      </c>
      <c r="BC4" s="1741"/>
    </row>
    <row r="5" spans="1:55" ht="13.5">
      <c r="A5" s="1479" t="s">
        <v>2236</v>
      </c>
      <c r="B5" s="1479" t="s">
        <v>2237</v>
      </c>
      <c r="C5" s="1741" t="s">
        <v>2108</v>
      </c>
      <c r="D5" s="1741">
        <v>1010</v>
      </c>
      <c r="E5" s="1741">
        <v>60</v>
      </c>
      <c r="F5" s="1741" t="s">
        <v>2208</v>
      </c>
      <c r="G5" s="1741" t="s">
        <v>1912</v>
      </c>
      <c r="H5" s="1741" t="s">
        <v>1658</v>
      </c>
      <c r="I5" s="1753" t="s">
        <v>3003</v>
      </c>
      <c r="J5" s="1754" t="s">
        <v>2110</v>
      </c>
      <c r="K5" s="1753" t="s">
        <v>497</v>
      </c>
      <c r="L5" s="1754" t="s">
        <v>1159</v>
      </c>
      <c r="M5" s="1755"/>
      <c r="N5" s="1756">
        <v>979.87</v>
      </c>
      <c r="O5" s="1757">
        <v>1062.96</v>
      </c>
      <c r="P5" s="1758">
        <v>1146.67</v>
      </c>
      <c r="Q5" s="1759">
        <v>2785</v>
      </c>
      <c r="R5" s="1760">
        <v>2785</v>
      </c>
      <c r="S5" s="1760">
        <v>1241</v>
      </c>
      <c r="T5" s="1760">
        <v>1241</v>
      </c>
      <c r="U5" s="1761">
        <v>2904.6678239999997</v>
      </c>
      <c r="V5" s="1762">
        <v>2800</v>
      </c>
      <c r="W5" s="1757">
        <v>3190</v>
      </c>
      <c r="Z5" s="1773">
        <f t="shared" si="0"/>
        <v>0</v>
      </c>
      <c r="AA5" s="1773">
        <f t="shared" si="3"/>
        <v>0</v>
      </c>
      <c r="AB5" s="1773">
        <f t="shared" si="4"/>
        <v>0</v>
      </c>
      <c r="AC5" s="1773">
        <f t="shared" si="5"/>
        <v>0</v>
      </c>
      <c r="AD5" s="1773">
        <f t="shared" si="6"/>
        <v>0</v>
      </c>
      <c r="AE5" s="1773">
        <f t="shared" si="7"/>
        <v>0</v>
      </c>
      <c r="AF5" s="1773">
        <f t="shared" si="8"/>
        <v>0</v>
      </c>
      <c r="AG5" s="1773">
        <f t="shared" si="9"/>
        <v>0</v>
      </c>
      <c r="AH5" s="1773">
        <f t="shared" si="10"/>
        <v>0</v>
      </c>
      <c r="AI5" s="1773">
        <f t="shared" si="11"/>
        <v>0</v>
      </c>
      <c r="AJ5" s="1773">
        <f t="shared" si="12"/>
        <v>0</v>
      </c>
      <c r="AK5" s="1773">
        <f t="shared" si="13"/>
        <v>0</v>
      </c>
      <c r="AL5" s="1773">
        <f t="shared" si="2"/>
        <v>2904.6678239999997</v>
      </c>
      <c r="AN5" s="1776"/>
      <c r="AO5" s="1776"/>
      <c r="AP5" s="1776"/>
      <c r="AQ5" s="1776"/>
      <c r="AR5" s="1776"/>
      <c r="AS5" s="1776"/>
      <c r="AT5" s="1776"/>
      <c r="AU5" s="1776"/>
      <c r="AV5" s="1776"/>
      <c r="AW5" s="1776"/>
      <c r="AX5" s="1776"/>
      <c r="AY5" s="1776"/>
      <c r="AZ5" s="1776">
        <v>1</v>
      </c>
      <c r="BC5" s="1741"/>
    </row>
    <row r="6" spans="1:55" ht="13.5">
      <c r="A6" s="1479" t="s">
        <v>2238</v>
      </c>
      <c r="B6" s="1479" t="s">
        <v>2239</v>
      </c>
      <c r="C6" s="1741" t="s">
        <v>2108</v>
      </c>
      <c r="D6" s="1741">
        <v>1010</v>
      </c>
      <c r="E6" s="1741">
        <v>70</v>
      </c>
      <c r="F6" s="1741" t="s">
        <v>2208</v>
      </c>
      <c r="G6" s="1741" t="s">
        <v>1912</v>
      </c>
      <c r="H6" s="1741" t="s">
        <v>1658</v>
      </c>
      <c r="I6" s="1753" t="s">
        <v>3003</v>
      </c>
      <c r="J6" s="1754" t="s">
        <v>2111</v>
      </c>
      <c r="K6" s="1753" t="s">
        <v>497</v>
      </c>
      <c r="L6" s="1754" t="s">
        <v>1159</v>
      </c>
      <c r="M6" s="1755"/>
      <c r="N6" s="1756">
        <v>975.96</v>
      </c>
      <c r="O6" s="1757">
        <v>1056.96</v>
      </c>
      <c r="P6" s="1758">
        <v>968.88</v>
      </c>
      <c r="Q6" s="1759">
        <v>3290</v>
      </c>
      <c r="R6" s="1760">
        <v>3290</v>
      </c>
      <c r="S6" s="1760">
        <v>958</v>
      </c>
      <c r="T6" s="1760">
        <v>958</v>
      </c>
      <c r="U6" s="1761">
        <v>3420.0299519999999</v>
      </c>
      <c r="V6" s="1762">
        <v>3520</v>
      </c>
      <c r="W6" s="1757">
        <v>3770</v>
      </c>
      <c r="Z6" s="1773">
        <f t="shared" si="0"/>
        <v>0</v>
      </c>
      <c r="AA6" s="1773">
        <f t="shared" si="3"/>
        <v>0</v>
      </c>
      <c r="AB6" s="1773">
        <f t="shared" si="4"/>
        <v>0</v>
      </c>
      <c r="AC6" s="1773">
        <f t="shared" si="5"/>
        <v>0</v>
      </c>
      <c r="AD6" s="1773">
        <f t="shared" si="6"/>
        <v>0</v>
      </c>
      <c r="AE6" s="1773">
        <f t="shared" si="7"/>
        <v>0</v>
      </c>
      <c r="AF6" s="1773">
        <f t="shared" si="8"/>
        <v>0</v>
      </c>
      <c r="AG6" s="1773">
        <f t="shared" si="9"/>
        <v>0</v>
      </c>
      <c r="AH6" s="1773">
        <f t="shared" si="10"/>
        <v>0</v>
      </c>
      <c r="AI6" s="1773">
        <f t="shared" si="11"/>
        <v>0</v>
      </c>
      <c r="AJ6" s="1773">
        <f t="shared" si="12"/>
        <v>0</v>
      </c>
      <c r="AK6" s="1773">
        <f t="shared" si="13"/>
        <v>0</v>
      </c>
      <c r="AL6" s="1773">
        <f t="shared" si="2"/>
        <v>3420.0299519999999</v>
      </c>
      <c r="AN6" s="1776"/>
      <c r="AO6" s="1776"/>
      <c r="AP6" s="1776"/>
      <c r="AQ6" s="1776"/>
      <c r="AR6" s="1776"/>
      <c r="AS6" s="1776"/>
      <c r="AT6" s="1776"/>
      <c r="AU6" s="1776"/>
      <c r="AV6" s="1776"/>
      <c r="AW6" s="1776"/>
      <c r="AX6" s="1776"/>
      <c r="AY6" s="1776"/>
      <c r="AZ6" s="1776">
        <v>1</v>
      </c>
      <c r="BC6" s="1741"/>
    </row>
    <row r="7" spans="1:55" ht="13.5">
      <c r="A7" s="1479" t="s">
        <v>2240</v>
      </c>
      <c r="B7" s="1479" t="s">
        <v>2241</v>
      </c>
      <c r="C7" s="1741" t="s">
        <v>2108</v>
      </c>
      <c r="D7" s="1741">
        <v>1010</v>
      </c>
      <c r="E7" s="1741">
        <v>140</v>
      </c>
      <c r="F7" s="1741" t="s">
        <v>2208</v>
      </c>
      <c r="G7" s="1741" t="s">
        <v>1912</v>
      </c>
      <c r="H7" s="1741" t="s">
        <v>1658</v>
      </c>
      <c r="I7" s="1753" t="s">
        <v>3003</v>
      </c>
      <c r="J7" s="1754" t="s">
        <v>3005</v>
      </c>
      <c r="K7" s="1753" t="s">
        <v>497</v>
      </c>
      <c r="L7" s="1754" t="s">
        <v>1163</v>
      </c>
      <c r="M7" s="1755"/>
      <c r="N7" s="1756">
        <v>7550</v>
      </c>
      <c r="O7" s="1757">
        <v>8177</v>
      </c>
      <c r="P7" s="1758">
        <v>9240.01</v>
      </c>
      <c r="Q7" s="1759">
        <v>18295</v>
      </c>
      <c r="R7" s="1760">
        <v>18295</v>
      </c>
      <c r="S7" s="1760">
        <v>15459</v>
      </c>
      <c r="T7" s="1760">
        <v>15459</v>
      </c>
      <c r="U7" s="1761">
        <v>19274.284800000001</v>
      </c>
      <c r="V7" s="1762">
        <v>19575</v>
      </c>
      <c r="W7" s="1757">
        <v>20945</v>
      </c>
      <c r="Z7" s="1773">
        <f t="shared" si="0"/>
        <v>0</v>
      </c>
      <c r="AA7" s="1773">
        <f t="shared" si="3"/>
        <v>0</v>
      </c>
      <c r="AB7" s="1773">
        <f t="shared" si="4"/>
        <v>0</v>
      </c>
      <c r="AC7" s="1773">
        <f t="shared" si="5"/>
        <v>0</v>
      </c>
      <c r="AD7" s="1773">
        <f t="shared" si="6"/>
        <v>0</v>
      </c>
      <c r="AE7" s="1773">
        <f t="shared" si="7"/>
        <v>0</v>
      </c>
      <c r="AF7" s="1773">
        <f t="shared" si="8"/>
        <v>0</v>
      </c>
      <c r="AG7" s="1773">
        <f t="shared" si="9"/>
        <v>0</v>
      </c>
      <c r="AH7" s="1773">
        <f t="shared" si="10"/>
        <v>0</v>
      </c>
      <c r="AI7" s="1773">
        <f t="shared" si="11"/>
        <v>0</v>
      </c>
      <c r="AJ7" s="1773">
        <f t="shared" si="12"/>
        <v>0</v>
      </c>
      <c r="AK7" s="1773">
        <f t="shared" si="13"/>
        <v>0</v>
      </c>
      <c r="AL7" s="1773">
        <f t="shared" si="2"/>
        <v>19274.284800000001</v>
      </c>
      <c r="AN7" s="1776"/>
      <c r="AO7" s="1776"/>
      <c r="AP7" s="1776"/>
      <c r="AQ7" s="1776"/>
      <c r="AR7" s="1776"/>
      <c r="AS7" s="1776"/>
      <c r="AT7" s="1776"/>
      <c r="AU7" s="1776"/>
      <c r="AV7" s="1776"/>
      <c r="AW7" s="1776"/>
      <c r="AX7" s="1776"/>
      <c r="AY7" s="1776"/>
      <c r="AZ7" s="1776">
        <v>1</v>
      </c>
      <c r="BC7" s="1741"/>
    </row>
    <row r="8" spans="1:55" ht="13.5">
      <c r="A8" s="1479" t="s">
        <v>2242</v>
      </c>
      <c r="B8" s="1479" t="s">
        <v>2243</v>
      </c>
      <c r="C8" s="1741" t="s">
        <v>2108</v>
      </c>
      <c r="D8" s="1741">
        <v>1010</v>
      </c>
      <c r="E8" s="1741">
        <v>520</v>
      </c>
      <c r="F8" s="1741" t="s">
        <v>2208</v>
      </c>
      <c r="G8" s="1741" t="s">
        <v>1912</v>
      </c>
      <c r="H8" s="1741" t="s">
        <v>1658</v>
      </c>
      <c r="I8" s="1753" t="s">
        <v>2114</v>
      </c>
      <c r="J8" s="1754" t="s">
        <v>2138</v>
      </c>
      <c r="K8" s="1753" t="s">
        <v>2114</v>
      </c>
      <c r="L8" s="1754" t="s">
        <v>2138</v>
      </c>
      <c r="M8" s="1755"/>
      <c r="N8" s="1756">
        <v>6883.56</v>
      </c>
      <c r="O8" s="1757">
        <v>8768.5400000000009</v>
      </c>
      <c r="P8" s="1758">
        <v>9565.68</v>
      </c>
      <c r="Q8" s="1759">
        <v>12835</v>
      </c>
      <c r="R8" s="1760">
        <v>0</v>
      </c>
      <c r="S8" s="1760">
        <v>0</v>
      </c>
      <c r="T8" s="1760">
        <v>0</v>
      </c>
      <c r="U8" s="1761">
        <v>0</v>
      </c>
      <c r="V8" s="1762">
        <v>14760</v>
      </c>
      <c r="W8" s="1757">
        <v>15795</v>
      </c>
      <c r="Z8" s="1773">
        <f t="shared" si="0"/>
        <v>0</v>
      </c>
      <c r="AA8" s="1773">
        <f t="shared" si="3"/>
        <v>0</v>
      </c>
      <c r="AB8" s="1773">
        <f t="shared" si="4"/>
        <v>0</v>
      </c>
      <c r="AC8" s="1773">
        <f t="shared" si="5"/>
        <v>0</v>
      </c>
      <c r="AD8" s="1773">
        <f t="shared" si="6"/>
        <v>0</v>
      </c>
      <c r="AE8" s="1773">
        <f t="shared" si="7"/>
        <v>0</v>
      </c>
      <c r="AF8" s="1773">
        <f t="shared" si="8"/>
        <v>0</v>
      </c>
      <c r="AG8" s="1773">
        <f t="shared" si="9"/>
        <v>0</v>
      </c>
      <c r="AH8" s="1773">
        <f t="shared" si="10"/>
        <v>0</v>
      </c>
      <c r="AI8" s="1773">
        <f t="shared" si="11"/>
        <v>0</v>
      </c>
      <c r="AJ8" s="1773">
        <f t="shared" si="12"/>
        <v>0</v>
      </c>
      <c r="AK8" s="1773">
        <f t="shared" si="13"/>
        <v>0</v>
      </c>
      <c r="AL8" s="1773">
        <f t="shared" si="2"/>
        <v>0</v>
      </c>
      <c r="AN8" s="1776"/>
      <c r="AO8" s="1776"/>
      <c r="AP8" s="1776"/>
      <c r="AQ8" s="1776"/>
      <c r="AR8" s="1776"/>
      <c r="AS8" s="1776"/>
      <c r="AT8" s="1776"/>
      <c r="AU8" s="1776"/>
      <c r="AV8" s="1776"/>
      <c r="AW8" s="1776"/>
      <c r="AX8" s="1776"/>
      <c r="AY8" s="1776"/>
      <c r="AZ8" s="1776">
        <v>1</v>
      </c>
      <c r="BC8" s="1741"/>
    </row>
    <row r="9" spans="1:55" ht="13.5">
      <c r="A9" t="s">
        <v>2244</v>
      </c>
      <c r="B9" t="s">
        <v>2245</v>
      </c>
      <c r="C9" s="1741" t="s">
        <v>2108</v>
      </c>
      <c r="D9" s="1741">
        <v>1010</v>
      </c>
      <c r="E9" s="1741">
        <v>650</v>
      </c>
      <c r="F9" s="1741" t="s">
        <v>2208</v>
      </c>
      <c r="G9" s="1741" t="s">
        <v>1912</v>
      </c>
      <c r="H9" s="1741" t="s">
        <v>1658</v>
      </c>
      <c r="I9" s="1753" t="s">
        <v>2114</v>
      </c>
      <c r="J9" s="1754" t="s">
        <v>3006</v>
      </c>
      <c r="K9" s="1753" t="s">
        <v>2114</v>
      </c>
      <c r="L9" s="1754" t="s">
        <v>3006</v>
      </c>
      <c r="M9" s="1755"/>
      <c r="N9" s="1756">
        <v>0</v>
      </c>
      <c r="O9" s="1757">
        <v>0</v>
      </c>
      <c r="P9" s="1758">
        <v>0</v>
      </c>
      <c r="Q9" s="1759">
        <v>5000</v>
      </c>
      <c r="R9" s="1760">
        <v>5000</v>
      </c>
      <c r="S9" s="1760">
        <v>560</v>
      </c>
      <c r="T9" s="1760">
        <v>560</v>
      </c>
      <c r="U9" s="1761">
        <v>5000</v>
      </c>
      <c r="V9" s="1762">
        <v>5000</v>
      </c>
      <c r="W9" s="1757">
        <v>5000</v>
      </c>
      <c r="Z9" s="1773">
        <f t="shared" si="0"/>
        <v>0</v>
      </c>
      <c r="AA9" s="1773">
        <f t="shared" si="3"/>
        <v>0</v>
      </c>
      <c r="AB9" s="1773">
        <f t="shared" si="4"/>
        <v>0</v>
      </c>
      <c r="AC9" s="1773">
        <f t="shared" si="5"/>
        <v>0</v>
      </c>
      <c r="AD9" s="1773">
        <f t="shared" si="6"/>
        <v>0</v>
      </c>
      <c r="AE9" s="1773">
        <f t="shared" si="7"/>
        <v>0</v>
      </c>
      <c r="AF9" s="1773">
        <f t="shared" si="8"/>
        <v>0</v>
      </c>
      <c r="AG9" s="1773">
        <f t="shared" si="9"/>
        <v>0</v>
      </c>
      <c r="AH9" s="1773">
        <f t="shared" si="10"/>
        <v>0</v>
      </c>
      <c r="AI9" s="1773">
        <f t="shared" si="11"/>
        <v>0</v>
      </c>
      <c r="AJ9" s="1773">
        <f t="shared" si="12"/>
        <v>0</v>
      </c>
      <c r="AK9" s="1773">
        <f t="shared" si="13"/>
        <v>0</v>
      </c>
      <c r="AL9" s="1773">
        <f t="shared" si="2"/>
        <v>5000</v>
      </c>
      <c r="AN9" s="1776"/>
      <c r="AO9" s="1776"/>
      <c r="AP9" s="1776"/>
      <c r="AQ9" s="1776"/>
      <c r="AR9" s="1776"/>
      <c r="AS9" s="1776"/>
      <c r="AT9" s="1776"/>
      <c r="AU9" s="1776"/>
      <c r="AV9" s="1776"/>
      <c r="AW9" s="1776"/>
      <c r="AX9" s="1776"/>
      <c r="AY9" s="1776"/>
      <c r="AZ9" s="1776">
        <v>1</v>
      </c>
      <c r="BC9" s="1741"/>
    </row>
    <row r="10" spans="1:55" ht="13.5">
      <c r="A10" t="s">
        <v>2246</v>
      </c>
      <c r="B10" t="s">
        <v>2247</v>
      </c>
      <c r="C10" s="1741" t="s">
        <v>2108</v>
      </c>
      <c r="D10" s="1741">
        <v>1010</v>
      </c>
      <c r="E10" s="1741">
        <v>790</v>
      </c>
      <c r="F10" s="1741" t="s">
        <v>2208</v>
      </c>
      <c r="G10" s="1741" t="s">
        <v>1912</v>
      </c>
      <c r="H10" s="1741" t="s">
        <v>1658</v>
      </c>
      <c r="I10" s="1753" t="s">
        <v>2114</v>
      </c>
      <c r="J10" s="1754" t="s">
        <v>3007</v>
      </c>
      <c r="K10" s="1753" t="s">
        <v>2114</v>
      </c>
      <c r="L10" s="1754" t="s">
        <v>3007</v>
      </c>
      <c r="M10" s="1755"/>
      <c r="N10" s="1756"/>
      <c r="O10" s="1757">
        <v>0</v>
      </c>
      <c r="P10" s="1758">
        <v>0</v>
      </c>
      <c r="Q10" s="1759">
        <v>0</v>
      </c>
      <c r="R10" s="1760">
        <v>10000</v>
      </c>
      <c r="S10" s="1760">
        <v>6521</v>
      </c>
      <c r="T10" s="1760">
        <v>6521</v>
      </c>
      <c r="U10" s="1761">
        <v>10000</v>
      </c>
      <c r="V10" s="1762">
        <v>0</v>
      </c>
      <c r="W10" s="1757">
        <v>0</v>
      </c>
      <c r="Z10" s="1773">
        <f t="shared" si="0"/>
        <v>0</v>
      </c>
      <c r="AA10" s="1773">
        <f t="shared" si="3"/>
        <v>0</v>
      </c>
      <c r="AB10" s="1773">
        <f t="shared" si="4"/>
        <v>0</v>
      </c>
      <c r="AC10" s="1773">
        <f t="shared" si="5"/>
        <v>0</v>
      </c>
      <c r="AD10" s="1773">
        <f t="shared" si="6"/>
        <v>0</v>
      </c>
      <c r="AE10" s="1773">
        <f t="shared" si="7"/>
        <v>0</v>
      </c>
      <c r="AF10" s="1773">
        <f t="shared" si="8"/>
        <v>0</v>
      </c>
      <c r="AG10" s="1773">
        <f t="shared" si="9"/>
        <v>0</v>
      </c>
      <c r="AH10" s="1773">
        <f t="shared" si="10"/>
        <v>0</v>
      </c>
      <c r="AI10" s="1773">
        <f t="shared" si="11"/>
        <v>0</v>
      </c>
      <c r="AJ10" s="1773">
        <f t="shared" si="12"/>
        <v>0</v>
      </c>
      <c r="AK10" s="1773">
        <f t="shared" si="13"/>
        <v>0</v>
      </c>
      <c r="AL10" s="1773">
        <f t="shared" si="2"/>
        <v>10000</v>
      </c>
      <c r="AN10" s="1776"/>
      <c r="AO10" s="1776"/>
      <c r="AP10" s="1776"/>
      <c r="AQ10" s="1776"/>
      <c r="AR10" s="1776"/>
      <c r="AS10" s="1776"/>
      <c r="AT10" s="1776"/>
      <c r="AU10" s="1776"/>
      <c r="AV10" s="1776"/>
      <c r="AW10" s="1776"/>
      <c r="AX10" s="1776"/>
      <c r="AY10" s="1776"/>
      <c r="AZ10" s="1776">
        <v>1</v>
      </c>
      <c r="BC10" s="1741"/>
    </row>
    <row r="11" spans="1:55">
      <c r="A11" s="1479" t="s">
        <v>2248</v>
      </c>
      <c r="B11" s="1479" t="s">
        <v>2249</v>
      </c>
      <c r="C11" s="1741" t="s">
        <v>2108</v>
      </c>
      <c r="D11" s="1741">
        <v>1010</v>
      </c>
      <c r="E11" s="1741">
        <v>1410</v>
      </c>
      <c r="F11" s="1741" t="s">
        <v>2208</v>
      </c>
      <c r="G11" s="1741" t="s">
        <v>1912</v>
      </c>
      <c r="H11" s="1741" t="s">
        <v>1658</v>
      </c>
      <c r="I11" s="1753" t="s">
        <v>2114</v>
      </c>
      <c r="J11" s="1754" t="s">
        <v>3008</v>
      </c>
      <c r="K11" s="1753" t="s">
        <v>2114</v>
      </c>
      <c r="L11" s="1754" t="s">
        <v>3008</v>
      </c>
      <c r="M11" s="1754"/>
      <c r="N11" s="1756">
        <v>294.69</v>
      </c>
      <c r="O11" s="1757">
        <v>486.78</v>
      </c>
      <c r="P11" s="1758">
        <v>472.72</v>
      </c>
      <c r="Q11" s="1759">
        <v>2000</v>
      </c>
      <c r="R11" s="1760">
        <v>2000</v>
      </c>
      <c r="S11" s="1760">
        <v>224</v>
      </c>
      <c r="T11" s="1760">
        <v>224</v>
      </c>
      <c r="U11" s="1761">
        <v>2000</v>
      </c>
      <c r="V11" s="1762">
        <v>2000</v>
      </c>
      <c r="W11" s="1757">
        <v>2000</v>
      </c>
      <c r="Z11" s="1773">
        <f t="shared" si="0"/>
        <v>0</v>
      </c>
      <c r="AA11" s="1773">
        <f t="shared" si="3"/>
        <v>0</v>
      </c>
      <c r="AB11" s="1773">
        <f t="shared" si="4"/>
        <v>0</v>
      </c>
      <c r="AC11" s="1773">
        <f t="shared" si="5"/>
        <v>0</v>
      </c>
      <c r="AD11" s="1773">
        <f t="shared" si="6"/>
        <v>0</v>
      </c>
      <c r="AE11" s="1773">
        <f t="shared" si="7"/>
        <v>0</v>
      </c>
      <c r="AF11" s="1773">
        <f t="shared" si="8"/>
        <v>0</v>
      </c>
      <c r="AG11" s="1773">
        <f t="shared" si="9"/>
        <v>0</v>
      </c>
      <c r="AH11" s="1773">
        <f t="shared" si="10"/>
        <v>0</v>
      </c>
      <c r="AI11" s="1773">
        <f t="shared" si="11"/>
        <v>0</v>
      </c>
      <c r="AJ11" s="1773">
        <f t="shared" si="12"/>
        <v>0</v>
      </c>
      <c r="AK11" s="1773">
        <f t="shared" si="13"/>
        <v>0</v>
      </c>
      <c r="AL11" s="1773">
        <f t="shared" si="2"/>
        <v>2000</v>
      </c>
      <c r="AN11" s="1776"/>
      <c r="AO11" s="1776"/>
      <c r="AP11" s="1776"/>
      <c r="AQ11" s="1776"/>
      <c r="AR11" s="1776"/>
      <c r="AS11" s="1776"/>
      <c r="AT11" s="1776"/>
      <c r="AU11" s="1776"/>
      <c r="AV11" s="1776"/>
      <c r="AW11" s="1776"/>
      <c r="AX11" s="1776"/>
      <c r="AY11" s="1776"/>
      <c r="AZ11" s="1776">
        <v>1</v>
      </c>
      <c r="BC11" s="1741"/>
    </row>
    <row r="12" spans="1:55">
      <c r="A12" s="1479" t="s">
        <v>2250</v>
      </c>
      <c r="B12" s="1479" t="s">
        <v>2251</v>
      </c>
      <c r="C12" s="1741" t="s">
        <v>2108</v>
      </c>
      <c r="D12" s="1741">
        <v>1010</v>
      </c>
      <c r="E12" s="1741">
        <v>1440</v>
      </c>
      <c r="F12" s="1741" t="s">
        <v>2208</v>
      </c>
      <c r="G12" s="1741" t="s">
        <v>1912</v>
      </c>
      <c r="H12" s="1741" t="s">
        <v>1658</v>
      </c>
      <c r="I12" s="1753" t="s">
        <v>2115</v>
      </c>
      <c r="J12" s="1754"/>
      <c r="K12" s="1753" t="s">
        <v>1596</v>
      </c>
      <c r="L12" s="1754" t="s">
        <v>1696</v>
      </c>
      <c r="M12" s="1754"/>
      <c r="N12" s="1756">
        <v>0</v>
      </c>
      <c r="O12" s="1757">
        <v>1411</v>
      </c>
      <c r="P12" s="1758">
        <v>0</v>
      </c>
      <c r="Q12" s="1759">
        <v>4000</v>
      </c>
      <c r="R12" s="1760">
        <v>4000</v>
      </c>
      <c r="S12" s="1760">
        <v>448</v>
      </c>
      <c r="T12" s="1760">
        <v>448</v>
      </c>
      <c r="U12" s="1761">
        <v>4000</v>
      </c>
      <c r="V12" s="1762">
        <v>4000</v>
      </c>
      <c r="W12" s="1757">
        <v>4000</v>
      </c>
      <c r="Z12" s="1773">
        <f t="shared" si="0"/>
        <v>0</v>
      </c>
      <c r="AA12" s="1773">
        <f t="shared" si="3"/>
        <v>0</v>
      </c>
      <c r="AB12" s="1773">
        <f t="shared" si="4"/>
        <v>0</v>
      </c>
      <c r="AC12" s="1773">
        <f t="shared" si="5"/>
        <v>0</v>
      </c>
      <c r="AD12" s="1773">
        <f t="shared" si="6"/>
        <v>0</v>
      </c>
      <c r="AE12" s="1773">
        <f t="shared" si="7"/>
        <v>0</v>
      </c>
      <c r="AF12" s="1773">
        <f t="shared" si="8"/>
        <v>0</v>
      </c>
      <c r="AG12" s="1773">
        <f t="shared" si="9"/>
        <v>0</v>
      </c>
      <c r="AH12" s="1773">
        <f t="shared" si="10"/>
        <v>0</v>
      </c>
      <c r="AI12" s="1773">
        <f t="shared" si="11"/>
        <v>0</v>
      </c>
      <c r="AJ12" s="1773">
        <f t="shared" si="12"/>
        <v>0</v>
      </c>
      <c r="AK12" s="1773">
        <f t="shared" si="13"/>
        <v>0</v>
      </c>
      <c r="AL12" s="1773">
        <f t="shared" si="2"/>
        <v>4000</v>
      </c>
      <c r="AN12" s="1776"/>
      <c r="AO12" s="1776"/>
      <c r="AP12" s="1776"/>
      <c r="AQ12" s="1776"/>
      <c r="AR12" s="1776"/>
      <c r="AS12" s="1776"/>
      <c r="AT12" s="1776"/>
      <c r="AU12" s="1776"/>
      <c r="AV12" s="1776"/>
      <c r="AW12" s="1776"/>
      <c r="AX12" s="1776"/>
      <c r="AY12" s="1776"/>
      <c r="AZ12" s="1776">
        <v>1</v>
      </c>
      <c r="BC12" s="1741"/>
    </row>
    <row r="13" spans="1:55">
      <c r="A13" s="1479" t="s">
        <v>2252</v>
      </c>
      <c r="B13" s="1479" t="s">
        <v>2253</v>
      </c>
      <c r="C13" s="1741" t="s">
        <v>2108</v>
      </c>
      <c r="D13" s="1741">
        <v>1010</v>
      </c>
      <c r="E13" s="1741">
        <v>3510</v>
      </c>
      <c r="F13" s="1741" t="s">
        <v>2208</v>
      </c>
      <c r="G13" s="1741" t="s">
        <v>1912</v>
      </c>
      <c r="H13" s="1741" t="s">
        <v>1658</v>
      </c>
      <c r="I13" s="1753" t="s">
        <v>464</v>
      </c>
      <c r="J13" s="1754"/>
      <c r="K13" s="1753" t="s">
        <v>2114</v>
      </c>
      <c r="L13" s="1754" t="s">
        <v>3029</v>
      </c>
      <c r="M13" s="1754"/>
      <c r="N13" s="1756">
        <v>784.87</v>
      </c>
      <c r="O13" s="1757">
        <v>0</v>
      </c>
      <c r="P13" s="1758">
        <v>459.03</v>
      </c>
      <c r="Q13" s="1759">
        <v>900</v>
      </c>
      <c r="R13" s="1760">
        <v>15000</v>
      </c>
      <c r="S13" s="1760">
        <v>387</v>
      </c>
      <c r="T13" s="1760">
        <v>387</v>
      </c>
      <c r="U13" s="1761">
        <v>15000</v>
      </c>
      <c r="V13" s="1762">
        <v>900</v>
      </c>
      <c r="W13" s="1757">
        <v>900</v>
      </c>
      <c r="Z13" s="1773">
        <f t="shared" si="0"/>
        <v>0</v>
      </c>
      <c r="AA13" s="1773">
        <f t="shared" si="3"/>
        <v>0</v>
      </c>
      <c r="AB13" s="1773">
        <f t="shared" si="4"/>
        <v>0</v>
      </c>
      <c r="AC13" s="1773">
        <f t="shared" si="5"/>
        <v>0</v>
      </c>
      <c r="AD13" s="1773">
        <f t="shared" si="6"/>
        <v>0</v>
      </c>
      <c r="AE13" s="1773">
        <f t="shared" si="7"/>
        <v>0</v>
      </c>
      <c r="AF13" s="1773">
        <f t="shared" si="8"/>
        <v>0</v>
      </c>
      <c r="AG13" s="1773">
        <f t="shared" si="9"/>
        <v>0</v>
      </c>
      <c r="AH13" s="1773">
        <f t="shared" si="10"/>
        <v>0</v>
      </c>
      <c r="AI13" s="1773">
        <f t="shared" si="11"/>
        <v>0</v>
      </c>
      <c r="AJ13" s="1773">
        <f t="shared" si="12"/>
        <v>0</v>
      </c>
      <c r="AK13" s="1773">
        <f t="shared" si="13"/>
        <v>0</v>
      </c>
      <c r="AL13" s="1773">
        <f t="shared" si="2"/>
        <v>15000</v>
      </c>
      <c r="AN13" s="1776"/>
      <c r="AO13" s="1776"/>
      <c r="AP13" s="1776"/>
      <c r="AQ13" s="1776"/>
      <c r="AR13" s="1776"/>
      <c r="AS13" s="1776"/>
      <c r="AT13" s="1776"/>
      <c r="AU13" s="1776"/>
      <c r="AV13" s="1776"/>
      <c r="AW13" s="1776"/>
      <c r="AX13" s="1776"/>
      <c r="AY13" s="1776"/>
      <c r="AZ13" s="1776">
        <v>1</v>
      </c>
    </row>
    <row r="14" spans="1:55">
      <c r="A14" s="1479" t="s">
        <v>2254</v>
      </c>
      <c r="B14" s="1479" t="s">
        <v>2255</v>
      </c>
      <c r="C14" s="1741" t="s">
        <v>2108</v>
      </c>
      <c r="D14" s="1741">
        <v>1010</v>
      </c>
      <c r="E14" s="1741">
        <v>5500</v>
      </c>
      <c r="F14" s="1741" t="s">
        <v>2208</v>
      </c>
      <c r="G14" s="1741" t="s">
        <v>1912</v>
      </c>
      <c r="H14" s="1741" t="s">
        <v>586</v>
      </c>
      <c r="I14" s="1753" t="s">
        <v>2131</v>
      </c>
      <c r="J14" s="1754"/>
      <c r="K14" s="1754" t="s">
        <v>1723</v>
      </c>
      <c r="L14" s="1754" t="s">
        <v>1723</v>
      </c>
      <c r="M14" s="1754"/>
      <c r="N14" s="1756">
        <v>-8800</v>
      </c>
      <c r="O14" s="1757">
        <v>-9600</v>
      </c>
      <c r="P14" s="1758">
        <v>-9600</v>
      </c>
      <c r="Q14" s="1759">
        <v>-9600</v>
      </c>
      <c r="R14" s="1760">
        <v>-9600</v>
      </c>
      <c r="S14" s="1760">
        <v>-8824</v>
      </c>
      <c r="T14" s="1760">
        <v>-8824</v>
      </c>
      <c r="U14" s="1761">
        <v>-9600</v>
      </c>
      <c r="V14" s="1762">
        <v>-9600</v>
      </c>
      <c r="W14" s="1757">
        <v>-9600</v>
      </c>
      <c r="Z14" s="1773">
        <f t="shared" si="0"/>
        <v>0</v>
      </c>
      <c r="AA14" s="1773">
        <f t="shared" si="3"/>
        <v>0</v>
      </c>
      <c r="AB14" s="1773">
        <f t="shared" si="4"/>
        <v>0</v>
      </c>
      <c r="AC14" s="1773">
        <f t="shared" si="5"/>
        <v>0</v>
      </c>
      <c r="AD14" s="1773">
        <f t="shared" si="6"/>
        <v>0</v>
      </c>
      <c r="AE14" s="1773">
        <f t="shared" si="7"/>
        <v>0</v>
      </c>
      <c r="AF14" s="1773">
        <f t="shared" si="8"/>
        <v>0</v>
      </c>
      <c r="AG14" s="1773">
        <f t="shared" si="9"/>
        <v>0</v>
      </c>
      <c r="AH14" s="1773">
        <f t="shared" si="10"/>
        <v>0</v>
      </c>
      <c r="AI14" s="1773">
        <f t="shared" si="11"/>
        <v>0</v>
      </c>
      <c r="AJ14" s="1773">
        <f t="shared" si="12"/>
        <v>0</v>
      </c>
      <c r="AK14" s="1773">
        <f t="shared" si="13"/>
        <v>0</v>
      </c>
      <c r="AL14" s="1773">
        <f t="shared" si="2"/>
        <v>-9600</v>
      </c>
      <c r="AN14" s="1776"/>
      <c r="AO14" s="1776"/>
      <c r="AP14" s="1776"/>
      <c r="AQ14" s="1776"/>
      <c r="AR14" s="1776"/>
      <c r="AS14" s="1776"/>
      <c r="AT14" s="1776"/>
      <c r="AU14" s="1776"/>
      <c r="AV14" s="1776"/>
      <c r="AW14" s="1776"/>
      <c r="AX14" s="1776"/>
      <c r="AY14" s="1776"/>
      <c r="AZ14" s="1776">
        <v>1</v>
      </c>
    </row>
    <row r="15" spans="1:55" ht="13.5">
      <c r="A15" s="1479" t="s">
        <v>2256</v>
      </c>
      <c r="B15" s="1479" t="s">
        <v>2257</v>
      </c>
      <c r="C15" s="1741" t="s">
        <v>2108</v>
      </c>
      <c r="D15" s="1741">
        <v>1010</v>
      </c>
      <c r="E15" s="1741">
        <v>5820</v>
      </c>
      <c r="F15" s="1741" t="s">
        <v>2208</v>
      </c>
      <c r="G15" s="1741" t="s">
        <v>1912</v>
      </c>
      <c r="H15" s="1741" t="s">
        <v>586</v>
      </c>
      <c r="I15" s="1753" t="s">
        <v>2121</v>
      </c>
      <c r="J15" s="1754" t="s">
        <v>3009</v>
      </c>
      <c r="K15" s="236" t="s">
        <v>35</v>
      </c>
      <c r="L15" s="1754" t="s">
        <v>2128</v>
      </c>
      <c r="M15" s="1754"/>
      <c r="N15" s="1756">
        <v>-112100</v>
      </c>
      <c r="O15" s="1757">
        <v>-128000</v>
      </c>
      <c r="P15" s="1758">
        <v>-59000</v>
      </c>
      <c r="Q15" s="1759">
        <v>-127000</v>
      </c>
      <c r="R15" s="1760">
        <v>-127000</v>
      </c>
      <c r="S15" s="1760">
        <v>-42672</v>
      </c>
      <c r="T15" s="1760">
        <v>-42672</v>
      </c>
      <c r="U15" s="1761">
        <v>-140000</v>
      </c>
      <c r="V15" s="1762">
        <v>-165000</v>
      </c>
      <c r="W15" s="1757">
        <v>-180000</v>
      </c>
      <c r="Z15" s="1773">
        <f t="shared" si="0"/>
        <v>0</v>
      </c>
      <c r="AA15" s="1773">
        <f t="shared" si="3"/>
        <v>0</v>
      </c>
      <c r="AB15" s="1773">
        <f t="shared" si="4"/>
        <v>0</v>
      </c>
      <c r="AC15" s="1773">
        <f t="shared" si="5"/>
        <v>0</v>
      </c>
      <c r="AD15" s="1773">
        <f t="shared" si="6"/>
        <v>0</v>
      </c>
      <c r="AE15" s="1773">
        <f t="shared" si="7"/>
        <v>0</v>
      </c>
      <c r="AF15" s="1773">
        <f t="shared" si="8"/>
        <v>0</v>
      </c>
      <c r="AG15" s="1773">
        <f t="shared" si="9"/>
        <v>0</v>
      </c>
      <c r="AH15" s="1773">
        <f t="shared" si="10"/>
        <v>0</v>
      </c>
      <c r="AI15" s="1773">
        <f t="shared" si="11"/>
        <v>0</v>
      </c>
      <c r="AJ15" s="1773">
        <f t="shared" si="12"/>
        <v>0</v>
      </c>
      <c r="AK15" s="1773">
        <f t="shared" si="13"/>
        <v>0</v>
      </c>
      <c r="AL15" s="1773">
        <f t="shared" si="2"/>
        <v>-140000</v>
      </c>
      <c r="AN15" s="1776"/>
      <c r="AO15" s="1776"/>
      <c r="AP15" s="1776"/>
      <c r="AQ15" s="1776"/>
      <c r="AR15" s="1776"/>
      <c r="AS15" s="1776"/>
      <c r="AT15" s="1776"/>
      <c r="AU15" s="1776"/>
      <c r="AV15" s="1776"/>
      <c r="AW15" s="1776"/>
      <c r="AX15" s="1776"/>
      <c r="AY15" s="1776"/>
      <c r="AZ15" s="1776">
        <v>1</v>
      </c>
    </row>
    <row r="16" spans="1:55">
      <c r="A16" s="1479" t="s">
        <v>2258</v>
      </c>
      <c r="B16" s="1479" t="s">
        <v>2259</v>
      </c>
      <c r="C16" s="1741" t="s">
        <v>2108</v>
      </c>
      <c r="D16" s="1741">
        <v>1010</v>
      </c>
      <c r="E16" s="1741">
        <v>6540</v>
      </c>
      <c r="F16" s="1741" t="s">
        <v>2208</v>
      </c>
      <c r="G16" s="1741" t="s">
        <v>1912</v>
      </c>
      <c r="H16" s="1741" t="s">
        <v>586</v>
      </c>
      <c r="I16" s="1753" t="s">
        <v>2120</v>
      </c>
      <c r="J16" s="1754"/>
      <c r="K16" s="1754" t="s">
        <v>1666</v>
      </c>
      <c r="L16" s="1754" t="s">
        <v>1666</v>
      </c>
      <c r="M16" s="1754"/>
      <c r="N16" s="1756">
        <v>0</v>
      </c>
      <c r="O16" s="1757">
        <v>0</v>
      </c>
      <c r="P16" s="1758">
        <v>0</v>
      </c>
      <c r="Q16" s="1759">
        <v>0</v>
      </c>
      <c r="R16" s="1760">
        <v>0</v>
      </c>
      <c r="S16" s="1760">
        <v>0</v>
      </c>
      <c r="T16" s="1760">
        <v>0</v>
      </c>
      <c r="U16" s="1761">
        <v>0</v>
      </c>
      <c r="V16" s="1762">
        <v>0</v>
      </c>
      <c r="W16" s="1757">
        <v>0</v>
      </c>
      <c r="Z16" s="1773">
        <f t="shared" si="0"/>
        <v>0</v>
      </c>
      <c r="AA16" s="1773">
        <f t="shared" si="3"/>
        <v>0</v>
      </c>
      <c r="AB16" s="1773">
        <f t="shared" si="4"/>
        <v>0</v>
      </c>
      <c r="AC16" s="1773">
        <f t="shared" si="5"/>
        <v>0</v>
      </c>
      <c r="AD16" s="1773">
        <f t="shared" si="6"/>
        <v>0</v>
      </c>
      <c r="AE16" s="1773">
        <f t="shared" si="7"/>
        <v>0</v>
      </c>
      <c r="AF16" s="1773">
        <f t="shared" si="8"/>
        <v>0</v>
      </c>
      <c r="AG16" s="1773">
        <f t="shared" si="9"/>
        <v>0</v>
      </c>
      <c r="AH16" s="1773">
        <f t="shared" si="10"/>
        <v>0</v>
      </c>
      <c r="AI16" s="1773">
        <f t="shared" si="11"/>
        <v>0</v>
      </c>
      <c r="AJ16" s="1773">
        <f t="shared" si="12"/>
        <v>0</v>
      </c>
      <c r="AK16" s="1773">
        <f t="shared" si="13"/>
        <v>0</v>
      </c>
      <c r="AL16" s="1773">
        <f t="shared" si="2"/>
        <v>0</v>
      </c>
      <c r="AN16" s="1776"/>
      <c r="AO16" s="1776"/>
      <c r="AP16" s="1776"/>
      <c r="AQ16" s="1776"/>
      <c r="AR16" s="1776"/>
      <c r="AS16" s="1776"/>
      <c r="AT16" s="1776"/>
      <c r="AU16" s="1776"/>
      <c r="AV16" s="1776"/>
      <c r="AW16" s="1776"/>
      <c r="AX16" s="1776"/>
      <c r="AY16" s="1776"/>
      <c r="AZ16" s="1776">
        <v>1</v>
      </c>
    </row>
    <row r="17" spans="1:52">
      <c r="A17" s="1479" t="s">
        <v>2260</v>
      </c>
      <c r="B17" s="1479" t="s">
        <v>2231</v>
      </c>
      <c r="C17" s="1741" t="s">
        <v>2108</v>
      </c>
      <c r="D17" s="1741">
        <v>1020</v>
      </c>
      <c r="E17" s="1741">
        <v>10</v>
      </c>
      <c r="F17" s="1741" t="s">
        <v>2210</v>
      </c>
      <c r="G17" s="1741" t="s">
        <v>2209</v>
      </c>
      <c r="H17" s="1741" t="s">
        <v>1658</v>
      </c>
      <c r="I17" s="1753" t="s">
        <v>3003</v>
      </c>
      <c r="J17" s="1754" t="s">
        <v>2109</v>
      </c>
      <c r="K17" s="1753" t="s">
        <v>497</v>
      </c>
      <c r="L17" s="1754" t="s">
        <v>1158</v>
      </c>
      <c r="M17" s="1754"/>
      <c r="N17" s="1756">
        <v>1362085.03</v>
      </c>
      <c r="O17" s="1757">
        <v>1404229.86</v>
      </c>
      <c r="P17" s="1758">
        <v>1585682.8</v>
      </c>
      <c r="Q17" s="1759">
        <v>2662220</v>
      </c>
      <c r="R17" s="1760">
        <v>2662220</v>
      </c>
      <c r="S17" s="1760">
        <v>1929277</v>
      </c>
      <c r="T17" s="1760">
        <v>1929277</v>
      </c>
      <c r="U17" s="1761">
        <v>2867466.3551999992</v>
      </c>
      <c r="V17" s="1762">
        <f>U17*108%</f>
        <v>3096863.6636159993</v>
      </c>
      <c r="W17" s="1757">
        <f>V17*108%</f>
        <v>3344612.7567052795</v>
      </c>
      <c r="Z17" s="1773">
        <f t="shared" si="0"/>
        <v>0</v>
      </c>
      <c r="AA17" s="1773">
        <f t="shared" si="3"/>
        <v>0</v>
      </c>
      <c r="AB17" s="1773">
        <f t="shared" si="4"/>
        <v>0</v>
      </c>
      <c r="AC17" s="1773">
        <f t="shared" si="5"/>
        <v>0</v>
      </c>
      <c r="AD17" s="1773">
        <f t="shared" si="6"/>
        <v>0</v>
      </c>
      <c r="AE17" s="1773">
        <f t="shared" si="7"/>
        <v>0</v>
      </c>
      <c r="AF17" s="1773">
        <f t="shared" si="8"/>
        <v>0</v>
      </c>
      <c r="AG17" s="1773">
        <f t="shared" si="9"/>
        <v>0</v>
      </c>
      <c r="AH17" s="1773">
        <f t="shared" si="10"/>
        <v>0</v>
      </c>
      <c r="AI17" s="1773">
        <f t="shared" si="11"/>
        <v>0</v>
      </c>
      <c r="AJ17" s="1773">
        <f t="shared" si="12"/>
        <v>0</v>
      </c>
      <c r="AK17" s="1773">
        <f t="shared" si="13"/>
        <v>0</v>
      </c>
      <c r="AL17" s="1773">
        <f t="shared" si="2"/>
        <v>2867466.3551999992</v>
      </c>
      <c r="AN17" s="1776"/>
      <c r="AO17" s="1776"/>
      <c r="AP17" s="1776"/>
      <c r="AQ17" s="1776"/>
      <c r="AR17" s="1776"/>
      <c r="AS17" s="1776"/>
      <c r="AT17" s="1776"/>
      <c r="AU17" s="1776"/>
      <c r="AV17" s="1776"/>
      <c r="AW17" s="1776"/>
      <c r="AX17" s="1776"/>
      <c r="AY17" s="1776"/>
      <c r="AZ17" s="1776">
        <v>1</v>
      </c>
    </row>
    <row r="18" spans="1:52">
      <c r="A18" s="1479" t="s">
        <v>2261</v>
      </c>
      <c r="B18" s="1479" t="s">
        <v>2262</v>
      </c>
      <c r="C18" s="1741" t="s">
        <v>2108</v>
      </c>
      <c r="D18" s="1741">
        <v>1020</v>
      </c>
      <c r="E18" s="1741">
        <v>20</v>
      </c>
      <c r="F18" s="1741" t="s">
        <v>2210</v>
      </c>
      <c r="G18" s="1741" t="s">
        <v>2209</v>
      </c>
      <c r="H18" s="1741" t="s">
        <v>1658</v>
      </c>
      <c r="I18" s="1753" t="s">
        <v>3003</v>
      </c>
      <c r="J18" s="1754" t="s">
        <v>2109</v>
      </c>
      <c r="K18" s="1753" t="s">
        <v>497</v>
      </c>
      <c r="L18" s="1754" t="s">
        <v>1158</v>
      </c>
      <c r="M18" s="1754"/>
      <c r="N18" s="1756">
        <v>362600.54</v>
      </c>
      <c r="O18" s="1757">
        <v>449515.05</v>
      </c>
      <c r="P18" s="1758">
        <v>582449.25</v>
      </c>
      <c r="Q18" s="1759">
        <v>600000</v>
      </c>
      <c r="R18" s="1760">
        <v>600000</v>
      </c>
      <c r="S18" s="1760">
        <v>869536</v>
      </c>
      <c r="T18" s="1760">
        <v>869536</v>
      </c>
      <c r="U18" s="1761">
        <v>600000</v>
      </c>
      <c r="V18" s="1762">
        <v>600000</v>
      </c>
      <c r="W18" s="1757">
        <v>600000</v>
      </c>
      <c r="Z18" s="1773">
        <f t="shared" si="0"/>
        <v>0</v>
      </c>
      <c r="AA18" s="1773">
        <f t="shared" si="3"/>
        <v>0</v>
      </c>
      <c r="AB18" s="1773">
        <f t="shared" si="4"/>
        <v>0</v>
      </c>
      <c r="AC18" s="1773">
        <f t="shared" si="5"/>
        <v>0</v>
      </c>
      <c r="AD18" s="1773">
        <f t="shared" si="6"/>
        <v>0</v>
      </c>
      <c r="AE18" s="1773">
        <f t="shared" si="7"/>
        <v>0</v>
      </c>
      <c r="AF18" s="1773">
        <f t="shared" si="8"/>
        <v>0</v>
      </c>
      <c r="AG18" s="1773">
        <f t="shared" si="9"/>
        <v>0</v>
      </c>
      <c r="AH18" s="1773">
        <f t="shared" si="10"/>
        <v>0</v>
      </c>
      <c r="AI18" s="1773">
        <f t="shared" si="11"/>
        <v>0</v>
      </c>
      <c r="AJ18" s="1773">
        <f t="shared" si="12"/>
        <v>0</v>
      </c>
      <c r="AK18" s="1773">
        <f t="shared" si="13"/>
        <v>0</v>
      </c>
      <c r="AL18" s="1773">
        <f t="shared" si="2"/>
        <v>600000</v>
      </c>
      <c r="AN18" s="1776"/>
      <c r="AO18" s="1776"/>
      <c r="AP18" s="1776"/>
      <c r="AQ18" s="1776"/>
      <c r="AR18" s="1776"/>
      <c r="AS18" s="1776"/>
      <c r="AT18" s="1776"/>
      <c r="AU18" s="1776"/>
      <c r="AV18" s="1776"/>
      <c r="AW18" s="1776"/>
      <c r="AX18" s="1776"/>
      <c r="AY18" s="1776"/>
      <c r="AZ18" s="1776">
        <v>1</v>
      </c>
    </row>
    <row r="19" spans="1:52">
      <c r="A19" s="1479" t="s">
        <v>2263</v>
      </c>
      <c r="B19" s="1479" t="s">
        <v>2233</v>
      </c>
      <c r="C19" s="1741" t="s">
        <v>2108</v>
      </c>
      <c r="D19" s="1741">
        <v>1020</v>
      </c>
      <c r="E19" s="1741">
        <v>30</v>
      </c>
      <c r="F19" s="1741" t="s">
        <v>2210</v>
      </c>
      <c r="G19" s="1741" t="s">
        <v>2209</v>
      </c>
      <c r="H19" s="1741" t="s">
        <v>1658</v>
      </c>
      <c r="I19" s="1753" t="s">
        <v>3003</v>
      </c>
      <c r="J19" s="1754" t="s">
        <v>3004</v>
      </c>
      <c r="K19" s="1753" t="s">
        <v>497</v>
      </c>
      <c r="L19" s="1754" t="s">
        <v>1159</v>
      </c>
      <c r="M19" s="1754"/>
      <c r="N19" s="1756">
        <v>889.36</v>
      </c>
      <c r="O19" s="1757">
        <v>897.37</v>
      </c>
      <c r="P19" s="1758">
        <v>911.04</v>
      </c>
      <c r="Q19" s="1759">
        <v>8670</v>
      </c>
      <c r="R19" s="1760">
        <v>8670</v>
      </c>
      <c r="S19" s="1760">
        <v>1835</v>
      </c>
      <c r="T19" s="1760">
        <v>1835</v>
      </c>
      <c r="U19" s="1761">
        <v>9432.4909121279998</v>
      </c>
      <c r="V19" s="1762">
        <v>9600</v>
      </c>
      <c r="W19" s="1757">
        <v>9900</v>
      </c>
      <c r="Z19" s="1773">
        <f t="shared" si="0"/>
        <v>0</v>
      </c>
      <c r="AA19" s="1773">
        <f t="shared" si="3"/>
        <v>0</v>
      </c>
      <c r="AB19" s="1773">
        <f t="shared" si="4"/>
        <v>0</v>
      </c>
      <c r="AC19" s="1773">
        <f t="shared" si="5"/>
        <v>0</v>
      </c>
      <c r="AD19" s="1773">
        <f t="shared" si="6"/>
        <v>0</v>
      </c>
      <c r="AE19" s="1773">
        <f t="shared" si="7"/>
        <v>0</v>
      </c>
      <c r="AF19" s="1773">
        <f t="shared" si="8"/>
        <v>0</v>
      </c>
      <c r="AG19" s="1773">
        <f t="shared" si="9"/>
        <v>0</v>
      </c>
      <c r="AH19" s="1773">
        <f t="shared" si="10"/>
        <v>0</v>
      </c>
      <c r="AI19" s="1773">
        <f t="shared" si="11"/>
        <v>0</v>
      </c>
      <c r="AJ19" s="1773">
        <f t="shared" si="12"/>
        <v>0</v>
      </c>
      <c r="AK19" s="1773">
        <f t="shared" si="13"/>
        <v>0</v>
      </c>
      <c r="AL19" s="1773">
        <f t="shared" si="2"/>
        <v>9432.4909121279998</v>
      </c>
      <c r="AN19" s="1776"/>
      <c r="AO19" s="1776"/>
      <c r="AP19" s="1776"/>
      <c r="AQ19" s="1776"/>
      <c r="AR19" s="1776"/>
      <c r="AS19" s="1776"/>
      <c r="AT19" s="1776"/>
      <c r="AU19" s="1776"/>
      <c r="AV19" s="1776"/>
      <c r="AW19" s="1776"/>
      <c r="AX19" s="1776"/>
      <c r="AY19" s="1776"/>
      <c r="AZ19" s="1776">
        <v>1</v>
      </c>
    </row>
    <row r="20" spans="1:52">
      <c r="A20" s="1479" t="s">
        <v>2264</v>
      </c>
      <c r="B20" s="1479" t="s">
        <v>2265</v>
      </c>
      <c r="C20" s="1741" t="s">
        <v>2108</v>
      </c>
      <c r="D20" s="1741">
        <v>1020</v>
      </c>
      <c r="E20" s="1741">
        <v>40</v>
      </c>
      <c r="F20" s="1741" t="s">
        <v>2210</v>
      </c>
      <c r="G20" s="1741" t="s">
        <v>2209</v>
      </c>
      <c r="H20" s="1741" t="s">
        <v>1658</v>
      </c>
      <c r="I20" s="1753" t="s">
        <v>3003</v>
      </c>
      <c r="J20" s="1754" t="s">
        <v>2110</v>
      </c>
      <c r="K20" s="1753" t="s">
        <v>497</v>
      </c>
      <c r="L20" s="1754" t="s">
        <v>1159</v>
      </c>
      <c r="M20" s="1754"/>
      <c r="N20" s="1756">
        <v>39624.22</v>
      </c>
      <c r="O20" s="1757">
        <v>38962.44</v>
      </c>
      <c r="P20" s="1758">
        <v>30837</v>
      </c>
      <c r="Q20" s="1759">
        <v>49580</v>
      </c>
      <c r="R20" s="1760">
        <v>49580</v>
      </c>
      <c r="S20" s="1760">
        <v>36161</v>
      </c>
      <c r="T20" s="1760">
        <v>36161</v>
      </c>
      <c r="U20" s="1761">
        <v>28303.683552000002</v>
      </c>
      <c r="V20" s="1762">
        <v>53055</v>
      </c>
      <c r="W20" s="1757">
        <v>56765</v>
      </c>
      <c r="Z20" s="1773">
        <f t="shared" si="0"/>
        <v>0</v>
      </c>
      <c r="AA20" s="1773">
        <f t="shared" si="3"/>
        <v>0</v>
      </c>
      <c r="AB20" s="1773">
        <f t="shared" si="4"/>
        <v>0</v>
      </c>
      <c r="AC20" s="1773">
        <f t="shared" si="5"/>
        <v>0</v>
      </c>
      <c r="AD20" s="1773">
        <f t="shared" si="6"/>
        <v>0</v>
      </c>
      <c r="AE20" s="1773">
        <f t="shared" si="7"/>
        <v>0</v>
      </c>
      <c r="AF20" s="1773">
        <f t="shared" si="8"/>
        <v>0</v>
      </c>
      <c r="AG20" s="1773">
        <f t="shared" si="9"/>
        <v>0</v>
      </c>
      <c r="AH20" s="1773">
        <f t="shared" si="10"/>
        <v>0</v>
      </c>
      <c r="AI20" s="1773">
        <f t="shared" si="11"/>
        <v>0</v>
      </c>
      <c r="AJ20" s="1773">
        <f t="shared" si="12"/>
        <v>0</v>
      </c>
      <c r="AK20" s="1773">
        <f t="shared" si="13"/>
        <v>0</v>
      </c>
      <c r="AL20" s="1773">
        <f t="shared" si="2"/>
        <v>28303.683552000002</v>
      </c>
      <c r="AN20" s="1776"/>
      <c r="AO20" s="1776"/>
      <c r="AP20" s="1776"/>
      <c r="AQ20" s="1776"/>
      <c r="AR20" s="1776"/>
      <c r="AS20" s="1776"/>
      <c r="AT20" s="1776"/>
      <c r="AU20" s="1776"/>
      <c r="AV20" s="1776"/>
      <c r="AW20" s="1776"/>
      <c r="AX20" s="1776"/>
      <c r="AY20" s="1776"/>
      <c r="AZ20" s="1776">
        <v>1</v>
      </c>
    </row>
    <row r="21" spans="1:52">
      <c r="A21" s="1479" t="s">
        <v>2266</v>
      </c>
      <c r="B21" s="1479" t="s">
        <v>2235</v>
      </c>
      <c r="C21" s="1741" t="s">
        <v>2108</v>
      </c>
      <c r="D21" s="1741">
        <v>1020</v>
      </c>
      <c r="E21" s="1741">
        <v>50</v>
      </c>
      <c r="F21" s="1741" t="s">
        <v>2210</v>
      </c>
      <c r="G21" s="1741" t="s">
        <v>2209</v>
      </c>
      <c r="H21" s="1741" t="s">
        <v>1658</v>
      </c>
      <c r="I21" s="1753" t="s">
        <v>3003</v>
      </c>
      <c r="J21" s="1754" t="s">
        <v>2110</v>
      </c>
      <c r="K21" s="1753" t="s">
        <v>497</v>
      </c>
      <c r="L21" s="1754" t="s">
        <v>1159</v>
      </c>
      <c r="M21" s="1754"/>
      <c r="N21" s="1756">
        <v>270702.88</v>
      </c>
      <c r="O21" s="1757">
        <v>263617.26</v>
      </c>
      <c r="P21" s="1758">
        <v>246525.72</v>
      </c>
      <c r="Q21" s="1759">
        <v>436050</v>
      </c>
      <c r="R21" s="1760">
        <v>436050</v>
      </c>
      <c r="S21" s="1760">
        <v>285097</v>
      </c>
      <c r="T21" s="1760">
        <v>285097</v>
      </c>
      <c r="U21" s="1761">
        <v>457368.88625999994</v>
      </c>
      <c r="V21" s="1762">
        <v>466575</v>
      </c>
      <c r="W21" s="1757">
        <v>499235</v>
      </c>
      <c r="Z21" s="1773">
        <f t="shared" si="0"/>
        <v>0</v>
      </c>
      <c r="AA21" s="1773">
        <f t="shared" si="3"/>
        <v>0</v>
      </c>
      <c r="AB21" s="1773">
        <f t="shared" si="4"/>
        <v>0</v>
      </c>
      <c r="AC21" s="1773">
        <f t="shared" si="5"/>
        <v>0</v>
      </c>
      <c r="AD21" s="1773">
        <f t="shared" si="6"/>
        <v>0</v>
      </c>
      <c r="AE21" s="1773">
        <f t="shared" si="7"/>
        <v>0</v>
      </c>
      <c r="AF21" s="1773">
        <f t="shared" si="8"/>
        <v>0</v>
      </c>
      <c r="AG21" s="1773">
        <f t="shared" si="9"/>
        <v>0</v>
      </c>
      <c r="AH21" s="1773">
        <f t="shared" si="10"/>
        <v>0</v>
      </c>
      <c r="AI21" s="1773">
        <f t="shared" si="11"/>
        <v>0</v>
      </c>
      <c r="AJ21" s="1773">
        <f t="shared" si="12"/>
        <v>0</v>
      </c>
      <c r="AK21" s="1773">
        <f t="shared" si="13"/>
        <v>0</v>
      </c>
      <c r="AL21" s="1773">
        <f t="shared" si="2"/>
        <v>457368.88625999994</v>
      </c>
      <c r="AN21" s="1776"/>
      <c r="AO21" s="1776"/>
      <c r="AP21" s="1776"/>
      <c r="AQ21" s="1776"/>
      <c r="AR21" s="1776"/>
      <c r="AS21" s="1776"/>
      <c r="AT21" s="1776"/>
      <c r="AU21" s="1776"/>
      <c r="AV21" s="1776"/>
      <c r="AW21" s="1776"/>
      <c r="AX21" s="1776"/>
      <c r="AY21" s="1776"/>
      <c r="AZ21" s="1776">
        <v>1</v>
      </c>
    </row>
    <row r="22" spans="1:52">
      <c r="A22" s="1479" t="s">
        <v>2267</v>
      </c>
      <c r="B22" s="1479" t="s">
        <v>2237</v>
      </c>
      <c r="C22" s="1741" t="s">
        <v>2108</v>
      </c>
      <c r="D22" s="1741">
        <v>1020</v>
      </c>
      <c r="E22" s="1741">
        <v>60</v>
      </c>
      <c r="F22" s="1741" t="s">
        <v>2210</v>
      </c>
      <c r="G22" s="1741" t="s">
        <v>2209</v>
      </c>
      <c r="H22" s="1741" t="s">
        <v>1658</v>
      </c>
      <c r="I22" s="1753" t="s">
        <v>3003</v>
      </c>
      <c r="J22" s="1754" t="s">
        <v>2110</v>
      </c>
      <c r="K22" s="1753" t="s">
        <v>497</v>
      </c>
      <c r="L22" s="1754" t="s">
        <v>1159</v>
      </c>
      <c r="M22" s="1754"/>
      <c r="N22" s="1756">
        <v>14839.72</v>
      </c>
      <c r="O22" s="1757">
        <v>15001.88</v>
      </c>
      <c r="P22" s="1758">
        <v>15349.87</v>
      </c>
      <c r="Q22" s="1759">
        <v>23725</v>
      </c>
      <c r="R22" s="1760">
        <v>23725</v>
      </c>
      <c r="S22" s="1760">
        <v>16757</v>
      </c>
      <c r="T22" s="1760">
        <v>16757</v>
      </c>
      <c r="U22" s="1761">
        <v>24569.649888</v>
      </c>
      <c r="V22" s="1762">
        <v>25385</v>
      </c>
      <c r="W22" s="1757">
        <v>27165</v>
      </c>
      <c r="Z22" s="1773">
        <f t="shared" si="0"/>
        <v>0</v>
      </c>
      <c r="AA22" s="1773">
        <f t="shared" si="3"/>
        <v>0</v>
      </c>
      <c r="AB22" s="1773">
        <f t="shared" si="4"/>
        <v>0</v>
      </c>
      <c r="AC22" s="1773">
        <f t="shared" si="5"/>
        <v>0</v>
      </c>
      <c r="AD22" s="1773">
        <f t="shared" si="6"/>
        <v>0</v>
      </c>
      <c r="AE22" s="1773">
        <f t="shared" si="7"/>
        <v>0</v>
      </c>
      <c r="AF22" s="1773">
        <f t="shared" si="8"/>
        <v>0</v>
      </c>
      <c r="AG22" s="1773">
        <f t="shared" si="9"/>
        <v>0</v>
      </c>
      <c r="AH22" s="1773">
        <f t="shared" si="10"/>
        <v>0</v>
      </c>
      <c r="AI22" s="1773">
        <f t="shared" si="11"/>
        <v>0</v>
      </c>
      <c r="AJ22" s="1773">
        <f t="shared" si="12"/>
        <v>0</v>
      </c>
      <c r="AK22" s="1773">
        <f t="shared" si="13"/>
        <v>0</v>
      </c>
      <c r="AL22" s="1773">
        <f t="shared" si="2"/>
        <v>24569.649888</v>
      </c>
      <c r="AN22" s="1776"/>
      <c r="AO22" s="1776"/>
      <c r="AP22" s="1776"/>
      <c r="AQ22" s="1776"/>
      <c r="AR22" s="1776"/>
      <c r="AS22" s="1776"/>
      <c r="AT22" s="1776"/>
      <c r="AU22" s="1776"/>
      <c r="AV22" s="1776"/>
      <c r="AW22" s="1776"/>
      <c r="AX22" s="1776"/>
      <c r="AY22" s="1776"/>
      <c r="AZ22" s="1776">
        <v>1</v>
      </c>
    </row>
    <row r="23" spans="1:52">
      <c r="A23" s="1479" t="s">
        <v>2268</v>
      </c>
      <c r="B23" s="1479" t="s">
        <v>2269</v>
      </c>
      <c r="C23" s="1741" t="s">
        <v>2108</v>
      </c>
      <c r="D23" s="1741">
        <v>1020</v>
      </c>
      <c r="E23" s="1741">
        <v>80</v>
      </c>
      <c r="F23" s="1741" t="s">
        <v>2210</v>
      </c>
      <c r="G23" s="1741" t="s">
        <v>2209</v>
      </c>
      <c r="H23" s="1741" t="s">
        <v>1658</v>
      </c>
      <c r="I23" s="1753" t="s">
        <v>3003</v>
      </c>
      <c r="J23" s="1754" t="s">
        <v>2112</v>
      </c>
      <c r="K23" s="1753" t="s">
        <v>497</v>
      </c>
      <c r="L23" s="1754" t="s">
        <v>807</v>
      </c>
      <c r="M23" s="1754"/>
      <c r="N23" s="1756">
        <v>22350</v>
      </c>
      <c r="O23" s="1757">
        <v>23520.2</v>
      </c>
      <c r="P23" s="1758">
        <v>20140.2</v>
      </c>
      <c r="Q23" s="1759">
        <v>35470</v>
      </c>
      <c r="R23" s="1760">
        <v>35470</v>
      </c>
      <c r="S23" s="1760">
        <v>20265</v>
      </c>
      <c r="T23" s="1760">
        <v>20265</v>
      </c>
      <c r="U23" s="1761">
        <v>23124</v>
      </c>
      <c r="V23" s="1762">
        <v>37955</v>
      </c>
      <c r="W23" s="1757">
        <v>40610</v>
      </c>
      <c r="Z23" s="1773">
        <f t="shared" si="0"/>
        <v>0</v>
      </c>
      <c r="AA23" s="1773">
        <f t="shared" si="3"/>
        <v>0</v>
      </c>
      <c r="AB23" s="1773">
        <f t="shared" si="4"/>
        <v>0</v>
      </c>
      <c r="AC23" s="1773">
        <f t="shared" si="5"/>
        <v>0</v>
      </c>
      <c r="AD23" s="1773">
        <f t="shared" si="6"/>
        <v>0</v>
      </c>
      <c r="AE23" s="1773">
        <f t="shared" si="7"/>
        <v>0</v>
      </c>
      <c r="AF23" s="1773">
        <f t="shared" si="8"/>
        <v>0</v>
      </c>
      <c r="AG23" s="1773">
        <f t="shared" si="9"/>
        <v>0</v>
      </c>
      <c r="AH23" s="1773">
        <f t="shared" si="10"/>
        <v>0</v>
      </c>
      <c r="AI23" s="1773">
        <f t="shared" si="11"/>
        <v>0</v>
      </c>
      <c r="AJ23" s="1773">
        <f t="shared" si="12"/>
        <v>0</v>
      </c>
      <c r="AK23" s="1773">
        <f t="shared" si="13"/>
        <v>0</v>
      </c>
      <c r="AL23" s="1773">
        <f t="shared" si="2"/>
        <v>23124</v>
      </c>
      <c r="AN23" s="1776"/>
      <c r="AO23" s="1776"/>
      <c r="AP23" s="1776"/>
      <c r="AQ23" s="1776"/>
      <c r="AR23" s="1776"/>
      <c r="AS23" s="1776"/>
      <c r="AT23" s="1776"/>
      <c r="AU23" s="1776"/>
      <c r="AV23" s="1776"/>
      <c r="AW23" s="1776"/>
      <c r="AX23" s="1776"/>
      <c r="AY23" s="1776"/>
      <c r="AZ23" s="1776">
        <v>1</v>
      </c>
    </row>
    <row r="24" spans="1:52">
      <c r="A24" s="1479" t="s">
        <v>2270</v>
      </c>
      <c r="B24" s="1479" t="s">
        <v>2271</v>
      </c>
      <c r="C24" s="1741" t="s">
        <v>2108</v>
      </c>
      <c r="D24" s="1741">
        <v>1020</v>
      </c>
      <c r="E24" s="1741">
        <v>100</v>
      </c>
      <c r="F24" s="1741" t="s">
        <v>2210</v>
      </c>
      <c r="G24" s="1741" t="s">
        <v>2209</v>
      </c>
      <c r="H24" s="1741" t="s">
        <v>1658</v>
      </c>
      <c r="I24" s="1753" t="s">
        <v>3003</v>
      </c>
      <c r="J24" s="1754" t="s">
        <v>2145</v>
      </c>
      <c r="K24" s="1753" t="s">
        <v>497</v>
      </c>
      <c r="L24" s="1754" t="s">
        <v>1778</v>
      </c>
      <c r="M24" s="1754"/>
      <c r="N24" s="1756">
        <v>61896.94</v>
      </c>
      <c r="O24" s="1757">
        <v>9730.510000000002</v>
      </c>
      <c r="P24" s="1758">
        <v>12423.31</v>
      </c>
      <c r="Q24" s="1759">
        <v>72000</v>
      </c>
      <c r="R24" s="1760">
        <v>72000</v>
      </c>
      <c r="S24" s="1760">
        <v>34822</v>
      </c>
      <c r="T24" s="1760">
        <v>34822</v>
      </c>
      <c r="U24" s="1761">
        <v>75000</v>
      </c>
      <c r="V24" s="1762">
        <v>75000</v>
      </c>
      <c r="W24" s="1757">
        <v>76000</v>
      </c>
      <c r="Z24" s="1773">
        <f t="shared" si="0"/>
        <v>0</v>
      </c>
      <c r="AA24" s="1773">
        <f t="shared" si="3"/>
        <v>0</v>
      </c>
      <c r="AB24" s="1773">
        <f t="shared" si="4"/>
        <v>0</v>
      </c>
      <c r="AC24" s="1773">
        <f t="shared" si="5"/>
        <v>0</v>
      </c>
      <c r="AD24" s="1773">
        <f t="shared" si="6"/>
        <v>0</v>
      </c>
      <c r="AE24" s="1773">
        <f t="shared" si="7"/>
        <v>0</v>
      </c>
      <c r="AF24" s="1773">
        <f t="shared" si="8"/>
        <v>0</v>
      </c>
      <c r="AG24" s="1773">
        <f t="shared" si="9"/>
        <v>0</v>
      </c>
      <c r="AH24" s="1773">
        <f t="shared" si="10"/>
        <v>0</v>
      </c>
      <c r="AI24" s="1773">
        <f t="shared" si="11"/>
        <v>0</v>
      </c>
      <c r="AJ24" s="1773">
        <f t="shared" si="12"/>
        <v>0</v>
      </c>
      <c r="AK24" s="1773">
        <f t="shared" si="13"/>
        <v>0</v>
      </c>
      <c r="AL24" s="1773">
        <f t="shared" si="2"/>
        <v>75000</v>
      </c>
      <c r="AN24" s="1776"/>
      <c r="AO24" s="1776"/>
      <c r="AP24" s="1776"/>
      <c r="AQ24" s="1776"/>
      <c r="AR24" s="1776"/>
      <c r="AS24" s="1776"/>
      <c r="AT24" s="1776"/>
      <c r="AU24" s="1776"/>
      <c r="AV24" s="1776"/>
      <c r="AW24" s="1776"/>
      <c r="AX24" s="1776"/>
      <c r="AY24" s="1776"/>
      <c r="AZ24" s="1776">
        <v>1</v>
      </c>
    </row>
    <row r="25" spans="1:52">
      <c r="A25" s="1479" t="s">
        <v>2272</v>
      </c>
      <c r="B25" s="1479" t="s">
        <v>2241</v>
      </c>
      <c r="C25" s="1741" t="s">
        <v>2108</v>
      </c>
      <c r="D25" s="1741">
        <v>1020</v>
      </c>
      <c r="E25" s="1741">
        <v>140</v>
      </c>
      <c r="F25" s="1741" t="s">
        <v>2210</v>
      </c>
      <c r="G25" s="1741" t="s">
        <v>2209</v>
      </c>
      <c r="H25" s="1741" t="s">
        <v>1658</v>
      </c>
      <c r="I25" s="1753" t="s">
        <v>3003</v>
      </c>
      <c r="J25" s="1754" t="s">
        <v>3005</v>
      </c>
      <c r="K25" s="1753" t="s">
        <v>497</v>
      </c>
      <c r="L25" s="1754" t="s">
        <v>1163</v>
      </c>
      <c r="M25" s="1754"/>
      <c r="N25" s="1756">
        <v>94338.96</v>
      </c>
      <c r="O25" s="1757">
        <v>95214.8</v>
      </c>
      <c r="P25" s="1758">
        <v>95963.66</v>
      </c>
      <c r="Q25" s="1759">
        <v>190445</v>
      </c>
      <c r="R25" s="1760">
        <v>190445</v>
      </c>
      <c r="S25" s="1760">
        <v>161177</v>
      </c>
      <c r="T25" s="1760">
        <v>161177</v>
      </c>
      <c r="U25" s="1761">
        <v>201405.12839999996</v>
      </c>
      <c r="V25" s="1762">
        <f>U25*108%</f>
        <v>217517.53867199997</v>
      </c>
      <c r="W25" s="1757">
        <f>V25*108%</f>
        <v>234918.94176575998</v>
      </c>
      <c r="Z25" s="1773">
        <f t="shared" si="0"/>
        <v>0</v>
      </c>
      <c r="AA25" s="1773">
        <f t="shared" si="3"/>
        <v>0</v>
      </c>
      <c r="AB25" s="1773">
        <f t="shared" si="4"/>
        <v>0</v>
      </c>
      <c r="AC25" s="1773">
        <f t="shared" si="5"/>
        <v>0</v>
      </c>
      <c r="AD25" s="1773">
        <f t="shared" si="6"/>
        <v>0</v>
      </c>
      <c r="AE25" s="1773">
        <f t="shared" si="7"/>
        <v>0</v>
      </c>
      <c r="AF25" s="1773">
        <f t="shared" si="8"/>
        <v>0</v>
      </c>
      <c r="AG25" s="1773">
        <f t="shared" si="9"/>
        <v>0</v>
      </c>
      <c r="AH25" s="1773">
        <f t="shared" si="10"/>
        <v>0</v>
      </c>
      <c r="AI25" s="1773">
        <f t="shared" si="11"/>
        <v>0</v>
      </c>
      <c r="AJ25" s="1773">
        <f t="shared" si="12"/>
        <v>0</v>
      </c>
      <c r="AK25" s="1773">
        <f t="shared" si="13"/>
        <v>0</v>
      </c>
      <c r="AL25" s="1773">
        <f t="shared" si="2"/>
        <v>201405.12839999996</v>
      </c>
      <c r="AN25" s="1776"/>
      <c r="AO25" s="1776"/>
      <c r="AP25" s="1776"/>
      <c r="AQ25" s="1776"/>
      <c r="AR25" s="1776"/>
      <c r="AS25" s="1776"/>
      <c r="AT25" s="1776"/>
      <c r="AU25" s="1776"/>
      <c r="AV25" s="1776"/>
      <c r="AW25" s="1776"/>
      <c r="AX25" s="1776"/>
      <c r="AY25" s="1776"/>
      <c r="AZ25" s="1776">
        <v>1</v>
      </c>
    </row>
    <row r="26" spans="1:52">
      <c r="A26" s="1479" t="s">
        <v>2273</v>
      </c>
      <c r="B26" s="1479" t="s">
        <v>2274</v>
      </c>
      <c r="C26" s="1741" t="s">
        <v>2108</v>
      </c>
      <c r="D26" s="1741">
        <v>1020</v>
      </c>
      <c r="E26" s="1741">
        <v>150</v>
      </c>
      <c r="F26" s="1741" t="s">
        <v>2210</v>
      </c>
      <c r="G26" s="1741" t="s">
        <v>2209</v>
      </c>
      <c r="H26" s="1741" t="s">
        <v>1658</v>
      </c>
      <c r="I26" s="1753" t="s">
        <v>3003</v>
      </c>
      <c r="J26" s="1754" t="s">
        <v>2113</v>
      </c>
      <c r="K26" s="1753" t="s">
        <v>497</v>
      </c>
      <c r="L26" s="1754" t="s">
        <v>1160</v>
      </c>
      <c r="M26" s="1754"/>
      <c r="N26" s="1756">
        <v>254638.65</v>
      </c>
      <c r="O26" s="1757">
        <v>239348.62</v>
      </c>
      <c r="P26" s="1758">
        <v>222748.82</v>
      </c>
      <c r="Q26" s="1759">
        <v>254625</v>
      </c>
      <c r="R26" s="1760">
        <v>254625</v>
      </c>
      <c r="S26" s="1760">
        <v>212024</v>
      </c>
      <c r="T26" s="1760">
        <v>212024</v>
      </c>
      <c r="U26" s="1761">
        <v>230625</v>
      </c>
      <c r="V26" s="1762">
        <v>272450</v>
      </c>
      <c r="W26" s="1757">
        <v>291520</v>
      </c>
      <c r="Z26" s="1773">
        <f t="shared" si="0"/>
        <v>0</v>
      </c>
      <c r="AA26" s="1773">
        <f t="shared" si="3"/>
        <v>0</v>
      </c>
      <c r="AB26" s="1773">
        <f t="shared" si="4"/>
        <v>0</v>
      </c>
      <c r="AC26" s="1773">
        <f t="shared" si="5"/>
        <v>0</v>
      </c>
      <c r="AD26" s="1773">
        <f t="shared" si="6"/>
        <v>0</v>
      </c>
      <c r="AE26" s="1773">
        <f t="shared" si="7"/>
        <v>0</v>
      </c>
      <c r="AF26" s="1773">
        <f t="shared" si="8"/>
        <v>0</v>
      </c>
      <c r="AG26" s="1773">
        <f t="shared" si="9"/>
        <v>0</v>
      </c>
      <c r="AH26" s="1773">
        <f t="shared" si="10"/>
        <v>0</v>
      </c>
      <c r="AI26" s="1773">
        <f t="shared" si="11"/>
        <v>0</v>
      </c>
      <c r="AJ26" s="1773">
        <f t="shared" si="12"/>
        <v>0</v>
      </c>
      <c r="AK26" s="1773">
        <f t="shared" si="13"/>
        <v>0</v>
      </c>
      <c r="AL26" s="1773">
        <f t="shared" si="2"/>
        <v>230625</v>
      </c>
      <c r="AN26" s="1776"/>
      <c r="AO26" s="1776"/>
      <c r="AP26" s="1776"/>
      <c r="AQ26" s="1776"/>
      <c r="AR26" s="1776"/>
      <c r="AS26" s="1776"/>
      <c r="AT26" s="1776"/>
      <c r="AU26" s="1776"/>
      <c r="AV26" s="1776"/>
      <c r="AW26" s="1776"/>
      <c r="AX26" s="1776"/>
      <c r="AY26" s="1776"/>
      <c r="AZ26" s="1776">
        <v>1</v>
      </c>
    </row>
    <row r="27" spans="1:52">
      <c r="A27" s="1479" t="s">
        <v>2275</v>
      </c>
      <c r="B27" s="1479" t="s">
        <v>2276</v>
      </c>
      <c r="C27" s="1741" t="s">
        <v>2108</v>
      </c>
      <c r="D27" s="1741">
        <v>1020</v>
      </c>
      <c r="E27" s="1741">
        <v>170</v>
      </c>
      <c r="F27" s="1741" t="s">
        <v>2210</v>
      </c>
      <c r="G27" s="1741" t="s">
        <v>2209</v>
      </c>
      <c r="H27" s="1741" t="s">
        <v>1658</v>
      </c>
      <c r="I27" s="1753" t="s">
        <v>3003</v>
      </c>
      <c r="J27" s="1754" t="s">
        <v>1161</v>
      </c>
      <c r="K27" s="1753" t="s">
        <v>497</v>
      </c>
      <c r="L27" s="1754" t="s">
        <v>1161</v>
      </c>
      <c r="M27" s="1754"/>
      <c r="N27" s="1756">
        <v>90458.51</v>
      </c>
      <c r="O27" s="1757">
        <v>107701.92</v>
      </c>
      <c r="P27" s="1758">
        <v>116150.52</v>
      </c>
      <c r="Q27" s="1759">
        <v>100000</v>
      </c>
      <c r="R27" s="1760">
        <v>100000</v>
      </c>
      <c r="S27" s="1760">
        <v>104422</v>
      </c>
      <c r="T27" s="1760">
        <v>104422</v>
      </c>
      <c r="U27" s="1761">
        <v>100000</v>
      </c>
      <c r="V27" s="1762">
        <v>100000</v>
      </c>
      <c r="W27" s="1757">
        <v>100000</v>
      </c>
      <c r="Z27" s="1773">
        <f t="shared" si="0"/>
        <v>0</v>
      </c>
      <c r="AA27" s="1773">
        <f t="shared" si="3"/>
        <v>0</v>
      </c>
      <c r="AB27" s="1773">
        <f t="shared" si="4"/>
        <v>0</v>
      </c>
      <c r="AC27" s="1773">
        <f t="shared" si="5"/>
        <v>0</v>
      </c>
      <c r="AD27" s="1773">
        <f t="shared" si="6"/>
        <v>0</v>
      </c>
      <c r="AE27" s="1773">
        <f t="shared" si="7"/>
        <v>0</v>
      </c>
      <c r="AF27" s="1773">
        <f t="shared" si="8"/>
        <v>0</v>
      </c>
      <c r="AG27" s="1773">
        <f t="shared" si="9"/>
        <v>0</v>
      </c>
      <c r="AH27" s="1773">
        <f t="shared" si="10"/>
        <v>0</v>
      </c>
      <c r="AI27" s="1773">
        <f t="shared" si="11"/>
        <v>0</v>
      </c>
      <c r="AJ27" s="1773">
        <f t="shared" si="12"/>
        <v>0</v>
      </c>
      <c r="AK27" s="1773">
        <f t="shared" si="13"/>
        <v>0</v>
      </c>
      <c r="AL27" s="1773">
        <f t="shared" si="2"/>
        <v>100000</v>
      </c>
      <c r="AN27" s="1776"/>
      <c r="AO27" s="1776"/>
      <c r="AP27" s="1776"/>
      <c r="AQ27" s="1776"/>
      <c r="AR27" s="1776"/>
      <c r="AS27" s="1776"/>
      <c r="AT27" s="1776"/>
      <c r="AU27" s="1776"/>
      <c r="AV27" s="1776"/>
      <c r="AW27" s="1776"/>
      <c r="AX27" s="1776"/>
      <c r="AY27" s="1776"/>
      <c r="AZ27" s="1776">
        <v>1</v>
      </c>
    </row>
    <row r="28" spans="1:52">
      <c r="A28" s="1479" t="s">
        <v>2277</v>
      </c>
      <c r="B28" s="1479" t="s">
        <v>2278</v>
      </c>
      <c r="C28" s="1741" t="s">
        <v>2108</v>
      </c>
      <c r="D28" s="1741">
        <v>1020</v>
      </c>
      <c r="E28" s="1741">
        <v>200</v>
      </c>
      <c r="F28" s="1741" t="s">
        <v>2210</v>
      </c>
      <c r="G28" s="1741" t="s">
        <v>2209</v>
      </c>
      <c r="H28" s="1741" t="s">
        <v>1658</v>
      </c>
      <c r="I28" s="1753" t="s">
        <v>3003</v>
      </c>
      <c r="J28" s="1754" t="s">
        <v>2113</v>
      </c>
      <c r="K28" s="1753" t="s">
        <v>497</v>
      </c>
      <c r="L28" s="1754" t="s">
        <v>1160</v>
      </c>
      <c r="M28" s="1754"/>
      <c r="N28" s="1756">
        <v>7957.5</v>
      </c>
      <c r="O28" s="1757">
        <v>8588.9599999999991</v>
      </c>
      <c r="P28" s="1758">
        <v>9054.9599999999991</v>
      </c>
      <c r="Q28" s="1759">
        <v>16190</v>
      </c>
      <c r="R28" s="1760">
        <v>16190</v>
      </c>
      <c r="S28" s="1760">
        <v>9248</v>
      </c>
      <c r="T28" s="1760">
        <v>9248</v>
      </c>
      <c r="U28" s="1761">
        <v>16188.650000000001</v>
      </c>
      <c r="V28" s="1762">
        <v>17325</v>
      </c>
      <c r="W28" s="1757">
        <v>18535</v>
      </c>
      <c r="Z28" s="1773">
        <f t="shared" si="0"/>
        <v>0</v>
      </c>
      <c r="AA28" s="1773">
        <f t="shared" si="3"/>
        <v>0</v>
      </c>
      <c r="AB28" s="1773">
        <f t="shared" si="4"/>
        <v>0</v>
      </c>
      <c r="AC28" s="1773">
        <f t="shared" si="5"/>
        <v>0</v>
      </c>
      <c r="AD28" s="1773">
        <f t="shared" si="6"/>
        <v>0</v>
      </c>
      <c r="AE28" s="1773">
        <f t="shared" si="7"/>
        <v>0</v>
      </c>
      <c r="AF28" s="1773">
        <f t="shared" si="8"/>
        <v>0</v>
      </c>
      <c r="AG28" s="1773">
        <f t="shared" si="9"/>
        <v>0</v>
      </c>
      <c r="AH28" s="1773">
        <f t="shared" si="10"/>
        <v>0</v>
      </c>
      <c r="AI28" s="1773">
        <f t="shared" si="11"/>
        <v>0</v>
      </c>
      <c r="AJ28" s="1773">
        <f t="shared" si="12"/>
        <v>0</v>
      </c>
      <c r="AK28" s="1773">
        <f t="shared" si="13"/>
        <v>0</v>
      </c>
      <c r="AL28" s="1773">
        <f t="shared" si="2"/>
        <v>16188.650000000001</v>
      </c>
      <c r="AN28" s="1776"/>
      <c r="AO28" s="1776"/>
      <c r="AP28" s="1776"/>
      <c r="AQ28" s="1776"/>
      <c r="AR28" s="1776"/>
      <c r="AS28" s="1776"/>
      <c r="AT28" s="1776"/>
      <c r="AU28" s="1776"/>
      <c r="AV28" s="1776"/>
      <c r="AW28" s="1776"/>
      <c r="AX28" s="1776"/>
      <c r="AY28" s="1776"/>
      <c r="AZ28" s="1776">
        <v>1</v>
      </c>
    </row>
    <row r="29" spans="1:52">
      <c r="A29" s="1479" t="s">
        <v>2279</v>
      </c>
      <c r="B29" s="1479" t="s">
        <v>2280</v>
      </c>
      <c r="C29" s="1741" t="s">
        <v>2108</v>
      </c>
      <c r="D29" s="1741">
        <v>1020</v>
      </c>
      <c r="E29" s="1741">
        <v>210</v>
      </c>
      <c r="F29" s="1741" t="s">
        <v>2210</v>
      </c>
      <c r="G29" s="1741" t="s">
        <v>2209</v>
      </c>
      <c r="H29" s="1741" t="s">
        <v>1658</v>
      </c>
      <c r="I29" s="1753" t="s">
        <v>3003</v>
      </c>
      <c r="J29" s="1754" t="s">
        <v>2113</v>
      </c>
      <c r="K29" s="1753" t="s">
        <v>497</v>
      </c>
      <c r="L29" s="1754" t="s">
        <v>1160</v>
      </c>
      <c r="M29" s="1754"/>
      <c r="N29" s="1756">
        <v>12412</v>
      </c>
      <c r="O29" s="1757">
        <v>13398.56</v>
      </c>
      <c r="P29" s="1758">
        <v>13079.33</v>
      </c>
      <c r="Q29" s="1759">
        <v>15365</v>
      </c>
      <c r="R29" s="1760">
        <v>15365</v>
      </c>
      <c r="S29" s="1760">
        <v>21009</v>
      </c>
      <c r="T29" s="1760">
        <v>21009</v>
      </c>
      <c r="U29" s="1761">
        <v>30000</v>
      </c>
      <c r="V29" s="1762">
        <v>33000</v>
      </c>
      <c r="W29" s="1757">
        <v>36000</v>
      </c>
      <c r="Z29" s="1773">
        <f t="shared" si="0"/>
        <v>0</v>
      </c>
      <c r="AA29" s="1773">
        <f t="shared" si="3"/>
        <v>0</v>
      </c>
      <c r="AB29" s="1773">
        <f t="shared" si="4"/>
        <v>0</v>
      </c>
      <c r="AC29" s="1773">
        <f t="shared" si="5"/>
        <v>0</v>
      </c>
      <c r="AD29" s="1773">
        <f t="shared" si="6"/>
        <v>0</v>
      </c>
      <c r="AE29" s="1773">
        <f t="shared" si="7"/>
        <v>0</v>
      </c>
      <c r="AF29" s="1773">
        <f t="shared" si="8"/>
        <v>0</v>
      </c>
      <c r="AG29" s="1773">
        <f t="shared" si="9"/>
        <v>0</v>
      </c>
      <c r="AH29" s="1773">
        <f t="shared" si="10"/>
        <v>0</v>
      </c>
      <c r="AI29" s="1773">
        <f t="shared" si="11"/>
        <v>0</v>
      </c>
      <c r="AJ29" s="1773">
        <f t="shared" si="12"/>
        <v>0</v>
      </c>
      <c r="AK29" s="1773">
        <f t="shared" si="13"/>
        <v>0</v>
      </c>
      <c r="AL29" s="1773">
        <f t="shared" si="2"/>
        <v>30000</v>
      </c>
      <c r="AN29" s="1776"/>
      <c r="AO29" s="1776"/>
      <c r="AP29" s="1776"/>
      <c r="AQ29" s="1776"/>
      <c r="AR29" s="1776"/>
      <c r="AS29" s="1776"/>
      <c r="AT29" s="1776"/>
      <c r="AU29" s="1776"/>
      <c r="AV29" s="1776"/>
      <c r="AW29" s="1776"/>
      <c r="AX29" s="1776"/>
      <c r="AY29" s="1776"/>
      <c r="AZ29" s="1776">
        <v>1</v>
      </c>
    </row>
    <row r="30" spans="1:52">
      <c r="A30" s="1479" t="s">
        <v>2281</v>
      </c>
      <c r="B30" s="1479" t="s">
        <v>2243</v>
      </c>
      <c r="C30" s="1741" t="s">
        <v>2108</v>
      </c>
      <c r="D30" s="1741">
        <v>1020</v>
      </c>
      <c r="E30" s="1741">
        <v>520</v>
      </c>
      <c r="F30" s="1741" t="s">
        <v>2210</v>
      </c>
      <c r="G30" s="1741" t="s">
        <v>2209</v>
      </c>
      <c r="H30" s="1741" t="s">
        <v>1658</v>
      </c>
      <c r="I30" s="1753" t="s">
        <v>2114</v>
      </c>
      <c r="J30" s="1754" t="s">
        <v>2138</v>
      </c>
      <c r="K30" s="1753" t="s">
        <v>2114</v>
      </c>
      <c r="L30" s="1754" t="s">
        <v>2138</v>
      </c>
      <c r="M30" s="1754"/>
      <c r="N30" s="1756">
        <v>17994.36</v>
      </c>
      <c r="O30" s="1757">
        <v>13838</v>
      </c>
      <c r="P30" s="1758">
        <v>13005.6</v>
      </c>
      <c r="Q30" s="1759">
        <v>17460</v>
      </c>
      <c r="R30" s="1760">
        <v>0</v>
      </c>
      <c r="S30" s="1760">
        <v>0</v>
      </c>
      <c r="T30" s="1760">
        <v>0</v>
      </c>
      <c r="U30" s="1761">
        <v>0</v>
      </c>
      <c r="V30" s="1762">
        <v>20080</v>
      </c>
      <c r="W30" s="1757">
        <v>23095</v>
      </c>
      <c r="Z30" s="1773">
        <f t="shared" si="0"/>
        <v>0</v>
      </c>
      <c r="AA30" s="1773">
        <f t="shared" si="3"/>
        <v>0</v>
      </c>
      <c r="AB30" s="1773">
        <f t="shared" si="4"/>
        <v>0</v>
      </c>
      <c r="AC30" s="1773">
        <f t="shared" si="5"/>
        <v>0</v>
      </c>
      <c r="AD30" s="1773">
        <f t="shared" si="6"/>
        <v>0</v>
      </c>
      <c r="AE30" s="1773">
        <f t="shared" si="7"/>
        <v>0</v>
      </c>
      <c r="AF30" s="1773">
        <f t="shared" si="8"/>
        <v>0</v>
      </c>
      <c r="AG30" s="1773">
        <f t="shared" si="9"/>
        <v>0</v>
      </c>
      <c r="AH30" s="1773">
        <f t="shared" si="10"/>
        <v>0</v>
      </c>
      <c r="AI30" s="1773">
        <f t="shared" si="11"/>
        <v>0</v>
      </c>
      <c r="AJ30" s="1773">
        <f t="shared" si="12"/>
        <v>0</v>
      </c>
      <c r="AK30" s="1773">
        <f t="shared" si="13"/>
        <v>0</v>
      </c>
      <c r="AL30" s="1773">
        <f t="shared" si="2"/>
        <v>0</v>
      </c>
      <c r="AN30" s="1776"/>
      <c r="AO30" s="1776"/>
      <c r="AP30" s="1776"/>
      <c r="AQ30" s="1776"/>
      <c r="AR30" s="1776"/>
      <c r="AS30" s="1776"/>
      <c r="AT30" s="1776"/>
      <c r="AU30" s="1776"/>
      <c r="AV30" s="1776"/>
      <c r="AW30" s="1776"/>
      <c r="AX30" s="1776"/>
      <c r="AY30" s="1776"/>
      <c r="AZ30" s="1776">
        <v>1</v>
      </c>
    </row>
    <row r="31" spans="1:52">
      <c r="A31" s="1479" t="s">
        <v>2282</v>
      </c>
      <c r="B31" s="1479" t="s">
        <v>2283</v>
      </c>
      <c r="C31" s="1741" t="s">
        <v>2108</v>
      </c>
      <c r="D31" s="1741">
        <v>1020</v>
      </c>
      <c r="E31" s="1741">
        <v>570</v>
      </c>
      <c r="F31" s="1741" t="s">
        <v>2210</v>
      </c>
      <c r="G31" s="1741" t="s">
        <v>2209</v>
      </c>
      <c r="H31" s="1741" t="s">
        <v>1658</v>
      </c>
      <c r="I31" s="1753" t="s">
        <v>2114</v>
      </c>
      <c r="J31" s="1754" t="s">
        <v>3010</v>
      </c>
      <c r="K31" s="1753" t="s">
        <v>2114</v>
      </c>
      <c r="L31" s="1754" t="s">
        <v>3010</v>
      </c>
      <c r="M31" s="1754"/>
      <c r="N31" s="1756">
        <v>23615.01</v>
      </c>
      <c r="O31" s="1757">
        <v>12880.49</v>
      </c>
      <c r="P31" s="1758">
        <v>8708.66</v>
      </c>
      <c r="Q31" s="1759">
        <v>14400</v>
      </c>
      <c r="R31" s="1760">
        <v>14400</v>
      </c>
      <c r="S31" s="1760">
        <v>3767</v>
      </c>
      <c r="T31" s="1760">
        <v>3767</v>
      </c>
      <c r="U31" s="1761">
        <v>14400</v>
      </c>
      <c r="V31" s="1762">
        <v>14500</v>
      </c>
      <c r="W31" s="1757">
        <v>14600</v>
      </c>
      <c r="Z31" s="1773">
        <f t="shared" si="0"/>
        <v>0</v>
      </c>
      <c r="AA31" s="1773">
        <f t="shared" si="3"/>
        <v>0</v>
      </c>
      <c r="AB31" s="1773">
        <f t="shared" si="4"/>
        <v>0</v>
      </c>
      <c r="AC31" s="1773">
        <f t="shared" si="5"/>
        <v>0</v>
      </c>
      <c r="AD31" s="1773">
        <f t="shared" si="6"/>
        <v>0</v>
      </c>
      <c r="AE31" s="1773">
        <f t="shared" si="7"/>
        <v>0</v>
      </c>
      <c r="AF31" s="1773">
        <f t="shared" si="8"/>
        <v>0</v>
      </c>
      <c r="AG31" s="1773">
        <f t="shared" si="9"/>
        <v>0</v>
      </c>
      <c r="AH31" s="1773">
        <f t="shared" si="10"/>
        <v>0</v>
      </c>
      <c r="AI31" s="1773">
        <f t="shared" si="11"/>
        <v>0</v>
      </c>
      <c r="AJ31" s="1773">
        <f t="shared" si="12"/>
        <v>0</v>
      </c>
      <c r="AK31" s="1773">
        <f t="shared" si="13"/>
        <v>0</v>
      </c>
      <c r="AL31" s="1773">
        <f t="shared" si="2"/>
        <v>14400</v>
      </c>
      <c r="AN31" s="1776"/>
      <c r="AO31" s="1776"/>
      <c r="AP31" s="1776"/>
      <c r="AQ31" s="1776"/>
      <c r="AR31" s="1776"/>
      <c r="AS31" s="1776"/>
      <c r="AT31" s="1776"/>
      <c r="AU31" s="1776"/>
      <c r="AV31" s="1776"/>
      <c r="AW31" s="1776"/>
      <c r="AX31" s="1776"/>
      <c r="AY31" s="1776"/>
      <c r="AZ31" s="1776">
        <v>1</v>
      </c>
    </row>
    <row r="32" spans="1:52">
      <c r="A32" s="1479" t="s">
        <v>2284</v>
      </c>
      <c r="B32" s="1479" t="s">
        <v>2285</v>
      </c>
      <c r="C32" s="1741" t="s">
        <v>2108</v>
      </c>
      <c r="D32" s="1741">
        <v>1020</v>
      </c>
      <c r="E32" s="1741">
        <v>610</v>
      </c>
      <c r="F32" s="1741" t="s">
        <v>2210</v>
      </c>
      <c r="G32" s="1741" t="s">
        <v>2209</v>
      </c>
      <c r="H32" s="1741" t="s">
        <v>1658</v>
      </c>
      <c r="I32" s="1753" t="s">
        <v>2114</v>
      </c>
      <c r="J32" s="1754"/>
      <c r="K32" s="1753" t="s">
        <v>2114</v>
      </c>
      <c r="L32" s="1754" t="s">
        <v>502</v>
      </c>
      <c r="M32" s="1754"/>
      <c r="N32" s="1756">
        <v>6400</v>
      </c>
      <c r="O32" s="1757">
        <v>7200</v>
      </c>
      <c r="P32" s="1758">
        <v>5052.59</v>
      </c>
      <c r="Q32" s="1759">
        <v>10800</v>
      </c>
      <c r="R32" s="1760">
        <v>10800</v>
      </c>
      <c r="S32" s="1760">
        <v>1211</v>
      </c>
      <c r="T32" s="1760">
        <v>1211</v>
      </c>
      <c r="U32" s="1761">
        <v>11000</v>
      </c>
      <c r="V32" s="1762">
        <v>10900</v>
      </c>
      <c r="W32" s="1757">
        <v>11000</v>
      </c>
      <c r="Z32" s="1773">
        <f t="shared" si="0"/>
        <v>0</v>
      </c>
      <c r="AA32" s="1773">
        <f t="shared" si="3"/>
        <v>0</v>
      </c>
      <c r="AB32" s="1773">
        <f t="shared" si="4"/>
        <v>0</v>
      </c>
      <c r="AC32" s="1773">
        <f t="shared" si="5"/>
        <v>0</v>
      </c>
      <c r="AD32" s="1773">
        <f t="shared" si="6"/>
        <v>0</v>
      </c>
      <c r="AE32" s="1773">
        <f t="shared" si="7"/>
        <v>0</v>
      </c>
      <c r="AF32" s="1773">
        <f t="shared" si="8"/>
        <v>0</v>
      </c>
      <c r="AG32" s="1773">
        <f t="shared" si="9"/>
        <v>0</v>
      </c>
      <c r="AH32" s="1773">
        <f t="shared" si="10"/>
        <v>0</v>
      </c>
      <c r="AI32" s="1773">
        <f t="shared" si="11"/>
        <v>0</v>
      </c>
      <c r="AJ32" s="1773">
        <f t="shared" si="12"/>
        <v>0</v>
      </c>
      <c r="AK32" s="1773">
        <f t="shared" si="13"/>
        <v>0</v>
      </c>
      <c r="AL32" s="1773">
        <f t="shared" si="2"/>
        <v>11000</v>
      </c>
      <c r="AN32" s="1776"/>
      <c r="AO32" s="1776"/>
      <c r="AP32" s="1776"/>
      <c r="AQ32" s="1776"/>
      <c r="AR32" s="1776"/>
      <c r="AS32" s="1776"/>
      <c r="AT32" s="1776"/>
      <c r="AU32" s="1776"/>
      <c r="AV32" s="1776"/>
      <c r="AW32" s="1776"/>
      <c r="AX32" s="1776"/>
      <c r="AY32" s="1776"/>
      <c r="AZ32" s="1776">
        <v>1</v>
      </c>
    </row>
    <row r="33" spans="1:52">
      <c r="A33" s="1479" t="s">
        <v>2286</v>
      </c>
      <c r="B33" s="1479" t="s">
        <v>2245</v>
      </c>
      <c r="C33" s="1741" t="s">
        <v>2108</v>
      </c>
      <c r="D33" s="1741">
        <v>1020</v>
      </c>
      <c r="E33" s="1741">
        <v>650</v>
      </c>
      <c r="F33" s="1741" t="s">
        <v>2210</v>
      </c>
      <c r="G33" s="1741" t="s">
        <v>2209</v>
      </c>
      <c r="H33" s="1741" t="s">
        <v>1658</v>
      </c>
      <c r="I33" s="1753" t="s">
        <v>2114</v>
      </c>
      <c r="J33" s="1754" t="s">
        <v>3006</v>
      </c>
      <c r="K33" s="1753" t="s">
        <v>2114</v>
      </c>
      <c r="L33" s="1754" t="s">
        <v>3006</v>
      </c>
      <c r="M33" s="1754"/>
      <c r="N33" s="1756">
        <v>0</v>
      </c>
      <c r="O33" s="1757">
        <v>6336.44</v>
      </c>
      <c r="P33" s="1758">
        <v>0</v>
      </c>
      <c r="Q33" s="1759">
        <v>7000</v>
      </c>
      <c r="R33" s="1760">
        <v>7000</v>
      </c>
      <c r="S33" s="1760">
        <v>784</v>
      </c>
      <c r="T33" s="1760">
        <v>784</v>
      </c>
      <c r="U33" s="1761">
        <v>30000</v>
      </c>
      <c r="V33" s="1762">
        <v>7000</v>
      </c>
      <c r="W33" s="1757">
        <v>7000</v>
      </c>
      <c r="Z33" s="1773">
        <f t="shared" si="0"/>
        <v>0</v>
      </c>
      <c r="AA33" s="1773">
        <f t="shared" si="3"/>
        <v>0</v>
      </c>
      <c r="AB33" s="1773">
        <f t="shared" si="4"/>
        <v>0</v>
      </c>
      <c r="AC33" s="1773">
        <f t="shared" si="5"/>
        <v>0</v>
      </c>
      <c r="AD33" s="1773">
        <f t="shared" si="6"/>
        <v>0</v>
      </c>
      <c r="AE33" s="1773">
        <f t="shared" si="7"/>
        <v>0</v>
      </c>
      <c r="AF33" s="1773">
        <f t="shared" si="8"/>
        <v>0</v>
      </c>
      <c r="AG33" s="1773">
        <f t="shared" si="9"/>
        <v>0</v>
      </c>
      <c r="AH33" s="1773">
        <f t="shared" si="10"/>
        <v>0</v>
      </c>
      <c r="AI33" s="1773">
        <f t="shared" si="11"/>
        <v>0</v>
      </c>
      <c r="AJ33" s="1773">
        <f t="shared" si="12"/>
        <v>0</v>
      </c>
      <c r="AK33" s="1773">
        <f t="shared" si="13"/>
        <v>0</v>
      </c>
      <c r="AL33" s="1773">
        <f t="shared" si="2"/>
        <v>30000</v>
      </c>
      <c r="AN33" s="1776"/>
      <c r="AO33" s="1776"/>
      <c r="AP33" s="1776"/>
      <c r="AQ33" s="1776"/>
      <c r="AR33" s="1776"/>
      <c r="AS33" s="1776"/>
      <c r="AT33" s="1776"/>
      <c r="AU33" s="1776"/>
      <c r="AV33" s="1776"/>
      <c r="AW33" s="1776"/>
      <c r="AX33" s="1776"/>
      <c r="AY33" s="1776"/>
      <c r="AZ33" s="1776">
        <v>1</v>
      </c>
    </row>
    <row r="34" spans="1:52">
      <c r="A34" s="1479" t="s">
        <v>2287</v>
      </c>
      <c r="B34" s="1479" t="s">
        <v>2288</v>
      </c>
      <c r="C34" s="1741" t="s">
        <v>2108</v>
      </c>
      <c r="D34" s="1741">
        <v>1020</v>
      </c>
      <c r="E34" s="1741">
        <v>690</v>
      </c>
      <c r="F34" s="1741" t="s">
        <v>2210</v>
      </c>
      <c r="G34" s="1741" t="s">
        <v>2209</v>
      </c>
      <c r="H34" s="1741" t="s">
        <v>1658</v>
      </c>
      <c r="I34" s="1753" t="s">
        <v>2114</v>
      </c>
      <c r="J34" s="1754" t="s">
        <v>2124</v>
      </c>
      <c r="K34" s="1753" t="s">
        <v>2114</v>
      </c>
      <c r="L34" s="1754" t="s">
        <v>2124</v>
      </c>
      <c r="M34" s="1754"/>
      <c r="N34" s="1756">
        <v>231342.37</v>
      </c>
      <c r="O34" s="1757">
        <v>207240.2</v>
      </c>
      <c r="P34" s="1758">
        <v>44859.58</v>
      </c>
      <c r="Q34" s="1759">
        <v>75000</v>
      </c>
      <c r="R34" s="1760">
        <v>75000</v>
      </c>
      <c r="S34" s="1760">
        <v>52822</v>
      </c>
      <c r="T34" s="1760">
        <v>52822</v>
      </c>
      <c r="U34" s="1761">
        <v>75000</v>
      </c>
      <c r="V34" s="1762">
        <v>76000</v>
      </c>
      <c r="W34" s="1757">
        <v>77000</v>
      </c>
      <c r="Z34" s="1773">
        <f t="shared" ref="Z34:Z65" si="14">$AL34*AN34</f>
        <v>0</v>
      </c>
      <c r="AA34" s="1773">
        <f t="shared" si="3"/>
        <v>0</v>
      </c>
      <c r="AB34" s="1773">
        <f t="shared" si="4"/>
        <v>0</v>
      </c>
      <c r="AC34" s="1773">
        <f t="shared" si="5"/>
        <v>0</v>
      </c>
      <c r="AD34" s="1773">
        <f t="shared" si="6"/>
        <v>0</v>
      </c>
      <c r="AE34" s="1773">
        <f t="shared" si="7"/>
        <v>0</v>
      </c>
      <c r="AF34" s="1773">
        <f t="shared" si="8"/>
        <v>0</v>
      </c>
      <c r="AG34" s="1773">
        <f t="shared" si="9"/>
        <v>0</v>
      </c>
      <c r="AH34" s="1773">
        <f t="shared" si="10"/>
        <v>0</v>
      </c>
      <c r="AI34" s="1773">
        <f t="shared" si="11"/>
        <v>0</v>
      </c>
      <c r="AJ34" s="1773">
        <f t="shared" si="12"/>
        <v>0</v>
      </c>
      <c r="AK34" s="1773">
        <f t="shared" si="13"/>
        <v>0</v>
      </c>
      <c r="AL34" s="1773">
        <f t="shared" si="2"/>
        <v>75000</v>
      </c>
      <c r="AN34" s="1776"/>
      <c r="AO34" s="1776"/>
      <c r="AP34" s="1776"/>
      <c r="AQ34" s="1776"/>
      <c r="AR34" s="1776"/>
      <c r="AS34" s="1776"/>
      <c r="AT34" s="1776"/>
      <c r="AU34" s="1776"/>
      <c r="AV34" s="1776"/>
      <c r="AW34" s="1776"/>
      <c r="AX34" s="1776"/>
      <c r="AY34" s="1776"/>
      <c r="AZ34" s="1776">
        <v>1</v>
      </c>
    </row>
    <row r="35" spans="1:52">
      <c r="A35" s="1479" t="s">
        <v>2289</v>
      </c>
      <c r="B35" s="1479" t="s">
        <v>2290</v>
      </c>
      <c r="C35" s="1741" t="s">
        <v>2108</v>
      </c>
      <c r="D35" s="1741">
        <v>1020</v>
      </c>
      <c r="E35" s="1741">
        <v>700</v>
      </c>
      <c r="F35" s="1741" t="s">
        <v>2210</v>
      </c>
      <c r="G35" s="1741" t="s">
        <v>2209</v>
      </c>
      <c r="H35" s="1741" t="s">
        <v>1658</v>
      </c>
      <c r="I35" s="1753" t="s">
        <v>2114</v>
      </c>
      <c r="J35" s="1754" t="s">
        <v>3011</v>
      </c>
      <c r="K35" s="1753" t="s">
        <v>2114</v>
      </c>
      <c r="L35" s="1754" t="s">
        <v>3011</v>
      </c>
      <c r="M35" s="1754"/>
      <c r="N35" s="1756">
        <v>608</v>
      </c>
      <c r="O35" s="1757">
        <v>470</v>
      </c>
      <c r="P35" s="1758">
        <v>0</v>
      </c>
      <c r="Q35" s="1759">
        <v>30000</v>
      </c>
      <c r="R35" s="1760">
        <v>30000</v>
      </c>
      <c r="S35" s="1760">
        <v>3360</v>
      </c>
      <c r="T35" s="1760">
        <v>3360</v>
      </c>
      <c r="U35" s="1761">
        <v>30000</v>
      </c>
      <c r="V35" s="1762">
        <v>30000</v>
      </c>
      <c r="W35" s="1757">
        <v>30000</v>
      </c>
      <c r="Z35" s="1773">
        <f t="shared" si="14"/>
        <v>0</v>
      </c>
      <c r="AA35" s="1773">
        <f t="shared" ref="AA35:AA66" si="15">$AL35*AO35</f>
        <v>0</v>
      </c>
      <c r="AB35" s="1773">
        <f t="shared" ref="AB35:AB66" si="16">$AL35*AP35</f>
        <v>0</v>
      </c>
      <c r="AC35" s="1773">
        <f t="shared" ref="AC35:AC66" si="17">$AL35*AQ35</f>
        <v>0</v>
      </c>
      <c r="AD35" s="1773">
        <f t="shared" ref="AD35:AD66" si="18">$AL35*AR35</f>
        <v>0</v>
      </c>
      <c r="AE35" s="1773">
        <f t="shared" ref="AE35:AE66" si="19">$AL35*AS35</f>
        <v>0</v>
      </c>
      <c r="AF35" s="1773">
        <f t="shared" ref="AF35:AF66" si="20">$AL35*AT35</f>
        <v>0</v>
      </c>
      <c r="AG35" s="1773">
        <f t="shared" ref="AG35:AG66" si="21">$AL35*AU35</f>
        <v>0</v>
      </c>
      <c r="AH35" s="1773">
        <f t="shared" ref="AH35:AH66" si="22">$AL35*AV35</f>
        <v>0</v>
      </c>
      <c r="AI35" s="1773">
        <f t="shared" ref="AI35:AI66" si="23">$AL35*AW35</f>
        <v>0</v>
      </c>
      <c r="AJ35" s="1773">
        <f t="shared" ref="AJ35:AJ66" si="24">$AL35*AX35</f>
        <v>0</v>
      </c>
      <c r="AK35" s="1773">
        <f t="shared" ref="AK35:AK66" si="25">$AL35*AY35</f>
        <v>0</v>
      </c>
      <c r="AL35" s="1773">
        <f t="shared" si="2"/>
        <v>30000</v>
      </c>
      <c r="AN35" s="1776"/>
      <c r="AO35" s="1776"/>
      <c r="AP35" s="1776"/>
      <c r="AQ35" s="1776"/>
      <c r="AR35" s="1776"/>
      <c r="AS35" s="1776"/>
      <c r="AT35" s="1776"/>
      <c r="AU35" s="1776"/>
      <c r="AV35" s="1776"/>
      <c r="AW35" s="1776"/>
      <c r="AX35" s="1776"/>
      <c r="AY35" s="1776"/>
      <c r="AZ35" s="1776">
        <v>1</v>
      </c>
    </row>
    <row r="36" spans="1:52">
      <c r="A36" s="1479" t="s">
        <v>2291</v>
      </c>
      <c r="B36" s="1479" t="s">
        <v>2292</v>
      </c>
      <c r="C36" s="1741" t="s">
        <v>2108</v>
      </c>
      <c r="D36" s="1741">
        <v>1020</v>
      </c>
      <c r="E36" s="1741">
        <v>710</v>
      </c>
      <c r="F36" s="1741" t="s">
        <v>2210</v>
      </c>
      <c r="G36" s="1741" t="s">
        <v>2209</v>
      </c>
      <c r="H36" s="1741" t="s">
        <v>1658</v>
      </c>
      <c r="I36" s="1753" t="s">
        <v>2114</v>
      </c>
      <c r="J36" s="1754"/>
      <c r="K36" s="1753" t="s">
        <v>2114</v>
      </c>
      <c r="L36" s="1754" t="s">
        <v>502</v>
      </c>
      <c r="M36" s="1754"/>
      <c r="N36" s="1756">
        <v>5848.95</v>
      </c>
      <c r="O36" s="1757">
        <v>8086</v>
      </c>
      <c r="P36" s="1758">
        <v>12181.6</v>
      </c>
      <c r="Q36" s="1759">
        <v>20000</v>
      </c>
      <c r="R36" s="1760">
        <v>20000</v>
      </c>
      <c r="S36" s="1760">
        <v>10938</v>
      </c>
      <c r="T36" s="1760">
        <v>10938</v>
      </c>
      <c r="U36" s="1761">
        <v>20000</v>
      </c>
      <c r="V36" s="1762">
        <v>20000</v>
      </c>
      <c r="W36" s="1757">
        <v>20000</v>
      </c>
      <c r="Z36" s="1773">
        <f t="shared" si="14"/>
        <v>0</v>
      </c>
      <c r="AA36" s="1773">
        <f t="shared" si="15"/>
        <v>0</v>
      </c>
      <c r="AB36" s="1773">
        <f t="shared" si="16"/>
        <v>0</v>
      </c>
      <c r="AC36" s="1773">
        <f t="shared" si="17"/>
        <v>0</v>
      </c>
      <c r="AD36" s="1773">
        <f t="shared" si="18"/>
        <v>0</v>
      </c>
      <c r="AE36" s="1773">
        <f t="shared" si="19"/>
        <v>0</v>
      </c>
      <c r="AF36" s="1773">
        <f t="shared" si="20"/>
        <v>0</v>
      </c>
      <c r="AG36" s="1773">
        <f t="shared" si="21"/>
        <v>0</v>
      </c>
      <c r="AH36" s="1773">
        <f t="shared" si="22"/>
        <v>0</v>
      </c>
      <c r="AI36" s="1773">
        <f t="shared" si="23"/>
        <v>0</v>
      </c>
      <c r="AJ36" s="1773">
        <f t="shared" si="24"/>
        <v>0</v>
      </c>
      <c r="AK36" s="1773">
        <f t="shared" si="25"/>
        <v>0</v>
      </c>
      <c r="AL36" s="1773">
        <f t="shared" si="2"/>
        <v>20000</v>
      </c>
      <c r="AN36" s="1776"/>
      <c r="AO36" s="1776"/>
      <c r="AP36" s="1776"/>
      <c r="AQ36" s="1776"/>
      <c r="AR36" s="1776"/>
      <c r="AS36" s="1776"/>
      <c r="AT36" s="1776"/>
      <c r="AU36" s="1776"/>
      <c r="AV36" s="1776"/>
      <c r="AW36" s="1776"/>
      <c r="AX36" s="1776"/>
      <c r="AY36" s="1776"/>
      <c r="AZ36" s="1776">
        <v>1</v>
      </c>
    </row>
    <row r="37" spans="1:52">
      <c r="A37" s="1479" t="s">
        <v>2293</v>
      </c>
      <c r="B37" s="1479" t="s">
        <v>2247</v>
      </c>
      <c r="C37" s="1741" t="s">
        <v>2108</v>
      </c>
      <c r="D37" s="1741">
        <v>1020</v>
      </c>
      <c r="E37" s="1741">
        <v>790</v>
      </c>
      <c r="F37" s="1741" t="s">
        <v>2210</v>
      </c>
      <c r="G37" s="1741" t="s">
        <v>2209</v>
      </c>
      <c r="H37" s="1741" t="s">
        <v>1658</v>
      </c>
      <c r="I37" s="1753" t="s">
        <v>2114</v>
      </c>
      <c r="J37" s="1754" t="s">
        <v>3007</v>
      </c>
      <c r="K37" s="1753" t="s">
        <v>2114</v>
      </c>
      <c r="L37" s="1754" t="s">
        <v>3007</v>
      </c>
      <c r="M37" s="1754"/>
      <c r="N37" s="1756">
        <v>73611.429999999993</v>
      </c>
      <c r="O37" s="1757">
        <v>99396.2</v>
      </c>
      <c r="P37" s="1758">
        <v>93068.31</v>
      </c>
      <c r="Q37" s="1759">
        <v>20000</v>
      </c>
      <c r="R37" s="1760">
        <v>20000</v>
      </c>
      <c r="S37" s="1760">
        <v>78220</v>
      </c>
      <c r="T37" s="1760">
        <v>78220</v>
      </c>
      <c r="U37" s="1761">
        <v>100000</v>
      </c>
      <c r="V37" s="1762">
        <v>80000</v>
      </c>
      <c r="W37" s="1757">
        <v>70000</v>
      </c>
      <c r="Z37" s="1773">
        <f t="shared" si="14"/>
        <v>0</v>
      </c>
      <c r="AA37" s="1773">
        <f t="shared" si="15"/>
        <v>0</v>
      </c>
      <c r="AB37" s="1773">
        <f t="shared" si="16"/>
        <v>0</v>
      </c>
      <c r="AC37" s="1773">
        <f t="shared" si="17"/>
        <v>0</v>
      </c>
      <c r="AD37" s="1773">
        <f t="shared" si="18"/>
        <v>0</v>
      </c>
      <c r="AE37" s="1773">
        <f t="shared" si="19"/>
        <v>0</v>
      </c>
      <c r="AF37" s="1773">
        <f t="shared" si="20"/>
        <v>0</v>
      </c>
      <c r="AG37" s="1773">
        <f t="shared" si="21"/>
        <v>0</v>
      </c>
      <c r="AH37" s="1773">
        <f t="shared" si="22"/>
        <v>0</v>
      </c>
      <c r="AI37" s="1773">
        <f t="shared" si="23"/>
        <v>0</v>
      </c>
      <c r="AJ37" s="1773">
        <f t="shared" si="24"/>
        <v>0</v>
      </c>
      <c r="AK37" s="1773">
        <f t="shared" si="25"/>
        <v>0</v>
      </c>
      <c r="AL37" s="1773">
        <f t="shared" si="2"/>
        <v>100000</v>
      </c>
      <c r="AN37" s="1776"/>
      <c r="AO37" s="1776"/>
      <c r="AP37" s="1776"/>
      <c r="AQ37" s="1776"/>
      <c r="AR37" s="1776"/>
      <c r="AS37" s="1776"/>
      <c r="AT37" s="1776"/>
      <c r="AU37" s="1776"/>
      <c r="AV37" s="1776"/>
      <c r="AW37" s="1776"/>
      <c r="AX37" s="1776"/>
      <c r="AY37" s="1776"/>
      <c r="AZ37" s="1776">
        <v>1</v>
      </c>
    </row>
    <row r="38" spans="1:52">
      <c r="A38" s="1479" t="s">
        <v>2294</v>
      </c>
      <c r="B38" s="1479" t="s">
        <v>2295</v>
      </c>
      <c r="C38" s="1741" t="s">
        <v>2108</v>
      </c>
      <c r="D38" s="1741">
        <v>1020</v>
      </c>
      <c r="E38" s="1741">
        <v>1090</v>
      </c>
      <c r="F38" s="1741" t="s">
        <v>2210</v>
      </c>
      <c r="G38" s="1741" t="s">
        <v>2209</v>
      </c>
      <c r="H38" s="1741" t="s">
        <v>1658</v>
      </c>
      <c r="I38" s="1753" t="s">
        <v>2114</v>
      </c>
      <c r="J38" s="1754" t="s">
        <v>3012</v>
      </c>
      <c r="K38" s="1753" t="s">
        <v>2114</v>
      </c>
      <c r="L38" s="1754" t="s">
        <v>3012</v>
      </c>
      <c r="M38" s="1754"/>
      <c r="N38" s="1756">
        <v>328.96</v>
      </c>
      <c r="O38" s="1757">
        <v>328.79</v>
      </c>
      <c r="P38" s="1758">
        <v>348.89</v>
      </c>
      <c r="Q38" s="1759">
        <v>400</v>
      </c>
      <c r="R38" s="1760">
        <v>400</v>
      </c>
      <c r="S38" s="1760">
        <v>359</v>
      </c>
      <c r="T38" s="1760">
        <v>359</v>
      </c>
      <c r="U38" s="1761">
        <v>500</v>
      </c>
      <c r="V38" s="1762">
        <v>415</v>
      </c>
      <c r="W38" s="1757">
        <v>440</v>
      </c>
      <c r="Z38" s="1773">
        <f t="shared" si="14"/>
        <v>0</v>
      </c>
      <c r="AA38" s="1773">
        <f t="shared" si="15"/>
        <v>0</v>
      </c>
      <c r="AB38" s="1773">
        <f t="shared" si="16"/>
        <v>0</v>
      </c>
      <c r="AC38" s="1773">
        <f t="shared" si="17"/>
        <v>0</v>
      </c>
      <c r="AD38" s="1773">
        <f t="shared" si="18"/>
        <v>0</v>
      </c>
      <c r="AE38" s="1773">
        <f t="shared" si="19"/>
        <v>0</v>
      </c>
      <c r="AF38" s="1773">
        <f t="shared" si="20"/>
        <v>0</v>
      </c>
      <c r="AG38" s="1773">
        <f t="shared" si="21"/>
        <v>0</v>
      </c>
      <c r="AH38" s="1773">
        <f t="shared" si="22"/>
        <v>0</v>
      </c>
      <c r="AI38" s="1773">
        <f t="shared" si="23"/>
        <v>0</v>
      </c>
      <c r="AJ38" s="1773">
        <f t="shared" si="24"/>
        <v>0</v>
      </c>
      <c r="AK38" s="1773">
        <f t="shared" si="25"/>
        <v>0</v>
      </c>
      <c r="AL38" s="1773">
        <f t="shared" si="2"/>
        <v>500</v>
      </c>
      <c r="AN38" s="1776"/>
      <c r="AO38" s="1776"/>
      <c r="AP38" s="1776"/>
      <c r="AQ38" s="1776"/>
      <c r="AR38" s="1776"/>
      <c r="AS38" s="1776"/>
      <c r="AT38" s="1776"/>
      <c r="AU38" s="1776"/>
      <c r="AV38" s="1776"/>
      <c r="AW38" s="1776"/>
      <c r="AX38" s="1776"/>
      <c r="AY38" s="1776"/>
      <c r="AZ38" s="1776">
        <v>1</v>
      </c>
    </row>
    <row r="39" spans="1:52" ht="13.5">
      <c r="A39" s="1479" t="s">
        <v>2296</v>
      </c>
      <c r="B39" s="1479" t="s">
        <v>2297</v>
      </c>
      <c r="C39" s="1741" t="s">
        <v>2108</v>
      </c>
      <c r="D39" s="1741">
        <v>1020</v>
      </c>
      <c r="E39" s="1741">
        <v>1100</v>
      </c>
      <c r="F39" s="1741" t="s">
        <v>2210</v>
      </c>
      <c r="G39" s="1741" t="s">
        <v>2209</v>
      </c>
      <c r="H39" s="1741" t="s">
        <v>1658</v>
      </c>
      <c r="I39" s="1753" t="s">
        <v>2114</v>
      </c>
      <c r="J39" s="1754" t="s">
        <v>3012</v>
      </c>
      <c r="K39" s="1753" t="s">
        <v>2114</v>
      </c>
      <c r="L39" s="1754" t="s">
        <v>3012</v>
      </c>
      <c r="M39" s="1763"/>
      <c r="N39" s="1756">
        <v>2599.16</v>
      </c>
      <c r="O39" s="1757">
        <v>2470.41</v>
      </c>
      <c r="P39" s="1758">
        <v>2648.07</v>
      </c>
      <c r="Q39" s="1759">
        <v>3000</v>
      </c>
      <c r="R39" s="1760">
        <v>3000</v>
      </c>
      <c r="S39" s="1760">
        <v>3023</v>
      </c>
      <c r="T39" s="1760">
        <v>3023</v>
      </c>
      <c r="U39" s="1761">
        <v>4000</v>
      </c>
      <c r="V39" s="1762">
        <f>U39*120%</f>
        <v>4800</v>
      </c>
      <c r="W39" s="1757">
        <f>V39*120%</f>
        <v>5760</v>
      </c>
      <c r="Z39" s="1773">
        <f t="shared" si="14"/>
        <v>0</v>
      </c>
      <c r="AA39" s="1773">
        <f t="shared" si="15"/>
        <v>0</v>
      </c>
      <c r="AB39" s="1773">
        <f t="shared" si="16"/>
        <v>0</v>
      </c>
      <c r="AC39" s="1773">
        <f t="shared" si="17"/>
        <v>0</v>
      </c>
      <c r="AD39" s="1773">
        <f t="shared" si="18"/>
        <v>0</v>
      </c>
      <c r="AE39" s="1773">
        <f t="shared" si="19"/>
        <v>0</v>
      </c>
      <c r="AF39" s="1773">
        <f t="shared" si="20"/>
        <v>0</v>
      </c>
      <c r="AG39" s="1773">
        <f t="shared" si="21"/>
        <v>0</v>
      </c>
      <c r="AH39" s="1773">
        <f t="shared" si="22"/>
        <v>0</v>
      </c>
      <c r="AI39" s="1773">
        <f t="shared" si="23"/>
        <v>0</v>
      </c>
      <c r="AJ39" s="1773">
        <f t="shared" si="24"/>
        <v>0</v>
      </c>
      <c r="AK39" s="1773">
        <f t="shared" si="25"/>
        <v>0</v>
      </c>
      <c r="AL39" s="1773">
        <f t="shared" si="2"/>
        <v>4000</v>
      </c>
      <c r="AN39" s="1776"/>
      <c r="AO39" s="1776"/>
      <c r="AP39" s="1776"/>
      <c r="AQ39" s="1776"/>
      <c r="AR39" s="1776"/>
      <c r="AS39" s="1776"/>
      <c r="AT39" s="1776"/>
      <c r="AU39" s="1776"/>
      <c r="AV39" s="1776"/>
      <c r="AW39" s="1776"/>
      <c r="AX39" s="1776"/>
      <c r="AY39" s="1776"/>
      <c r="AZ39" s="1776">
        <v>1</v>
      </c>
    </row>
    <row r="40" spans="1:52" ht="13.5">
      <c r="A40" s="1479" t="s">
        <v>2298</v>
      </c>
      <c r="B40" s="1479" t="s">
        <v>2299</v>
      </c>
      <c r="C40" s="1741" t="s">
        <v>2108</v>
      </c>
      <c r="D40" s="1741">
        <v>1020</v>
      </c>
      <c r="E40" s="1741">
        <v>1110</v>
      </c>
      <c r="F40" s="1741" t="s">
        <v>2210</v>
      </c>
      <c r="G40" s="1741" t="s">
        <v>2209</v>
      </c>
      <c r="H40" s="1741" t="s">
        <v>1658</v>
      </c>
      <c r="I40" s="1753" t="s">
        <v>2114</v>
      </c>
      <c r="J40" s="1754" t="s">
        <v>3012</v>
      </c>
      <c r="K40" s="1753" t="s">
        <v>2114</v>
      </c>
      <c r="L40" s="1754" t="s">
        <v>3012</v>
      </c>
      <c r="M40" s="1763"/>
      <c r="N40" s="1756">
        <v>1354.37</v>
      </c>
      <c r="O40" s="1757">
        <v>1434.53</v>
      </c>
      <c r="P40" s="1758">
        <v>1529.3</v>
      </c>
      <c r="Q40" s="1759">
        <v>2000</v>
      </c>
      <c r="R40" s="1760">
        <v>2000</v>
      </c>
      <c r="S40" s="1760">
        <v>1666</v>
      </c>
      <c r="T40" s="1760">
        <v>1666</v>
      </c>
      <c r="U40" s="1761">
        <v>3000</v>
      </c>
      <c r="V40" s="1762">
        <f>U40*106%</f>
        <v>3180</v>
      </c>
      <c r="W40" s="1757">
        <f>V40*106%</f>
        <v>3370.8</v>
      </c>
      <c r="Z40" s="1773">
        <f t="shared" si="14"/>
        <v>0</v>
      </c>
      <c r="AA40" s="1773">
        <f t="shared" si="15"/>
        <v>0</v>
      </c>
      <c r="AB40" s="1773">
        <f t="shared" si="16"/>
        <v>0</v>
      </c>
      <c r="AC40" s="1773">
        <f t="shared" si="17"/>
        <v>0</v>
      </c>
      <c r="AD40" s="1773">
        <f t="shared" si="18"/>
        <v>0</v>
      </c>
      <c r="AE40" s="1773">
        <f t="shared" si="19"/>
        <v>0</v>
      </c>
      <c r="AF40" s="1773">
        <f t="shared" si="20"/>
        <v>0</v>
      </c>
      <c r="AG40" s="1773">
        <f t="shared" si="21"/>
        <v>0</v>
      </c>
      <c r="AH40" s="1773">
        <f t="shared" si="22"/>
        <v>0</v>
      </c>
      <c r="AI40" s="1773">
        <f t="shared" si="23"/>
        <v>0</v>
      </c>
      <c r="AJ40" s="1773">
        <f t="shared" si="24"/>
        <v>0</v>
      </c>
      <c r="AK40" s="1773">
        <f t="shared" si="25"/>
        <v>0</v>
      </c>
      <c r="AL40" s="1773">
        <f t="shared" si="2"/>
        <v>3000</v>
      </c>
      <c r="AN40" s="1776"/>
      <c r="AO40" s="1776"/>
      <c r="AP40" s="1776"/>
      <c r="AQ40" s="1776"/>
      <c r="AR40" s="1776"/>
      <c r="AS40" s="1776"/>
      <c r="AT40" s="1776"/>
      <c r="AU40" s="1776"/>
      <c r="AV40" s="1776"/>
      <c r="AW40" s="1776"/>
      <c r="AX40" s="1776"/>
      <c r="AY40" s="1776"/>
      <c r="AZ40" s="1776">
        <v>1</v>
      </c>
    </row>
    <row r="41" spans="1:52">
      <c r="A41" s="1479" t="s">
        <v>2300</v>
      </c>
      <c r="B41" s="1479" t="s">
        <v>2301</v>
      </c>
      <c r="C41" s="1741" t="s">
        <v>2108</v>
      </c>
      <c r="D41" s="1741">
        <v>1020</v>
      </c>
      <c r="E41" s="1741">
        <v>1120</v>
      </c>
      <c r="F41" s="1741" t="s">
        <v>2210</v>
      </c>
      <c r="G41" s="1741" t="s">
        <v>2209</v>
      </c>
      <c r="H41" s="1741" t="s">
        <v>1658</v>
      </c>
      <c r="I41" s="1753" t="s">
        <v>2114</v>
      </c>
      <c r="J41" s="1754" t="s">
        <v>3012</v>
      </c>
      <c r="K41" s="1753" t="s">
        <v>2114</v>
      </c>
      <c r="L41" s="1754" t="s">
        <v>3012</v>
      </c>
      <c r="M41" s="1754"/>
      <c r="N41" s="1756">
        <v>1354.37</v>
      </c>
      <c r="O41" s="1757">
        <v>1434.53</v>
      </c>
      <c r="P41" s="1758">
        <v>1529.3</v>
      </c>
      <c r="Q41" s="1759">
        <v>1530</v>
      </c>
      <c r="R41" s="1760">
        <v>1530</v>
      </c>
      <c r="S41" s="1760">
        <v>1613</v>
      </c>
      <c r="T41" s="1760">
        <v>1613</v>
      </c>
      <c r="U41" s="1761">
        <v>2000</v>
      </c>
      <c r="V41" s="1762">
        <v>2200</v>
      </c>
      <c r="W41" s="1757">
        <v>2500</v>
      </c>
      <c r="Z41" s="1773">
        <f t="shared" si="14"/>
        <v>0</v>
      </c>
      <c r="AA41" s="1773">
        <f t="shared" si="15"/>
        <v>0</v>
      </c>
      <c r="AB41" s="1773">
        <f t="shared" si="16"/>
        <v>0</v>
      </c>
      <c r="AC41" s="1773">
        <f t="shared" si="17"/>
        <v>0</v>
      </c>
      <c r="AD41" s="1773">
        <f t="shared" si="18"/>
        <v>0</v>
      </c>
      <c r="AE41" s="1773">
        <f t="shared" si="19"/>
        <v>0</v>
      </c>
      <c r="AF41" s="1773">
        <f t="shared" si="20"/>
        <v>0</v>
      </c>
      <c r="AG41" s="1773">
        <f t="shared" si="21"/>
        <v>0</v>
      </c>
      <c r="AH41" s="1773">
        <f t="shared" si="22"/>
        <v>0</v>
      </c>
      <c r="AI41" s="1773">
        <f t="shared" si="23"/>
        <v>0</v>
      </c>
      <c r="AJ41" s="1773">
        <f t="shared" si="24"/>
        <v>0</v>
      </c>
      <c r="AK41" s="1773">
        <f t="shared" si="25"/>
        <v>0</v>
      </c>
      <c r="AL41" s="1773">
        <f t="shared" si="2"/>
        <v>2000</v>
      </c>
      <c r="AN41" s="1776"/>
      <c r="AO41" s="1776"/>
      <c r="AP41" s="1776"/>
      <c r="AQ41" s="1776"/>
      <c r="AR41" s="1776"/>
      <c r="AS41" s="1776"/>
      <c r="AT41" s="1776"/>
      <c r="AU41" s="1776"/>
      <c r="AV41" s="1776"/>
      <c r="AW41" s="1776"/>
      <c r="AX41" s="1776"/>
      <c r="AY41" s="1776"/>
      <c r="AZ41" s="1776">
        <v>1</v>
      </c>
    </row>
    <row r="42" spans="1:52">
      <c r="A42" t="s">
        <v>2302</v>
      </c>
      <c r="B42" t="s">
        <v>2303</v>
      </c>
      <c r="C42" s="1741" t="s">
        <v>2108</v>
      </c>
      <c r="D42" s="1741">
        <v>1020</v>
      </c>
      <c r="E42" s="1741">
        <v>1170</v>
      </c>
      <c r="F42" s="1741" t="s">
        <v>2210</v>
      </c>
      <c r="G42" s="1741" t="s">
        <v>2209</v>
      </c>
      <c r="H42" s="1741" t="s">
        <v>1658</v>
      </c>
      <c r="I42" s="1753" t="s">
        <v>2114</v>
      </c>
      <c r="J42" s="1754"/>
      <c r="K42" s="1753" t="s">
        <v>2114</v>
      </c>
      <c r="L42" s="1754" t="s">
        <v>502</v>
      </c>
      <c r="M42" s="1754"/>
      <c r="N42" s="1756">
        <v>0</v>
      </c>
      <c r="O42" s="1757">
        <v>0</v>
      </c>
      <c r="P42" s="1758">
        <v>0</v>
      </c>
      <c r="Q42" s="1759">
        <v>500</v>
      </c>
      <c r="R42" s="1760">
        <v>500</v>
      </c>
      <c r="S42" s="1760">
        <v>55</v>
      </c>
      <c r="T42" s="1760">
        <v>55</v>
      </c>
      <c r="U42" s="1761">
        <v>1000</v>
      </c>
      <c r="V42" s="1762">
        <v>1000</v>
      </c>
      <c r="W42" s="1757">
        <v>1000</v>
      </c>
      <c r="Z42" s="1773">
        <f t="shared" si="14"/>
        <v>0</v>
      </c>
      <c r="AA42" s="1773">
        <f t="shared" si="15"/>
        <v>0</v>
      </c>
      <c r="AB42" s="1773">
        <f t="shared" si="16"/>
        <v>0</v>
      </c>
      <c r="AC42" s="1773">
        <f t="shared" si="17"/>
        <v>0</v>
      </c>
      <c r="AD42" s="1773">
        <f t="shared" si="18"/>
        <v>0</v>
      </c>
      <c r="AE42" s="1773">
        <f t="shared" si="19"/>
        <v>0</v>
      </c>
      <c r="AF42" s="1773">
        <f t="shared" si="20"/>
        <v>0</v>
      </c>
      <c r="AG42" s="1773">
        <f t="shared" si="21"/>
        <v>0</v>
      </c>
      <c r="AH42" s="1773">
        <f t="shared" si="22"/>
        <v>0</v>
      </c>
      <c r="AI42" s="1773">
        <f t="shared" si="23"/>
        <v>0</v>
      </c>
      <c r="AJ42" s="1773">
        <f t="shared" si="24"/>
        <v>0</v>
      </c>
      <c r="AK42" s="1773">
        <f t="shared" si="25"/>
        <v>0</v>
      </c>
      <c r="AL42" s="1773">
        <f t="shared" si="2"/>
        <v>1000</v>
      </c>
      <c r="AN42" s="1776"/>
      <c r="AO42" s="1776"/>
      <c r="AP42" s="1776"/>
      <c r="AQ42" s="1776"/>
      <c r="AR42" s="1776"/>
      <c r="AS42" s="1776"/>
      <c r="AT42" s="1776"/>
      <c r="AU42" s="1776"/>
      <c r="AV42" s="1776"/>
      <c r="AW42" s="1776"/>
      <c r="AX42" s="1776"/>
      <c r="AY42" s="1776"/>
      <c r="AZ42" s="1776">
        <v>1</v>
      </c>
    </row>
    <row r="43" spans="1:52" ht="13.5">
      <c r="A43" t="s">
        <v>2304</v>
      </c>
      <c r="B43" t="s">
        <v>2305</v>
      </c>
      <c r="C43" s="1741" t="s">
        <v>2108</v>
      </c>
      <c r="D43" s="1741">
        <v>1020</v>
      </c>
      <c r="E43" s="1741">
        <v>1310</v>
      </c>
      <c r="F43" s="1741" t="s">
        <v>2210</v>
      </c>
      <c r="G43" s="1741" t="s">
        <v>2209</v>
      </c>
      <c r="H43" s="1741" t="s">
        <v>1658</v>
      </c>
      <c r="I43" s="1753" t="s">
        <v>3013</v>
      </c>
      <c r="J43" s="1754"/>
      <c r="K43" s="1754" t="s">
        <v>420</v>
      </c>
      <c r="L43" s="1754" t="s">
        <v>420</v>
      </c>
      <c r="M43" s="1439"/>
      <c r="N43" s="1756">
        <v>0</v>
      </c>
      <c r="O43" s="1757">
        <v>0</v>
      </c>
      <c r="P43" s="1758">
        <v>0</v>
      </c>
      <c r="Q43" s="1759">
        <v>2000</v>
      </c>
      <c r="R43" s="1760">
        <v>2000</v>
      </c>
      <c r="S43" s="1760">
        <v>224</v>
      </c>
      <c r="T43" s="1760">
        <v>224</v>
      </c>
      <c r="U43" s="1761">
        <v>2000</v>
      </c>
      <c r="V43" s="1762">
        <v>2000</v>
      </c>
      <c r="W43" s="1757">
        <v>2000</v>
      </c>
      <c r="Z43" s="1773">
        <f t="shared" si="14"/>
        <v>0</v>
      </c>
      <c r="AA43" s="1773">
        <f t="shared" si="15"/>
        <v>0</v>
      </c>
      <c r="AB43" s="1773">
        <f t="shared" si="16"/>
        <v>0</v>
      </c>
      <c r="AC43" s="1773">
        <f t="shared" si="17"/>
        <v>0</v>
      </c>
      <c r="AD43" s="1773">
        <f t="shared" si="18"/>
        <v>0</v>
      </c>
      <c r="AE43" s="1773">
        <f t="shared" si="19"/>
        <v>0</v>
      </c>
      <c r="AF43" s="1773">
        <f t="shared" si="20"/>
        <v>0</v>
      </c>
      <c r="AG43" s="1773">
        <f t="shared" si="21"/>
        <v>0</v>
      </c>
      <c r="AH43" s="1773">
        <f t="shared" si="22"/>
        <v>0</v>
      </c>
      <c r="AI43" s="1773">
        <f t="shared" si="23"/>
        <v>0</v>
      </c>
      <c r="AJ43" s="1773">
        <f t="shared" si="24"/>
        <v>0</v>
      </c>
      <c r="AK43" s="1773">
        <f t="shared" si="25"/>
        <v>0</v>
      </c>
      <c r="AL43" s="1773">
        <f t="shared" si="2"/>
        <v>2000</v>
      </c>
      <c r="AN43" s="1776"/>
      <c r="AO43" s="1776"/>
      <c r="AP43" s="1776"/>
      <c r="AQ43" s="1776"/>
      <c r="AR43" s="1776"/>
      <c r="AS43" s="1776"/>
      <c r="AT43" s="1776"/>
      <c r="AU43" s="1776"/>
      <c r="AV43" s="1776"/>
      <c r="AW43" s="1776"/>
      <c r="AX43" s="1776"/>
      <c r="AY43" s="1776"/>
      <c r="AZ43" s="1776">
        <v>1</v>
      </c>
    </row>
    <row r="44" spans="1:52">
      <c r="A44" s="1479" t="s">
        <v>2306</v>
      </c>
      <c r="B44" s="1479" t="s">
        <v>2249</v>
      </c>
      <c r="C44" s="1741" t="s">
        <v>2108</v>
      </c>
      <c r="D44" s="1741">
        <v>1020</v>
      </c>
      <c r="E44" s="1741">
        <v>1410</v>
      </c>
      <c r="F44" s="1741" t="s">
        <v>2210</v>
      </c>
      <c r="G44" s="1741" t="s">
        <v>2209</v>
      </c>
      <c r="H44" s="1741" t="s">
        <v>1658</v>
      </c>
      <c r="I44" s="1753" t="s">
        <v>2114</v>
      </c>
      <c r="J44" s="1754" t="s">
        <v>3008</v>
      </c>
      <c r="K44" s="1753" t="s">
        <v>2114</v>
      </c>
      <c r="L44" s="1754" t="s">
        <v>3008</v>
      </c>
      <c r="M44" s="1754"/>
      <c r="N44" s="1756">
        <v>23601.72</v>
      </c>
      <c r="O44" s="1757">
        <v>0</v>
      </c>
      <c r="P44" s="1758">
        <v>9409.26</v>
      </c>
      <c r="Q44" s="1759">
        <v>0</v>
      </c>
      <c r="R44" s="1760">
        <v>0</v>
      </c>
      <c r="S44" s="1760">
        <v>0</v>
      </c>
      <c r="T44" s="1760">
        <v>0</v>
      </c>
      <c r="U44" s="1761">
        <v>0</v>
      </c>
      <c r="V44" s="1762">
        <v>0</v>
      </c>
      <c r="W44" s="1757">
        <v>0</v>
      </c>
      <c r="Z44" s="1773">
        <f t="shared" si="14"/>
        <v>0</v>
      </c>
      <c r="AA44" s="1773">
        <f t="shared" si="15"/>
        <v>0</v>
      </c>
      <c r="AB44" s="1773">
        <f t="shared" si="16"/>
        <v>0</v>
      </c>
      <c r="AC44" s="1773">
        <f t="shared" si="17"/>
        <v>0</v>
      </c>
      <c r="AD44" s="1773">
        <f t="shared" si="18"/>
        <v>0</v>
      </c>
      <c r="AE44" s="1773">
        <f t="shared" si="19"/>
        <v>0</v>
      </c>
      <c r="AF44" s="1773">
        <f t="shared" si="20"/>
        <v>0</v>
      </c>
      <c r="AG44" s="1773">
        <f t="shared" si="21"/>
        <v>0</v>
      </c>
      <c r="AH44" s="1773">
        <f t="shared" si="22"/>
        <v>0</v>
      </c>
      <c r="AI44" s="1773">
        <f t="shared" si="23"/>
        <v>0</v>
      </c>
      <c r="AJ44" s="1773">
        <f t="shared" si="24"/>
        <v>0</v>
      </c>
      <c r="AK44" s="1773">
        <f t="shared" si="25"/>
        <v>0</v>
      </c>
      <c r="AL44" s="1773">
        <f t="shared" si="2"/>
        <v>0</v>
      </c>
      <c r="AN44" s="1776"/>
      <c r="AO44" s="1776"/>
      <c r="AP44" s="1776"/>
      <c r="AQ44" s="1776"/>
      <c r="AR44" s="1776"/>
      <c r="AS44" s="1776"/>
      <c r="AT44" s="1776"/>
      <c r="AU44" s="1776"/>
      <c r="AV44" s="1776"/>
      <c r="AW44" s="1776"/>
      <c r="AX44" s="1776"/>
      <c r="AY44" s="1776"/>
      <c r="AZ44" s="1776">
        <v>1</v>
      </c>
    </row>
    <row r="45" spans="1:52">
      <c r="A45" s="1479" t="s">
        <v>2307</v>
      </c>
      <c r="B45" s="1479" t="s">
        <v>2251</v>
      </c>
      <c r="C45" s="1741" t="s">
        <v>2108</v>
      </c>
      <c r="D45" s="1741">
        <v>1020</v>
      </c>
      <c r="E45" s="1741">
        <v>1440</v>
      </c>
      <c r="F45" s="1741" t="s">
        <v>2210</v>
      </c>
      <c r="G45" s="1741" t="s">
        <v>2209</v>
      </c>
      <c r="H45" s="1741" t="s">
        <v>1658</v>
      </c>
      <c r="I45" s="1753" t="s">
        <v>2115</v>
      </c>
      <c r="J45" s="1754"/>
      <c r="K45" s="1753" t="s">
        <v>1596</v>
      </c>
      <c r="L45" s="1754" t="s">
        <v>1696</v>
      </c>
      <c r="M45" s="1754"/>
      <c r="N45" s="1756">
        <v>0</v>
      </c>
      <c r="O45" s="1757">
        <v>796424.90249991743</v>
      </c>
      <c r="P45" s="1758">
        <v>1216414.2664780822</v>
      </c>
      <c r="Q45" s="1759">
        <v>20000</v>
      </c>
      <c r="R45" s="1760">
        <v>20000</v>
      </c>
      <c r="S45" s="1760">
        <v>2240</v>
      </c>
      <c r="T45" s="1760">
        <v>2240</v>
      </c>
      <c r="U45" s="1761">
        <v>20000</v>
      </c>
      <c r="V45" s="1762">
        <v>20000</v>
      </c>
      <c r="W45" s="1757">
        <v>20000</v>
      </c>
      <c r="Z45" s="1773">
        <f t="shared" si="14"/>
        <v>0</v>
      </c>
      <c r="AA45" s="1773">
        <f t="shared" si="15"/>
        <v>0</v>
      </c>
      <c r="AB45" s="1773">
        <f t="shared" si="16"/>
        <v>0</v>
      </c>
      <c r="AC45" s="1773">
        <f t="shared" si="17"/>
        <v>0</v>
      </c>
      <c r="AD45" s="1773">
        <f t="shared" si="18"/>
        <v>0</v>
      </c>
      <c r="AE45" s="1773">
        <f t="shared" si="19"/>
        <v>0</v>
      </c>
      <c r="AF45" s="1773">
        <f t="shared" si="20"/>
        <v>0</v>
      </c>
      <c r="AG45" s="1773">
        <f t="shared" si="21"/>
        <v>0</v>
      </c>
      <c r="AH45" s="1773">
        <f t="shared" si="22"/>
        <v>0</v>
      </c>
      <c r="AI45" s="1773">
        <f t="shared" si="23"/>
        <v>0</v>
      </c>
      <c r="AJ45" s="1773">
        <f t="shared" si="24"/>
        <v>0</v>
      </c>
      <c r="AK45" s="1773">
        <f t="shared" si="25"/>
        <v>0</v>
      </c>
      <c r="AL45" s="1773">
        <f t="shared" si="2"/>
        <v>20000</v>
      </c>
      <c r="AN45" s="1776"/>
      <c r="AO45" s="1776"/>
      <c r="AP45" s="1776"/>
      <c r="AQ45" s="1776"/>
      <c r="AR45" s="1776"/>
      <c r="AS45" s="1776"/>
      <c r="AT45" s="1776"/>
      <c r="AU45" s="1776"/>
      <c r="AV45" s="1776"/>
      <c r="AW45" s="1776"/>
      <c r="AX45" s="1776"/>
      <c r="AY45" s="1776"/>
      <c r="AZ45" s="1776">
        <v>1</v>
      </c>
    </row>
    <row r="46" spans="1:52">
      <c r="A46" s="1479" t="s">
        <v>2308</v>
      </c>
      <c r="B46" s="1479" t="s">
        <v>2253</v>
      </c>
      <c r="C46" s="1741" t="s">
        <v>2108</v>
      </c>
      <c r="D46" s="1741">
        <v>1020</v>
      </c>
      <c r="E46" s="1741">
        <v>3510</v>
      </c>
      <c r="F46" s="1741" t="s">
        <v>2210</v>
      </c>
      <c r="G46" s="1741" t="s">
        <v>2209</v>
      </c>
      <c r="H46" s="1741" t="s">
        <v>1658</v>
      </c>
      <c r="I46" s="1753" t="s">
        <v>464</v>
      </c>
      <c r="J46" s="1754"/>
      <c r="K46" s="1753" t="s">
        <v>2114</v>
      </c>
      <c r="L46" s="1754" t="s">
        <v>3029</v>
      </c>
      <c r="M46" s="1754"/>
      <c r="N46" s="1756">
        <v>79744.12</v>
      </c>
      <c r="O46" s="1757">
        <v>56221.55</v>
      </c>
      <c r="P46" s="1758">
        <v>47992.68</v>
      </c>
      <c r="Q46" s="1759">
        <v>65000</v>
      </c>
      <c r="R46" s="1760">
        <v>65000</v>
      </c>
      <c r="S46" s="1760">
        <v>97319</v>
      </c>
      <c r="T46" s="1760">
        <v>97319</v>
      </c>
      <c r="U46" s="1761">
        <v>155000</v>
      </c>
      <c r="V46" s="1762">
        <f>U46*106%</f>
        <v>164300</v>
      </c>
      <c r="W46" s="1757">
        <f>V46*106%</f>
        <v>174158</v>
      </c>
      <c r="Z46" s="1773">
        <f t="shared" si="14"/>
        <v>0</v>
      </c>
      <c r="AA46" s="1773">
        <f t="shared" si="15"/>
        <v>0</v>
      </c>
      <c r="AB46" s="1773">
        <f t="shared" si="16"/>
        <v>0</v>
      </c>
      <c r="AC46" s="1773">
        <f t="shared" si="17"/>
        <v>0</v>
      </c>
      <c r="AD46" s="1773">
        <f t="shared" si="18"/>
        <v>0</v>
      </c>
      <c r="AE46" s="1773">
        <f t="shared" si="19"/>
        <v>0</v>
      </c>
      <c r="AF46" s="1773">
        <f t="shared" si="20"/>
        <v>0</v>
      </c>
      <c r="AG46" s="1773">
        <f t="shared" si="21"/>
        <v>0</v>
      </c>
      <c r="AH46" s="1773">
        <f t="shared" si="22"/>
        <v>0</v>
      </c>
      <c r="AI46" s="1773">
        <f t="shared" si="23"/>
        <v>0</v>
      </c>
      <c r="AJ46" s="1773">
        <f t="shared" si="24"/>
        <v>0</v>
      </c>
      <c r="AK46" s="1773">
        <f t="shared" si="25"/>
        <v>0</v>
      </c>
      <c r="AL46" s="1773">
        <f t="shared" si="2"/>
        <v>155000</v>
      </c>
      <c r="AN46" s="1776"/>
      <c r="AO46" s="1776"/>
      <c r="AP46" s="1776"/>
      <c r="AQ46" s="1776"/>
      <c r="AR46" s="1776"/>
      <c r="AS46" s="1776"/>
      <c r="AT46" s="1776"/>
      <c r="AU46" s="1776"/>
      <c r="AV46" s="1776"/>
      <c r="AW46" s="1776"/>
      <c r="AX46" s="1776"/>
      <c r="AY46" s="1776"/>
      <c r="AZ46" s="1776">
        <v>1</v>
      </c>
    </row>
    <row r="47" spans="1:52">
      <c r="A47" s="1479" t="s">
        <v>2309</v>
      </c>
      <c r="B47" s="1479" t="s">
        <v>2310</v>
      </c>
      <c r="C47" s="1741" t="s">
        <v>2108</v>
      </c>
      <c r="D47" s="1741">
        <v>1020</v>
      </c>
      <c r="E47" s="1741">
        <v>3520</v>
      </c>
      <c r="F47" s="1741" t="s">
        <v>2210</v>
      </c>
      <c r="G47" s="1741" t="s">
        <v>2209</v>
      </c>
      <c r="H47" s="1741" t="s">
        <v>1658</v>
      </c>
      <c r="I47" s="1753" t="s">
        <v>464</v>
      </c>
      <c r="J47" s="1754"/>
      <c r="K47" s="1753" t="s">
        <v>2114</v>
      </c>
      <c r="L47" s="1753" t="s">
        <v>3029</v>
      </c>
      <c r="M47" s="1754"/>
      <c r="N47" s="1756">
        <v>147721.32</v>
      </c>
      <c r="O47" s="1757">
        <v>128678.43</v>
      </c>
      <c r="P47" s="1758">
        <v>42296.32</v>
      </c>
      <c r="Q47" s="1759">
        <v>10000</v>
      </c>
      <c r="R47" s="1760">
        <v>10000</v>
      </c>
      <c r="S47" s="1760">
        <v>56420</v>
      </c>
      <c r="T47" s="1760">
        <v>56420</v>
      </c>
      <c r="U47" s="1761">
        <v>30000</v>
      </c>
      <c r="V47" s="1762">
        <v>40000</v>
      </c>
      <c r="W47" s="1757">
        <v>50000</v>
      </c>
      <c r="Z47" s="1773">
        <f t="shared" si="14"/>
        <v>0</v>
      </c>
      <c r="AA47" s="1773">
        <f t="shared" si="15"/>
        <v>0</v>
      </c>
      <c r="AB47" s="1773">
        <f t="shared" si="16"/>
        <v>0</v>
      </c>
      <c r="AC47" s="1773">
        <f t="shared" si="17"/>
        <v>0</v>
      </c>
      <c r="AD47" s="1773">
        <f t="shared" si="18"/>
        <v>0</v>
      </c>
      <c r="AE47" s="1773">
        <f t="shared" si="19"/>
        <v>0</v>
      </c>
      <c r="AF47" s="1773">
        <f t="shared" si="20"/>
        <v>0</v>
      </c>
      <c r="AG47" s="1773">
        <f t="shared" si="21"/>
        <v>0</v>
      </c>
      <c r="AH47" s="1773">
        <f t="shared" si="22"/>
        <v>0</v>
      </c>
      <c r="AI47" s="1773">
        <f t="shared" si="23"/>
        <v>0</v>
      </c>
      <c r="AJ47" s="1773">
        <f t="shared" si="24"/>
        <v>0</v>
      </c>
      <c r="AK47" s="1773">
        <f t="shared" si="25"/>
        <v>0</v>
      </c>
      <c r="AL47" s="1773">
        <f t="shared" si="2"/>
        <v>30000</v>
      </c>
      <c r="AN47" s="1776"/>
      <c r="AO47" s="1776"/>
      <c r="AP47" s="1776"/>
      <c r="AQ47" s="1776"/>
      <c r="AR47" s="1776"/>
      <c r="AS47" s="1776"/>
      <c r="AT47" s="1776"/>
      <c r="AU47" s="1776"/>
      <c r="AV47" s="1776"/>
      <c r="AW47" s="1776"/>
      <c r="AX47" s="1776"/>
      <c r="AY47" s="1776"/>
      <c r="AZ47" s="1776">
        <v>1</v>
      </c>
    </row>
    <row r="48" spans="1:52">
      <c r="A48" s="1479" t="s">
        <v>2311</v>
      </c>
      <c r="B48" s="1479" t="s">
        <v>2312</v>
      </c>
      <c r="C48" s="1741" t="s">
        <v>2108</v>
      </c>
      <c r="D48" s="1741">
        <v>1020</v>
      </c>
      <c r="E48" s="1741">
        <v>4110</v>
      </c>
      <c r="F48" s="1741" t="s">
        <v>2210</v>
      </c>
      <c r="G48" s="1741" t="s">
        <v>2209</v>
      </c>
      <c r="H48" s="1741" t="s">
        <v>1658</v>
      </c>
      <c r="I48" s="1753" t="s">
        <v>2117</v>
      </c>
      <c r="J48" s="1754"/>
      <c r="K48" s="1754" t="s">
        <v>1665</v>
      </c>
      <c r="L48" s="1754" t="s">
        <v>1665</v>
      </c>
      <c r="M48" s="1754"/>
      <c r="N48" s="1756">
        <v>4044.62</v>
      </c>
      <c r="O48" s="1757">
        <v>0</v>
      </c>
      <c r="P48" s="1758">
        <v>0</v>
      </c>
      <c r="Q48" s="1759">
        <v>0</v>
      </c>
      <c r="R48" s="1760">
        <v>0</v>
      </c>
      <c r="S48" s="1760">
        <v>0</v>
      </c>
      <c r="T48" s="1760">
        <v>0</v>
      </c>
      <c r="U48" s="1761">
        <v>0</v>
      </c>
      <c r="V48" s="1762">
        <v>0</v>
      </c>
      <c r="W48" s="1757">
        <v>0</v>
      </c>
      <c r="Z48" s="1773">
        <f t="shared" si="14"/>
        <v>0</v>
      </c>
      <c r="AA48" s="1773">
        <f t="shared" si="15"/>
        <v>0</v>
      </c>
      <c r="AB48" s="1773">
        <f t="shared" si="16"/>
        <v>0</v>
      </c>
      <c r="AC48" s="1773">
        <f t="shared" si="17"/>
        <v>0</v>
      </c>
      <c r="AD48" s="1773">
        <f t="shared" si="18"/>
        <v>0</v>
      </c>
      <c r="AE48" s="1773">
        <f t="shared" si="19"/>
        <v>0</v>
      </c>
      <c r="AF48" s="1773">
        <f t="shared" si="20"/>
        <v>0</v>
      </c>
      <c r="AG48" s="1773">
        <f t="shared" si="21"/>
        <v>0</v>
      </c>
      <c r="AH48" s="1773">
        <f t="shared" si="22"/>
        <v>0</v>
      </c>
      <c r="AI48" s="1773">
        <f t="shared" si="23"/>
        <v>0</v>
      </c>
      <c r="AJ48" s="1773">
        <f t="shared" si="24"/>
        <v>0</v>
      </c>
      <c r="AK48" s="1773">
        <f t="shared" si="25"/>
        <v>0</v>
      </c>
      <c r="AL48" s="1773">
        <f t="shared" si="2"/>
        <v>0</v>
      </c>
      <c r="AN48" s="1776"/>
      <c r="AO48" s="1776"/>
      <c r="AP48" s="1776"/>
      <c r="AQ48" s="1776"/>
      <c r="AR48" s="1776"/>
      <c r="AS48" s="1776"/>
      <c r="AT48" s="1776"/>
      <c r="AU48" s="1776"/>
      <c r="AV48" s="1776"/>
      <c r="AW48" s="1776"/>
      <c r="AX48" s="1776"/>
      <c r="AY48" s="1776"/>
      <c r="AZ48" s="1776">
        <v>1</v>
      </c>
    </row>
    <row r="49" spans="1:52">
      <c r="A49" s="1479" t="s">
        <v>2313</v>
      </c>
      <c r="B49" s="1479" t="s">
        <v>2314</v>
      </c>
      <c r="C49" s="1741" t="s">
        <v>2108</v>
      </c>
      <c r="D49" s="1741">
        <v>1020</v>
      </c>
      <c r="E49" s="1741">
        <v>4120</v>
      </c>
      <c r="F49" s="1741" t="s">
        <v>2210</v>
      </c>
      <c r="G49" s="1741" t="s">
        <v>2209</v>
      </c>
      <c r="H49" s="1741" t="s">
        <v>1658</v>
      </c>
      <c r="I49" s="1753" t="s">
        <v>2114</v>
      </c>
      <c r="J49" s="1754" t="s">
        <v>3014</v>
      </c>
      <c r="K49" s="1753" t="s">
        <v>2114</v>
      </c>
      <c r="L49" s="1754" t="s">
        <v>3029</v>
      </c>
      <c r="M49" s="1754"/>
      <c r="N49" s="1756">
        <v>8403.75</v>
      </c>
      <c r="O49" s="1757">
        <v>0</v>
      </c>
      <c r="P49" s="1758">
        <v>0</v>
      </c>
      <c r="Q49" s="1759">
        <v>0</v>
      </c>
      <c r="R49" s="1760">
        <v>0</v>
      </c>
      <c r="S49" s="1760">
        <v>0</v>
      </c>
      <c r="T49" s="1760">
        <v>0</v>
      </c>
      <c r="U49" s="1761">
        <v>0</v>
      </c>
      <c r="V49" s="1762">
        <v>0</v>
      </c>
      <c r="W49" s="1757">
        <v>0</v>
      </c>
      <c r="Z49" s="1773">
        <f t="shared" si="14"/>
        <v>0</v>
      </c>
      <c r="AA49" s="1773">
        <f t="shared" si="15"/>
        <v>0</v>
      </c>
      <c r="AB49" s="1773">
        <f t="shared" si="16"/>
        <v>0</v>
      </c>
      <c r="AC49" s="1773">
        <f t="shared" si="17"/>
        <v>0</v>
      </c>
      <c r="AD49" s="1773">
        <f t="shared" si="18"/>
        <v>0</v>
      </c>
      <c r="AE49" s="1773">
        <f t="shared" si="19"/>
        <v>0</v>
      </c>
      <c r="AF49" s="1773">
        <f t="shared" si="20"/>
        <v>0</v>
      </c>
      <c r="AG49" s="1773">
        <f t="shared" si="21"/>
        <v>0</v>
      </c>
      <c r="AH49" s="1773">
        <f t="shared" si="22"/>
        <v>0</v>
      </c>
      <c r="AI49" s="1773">
        <f t="shared" si="23"/>
        <v>0</v>
      </c>
      <c r="AJ49" s="1773">
        <f t="shared" si="24"/>
        <v>0</v>
      </c>
      <c r="AK49" s="1773">
        <f t="shared" si="25"/>
        <v>0</v>
      </c>
      <c r="AL49" s="1773">
        <f t="shared" si="2"/>
        <v>0</v>
      </c>
      <c r="AN49" s="1776"/>
      <c r="AO49" s="1776"/>
      <c r="AP49" s="1776"/>
      <c r="AQ49" s="1776"/>
      <c r="AR49" s="1776"/>
      <c r="AS49" s="1776"/>
      <c r="AT49" s="1776"/>
      <c r="AU49" s="1776"/>
      <c r="AV49" s="1776"/>
      <c r="AW49" s="1776"/>
      <c r="AX49" s="1776"/>
      <c r="AY49" s="1776"/>
      <c r="AZ49" s="1776">
        <v>1</v>
      </c>
    </row>
    <row r="50" spans="1:52">
      <c r="A50" s="1479" t="s">
        <v>2315</v>
      </c>
      <c r="B50" s="1479" t="s">
        <v>2316</v>
      </c>
      <c r="C50" s="1741" t="s">
        <v>2108</v>
      </c>
      <c r="D50" s="1741">
        <v>1020</v>
      </c>
      <c r="E50" s="1741">
        <v>5000</v>
      </c>
      <c r="F50" s="1741" t="s">
        <v>2210</v>
      </c>
      <c r="G50" s="1741" t="s">
        <v>2209</v>
      </c>
      <c r="H50" s="1741" t="s">
        <v>1658</v>
      </c>
      <c r="I50" s="1753" t="s">
        <v>3015</v>
      </c>
      <c r="J50" s="1754"/>
      <c r="K50" s="1753" t="s">
        <v>2114</v>
      </c>
      <c r="L50" s="1754" t="s">
        <v>3015</v>
      </c>
      <c r="M50" s="1754"/>
      <c r="N50" s="1756">
        <v>0</v>
      </c>
      <c r="O50" s="1757">
        <v>0</v>
      </c>
      <c r="P50" s="1758">
        <v>0</v>
      </c>
      <c r="Q50" s="1759">
        <v>0</v>
      </c>
      <c r="R50" s="1760">
        <v>0</v>
      </c>
      <c r="S50" s="1760">
        <v>0</v>
      </c>
      <c r="T50" s="1760">
        <v>0</v>
      </c>
      <c r="U50" s="1761">
        <v>0</v>
      </c>
      <c r="V50" s="1762">
        <v>0</v>
      </c>
      <c r="W50" s="1757">
        <v>0</v>
      </c>
      <c r="Z50" s="1773">
        <f t="shared" si="14"/>
        <v>0</v>
      </c>
      <c r="AA50" s="1773">
        <f t="shared" si="15"/>
        <v>0</v>
      </c>
      <c r="AB50" s="1773">
        <f t="shared" si="16"/>
        <v>0</v>
      </c>
      <c r="AC50" s="1773">
        <f t="shared" si="17"/>
        <v>0</v>
      </c>
      <c r="AD50" s="1773">
        <f t="shared" si="18"/>
        <v>0</v>
      </c>
      <c r="AE50" s="1773">
        <f t="shared" si="19"/>
        <v>0</v>
      </c>
      <c r="AF50" s="1773">
        <f t="shared" si="20"/>
        <v>0</v>
      </c>
      <c r="AG50" s="1773">
        <f t="shared" si="21"/>
        <v>0</v>
      </c>
      <c r="AH50" s="1773">
        <f t="shared" si="22"/>
        <v>0</v>
      </c>
      <c r="AI50" s="1773">
        <f t="shared" si="23"/>
        <v>0</v>
      </c>
      <c r="AJ50" s="1773">
        <f t="shared" si="24"/>
        <v>0</v>
      </c>
      <c r="AK50" s="1773">
        <f t="shared" si="25"/>
        <v>0</v>
      </c>
      <c r="AL50" s="1773">
        <f t="shared" si="2"/>
        <v>0</v>
      </c>
      <c r="AN50" s="1776"/>
      <c r="AO50" s="1776"/>
      <c r="AP50" s="1776"/>
      <c r="AQ50" s="1776"/>
      <c r="AR50" s="1776"/>
      <c r="AS50" s="1776"/>
      <c r="AT50" s="1776"/>
      <c r="AU50" s="1776"/>
      <c r="AV50" s="1776"/>
      <c r="AW50" s="1776"/>
      <c r="AX50" s="1776"/>
      <c r="AY50" s="1776"/>
      <c r="AZ50" s="1776">
        <v>1</v>
      </c>
    </row>
    <row r="51" spans="1:52" ht="13.5">
      <c r="A51" s="1479" t="s">
        <v>2317</v>
      </c>
      <c r="B51" s="1479" t="s">
        <v>2318</v>
      </c>
      <c r="C51" s="1741" t="s">
        <v>2108</v>
      </c>
      <c r="D51" s="1741">
        <v>1020</v>
      </c>
      <c r="E51" s="1741">
        <v>5020</v>
      </c>
      <c r="F51" s="1741" t="s">
        <v>2210</v>
      </c>
      <c r="G51" s="1741" t="s">
        <v>2209</v>
      </c>
      <c r="H51" s="1741" t="s">
        <v>586</v>
      </c>
      <c r="I51" s="1753" t="s">
        <v>2121</v>
      </c>
      <c r="J51" s="1754" t="s">
        <v>3016</v>
      </c>
      <c r="K51" s="236" t="s">
        <v>35</v>
      </c>
      <c r="L51" s="1754" t="s">
        <v>2128</v>
      </c>
      <c r="M51" s="1754"/>
      <c r="N51" s="1756">
        <v>0</v>
      </c>
      <c r="O51" s="1757">
        <v>-1106209.92</v>
      </c>
      <c r="P51" s="1758">
        <v>-1960698.5390000001</v>
      </c>
      <c r="Q51" s="1759">
        <v>0</v>
      </c>
      <c r="R51" s="1760">
        <v>0</v>
      </c>
      <c r="S51" s="1760">
        <v>0</v>
      </c>
      <c r="T51" s="1760">
        <v>0</v>
      </c>
      <c r="U51" s="1761">
        <v>0</v>
      </c>
      <c r="V51" s="1762">
        <v>0</v>
      </c>
      <c r="W51" s="1757">
        <v>0</v>
      </c>
      <c r="Z51" s="1773">
        <f t="shared" si="14"/>
        <v>0</v>
      </c>
      <c r="AA51" s="1773">
        <f t="shared" si="15"/>
        <v>0</v>
      </c>
      <c r="AB51" s="1773">
        <f t="shared" si="16"/>
        <v>0</v>
      </c>
      <c r="AC51" s="1773">
        <f t="shared" si="17"/>
        <v>0</v>
      </c>
      <c r="AD51" s="1773">
        <f t="shared" si="18"/>
        <v>0</v>
      </c>
      <c r="AE51" s="1773">
        <f t="shared" si="19"/>
        <v>0</v>
      </c>
      <c r="AF51" s="1773">
        <f t="shared" si="20"/>
        <v>0</v>
      </c>
      <c r="AG51" s="1773">
        <f t="shared" si="21"/>
        <v>0</v>
      </c>
      <c r="AH51" s="1773">
        <f t="shared" si="22"/>
        <v>0</v>
      </c>
      <c r="AI51" s="1773">
        <f t="shared" si="23"/>
        <v>0</v>
      </c>
      <c r="AJ51" s="1773">
        <f t="shared" si="24"/>
        <v>0</v>
      </c>
      <c r="AK51" s="1773">
        <f t="shared" si="25"/>
        <v>0</v>
      </c>
      <c r="AL51" s="1773">
        <f t="shared" si="2"/>
        <v>0</v>
      </c>
      <c r="AN51" s="1776"/>
      <c r="AO51" s="1776"/>
      <c r="AP51" s="1776"/>
      <c r="AQ51" s="1776"/>
      <c r="AR51" s="1776"/>
      <c r="AS51" s="1776"/>
      <c r="AT51" s="1776"/>
      <c r="AU51" s="1776"/>
      <c r="AV51" s="1776"/>
      <c r="AW51" s="1776"/>
      <c r="AX51" s="1776"/>
      <c r="AY51" s="1776"/>
      <c r="AZ51" s="1776">
        <v>1</v>
      </c>
    </row>
    <row r="52" spans="1:52">
      <c r="A52" s="1479" t="s">
        <v>2319</v>
      </c>
      <c r="B52" s="1479" t="s">
        <v>2320</v>
      </c>
      <c r="C52" s="1741" t="s">
        <v>2108</v>
      </c>
      <c r="D52" s="1741">
        <v>1020</v>
      </c>
      <c r="E52" s="1741">
        <v>5050</v>
      </c>
      <c r="F52" s="1741" t="s">
        <v>2210</v>
      </c>
      <c r="G52" s="1741" t="s">
        <v>2209</v>
      </c>
      <c r="H52" s="1741" t="s">
        <v>586</v>
      </c>
      <c r="I52" s="1753" t="s">
        <v>2320</v>
      </c>
      <c r="J52" s="1754"/>
      <c r="K52" s="1754" t="s">
        <v>1666</v>
      </c>
      <c r="L52" s="1754" t="s">
        <v>1666</v>
      </c>
      <c r="M52" s="1754"/>
      <c r="N52" s="1756">
        <v>0</v>
      </c>
      <c r="O52" s="1757">
        <v>-343700.82</v>
      </c>
      <c r="P52" s="1758">
        <v>55506.5</v>
      </c>
      <c r="Q52" s="1759">
        <v>0</v>
      </c>
      <c r="R52" s="1760">
        <v>0</v>
      </c>
      <c r="S52" s="1760">
        <v>0</v>
      </c>
      <c r="T52" s="1760">
        <v>0</v>
      </c>
      <c r="U52" s="1761">
        <v>0</v>
      </c>
      <c r="V52" s="1762">
        <v>0</v>
      </c>
      <c r="W52" s="1757">
        <v>0</v>
      </c>
      <c r="Z52" s="1773">
        <f t="shared" si="14"/>
        <v>0</v>
      </c>
      <c r="AA52" s="1773">
        <f t="shared" si="15"/>
        <v>0</v>
      </c>
      <c r="AB52" s="1773">
        <f t="shared" si="16"/>
        <v>0</v>
      </c>
      <c r="AC52" s="1773">
        <f t="shared" si="17"/>
        <v>0</v>
      </c>
      <c r="AD52" s="1773">
        <f t="shared" si="18"/>
        <v>0</v>
      </c>
      <c r="AE52" s="1773">
        <f t="shared" si="19"/>
        <v>0</v>
      </c>
      <c r="AF52" s="1773">
        <f t="shared" si="20"/>
        <v>0</v>
      </c>
      <c r="AG52" s="1773">
        <f t="shared" si="21"/>
        <v>0</v>
      </c>
      <c r="AH52" s="1773">
        <f t="shared" si="22"/>
        <v>0</v>
      </c>
      <c r="AI52" s="1773">
        <f t="shared" si="23"/>
        <v>0</v>
      </c>
      <c r="AJ52" s="1773">
        <f t="shared" si="24"/>
        <v>0</v>
      </c>
      <c r="AK52" s="1773">
        <f t="shared" si="25"/>
        <v>0</v>
      </c>
      <c r="AL52" s="1773">
        <f t="shared" si="2"/>
        <v>0</v>
      </c>
      <c r="AN52" s="1776"/>
      <c r="AO52" s="1776"/>
      <c r="AP52" s="1776"/>
      <c r="AQ52" s="1776"/>
      <c r="AR52" s="1776"/>
      <c r="AS52" s="1776"/>
      <c r="AT52" s="1776"/>
      <c r="AU52" s="1776"/>
      <c r="AV52" s="1776"/>
      <c r="AW52" s="1776"/>
      <c r="AX52" s="1776"/>
      <c r="AY52" s="1776"/>
      <c r="AZ52" s="1776">
        <v>1</v>
      </c>
    </row>
    <row r="53" spans="1:52" ht="13.5">
      <c r="A53" s="1479" t="s">
        <v>2321</v>
      </c>
      <c r="B53" s="1479" t="s">
        <v>2322</v>
      </c>
      <c r="C53" s="1741" t="s">
        <v>2108</v>
      </c>
      <c r="D53" s="1741">
        <v>1020</v>
      </c>
      <c r="E53" s="1741">
        <v>5060</v>
      </c>
      <c r="F53" s="1741" t="s">
        <v>2210</v>
      </c>
      <c r="G53" s="1741" t="s">
        <v>2209</v>
      </c>
      <c r="H53" s="1741" t="s">
        <v>586</v>
      </c>
      <c r="I53" s="1753" t="s">
        <v>2120</v>
      </c>
      <c r="J53" s="1754"/>
      <c r="K53" s="1754" t="s">
        <v>1666</v>
      </c>
      <c r="L53" s="1754" t="s">
        <v>1666</v>
      </c>
      <c r="M53" s="1755"/>
      <c r="N53" s="1756">
        <v>-3243.66</v>
      </c>
      <c r="O53" s="1757">
        <v>-2328.3000000000002</v>
      </c>
      <c r="P53" s="1758">
        <v>-2425.1</v>
      </c>
      <c r="Q53" s="1759">
        <v>-4400</v>
      </c>
      <c r="R53" s="1760">
        <v>-4400</v>
      </c>
      <c r="S53" s="1760">
        <v>-3400</v>
      </c>
      <c r="T53" s="1760">
        <v>-3400</v>
      </c>
      <c r="U53" s="1761">
        <v>-4400</v>
      </c>
      <c r="V53" s="1762">
        <v>-4400</v>
      </c>
      <c r="W53" s="1757">
        <v>-4425</v>
      </c>
      <c r="Z53" s="1773">
        <f t="shared" si="14"/>
        <v>0</v>
      </c>
      <c r="AA53" s="1773">
        <f t="shared" si="15"/>
        <v>0</v>
      </c>
      <c r="AB53" s="1773">
        <f t="shared" si="16"/>
        <v>0</v>
      </c>
      <c r="AC53" s="1773">
        <f t="shared" si="17"/>
        <v>0</v>
      </c>
      <c r="AD53" s="1773">
        <f t="shared" si="18"/>
        <v>0</v>
      </c>
      <c r="AE53" s="1773">
        <f t="shared" si="19"/>
        <v>0</v>
      </c>
      <c r="AF53" s="1773">
        <f t="shared" si="20"/>
        <v>0</v>
      </c>
      <c r="AG53" s="1773">
        <f t="shared" si="21"/>
        <v>0</v>
      </c>
      <c r="AH53" s="1773">
        <f t="shared" si="22"/>
        <v>0</v>
      </c>
      <c r="AI53" s="1773">
        <f t="shared" si="23"/>
        <v>0</v>
      </c>
      <c r="AJ53" s="1773">
        <f t="shared" si="24"/>
        <v>0</v>
      </c>
      <c r="AK53" s="1773">
        <f t="shared" si="25"/>
        <v>0</v>
      </c>
      <c r="AL53" s="1773">
        <f t="shared" si="2"/>
        <v>-4400</v>
      </c>
      <c r="AN53" s="1776"/>
      <c r="AO53" s="1776"/>
      <c r="AP53" s="1776"/>
      <c r="AQ53" s="1776"/>
      <c r="AR53" s="1776"/>
      <c r="AS53" s="1776"/>
      <c r="AT53" s="1776"/>
      <c r="AU53" s="1776"/>
      <c r="AV53" s="1776"/>
      <c r="AW53" s="1776"/>
      <c r="AX53" s="1776"/>
      <c r="AY53" s="1776"/>
      <c r="AZ53" s="1776">
        <v>1</v>
      </c>
    </row>
    <row r="54" spans="1:52" ht="13.5">
      <c r="A54" s="1479" t="s">
        <v>2323</v>
      </c>
      <c r="B54" s="1479" t="s">
        <v>2324</v>
      </c>
      <c r="C54" s="1741" t="s">
        <v>2108</v>
      </c>
      <c r="D54" s="1741">
        <v>1020</v>
      </c>
      <c r="E54" s="1741">
        <v>5240</v>
      </c>
      <c r="F54" s="1741" t="s">
        <v>2210</v>
      </c>
      <c r="G54" s="1741" t="s">
        <v>2209</v>
      </c>
      <c r="H54" s="1741" t="s">
        <v>586</v>
      </c>
      <c r="I54" s="1753" t="s">
        <v>2120</v>
      </c>
      <c r="J54" s="1754"/>
      <c r="K54" s="1754" t="s">
        <v>1666</v>
      </c>
      <c r="L54" s="1754" t="s">
        <v>1666</v>
      </c>
      <c r="M54" s="1755"/>
      <c r="N54" s="1756">
        <v>-982.13</v>
      </c>
      <c r="O54" s="1757">
        <v>-1852.97</v>
      </c>
      <c r="P54" s="1758">
        <v>-525</v>
      </c>
      <c r="Q54" s="1759">
        <v>-1900</v>
      </c>
      <c r="R54" s="1760">
        <v>-1900</v>
      </c>
      <c r="S54" s="1760">
        <v>-926</v>
      </c>
      <c r="T54" s="1760">
        <v>-926</v>
      </c>
      <c r="U54" s="1761">
        <v>-1900</v>
      </c>
      <c r="V54" s="1762">
        <v>-2000</v>
      </c>
      <c r="W54" s="1757">
        <v>-2000</v>
      </c>
      <c r="Z54" s="1773">
        <f t="shared" si="14"/>
        <v>0</v>
      </c>
      <c r="AA54" s="1773">
        <f t="shared" si="15"/>
        <v>0</v>
      </c>
      <c r="AB54" s="1773">
        <f t="shared" si="16"/>
        <v>0</v>
      </c>
      <c r="AC54" s="1773">
        <f t="shared" si="17"/>
        <v>0</v>
      </c>
      <c r="AD54" s="1773">
        <f t="shared" si="18"/>
        <v>0</v>
      </c>
      <c r="AE54" s="1773">
        <f t="shared" si="19"/>
        <v>0</v>
      </c>
      <c r="AF54" s="1773">
        <f t="shared" si="20"/>
        <v>0</v>
      </c>
      <c r="AG54" s="1773">
        <f t="shared" si="21"/>
        <v>0</v>
      </c>
      <c r="AH54" s="1773">
        <f t="shared" si="22"/>
        <v>0</v>
      </c>
      <c r="AI54" s="1773">
        <f t="shared" si="23"/>
        <v>0</v>
      </c>
      <c r="AJ54" s="1773">
        <f t="shared" si="24"/>
        <v>0</v>
      </c>
      <c r="AK54" s="1773">
        <f t="shared" si="25"/>
        <v>0</v>
      </c>
      <c r="AL54" s="1773">
        <f t="shared" si="2"/>
        <v>-1900</v>
      </c>
      <c r="AN54" s="1776"/>
      <c r="AO54" s="1776"/>
      <c r="AP54" s="1776"/>
      <c r="AQ54" s="1776"/>
      <c r="AR54" s="1776"/>
      <c r="AS54" s="1776"/>
      <c r="AT54" s="1776"/>
      <c r="AU54" s="1776"/>
      <c r="AV54" s="1776"/>
      <c r="AW54" s="1776"/>
      <c r="AX54" s="1776"/>
      <c r="AY54" s="1776"/>
      <c r="AZ54" s="1776">
        <v>1</v>
      </c>
    </row>
    <row r="55" spans="1:52" ht="13.5">
      <c r="A55" s="1479" t="s">
        <v>2325</v>
      </c>
      <c r="B55" s="1479" t="s">
        <v>2326</v>
      </c>
      <c r="C55" s="1741" t="s">
        <v>2108</v>
      </c>
      <c r="D55" s="1741">
        <v>1020</v>
      </c>
      <c r="E55" s="1741">
        <v>5260</v>
      </c>
      <c r="F55" s="1741" t="s">
        <v>2210</v>
      </c>
      <c r="G55" s="1741" t="s">
        <v>2209</v>
      </c>
      <c r="H55" s="1741" t="s">
        <v>586</v>
      </c>
      <c r="I55" s="1753" t="s">
        <v>2116</v>
      </c>
      <c r="J55" s="1754"/>
      <c r="K55" s="1754" t="s">
        <v>496</v>
      </c>
      <c r="L55" s="1754" t="s">
        <v>496</v>
      </c>
      <c r="M55" s="1755"/>
      <c r="N55" s="1756">
        <v>-975</v>
      </c>
      <c r="O55" s="1757">
        <v>-9466</v>
      </c>
      <c r="P55" s="1758">
        <v>-2559</v>
      </c>
      <c r="Q55" s="1759">
        <v>-6100</v>
      </c>
      <c r="R55" s="1760">
        <v>-6100</v>
      </c>
      <c r="S55" s="1760">
        <v>-2652</v>
      </c>
      <c r="T55" s="1760">
        <v>-2652</v>
      </c>
      <c r="U55" s="1761">
        <v>-6100</v>
      </c>
      <c r="V55" s="1762">
        <v>-6200</v>
      </c>
      <c r="W55" s="1757">
        <v>-6300</v>
      </c>
      <c r="Z55" s="1773">
        <f t="shared" si="14"/>
        <v>0</v>
      </c>
      <c r="AA55" s="1773">
        <f t="shared" si="15"/>
        <v>0</v>
      </c>
      <c r="AB55" s="1773">
        <f t="shared" si="16"/>
        <v>0</v>
      </c>
      <c r="AC55" s="1773">
        <f t="shared" si="17"/>
        <v>0</v>
      </c>
      <c r="AD55" s="1773">
        <f t="shared" si="18"/>
        <v>0</v>
      </c>
      <c r="AE55" s="1773">
        <f t="shared" si="19"/>
        <v>0</v>
      </c>
      <c r="AF55" s="1773">
        <f t="shared" si="20"/>
        <v>0</v>
      </c>
      <c r="AG55" s="1773">
        <f t="shared" si="21"/>
        <v>0</v>
      </c>
      <c r="AH55" s="1773">
        <f t="shared" si="22"/>
        <v>0</v>
      </c>
      <c r="AI55" s="1773">
        <f t="shared" si="23"/>
        <v>0</v>
      </c>
      <c r="AJ55" s="1773">
        <f t="shared" si="24"/>
        <v>0</v>
      </c>
      <c r="AK55" s="1773">
        <f t="shared" si="25"/>
        <v>0</v>
      </c>
      <c r="AL55" s="1773">
        <f t="shared" si="2"/>
        <v>-6100</v>
      </c>
      <c r="AN55" s="1776"/>
      <c r="AO55" s="1776"/>
      <c r="AP55" s="1776"/>
      <c r="AQ55" s="1776"/>
      <c r="AR55" s="1776"/>
      <c r="AS55" s="1776"/>
      <c r="AT55" s="1776"/>
      <c r="AU55" s="1776"/>
      <c r="AV55" s="1776"/>
      <c r="AW55" s="1776"/>
      <c r="AX55" s="1776"/>
      <c r="AY55" s="1776"/>
      <c r="AZ55" s="1776">
        <v>1</v>
      </c>
    </row>
    <row r="56" spans="1:52" ht="13.5">
      <c r="A56" s="1479" t="s">
        <v>2327</v>
      </c>
      <c r="B56" s="1479" t="s">
        <v>2328</v>
      </c>
      <c r="C56" s="1741" t="s">
        <v>2108</v>
      </c>
      <c r="D56" s="1741">
        <v>1020</v>
      </c>
      <c r="E56" s="1741">
        <v>5430</v>
      </c>
      <c r="F56" s="1741" t="s">
        <v>2210</v>
      </c>
      <c r="G56" s="1741" t="s">
        <v>2209</v>
      </c>
      <c r="H56" s="1741" t="s">
        <v>586</v>
      </c>
      <c r="I56" s="1753" t="s">
        <v>2131</v>
      </c>
      <c r="J56" s="1754"/>
      <c r="K56" s="1754" t="s">
        <v>1723</v>
      </c>
      <c r="L56" s="1754" t="s">
        <v>1723</v>
      </c>
      <c r="M56" s="1755"/>
      <c r="N56" s="1756">
        <v>0</v>
      </c>
      <c r="O56" s="1757">
        <v>-150</v>
      </c>
      <c r="P56" s="1758">
        <v>0</v>
      </c>
      <c r="Q56" s="1759">
        <v>-2500</v>
      </c>
      <c r="R56" s="1760">
        <v>-2500</v>
      </c>
      <c r="S56" s="1760">
        <v>-836</v>
      </c>
      <c r="T56" s="1760">
        <v>-836</v>
      </c>
      <c r="U56" s="1761">
        <v>-2500</v>
      </c>
      <c r="V56" s="1762">
        <v>-2500</v>
      </c>
      <c r="W56" s="1757">
        <v>-2500</v>
      </c>
      <c r="Z56" s="1773">
        <f t="shared" si="14"/>
        <v>0</v>
      </c>
      <c r="AA56" s="1773">
        <f t="shared" si="15"/>
        <v>0</v>
      </c>
      <c r="AB56" s="1773">
        <f t="shared" si="16"/>
        <v>0</v>
      </c>
      <c r="AC56" s="1773">
        <f t="shared" si="17"/>
        <v>0</v>
      </c>
      <c r="AD56" s="1773">
        <f t="shared" si="18"/>
        <v>0</v>
      </c>
      <c r="AE56" s="1773">
        <f t="shared" si="19"/>
        <v>0</v>
      </c>
      <c r="AF56" s="1773">
        <f t="shared" si="20"/>
        <v>0</v>
      </c>
      <c r="AG56" s="1773">
        <f t="shared" si="21"/>
        <v>0</v>
      </c>
      <c r="AH56" s="1773">
        <f t="shared" si="22"/>
        <v>0</v>
      </c>
      <c r="AI56" s="1773">
        <f t="shared" si="23"/>
        <v>0</v>
      </c>
      <c r="AJ56" s="1773">
        <f t="shared" si="24"/>
        <v>0</v>
      </c>
      <c r="AK56" s="1773">
        <f t="shared" si="25"/>
        <v>0</v>
      </c>
      <c r="AL56" s="1773">
        <f t="shared" si="2"/>
        <v>-2500</v>
      </c>
      <c r="AN56" s="1776"/>
      <c r="AO56" s="1776"/>
      <c r="AP56" s="1776"/>
      <c r="AQ56" s="1776"/>
      <c r="AR56" s="1776"/>
      <c r="AS56" s="1776"/>
      <c r="AT56" s="1776"/>
      <c r="AU56" s="1776"/>
      <c r="AV56" s="1776"/>
      <c r="AW56" s="1776"/>
      <c r="AX56" s="1776"/>
      <c r="AY56" s="1776"/>
      <c r="AZ56" s="1776">
        <v>1</v>
      </c>
    </row>
    <row r="57" spans="1:52" ht="13.5">
      <c r="A57" s="1479" t="s">
        <v>2329</v>
      </c>
      <c r="B57" s="1479" t="s">
        <v>2330</v>
      </c>
      <c r="C57" s="1741" t="s">
        <v>2108</v>
      </c>
      <c r="D57" s="1741">
        <v>1020</v>
      </c>
      <c r="E57" s="1741">
        <v>5730</v>
      </c>
      <c r="F57" s="1741" t="s">
        <v>2210</v>
      </c>
      <c r="G57" s="1741" t="s">
        <v>2209</v>
      </c>
      <c r="H57" s="1741" t="s">
        <v>586</v>
      </c>
      <c r="I57" s="1753" t="s">
        <v>2120</v>
      </c>
      <c r="J57" s="1754"/>
      <c r="K57" s="1754" t="s">
        <v>1666</v>
      </c>
      <c r="L57" s="1754" t="s">
        <v>1666</v>
      </c>
      <c r="M57" s="1755"/>
      <c r="N57" s="1756">
        <v>-3860</v>
      </c>
      <c r="O57" s="1757">
        <v>-15185</v>
      </c>
      <c r="P57" s="1758">
        <v>-5483.2</v>
      </c>
      <c r="Q57" s="1759">
        <v>-8000</v>
      </c>
      <c r="R57" s="1760">
        <v>-8000</v>
      </c>
      <c r="S57" s="1760">
        <v>-7033</v>
      </c>
      <c r="T57" s="1760">
        <v>-7033</v>
      </c>
      <c r="U57" s="1761">
        <v>-8000</v>
      </c>
      <c r="V57" s="1762">
        <v>-8000</v>
      </c>
      <c r="W57" s="1757">
        <v>-8000</v>
      </c>
      <c r="Z57" s="1773">
        <f t="shared" si="14"/>
        <v>0</v>
      </c>
      <c r="AA57" s="1773">
        <f t="shared" si="15"/>
        <v>0</v>
      </c>
      <c r="AB57" s="1773">
        <f t="shared" si="16"/>
        <v>0</v>
      </c>
      <c r="AC57" s="1773">
        <f t="shared" si="17"/>
        <v>0</v>
      </c>
      <c r="AD57" s="1773">
        <f t="shared" si="18"/>
        <v>0</v>
      </c>
      <c r="AE57" s="1773">
        <f t="shared" si="19"/>
        <v>0</v>
      </c>
      <c r="AF57" s="1773">
        <f t="shared" si="20"/>
        <v>0</v>
      </c>
      <c r="AG57" s="1773">
        <f t="shared" si="21"/>
        <v>0</v>
      </c>
      <c r="AH57" s="1773">
        <f t="shared" si="22"/>
        <v>0</v>
      </c>
      <c r="AI57" s="1773">
        <f t="shared" si="23"/>
        <v>0</v>
      </c>
      <c r="AJ57" s="1773">
        <f t="shared" si="24"/>
        <v>0</v>
      </c>
      <c r="AK57" s="1773">
        <f t="shared" si="25"/>
        <v>0</v>
      </c>
      <c r="AL57" s="1773">
        <f t="shared" si="2"/>
        <v>-8000</v>
      </c>
      <c r="AN57" s="1776"/>
      <c r="AO57" s="1776"/>
      <c r="AP57" s="1776"/>
      <c r="AQ57" s="1776"/>
      <c r="AR57" s="1776"/>
      <c r="AS57" s="1776"/>
      <c r="AT57" s="1776"/>
      <c r="AU57" s="1776"/>
      <c r="AV57" s="1776"/>
      <c r="AW57" s="1776"/>
      <c r="AX57" s="1776"/>
      <c r="AY57" s="1776"/>
      <c r="AZ57" s="1776">
        <v>1</v>
      </c>
    </row>
    <row r="58" spans="1:52" ht="13.5">
      <c r="A58" s="1479" t="s">
        <v>2331</v>
      </c>
      <c r="B58" s="1479" t="s">
        <v>2332</v>
      </c>
      <c r="C58" s="1741" t="s">
        <v>2108</v>
      </c>
      <c r="D58" s="1741">
        <v>1020</v>
      </c>
      <c r="E58" s="1741">
        <v>6140</v>
      </c>
      <c r="F58" s="1741" t="s">
        <v>2210</v>
      </c>
      <c r="G58" s="1741" t="s">
        <v>2209</v>
      </c>
      <c r="H58" s="1741" t="s">
        <v>586</v>
      </c>
      <c r="I58" s="1753" t="s">
        <v>3017</v>
      </c>
      <c r="J58" s="1754"/>
      <c r="K58" s="1754" t="s">
        <v>1666</v>
      </c>
      <c r="L58" s="1754" t="s">
        <v>1666</v>
      </c>
      <c r="M58" s="1755"/>
      <c r="N58" s="1756">
        <v>-53526.2</v>
      </c>
      <c r="O58" s="1757">
        <v>0</v>
      </c>
      <c r="P58" s="1758">
        <v>0</v>
      </c>
      <c r="Q58" s="1759">
        <v>0</v>
      </c>
      <c r="R58" s="1760">
        <v>0</v>
      </c>
      <c r="S58" s="1760">
        <v>0</v>
      </c>
      <c r="T58" s="1760">
        <v>0</v>
      </c>
      <c r="U58" s="1761">
        <v>0</v>
      </c>
      <c r="V58" s="1762">
        <v>0</v>
      </c>
      <c r="W58" s="1757">
        <v>0</v>
      </c>
      <c r="Z58" s="1773">
        <f t="shared" si="14"/>
        <v>0</v>
      </c>
      <c r="AA58" s="1773">
        <f t="shared" si="15"/>
        <v>0</v>
      </c>
      <c r="AB58" s="1773">
        <f t="shared" si="16"/>
        <v>0</v>
      </c>
      <c r="AC58" s="1773">
        <f t="shared" si="17"/>
        <v>0</v>
      </c>
      <c r="AD58" s="1773">
        <f t="shared" si="18"/>
        <v>0</v>
      </c>
      <c r="AE58" s="1773">
        <f t="shared" si="19"/>
        <v>0</v>
      </c>
      <c r="AF58" s="1773">
        <f t="shared" si="20"/>
        <v>0</v>
      </c>
      <c r="AG58" s="1773">
        <f t="shared" si="21"/>
        <v>0</v>
      </c>
      <c r="AH58" s="1773">
        <f t="shared" si="22"/>
        <v>0</v>
      </c>
      <c r="AI58" s="1773">
        <f t="shared" si="23"/>
        <v>0</v>
      </c>
      <c r="AJ58" s="1773">
        <f t="shared" si="24"/>
        <v>0</v>
      </c>
      <c r="AK58" s="1773">
        <f t="shared" si="25"/>
        <v>0</v>
      </c>
      <c r="AL58" s="1773">
        <f t="shared" si="2"/>
        <v>0</v>
      </c>
      <c r="AN58" s="1776"/>
      <c r="AO58" s="1776"/>
      <c r="AP58" s="1776"/>
      <c r="AQ58" s="1776"/>
      <c r="AR58" s="1776"/>
      <c r="AS58" s="1776"/>
      <c r="AT58" s="1776"/>
      <c r="AU58" s="1776"/>
      <c r="AV58" s="1776"/>
      <c r="AW58" s="1776"/>
      <c r="AX58" s="1776"/>
      <c r="AY58" s="1776"/>
      <c r="AZ58" s="1776">
        <v>1</v>
      </c>
    </row>
    <row r="59" spans="1:52" ht="13.5">
      <c r="A59" s="1479" t="s">
        <v>2333</v>
      </c>
      <c r="B59" s="1479" t="s">
        <v>2334</v>
      </c>
      <c r="C59" s="1741" t="s">
        <v>2108</v>
      </c>
      <c r="D59" s="1741">
        <v>1020</v>
      </c>
      <c r="E59" s="1741">
        <v>6410</v>
      </c>
      <c r="F59" s="1741" t="s">
        <v>2210</v>
      </c>
      <c r="G59" s="1741" t="s">
        <v>2209</v>
      </c>
      <c r="H59" s="1741" t="s">
        <v>586</v>
      </c>
      <c r="I59" s="1753" t="s">
        <v>2120</v>
      </c>
      <c r="J59" s="1754"/>
      <c r="K59" s="1754" t="s">
        <v>1666</v>
      </c>
      <c r="L59" s="1754" t="s">
        <v>1666</v>
      </c>
      <c r="M59" s="1755"/>
      <c r="N59" s="1756">
        <v>-560</v>
      </c>
      <c r="O59" s="1757">
        <v>-2182</v>
      </c>
      <c r="P59" s="1758">
        <v>-6814</v>
      </c>
      <c r="Q59" s="1759">
        <v>-6000</v>
      </c>
      <c r="R59" s="1760">
        <v>-6000</v>
      </c>
      <c r="S59" s="1760">
        <v>-3801</v>
      </c>
      <c r="T59" s="1760">
        <v>-3801</v>
      </c>
      <c r="U59" s="1761">
        <v>-6000</v>
      </c>
      <c r="V59" s="1762">
        <v>-6000</v>
      </c>
      <c r="W59" s="1757">
        <v>-6000</v>
      </c>
      <c r="Z59" s="1773">
        <f t="shared" si="14"/>
        <v>0</v>
      </c>
      <c r="AA59" s="1773">
        <f t="shared" si="15"/>
        <v>0</v>
      </c>
      <c r="AB59" s="1773">
        <f t="shared" si="16"/>
        <v>0</v>
      </c>
      <c r="AC59" s="1773">
        <f t="shared" si="17"/>
        <v>0</v>
      </c>
      <c r="AD59" s="1773">
        <f t="shared" si="18"/>
        <v>0</v>
      </c>
      <c r="AE59" s="1773">
        <f t="shared" si="19"/>
        <v>0</v>
      </c>
      <c r="AF59" s="1773">
        <f t="shared" si="20"/>
        <v>0</v>
      </c>
      <c r="AG59" s="1773">
        <f t="shared" si="21"/>
        <v>0</v>
      </c>
      <c r="AH59" s="1773">
        <f t="shared" si="22"/>
        <v>0</v>
      </c>
      <c r="AI59" s="1773">
        <f t="shared" si="23"/>
        <v>0</v>
      </c>
      <c r="AJ59" s="1773">
        <f t="shared" si="24"/>
        <v>0</v>
      </c>
      <c r="AK59" s="1773">
        <f t="shared" si="25"/>
        <v>0</v>
      </c>
      <c r="AL59" s="1773">
        <f t="shared" si="2"/>
        <v>-6000</v>
      </c>
      <c r="AN59" s="1776"/>
      <c r="AO59" s="1776"/>
      <c r="AP59" s="1776"/>
      <c r="AQ59" s="1776"/>
      <c r="AR59" s="1776"/>
      <c r="AS59" s="1776"/>
      <c r="AT59" s="1776"/>
      <c r="AU59" s="1776"/>
      <c r="AV59" s="1776"/>
      <c r="AW59" s="1776"/>
      <c r="AX59" s="1776"/>
      <c r="AY59" s="1776"/>
      <c r="AZ59" s="1776">
        <v>1</v>
      </c>
    </row>
    <row r="60" spans="1:52" ht="13.5">
      <c r="A60" t="s">
        <v>2335</v>
      </c>
      <c r="B60" t="s">
        <v>2336</v>
      </c>
      <c r="C60" s="1741" t="s">
        <v>2108</v>
      </c>
      <c r="D60" s="1741">
        <v>1020</v>
      </c>
      <c r="E60" s="1741">
        <v>6470</v>
      </c>
      <c r="F60" s="1741" t="s">
        <v>2210</v>
      </c>
      <c r="G60" s="1741" t="s">
        <v>2209</v>
      </c>
      <c r="H60" s="1741" t="s">
        <v>586</v>
      </c>
      <c r="I60" s="1753" t="s">
        <v>2116</v>
      </c>
      <c r="J60" s="1754"/>
      <c r="K60" s="1754" t="s">
        <v>496</v>
      </c>
      <c r="L60" s="1754" t="s">
        <v>496</v>
      </c>
      <c r="M60" s="1755"/>
      <c r="N60" s="1756">
        <v>0</v>
      </c>
      <c r="O60" s="1757">
        <v>0</v>
      </c>
      <c r="P60" s="1758">
        <v>0</v>
      </c>
      <c r="Q60" s="1759">
        <v>-50000</v>
      </c>
      <c r="R60" s="1760">
        <v>-50000</v>
      </c>
      <c r="S60" s="1760">
        <v>-16800</v>
      </c>
      <c r="T60" s="1760">
        <v>-16800</v>
      </c>
      <c r="U60" s="1761">
        <v>-50000</v>
      </c>
      <c r="V60" s="1762">
        <v>-50000</v>
      </c>
      <c r="W60" s="1757">
        <v>-50000</v>
      </c>
      <c r="Z60" s="1773">
        <f t="shared" si="14"/>
        <v>0</v>
      </c>
      <c r="AA60" s="1773">
        <f t="shared" si="15"/>
        <v>0</v>
      </c>
      <c r="AB60" s="1773">
        <f t="shared" si="16"/>
        <v>0</v>
      </c>
      <c r="AC60" s="1773">
        <f t="shared" si="17"/>
        <v>0</v>
      </c>
      <c r="AD60" s="1773">
        <f t="shared" si="18"/>
        <v>0</v>
      </c>
      <c r="AE60" s="1773">
        <f t="shared" si="19"/>
        <v>0</v>
      </c>
      <c r="AF60" s="1773">
        <f t="shared" si="20"/>
        <v>0</v>
      </c>
      <c r="AG60" s="1773">
        <f t="shared" si="21"/>
        <v>0</v>
      </c>
      <c r="AH60" s="1773">
        <f t="shared" si="22"/>
        <v>0</v>
      </c>
      <c r="AI60" s="1773">
        <f t="shared" si="23"/>
        <v>0</v>
      </c>
      <c r="AJ60" s="1773">
        <f t="shared" si="24"/>
        <v>0</v>
      </c>
      <c r="AK60" s="1773">
        <f t="shared" si="25"/>
        <v>0</v>
      </c>
      <c r="AL60" s="1773">
        <f t="shared" si="2"/>
        <v>-50000</v>
      </c>
      <c r="AN60" s="1776"/>
      <c r="AO60" s="1776"/>
      <c r="AP60" s="1776"/>
      <c r="AQ60" s="1776"/>
      <c r="AR60" s="1776"/>
      <c r="AS60" s="1776"/>
      <c r="AT60" s="1776"/>
      <c r="AU60" s="1776"/>
      <c r="AV60" s="1776"/>
      <c r="AW60" s="1776"/>
      <c r="AX60" s="1776"/>
      <c r="AY60" s="1776"/>
      <c r="AZ60" s="1776">
        <v>1</v>
      </c>
    </row>
    <row r="61" spans="1:52" ht="13.5">
      <c r="A61" s="1479" t="s">
        <v>2337</v>
      </c>
      <c r="B61" s="1479" t="s">
        <v>2231</v>
      </c>
      <c r="C61" s="1741" t="s">
        <v>2108</v>
      </c>
      <c r="D61" s="1741">
        <v>1030</v>
      </c>
      <c r="E61" s="1741">
        <v>10</v>
      </c>
      <c r="F61" s="1741" t="s">
        <v>2215</v>
      </c>
      <c r="G61" s="1741" t="s">
        <v>2214</v>
      </c>
      <c r="H61" s="1741" t="s">
        <v>1658</v>
      </c>
      <c r="I61" s="1753" t="s">
        <v>3003</v>
      </c>
      <c r="J61" s="1754" t="s">
        <v>2109</v>
      </c>
      <c r="K61" s="1753" t="s">
        <v>497</v>
      </c>
      <c r="L61" s="1754" t="s">
        <v>1158</v>
      </c>
      <c r="M61" s="1755"/>
      <c r="N61" s="1756">
        <v>511354.19</v>
      </c>
      <c r="O61" s="1757">
        <v>646495.07999999996</v>
      </c>
      <c r="P61" s="1758">
        <v>792295.94</v>
      </c>
      <c r="Q61" s="1759">
        <v>936980</v>
      </c>
      <c r="R61" s="1760">
        <v>936980</v>
      </c>
      <c r="S61" s="1760">
        <v>1239541</v>
      </c>
      <c r="T61" s="1760">
        <v>1239541</v>
      </c>
      <c r="U61" s="1761">
        <v>1634512.7375999999</v>
      </c>
      <c r="V61" s="1762">
        <f>U61*108%</f>
        <v>1765273.756608</v>
      </c>
      <c r="W61" s="1757">
        <f>V61*108%</f>
        <v>1906495.65713664</v>
      </c>
      <c r="Z61" s="1773">
        <f t="shared" si="14"/>
        <v>0</v>
      </c>
      <c r="AA61" s="1773">
        <f t="shared" si="15"/>
        <v>0</v>
      </c>
      <c r="AB61" s="1773">
        <f t="shared" si="16"/>
        <v>0</v>
      </c>
      <c r="AC61" s="1773">
        <f t="shared" si="17"/>
        <v>0</v>
      </c>
      <c r="AD61" s="1773">
        <f t="shared" si="18"/>
        <v>0</v>
      </c>
      <c r="AE61" s="1773">
        <f t="shared" si="19"/>
        <v>0</v>
      </c>
      <c r="AF61" s="1773">
        <f t="shared" si="20"/>
        <v>0</v>
      </c>
      <c r="AG61" s="1773">
        <f t="shared" si="21"/>
        <v>0</v>
      </c>
      <c r="AH61" s="1773">
        <f t="shared" si="22"/>
        <v>0</v>
      </c>
      <c r="AI61" s="1773">
        <f t="shared" si="23"/>
        <v>0</v>
      </c>
      <c r="AJ61" s="1773">
        <f t="shared" si="24"/>
        <v>0</v>
      </c>
      <c r="AK61" s="1773">
        <f t="shared" si="25"/>
        <v>0</v>
      </c>
      <c r="AL61" s="1773">
        <f t="shared" si="2"/>
        <v>1634512.7375999999</v>
      </c>
      <c r="AN61" s="1776"/>
      <c r="AO61" s="1776"/>
      <c r="AP61" s="1776"/>
      <c r="AQ61" s="1776"/>
      <c r="AR61" s="1776"/>
      <c r="AS61" s="1776"/>
      <c r="AT61" s="1776"/>
      <c r="AU61" s="1776"/>
      <c r="AV61" s="1776"/>
      <c r="AW61" s="1776"/>
      <c r="AX61" s="1776"/>
      <c r="AY61" s="1776"/>
      <c r="AZ61" s="1776">
        <v>1</v>
      </c>
    </row>
    <row r="62" spans="1:52" ht="13.5">
      <c r="A62" s="1479" t="s">
        <v>2338</v>
      </c>
      <c r="B62" s="1479" t="s">
        <v>2233</v>
      </c>
      <c r="C62" s="1741" t="s">
        <v>2108</v>
      </c>
      <c r="D62" s="1741">
        <v>1030</v>
      </c>
      <c r="E62" s="1741">
        <v>30</v>
      </c>
      <c r="F62" s="1741" t="s">
        <v>2215</v>
      </c>
      <c r="G62" s="1741" t="s">
        <v>2214</v>
      </c>
      <c r="H62" s="1741" t="s">
        <v>1658</v>
      </c>
      <c r="I62" s="1753" t="s">
        <v>3003</v>
      </c>
      <c r="J62" s="1754" t="s">
        <v>3004</v>
      </c>
      <c r="K62" s="1753" t="s">
        <v>497</v>
      </c>
      <c r="L62" s="1754" t="s">
        <v>1159</v>
      </c>
      <c r="M62" s="1755"/>
      <c r="N62" s="1756">
        <v>300.8</v>
      </c>
      <c r="O62" s="1757">
        <v>389.85</v>
      </c>
      <c r="P62" s="1758">
        <v>465</v>
      </c>
      <c r="Q62" s="1759">
        <v>905</v>
      </c>
      <c r="R62" s="1760">
        <v>905</v>
      </c>
      <c r="S62" s="1760">
        <v>760</v>
      </c>
      <c r="T62" s="1760">
        <v>760</v>
      </c>
      <c r="U62" s="1761">
        <v>1592.7181217280004</v>
      </c>
      <c r="V62" s="1762">
        <f>U62*108%</f>
        <v>1720.1355714662404</v>
      </c>
      <c r="W62" s="1757">
        <f>V62*108%</f>
        <v>1857.7464171835397</v>
      </c>
      <c r="Z62" s="1773">
        <f t="shared" si="14"/>
        <v>0</v>
      </c>
      <c r="AA62" s="1773">
        <f t="shared" si="15"/>
        <v>0</v>
      </c>
      <c r="AB62" s="1773">
        <f t="shared" si="16"/>
        <v>0</v>
      </c>
      <c r="AC62" s="1773">
        <f t="shared" si="17"/>
        <v>0</v>
      </c>
      <c r="AD62" s="1773">
        <f t="shared" si="18"/>
        <v>0</v>
      </c>
      <c r="AE62" s="1773">
        <f t="shared" si="19"/>
        <v>0</v>
      </c>
      <c r="AF62" s="1773">
        <f t="shared" si="20"/>
        <v>0</v>
      </c>
      <c r="AG62" s="1773">
        <f t="shared" si="21"/>
        <v>0</v>
      </c>
      <c r="AH62" s="1773">
        <f t="shared" si="22"/>
        <v>0</v>
      </c>
      <c r="AI62" s="1773">
        <f t="shared" si="23"/>
        <v>0</v>
      </c>
      <c r="AJ62" s="1773">
        <f t="shared" si="24"/>
        <v>0</v>
      </c>
      <c r="AK62" s="1773">
        <f t="shared" si="25"/>
        <v>0</v>
      </c>
      <c r="AL62" s="1773">
        <f t="shared" si="2"/>
        <v>1592.7181217280004</v>
      </c>
      <c r="AN62" s="1776"/>
      <c r="AO62" s="1776"/>
      <c r="AP62" s="1776"/>
      <c r="AQ62" s="1776"/>
      <c r="AR62" s="1776"/>
      <c r="AS62" s="1776"/>
      <c r="AT62" s="1776"/>
      <c r="AU62" s="1776"/>
      <c r="AV62" s="1776"/>
      <c r="AW62" s="1776"/>
      <c r="AX62" s="1776"/>
      <c r="AY62" s="1776"/>
      <c r="AZ62" s="1776">
        <v>1</v>
      </c>
    </row>
    <row r="63" spans="1:52">
      <c r="A63" s="1479" t="s">
        <v>2339</v>
      </c>
      <c r="B63" s="1479" t="s">
        <v>2265</v>
      </c>
      <c r="C63" s="1741" t="s">
        <v>2108</v>
      </c>
      <c r="D63" s="1741">
        <v>1030</v>
      </c>
      <c r="E63" s="1741">
        <v>40</v>
      </c>
      <c r="F63" s="1741" t="s">
        <v>2215</v>
      </c>
      <c r="G63" s="1741" t="s">
        <v>2214</v>
      </c>
      <c r="H63" s="1741" t="s">
        <v>1658</v>
      </c>
      <c r="I63" s="1753" t="s">
        <v>3003</v>
      </c>
      <c r="J63" s="1754" t="s">
        <v>2110</v>
      </c>
      <c r="K63" s="1753" t="s">
        <v>497</v>
      </c>
      <c r="L63" s="1754" t="s">
        <v>1159</v>
      </c>
      <c r="M63" s="1754"/>
      <c r="N63" s="1756">
        <v>16452</v>
      </c>
      <c r="O63" s="1757">
        <v>18834</v>
      </c>
      <c r="P63" s="1758">
        <v>30343.8</v>
      </c>
      <c r="Q63" s="1759">
        <v>22930</v>
      </c>
      <c r="R63" s="1760">
        <v>40000</v>
      </c>
      <c r="S63" s="1760">
        <v>39299</v>
      </c>
      <c r="T63" s="1760">
        <v>39299</v>
      </c>
      <c r="U63" s="1761">
        <v>29044.549728000002</v>
      </c>
      <c r="V63" s="1762">
        <f>U63*108%</f>
        <v>31368.113706240005</v>
      </c>
      <c r="W63" s="1757">
        <v>26255</v>
      </c>
      <c r="Z63" s="1773">
        <f t="shared" si="14"/>
        <v>0</v>
      </c>
      <c r="AA63" s="1773">
        <f t="shared" si="15"/>
        <v>0</v>
      </c>
      <c r="AB63" s="1773">
        <f t="shared" si="16"/>
        <v>0</v>
      </c>
      <c r="AC63" s="1773">
        <f t="shared" si="17"/>
        <v>0</v>
      </c>
      <c r="AD63" s="1773">
        <f t="shared" si="18"/>
        <v>0</v>
      </c>
      <c r="AE63" s="1773">
        <f t="shared" si="19"/>
        <v>0</v>
      </c>
      <c r="AF63" s="1773">
        <f t="shared" si="20"/>
        <v>0</v>
      </c>
      <c r="AG63" s="1773">
        <f t="shared" si="21"/>
        <v>0</v>
      </c>
      <c r="AH63" s="1773">
        <f t="shared" si="22"/>
        <v>0</v>
      </c>
      <c r="AI63" s="1773">
        <f t="shared" si="23"/>
        <v>0</v>
      </c>
      <c r="AJ63" s="1773">
        <f t="shared" si="24"/>
        <v>0</v>
      </c>
      <c r="AK63" s="1773">
        <f t="shared" si="25"/>
        <v>0</v>
      </c>
      <c r="AL63" s="1773">
        <f t="shared" si="2"/>
        <v>29044.549728000002</v>
      </c>
      <c r="AN63" s="1776"/>
      <c r="AO63" s="1776"/>
      <c r="AP63" s="1776"/>
      <c r="AQ63" s="1776"/>
      <c r="AR63" s="1776"/>
      <c r="AS63" s="1776"/>
      <c r="AT63" s="1776"/>
      <c r="AU63" s="1776"/>
      <c r="AV63" s="1776"/>
      <c r="AW63" s="1776"/>
      <c r="AX63" s="1776"/>
      <c r="AY63" s="1776"/>
      <c r="AZ63" s="1776">
        <v>1</v>
      </c>
    </row>
    <row r="64" spans="1:52">
      <c r="A64" s="1479" t="s">
        <v>2340</v>
      </c>
      <c r="B64" s="1479" t="s">
        <v>2235</v>
      </c>
      <c r="C64" s="1741" t="s">
        <v>2108</v>
      </c>
      <c r="D64" s="1741">
        <v>1030</v>
      </c>
      <c r="E64" s="1741">
        <v>50</v>
      </c>
      <c r="F64" s="1741" t="s">
        <v>2215</v>
      </c>
      <c r="G64" s="1741" t="s">
        <v>2214</v>
      </c>
      <c r="H64" s="1741" t="s">
        <v>1658</v>
      </c>
      <c r="I64" s="1753" t="s">
        <v>3003</v>
      </c>
      <c r="J64" s="1754" t="s">
        <v>2110</v>
      </c>
      <c r="K64" s="1753" t="s">
        <v>497</v>
      </c>
      <c r="L64" s="1754" t="s">
        <v>1159</v>
      </c>
      <c r="M64" s="1754"/>
      <c r="N64" s="1756">
        <v>38832.839999999997</v>
      </c>
      <c r="O64" s="1757">
        <v>42057</v>
      </c>
      <c r="P64" s="1758">
        <v>128910.61</v>
      </c>
      <c r="Q64" s="1759">
        <v>207730</v>
      </c>
      <c r="R64" s="1760">
        <v>207730</v>
      </c>
      <c r="S64" s="1760">
        <v>191467</v>
      </c>
      <c r="T64" s="1760">
        <v>191467</v>
      </c>
      <c r="U64" s="1761">
        <v>364381.75425599999</v>
      </c>
      <c r="V64" s="1762">
        <f>U64*108%</f>
        <v>393532.29459648003</v>
      </c>
      <c r="W64" s="1757">
        <f>V64*108%</f>
        <v>425014.87816419848</v>
      </c>
      <c r="Z64" s="1773">
        <f t="shared" si="14"/>
        <v>0</v>
      </c>
      <c r="AA64" s="1773">
        <f t="shared" si="15"/>
        <v>0</v>
      </c>
      <c r="AB64" s="1773">
        <f t="shared" si="16"/>
        <v>0</v>
      </c>
      <c r="AC64" s="1773">
        <f t="shared" si="17"/>
        <v>0</v>
      </c>
      <c r="AD64" s="1773">
        <f t="shared" si="18"/>
        <v>0</v>
      </c>
      <c r="AE64" s="1773">
        <f t="shared" si="19"/>
        <v>0</v>
      </c>
      <c r="AF64" s="1773">
        <f t="shared" si="20"/>
        <v>0</v>
      </c>
      <c r="AG64" s="1773">
        <f t="shared" si="21"/>
        <v>0</v>
      </c>
      <c r="AH64" s="1773">
        <f t="shared" si="22"/>
        <v>0</v>
      </c>
      <c r="AI64" s="1773">
        <f t="shared" si="23"/>
        <v>0</v>
      </c>
      <c r="AJ64" s="1773">
        <f t="shared" si="24"/>
        <v>0</v>
      </c>
      <c r="AK64" s="1773">
        <f t="shared" si="25"/>
        <v>0</v>
      </c>
      <c r="AL64" s="1773">
        <f t="shared" si="2"/>
        <v>364381.75425599999</v>
      </c>
      <c r="AN64" s="1776"/>
      <c r="AO64" s="1776"/>
      <c r="AP64" s="1776"/>
      <c r="AQ64" s="1776"/>
      <c r="AR64" s="1776"/>
      <c r="AS64" s="1776"/>
      <c r="AT64" s="1776"/>
      <c r="AU64" s="1776"/>
      <c r="AV64" s="1776"/>
      <c r="AW64" s="1776"/>
      <c r="AX64" s="1776"/>
      <c r="AY64" s="1776"/>
      <c r="AZ64" s="1776">
        <v>1</v>
      </c>
    </row>
    <row r="65" spans="1:52">
      <c r="A65" s="1479" t="s">
        <v>2341</v>
      </c>
      <c r="B65" s="1479" t="s">
        <v>2237</v>
      </c>
      <c r="C65" s="1741" t="s">
        <v>2108</v>
      </c>
      <c r="D65" s="1741">
        <v>1030</v>
      </c>
      <c r="E65" s="1741">
        <v>60</v>
      </c>
      <c r="F65" s="1741" t="s">
        <v>2215</v>
      </c>
      <c r="G65" s="1741" t="s">
        <v>2214</v>
      </c>
      <c r="H65" s="1741" t="s">
        <v>1658</v>
      </c>
      <c r="I65" s="1753" t="s">
        <v>3003</v>
      </c>
      <c r="J65" s="1754" t="s">
        <v>2110</v>
      </c>
      <c r="K65" s="1753" t="s">
        <v>497</v>
      </c>
      <c r="L65" s="1754" t="s">
        <v>1159</v>
      </c>
      <c r="M65" s="1754"/>
      <c r="N65" s="1756">
        <v>5919.83</v>
      </c>
      <c r="O65" s="1757">
        <v>7640.71</v>
      </c>
      <c r="P65" s="1758">
        <v>9680.6</v>
      </c>
      <c r="Q65" s="1759">
        <v>9840</v>
      </c>
      <c r="R65" s="1760">
        <v>20000</v>
      </c>
      <c r="S65" s="1760">
        <v>16230</v>
      </c>
      <c r="T65" s="1760">
        <v>16230</v>
      </c>
      <c r="U65" s="1761">
        <v>17168.554511999999</v>
      </c>
      <c r="V65" s="1762">
        <f>U65*108%</f>
        <v>18542.038872959998</v>
      </c>
      <c r="W65" s="1757">
        <f>V65*108%</f>
        <v>20025.4019827968</v>
      </c>
      <c r="Z65" s="1773">
        <f t="shared" si="14"/>
        <v>0</v>
      </c>
      <c r="AA65" s="1773">
        <f t="shared" si="15"/>
        <v>0</v>
      </c>
      <c r="AB65" s="1773">
        <f t="shared" si="16"/>
        <v>0</v>
      </c>
      <c r="AC65" s="1773">
        <f t="shared" si="17"/>
        <v>0</v>
      </c>
      <c r="AD65" s="1773">
        <f t="shared" si="18"/>
        <v>0</v>
      </c>
      <c r="AE65" s="1773">
        <f t="shared" si="19"/>
        <v>0</v>
      </c>
      <c r="AF65" s="1773">
        <f t="shared" si="20"/>
        <v>0</v>
      </c>
      <c r="AG65" s="1773">
        <f t="shared" si="21"/>
        <v>0</v>
      </c>
      <c r="AH65" s="1773">
        <f t="shared" si="22"/>
        <v>0</v>
      </c>
      <c r="AI65" s="1773">
        <f t="shared" si="23"/>
        <v>0</v>
      </c>
      <c r="AJ65" s="1773">
        <f t="shared" si="24"/>
        <v>0</v>
      </c>
      <c r="AK65" s="1773">
        <f t="shared" si="25"/>
        <v>0</v>
      </c>
      <c r="AL65" s="1773">
        <f t="shared" si="2"/>
        <v>17168.554511999999</v>
      </c>
      <c r="AN65" s="1776"/>
      <c r="AO65" s="1776"/>
      <c r="AP65" s="1776"/>
      <c r="AQ65" s="1776"/>
      <c r="AR65" s="1776"/>
      <c r="AS65" s="1776"/>
      <c r="AT65" s="1776"/>
      <c r="AU65" s="1776"/>
      <c r="AV65" s="1776"/>
      <c r="AW65" s="1776"/>
      <c r="AX65" s="1776"/>
      <c r="AY65" s="1776"/>
      <c r="AZ65" s="1776">
        <v>1</v>
      </c>
    </row>
    <row r="66" spans="1:52">
      <c r="A66" s="1479" t="s">
        <v>2342</v>
      </c>
      <c r="B66" s="1479" t="s">
        <v>2239</v>
      </c>
      <c r="C66" s="1741" t="s">
        <v>2108</v>
      </c>
      <c r="D66" s="1741">
        <v>1030</v>
      </c>
      <c r="E66" s="1741">
        <v>70</v>
      </c>
      <c r="F66" s="1741" t="s">
        <v>2215</v>
      </c>
      <c r="G66" s="1741" t="s">
        <v>2214</v>
      </c>
      <c r="H66" s="1741" t="s">
        <v>1658</v>
      </c>
      <c r="I66" s="1753" t="s">
        <v>3003</v>
      </c>
      <c r="J66" s="1754" t="s">
        <v>2111</v>
      </c>
      <c r="K66" s="1753" t="s">
        <v>497</v>
      </c>
      <c r="L66" s="1754" t="s">
        <v>1159</v>
      </c>
      <c r="M66" s="1754"/>
      <c r="N66" s="1756">
        <v>2065.92</v>
      </c>
      <c r="O66" s="1757">
        <v>2237.4</v>
      </c>
      <c r="P66" s="1758">
        <v>1864.5</v>
      </c>
      <c r="Q66" s="1759">
        <v>3000</v>
      </c>
      <c r="R66" s="1760">
        <v>0</v>
      </c>
      <c r="S66" s="1760">
        <v>0</v>
      </c>
      <c r="T66" s="1760">
        <v>0</v>
      </c>
      <c r="U66" s="1761">
        <v>2947.2958079999999</v>
      </c>
      <c r="V66" s="1762">
        <v>3210</v>
      </c>
      <c r="W66" s="1757">
        <v>3435</v>
      </c>
      <c r="Z66" s="1773">
        <f t="shared" ref="Z66:Z97" si="26">$AL66*AN66</f>
        <v>0</v>
      </c>
      <c r="AA66" s="1773">
        <f t="shared" si="15"/>
        <v>0</v>
      </c>
      <c r="AB66" s="1773">
        <f t="shared" si="16"/>
        <v>0</v>
      </c>
      <c r="AC66" s="1773">
        <f t="shared" si="17"/>
        <v>0</v>
      </c>
      <c r="AD66" s="1773">
        <f t="shared" si="18"/>
        <v>0</v>
      </c>
      <c r="AE66" s="1773">
        <f t="shared" si="19"/>
        <v>0</v>
      </c>
      <c r="AF66" s="1773">
        <f t="shared" si="20"/>
        <v>0</v>
      </c>
      <c r="AG66" s="1773">
        <f t="shared" si="21"/>
        <v>0</v>
      </c>
      <c r="AH66" s="1773">
        <f t="shared" si="22"/>
        <v>0</v>
      </c>
      <c r="AI66" s="1773">
        <f t="shared" si="23"/>
        <v>0</v>
      </c>
      <c r="AJ66" s="1773">
        <f t="shared" si="24"/>
        <v>0</v>
      </c>
      <c r="AK66" s="1773">
        <f t="shared" si="25"/>
        <v>0</v>
      </c>
      <c r="AL66" s="1773">
        <f t="shared" ref="AL66:AL129" si="27">U66</f>
        <v>2947.2958079999999</v>
      </c>
      <c r="AN66" s="1776"/>
      <c r="AO66" s="1776"/>
      <c r="AP66" s="1776"/>
      <c r="AQ66" s="1776"/>
      <c r="AR66" s="1776"/>
      <c r="AS66" s="1776"/>
      <c r="AT66" s="1776"/>
      <c r="AU66" s="1776"/>
      <c r="AV66" s="1776"/>
      <c r="AW66" s="1776"/>
      <c r="AX66" s="1776"/>
      <c r="AY66" s="1776"/>
      <c r="AZ66" s="1776">
        <v>1</v>
      </c>
    </row>
    <row r="67" spans="1:52">
      <c r="A67" s="1479" t="s">
        <v>2343</v>
      </c>
      <c r="B67" s="1479" t="s">
        <v>2269</v>
      </c>
      <c r="C67" s="1741" t="s">
        <v>2108</v>
      </c>
      <c r="D67" s="1741">
        <v>1030</v>
      </c>
      <c r="E67" s="1741">
        <v>80</v>
      </c>
      <c r="F67" s="1741" t="s">
        <v>2215</v>
      </c>
      <c r="G67" s="1741" t="s">
        <v>2214</v>
      </c>
      <c r="H67" s="1741" t="s">
        <v>1658</v>
      </c>
      <c r="I67" s="1753" t="s">
        <v>3003</v>
      </c>
      <c r="J67" s="1754" t="s">
        <v>2112</v>
      </c>
      <c r="K67" s="1753" t="s">
        <v>497</v>
      </c>
      <c r="L67" s="1754" t="s">
        <v>807</v>
      </c>
      <c r="M67" s="1754"/>
      <c r="N67" s="1756">
        <v>0</v>
      </c>
      <c r="O67" s="1757">
        <v>0</v>
      </c>
      <c r="P67" s="1758">
        <v>2854</v>
      </c>
      <c r="Q67" s="1759">
        <v>8280</v>
      </c>
      <c r="R67" s="1760">
        <v>12000</v>
      </c>
      <c r="S67" s="1760">
        <v>9499</v>
      </c>
      <c r="T67" s="1760">
        <v>9499</v>
      </c>
      <c r="U67" s="1761">
        <v>8280</v>
      </c>
      <c r="V67" s="1762">
        <v>8860</v>
      </c>
      <c r="W67" s="1757">
        <v>9480</v>
      </c>
      <c r="Z67" s="1773">
        <f t="shared" si="26"/>
        <v>0</v>
      </c>
      <c r="AA67" s="1773">
        <f t="shared" ref="AA67:AA98" si="28">$AL67*AO67</f>
        <v>0</v>
      </c>
      <c r="AB67" s="1773">
        <f t="shared" ref="AB67:AB98" si="29">$AL67*AP67</f>
        <v>0</v>
      </c>
      <c r="AC67" s="1773">
        <f t="shared" ref="AC67:AC98" si="30">$AL67*AQ67</f>
        <v>0</v>
      </c>
      <c r="AD67" s="1773">
        <f t="shared" ref="AD67:AD98" si="31">$AL67*AR67</f>
        <v>0</v>
      </c>
      <c r="AE67" s="1773">
        <f t="shared" ref="AE67:AE98" si="32">$AL67*AS67</f>
        <v>0</v>
      </c>
      <c r="AF67" s="1773">
        <f t="shared" ref="AF67:AF98" si="33">$AL67*AT67</f>
        <v>0</v>
      </c>
      <c r="AG67" s="1773">
        <f t="shared" ref="AG67:AG98" si="34">$AL67*AU67</f>
        <v>0</v>
      </c>
      <c r="AH67" s="1773">
        <f t="shared" ref="AH67:AH98" si="35">$AL67*AV67</f>
        <v>0</v>
      </c>
      <c r="AI67" s="1773">
        <f t="shared" ref="AI67:AI98" si="36">$AL67*AW67</f>
        <v>0</v>
      </c>
      <c r="AJ67" s="1773">
        <f t="shared" ref="AJ67:AJ98" si="37">$AL67*AX67</f>
        <v>0</v>
      </c>
      <c r="AK67" s="1773">
        <f t="shared" ref="AK67:AK98" si="38">$AL67*AY67</f>
        <v>0</v>
      </c>
      <c r="AL67" s="1773">
        <f t="shared" si="27"/>
        <v>8280</v>
      </c>
      <c r="AN67" s="1776"/>
      <c r="AO67" s="1776"/>
      <c r="AP67" s="1776"/>
      <c r="AQ67" s="1776"/>
      <c r="AR67" s="1776"/>
      <c r="AS67" s="1776"/>
      <c r="AT67" s="1776"/>
      <c r="AU67" s="1776"/>
      <c r="AV67" s="1776"/>
      <c r="AW67" s="1776"/>
      <c r="AX67" s="1776"/>
      <c r="AY67" s="1776"/>
      <c r="AZ67" s="1776">
        <v>1</v>
      </c>
    </row>
    <row r="68" spans="1:52">
      <c r="A68" s="1479" t="s">
        <v>2344</v>
      </c>
      <c r="B68" s="1479" t="s">
        <v>2249</v>
      </c>
      <c r="C68" s="1741" t="s">
        <v>2108</v>
      </c>
      <c r="D68" s="1741">
        <v>1030</v>
      </c>
      <c r="E68" s="1741">
        <v>90</v>
      </c>
      <c r="F68" s="1741" t="s">
        <v>2215</v>
      </c>
      <c r="G68" s="1741" t="s">
        <v>2214</v>
      </c>
      <c r="H68" s="1741" t="s">
        <v>1658</v>
      </c>
      <c r="I68" s="1753" t="s">
        <v>2114</v>
      </c>
      <c r="J68" s="1754" t="s">
        <v>3008</v>
      </c>
      <c r="K68" s="1753" t="s">
        <v>2114</v>
      </c>
      <c r="L68" s="1754" t="s">
        <v>3008</v>
      </c>
      <c r="M68" s="1754"/>
      <c r="N68" s="1756"/>
      <c r="O68" s="1757"/>
      <c r="P68" s="1758"/>
      <c r="Q68" s="1759"/>
      <c r="R68" s="1760">
        <v>0</v>
      </c>
      <c r="S68" s="1760">
        <v>0</v>
      </c>
      <c r="T68" s="1760">
        <v>0</v>
      </c>
      <c r="U68" s="1761">
        <v>0</v>
      </c>
      <c r="V68" s="1762">
        <v>0</v>
      </c>
      <c r="W68" s="1757">
        <v>0</v>
      </c>
      <c r="Z68" s="1773">
        <f t="shared" si="26"/>
        <v>0</v>
      </c>
      <c r="AA68" s="1773">
        <f t="shared" si="28"/>
        <v>0</v>
      </c>
      <c r="AB68" s="1773">
        <f t="shared" si="29"/>
        <v>0</v>
      </c>
      <c r="AC68" s="1773">
        <f t="shared" si="30"/>
        <v>0</v>
      </c>
      <c r="AD68" s="1773">
        <f t="shared" si="31"/>
        <v>0</v>
      </c>
      <c r="AE68" s="1773">
        <f t="shared" si="32"/>
        <v>0</v>
      </c>
      <c r="AF68" s="1773">
        <f t="shared" si="33"/>
        <v>0</v>
      </c>
      <c r="AG68" s="1773">
        <f t="shared" si="34"/>
        <v>0</v>
      </c>
      <c r="AH68" s="1773">
        <f t="shared" si="35"/>
        <v>0</v>
      </c>
      <c r="AI68" s="1773">
        <f t="shared" si="36"/>
        <v>0</v>
      </c>
      <c r="AJ68" s="1773">
        <f t="shared" si="37"/>
        <v>0</v>
      </c>
      <c r="AK68" s="1773">
        <f t="shared" si="38"/>
        <v>0</v>
      </c>
      <c r="AL68" s="1773">
        <f t="shared" si="27"/>
        <v>0</v>
      </c>
      <c r="AN68" s="1776"/>
      <c r="AO68" s="1776"/>
      <c r="AP68" s="1776"/>
      <c r="AQ68" s="1776"/>
      <c r="AR68" s="1776"/>
      <c r="AS68" s="1776"/>
      <c r="AT68" s="1776"/>
      <c r="AU68" s="1776"/>
      <c r="AV68" s="1776"/>
      <c r="AW68" s="1776"/>
      <c r="AX68" s="1776"/>
      <c r="AY68" s="1776"/>
      <c r="AZ68" s="1776">
        <v>1</v>
      </c>
    </row>
    <row r="69" spans="1:52">
      <c r="A69" s="1479" t="s">
        <v>2345</v>
      </c>
      <c r="B69" s="1479" t="s">
        <v>2271</v>
      </c>
      <c r="C69" s="1741" t="s">
        <v>2108</v>
      </c>
      <c r="D69" s="1741">
        <v>1030</v>
      </c>
      <c r="E69" s="1741">
        <v>100</v>
      </c>
      <c r="F69" s="1741" t="s">
        <v>2215</v>
      </c>
      <c r="G69" s="1741" t="s">
        <v>2214</v>
      </c>
      <c r="H69" s="1741" t="s">
        <v>1658</v>
      </c>
      <c r="I69" s="1753" t="s">
        <v>3003</v>
      </c>
      <c r="J69" s="1754" t="s">
        <v>2145</v>
      </c>
      <c r="K69" s="1753" t="s">
        <v>497</v>
      </c>
      <c r="L69" s="1754" t="s">
        <v>1778</v>
      </c>
      <c r="M69" s="1754"/>
      <c r="N69" s="1756">
        <v>4661.3500000000004</v>
      </c>
      <c r="O69" s="1757">
        <v>0</v>
      </c>
      <c r="P69" s="1758">
        <v>9323</v>
      </c>
      <c r="Q69" s="1759">
        <v>20000</v>
      </c>
      <c r="R69" s="1760">
        <v>20000</v>
      </c>
      <c r="S69" s="1760">
        <v>2240</v>
      </c>
      <c r="T69" s="1760">
        <v>2240</v>
      </c>
      <c r="U69" s="1761">
        <v>20000</v>
      </c>
      <c r="V69" s="1762">
        <v>20000</v>
      </c>
      <c r="W69" s="1757">
        <v>20000</v>
      </c>
      <c r="Z69" s="1773">
        <f t="shared" si="26"/>
        <v>0</v>
      </c>
      <c r="AA69" s="1773">
        <f t="shared" si="28"/>
        <v>0</v>
      </c>
      <c r="AB69" s="1773">
        <f t="shared" si="29"/>
        <v>0</v>
      </c>
      <c r="AC69" s="1773">
        <f t="shared" si="30"/>
        <v>0</v>
      </c>
      <c r="AD69" s="1773">
        <f t="shared" si="31"/>
        <v>0</v>
      </c>
      <c r="AE69" s="1773">
        <f t="shared" si="32"/>
        <v>0</v>
      </c>
      <c r="AF69" s="1773">
        <f t="shared" si="33"/>
        <v>0</v>
      </c>
      <c r="AG69" s="1773">
        <f t="shared" si="34"/>
        <v>0</v>
      </c>
      <c r="AH69" s="1773">
        <f t="shared" si="35"/>
        <v>0</v>
      </c>
      <c r="AI69" s="1773">
        <f t="shared" si="36"/>
        <v>0</v>
      </c>
      <c r="AJ69" s="1773">
        <f t="shared" si="37"/>
        <v>0</v>
      </c>
      <c r="AK69" s="1773">
        <f t="shared" si="38"/>
        <v>0</v>
      </c>
      <c r="AL69" s="1773">
        <f t="shared" si="27"/>
        <v>20000</v>
      </c>
      <c r="AN69" s="1776"/>
      <c r="AO69" s="1776"/>
      <c r="AP69" s="1776"/>
      <c r="AQ69" s="1776"/>
      <c r="AR69" s="1776"/>
      <c r="AS69" s="1776"/>
      <c r="AT69" s="1776"/>
      <c r="AU69" s="1776"/>
      <c r="AV69" s="1776"/>
      <c r="AW69" s="1776"/>
      <c r="AX69" s="1776"/>
      <c r="AY69" s="1776"/>
      <c r="AZ69" s="1776">
        <v>1</v>
      </c>
    </row>
    <row r="70" spans="1:52">
      <c r="A70" s="1479" t="s">
        <v>2346</v>
      </c>
      <c r="B70" s="1479" t="s">
        <v>2241</v>
      </c>
      <c r="C70" s="1741" t="s">
        <v>2108</v>
      </c>
      <c r="D70" s="1741">
        <v>1030</v>
      </c>
      <c r="E70" s="1741">
        <v>140</v>
      </c>
      <c r="F70" s="1741" t="s">
        <v>2215</v>
      </c>
      <c r="G70" s="1741" t="s">
        <v>2214</v>
      </c>
      <c r="H70" s="1741" t="s">
        <v>1658</v>
      </c>
      <c r="I70" s="1753" t="s">
        <v>3003</v>
      </c>
      <c r="J70" s="1754" t="s">
        <v>3005</v>
      </c>
      <c r="K70" s="1753" t="s">
        <v>497</v>
      </c>
      <c r="L70" s="1754" t="s">
        <v>1163</v>
      </c>
      <c r="M70" s="1754"/>
      <c r="N70" s="1756">
        <v>15573</v>
      </c>
      <c r="O70" s="1757">
        <v>42351.42</v>
      </c>
      <c r="P70" s="1758">
        <v>64301.4</v>
      </c>
      <c r="Q70" s="1770">
        <v>78085</v>
      </c>
      <c r="R70" s="1760">
        <v>78085</v>
      </c>
      <c r="S70" s="1760">
        <v>83261</v>
      </c>
      <c r="T70" s="1760">
        <v>83261</v>
      </c>
      <c r="U70" s="1761">
        <v>136209.39480000001</v>
      </c>
      <c r="V70" s="1762">
        <f>U70*108%</f>
        <v>147106.14638400002</v>
      </c>
      <c r="W70" s="1757">
        <f>V70*108%</f>
        <v>158874.63809472002</v>
      </c>
      <c r="Z70" s="1773">
        <f t="shared" si="26"/>
        <v>0</v>
      </c>
      <c r="AA70" s="1773">
        <f t="shared" si="28"/>
        <v>0</v>
      </c>
      <c r="AB70" s="1773">
        <f t="shared" si="29"/>
        <v>0</v>
      </c>
      <c r="AC70" s="1773">
        <f t="shared" si="30"/>
        <v>0</v>
      </c>
      <c r="AD70" s="1773">
        <f t="shared" si="31"/>
        <v>0</v>
      </c>
      <c r="AE70" s="1773">
        <f t="shared" si="32"/>
        <v>0</v>
      </c>
      <c r="AF70" s="1773">
        <f t="shared" si="33"/>
        <v>0</v>
      </c>
      <c r="AG70" s="1773">
        <f t="shared" si="34"/>
        <v>0</v>
      </c>
      <c r="AH70" s="1773">
        <f t="shared" si="35"/>
        <v>0</v>
      </c>
      <c r="AI70" s="1773">
        <f t="shared" si="36"/>
        <v>0</v>
      </c>
      <c r="AJ70" s="1773">
        <f t="shared" si="37"/>
        <v>0</v>
      </c>
      <c r="AK70" s="1773">
        <f t="shared" si="38"/>
        <v>0</v>
      </c>
      <c r="AL70" s="1773">
        <f t="shared" si="27"/>
        <v>136209.39480000001</v>
      </c>
      <c r="AN70" s="1776"/>
      <c r="AO70" s="1776"/>
      <c r="AP70" s="1776"/>
      <c r="AQ70" s="1776"/>
      <c r="AR70" s="1776"/>
      <c r="AS70" s="1776"/>
      <c r="AT70" s="1776"/>
      <c r="AU70" s="1776"/>
      <c r="AV70" s="1776"/>
      <c r="AW70" s="1776"/>
      <c r="AX70" s="1776"/>
      <c r="AY70" s="1776"/>
      <c r="AZ70" s="1776">
        <v>1</v>
      </c>
    </row>
    <row r="71" spans="1:52">
      <c r="A71" s="1479" t="s">
        <v>2347</v>
      </c>
      <c r="B71" s="1479" t="s">
        <v>2276</v>
      </c>
      <c r="C71" s="1741" t="s">
        <v>2108</v>
      </c>
      <c r="D71" s="1741">
        <v>1030</v>
      </c>
      <c r="E71" s="1741">
        <v>170</v>
      </c>
      <c r="F71" s="1741" t="s">
        <v>2215</v>
      </c>
      <c r="G71" s="1741" t="s">
        <v>2214</v>
      </c>
      <c r="H71" s="1741" t="s">
        <v>1658</v>
      </c>
      <c r="I71" s="1753" t="s">
        <v>3003</v>
      </c>
      <c r="J71" s="1754" t="s">
        <v>1161</v>
      </c>
      <c r="K71" s="1753" t="s">
        <v>497</v>
      </c>
      <c r="L71" s="1754" t="s">
        <v>1161</v>
      </c>
      <c r="M71" s="1754"/>
      <c r="N71" s="1756">
        <v>16509.45</v>
      </c>
      <c r="O71" s="1757">
        <v>97998.1</v>
      </c>
      <c r="P71" s="1758">
        <v>168457.58</v>
      </c>
      <c r="Q71" s="1759">
        <v>150000</v>
      </c>
      <c r="R71" s="1760">
        <v>450000</v>
      </c>
      <c r="S71" s="1760">
        <v>587930</v>
      </c>
      <c r="T71" s="1760">
        <v>587930</v>
      </c>
      <c r="U71" s="1761">
        <v>500000</v>
      </c>
      <c r="V71" s="1762">
        <v>500000</v>
      </c>
      <c r="W71" s="1757">
        <v>500000</v>
      </c>
      <c r="Z71" s="1773">
        <f t="shared" si="26"/>
        <v>0</v>
      </c>
      <c r="AA71" s="1773">
        <f t="shared" si="28"/>
        <v>0</v>
      </c>
      <c r="AB71" s="1773">
        <f t="shared" si="29"/>
        <v>0</v>
      </c>
      <c r="AC71" s="1773">
        <f t="shared" si="30"/>
        <v>0</v>
      </c>
      <c r="AD71" s="1773">
        <f t="shared" si="31"/>
        <v>0</v>
      </c>
      <c r="AE71" s="1773">
        <f t="shared" si="32"/>
        <v>0</v>
      </c>
      <c r="AF71" s="1773">
        <f t="shared" si="33"/>
        <v>0</v>
      </c>
      <c r="AG71" s="1773">
        <f t="shared" si="34"/>
        <v>0</v>
      </c>
      <c r="AH71" s="1773">
        <f t="shared" si="35"/>
        <v>0</v>
      </c>
      <c r="AI71" s="1773">
        <f t="shared" si="36"/>
        <v>0</v>
      </c>
      <c r="AJ71" s="1773">
        <f t="shared" si="37"/>
        <v>0</v>
      </c>
      <c r="AK71" s="1773">
        <f t="shared" si="38"/>
        <v>0</v>
      </c>
      <c r="AL71" s="1773">
        <f t="shared" si="27"/>
        <v>500000</v>
      </c>
      <c r="AN71" s="1776"/>
      <c r="AO71" s="1776"/>
      <c r="AP71" s="1776"/>
      <c r="AQ71" s="1776"/>
      <c r="AR71" s="1776"/>
      <c r="AS71" s="1776"/>
      <c r="AT71" s="1776"/>
      <c r="AU71" s="1776"/>
      <c r="AV71" s="1776"/>
      <c r="AW71" s="1776"/>
      <c r="AX71" s="1776"/>
      <c r="AY71" s="1776"/>
      <c r="AZ71" s="1776">
        <v>1</v>
      </c>
    </row>
    <row r="72" spans="1:52">
      <c r="A72" s="1479" t="s">
        <v>2348</v>
      </c>
      <c r="B72" s="1479" t="s">
        <v>2349</v>
      </c>
      <c r="C72" s="1741" t="s">
        <v>2108</v>
      </c>
      <c r="D72" s="1741">
        <v>1030</v>
      </c>
      <c r="E72" s="1741">
        <v>510</v>
      </c>
      <c r="F72" s="1741" t="s">
        <v>2215</v>
      </c>
      <c r="G72" s="1741" t="s">
        <v>2214</v>
      </c>
      <c r="H72" s="1741" t="s">
        <v>1658</v>
      </c>
      <c r="I72" s="1753" t="s">
        <v>2114</v>
      </c>
      <c r="J72" s="1754" t="s">
        <v>3018</v>
      </c>
      <c r="K72" s="1753" t="s">
        <v>2114</v>
      </c>
      <c r="L72" s="1754" t="s">
        <v>3018</v>
      </c>
      <c r="M72" s="1754"/>
      <c r="N72" s="1756">
        <v>0</v>
      </c>
      <c r="O72" s="1757">
        <v>2895.88</v>
      </c>
      <c r="P72" s="1758">
        <v>0</v>
      </c>
      <c r="Q72" s="1759">
        <v>5000</v>
      </c>
      <c r="R72" s="1760">
        <v>20000</v>
      </c>
      <c r="S72" s="1760">
        <v>23362</v>
      </c>
      <c r="T72" s="1760">
        <v>23362</v>
      </c>
      <c r="U72" s="1761">
        <v>25000</v>
      </c>
      <c r="V72" s="1762">
        <v>30000</v>
      </c>
      <c r="W72" s="1757">
        <v>30000</v>
      </c>
      <c r="Z72" s="1773">
        <f t="shared" si="26"/>
        <v>0</v>
      </c>
      <c r="AA72" s="1773">
        <f t="shared" si="28"/>
        <v>0</v>
      </c>
      <c r="AB72" s="1773">
        <f t="shared" si="29"/>
        <v>0</v>
      </c>
      <c r="AC72" s="1773">
        <f t="shared" si="30"/>
        <v>0</v>
      </c>
      <c r="AD72" s="1773">
        <f t="shared" si="31"/>
        <v>0</v>
      </c>
      <c r="AE72" s="1773">
        <f t="shared" si="32"/>
        <v>0</v>
      </c>
      <c r="AF72" s="1773">
        <f t="shared" si="33"/>
        <v>0</v>
      </c>
      <c r="AG72" s="1773">
        <f t="shared" si="34"/>
        <v>0</v>
      </c>
      <c r="AH72" s="1773">
        <f t="shared" si="35"/>
        <v>0</v>
      </c>
      <c r="AI72" s="1773">
        <f t="shared" si="36"/>
        <v>0</v>
      </c>
      <c r="AJ72" s="1773">
        <f t="shared" si="37"/>
        <v>0</v>
      </c>
      <c r="AK72" s="1773">
        <f t="shared" si="38"/>
        <v>0</v>
      </c>
      <c r="AL72" s="1773">
        <f t="shared" si="27"/>
        <v>25000</v>
      </c>
      <c r="AN72" s="1776"/>
      <c r="AO72" s="1776"/>
      <c r="AP72" s="1776"/>
      <c r="AQ72" s="1776"/>
      <c r="AR72" s="1776"/>
      <c r="AS72" s="1776"/>
      <c r="AT72" s="1776"/>
      <c r="AU72" s="1776"/>
      <c r="AV72" s="1776"/>
      <c r="AW72" s="1776"/>
      <c r="AX72" s="1776"/>
      <c r="AY72" s="1776"/>
      <c r="AZ72" s="1776">
        <v>1</v>
      </c>
    </row>
    <row r="73" spans="1:52">
      <c r="A73" s="1479" t="s">
        <v>2350</v>
      </c>
      <c r="B73" s="1479" t="s">
        <v>2243</v>
      </c>
      <c r="C73" s="1741" t="s">
        <v>2108</v>
      </c>
      <c r="D73" s="1741">
        <v>1030</v>
      </c>
      <c r="E73" s="1741">
        <v>520</v>
      </c>
      <c r="F73" s="1741" t="s">
        <v>2215</v>
      </c>
      <c r="G73" s="1741" t="s">
        <v>2214</v>
      </c>
      <c r="H73" s="1741" t="s">
        <v>1658</v>
      </c>
      <c r="I73" s="1753" t="s">
        <v>2114</v>
      </c>
      <c r="J73" s="1754" t="s">
        <v>2138</v>
      </c>
      <c r="K73" s="1753" t="s">
        <v>2114</v>
      </c>
      <c r="L73" s="1754" t="s">
        <v>2138</v>
      </c>
      <c r="M73" s="1754"/>
      <c r="N73" s="1756">
        <v>7498.57</v>
      </c>
      <c r="O73" s="1757">
        <v>9551.9599999999991</v>
      </c>
      <c r="P73" s="1758">
        <v>10420.32</v>
      </c>
      <c r="Q73" s="1759">
        <v>14055</v>
      </c>
      <c r="R73" s="1760">
        <v>0</v>
      </c>
      <c r="S73" s="1760">
        <v>0</v>
      </c>
      <c r="T73" s="1760">
        <v>0</v>
      </c>
      <c r="U73" s="1761">
        <v>0</v>
      </c>
      <c r="V73" s="1762">
        <v>16160</v>
      </c>
      <c r="W73" s="1757">
        <v>18585</v>
      </c>
      <c r="Z73" s="1773">
        <f t="shared" si="26"/>
        <v>0</v>
      </c>
      <c r="AA73" s="1773">
        <f t="shared" si="28"/>
        <v>0</v>
      </c>
      <c r="AB73" s="1773">
        <f t="shared" si="29"/>
        <v>0</v>
      </c>
      <c r="AC73" s="1773">
        <f t="shared" si="30"/>
        <v>0</v>
      </c>
      <c r="AD73" s="1773">
        <f t="shared" si="31"/>
        <v>0</v>
      </c>
      <c r="AE73" s="1773">
        <f t="shared" si="32"/>
        <v>0</v>
      </c>
      <c r="AF73" s="1773">
        <f t="shared" si="33"/>
        <v>0</v>
      </c>
      <c r="AG73" s="1773">
        <f t="shared" si="34"/>
        <v>0</v>
      </c>
      <c r="AH73" s="1773">
        <f t="shared" si="35"/>
        <v>0</v>
      </c>
      <c r="AI73" s="1773">
        <f t="shared" si="36"/>
        <v>0</v>
      </c>
      <c r="AJ73" s="1773">
        <f t="shared" si="37"/>
        <v>0</v>
      </c>
      <c r="AK73" s="1773">
        <f t="shared" si="38"/>
        <v>0</v>
      </c>
      <c r="AL73" s="1773">
        <f t="shared" si="27"/>
        <v>0</v>
      </c>
      <c r="AN73" s="1776"/>
      <c r="AO73" s="1776"/>
      <c r="AP73" s="1776"/>
      <c r="AQ73" s="1776"/>
      <c r="AR73" s="1776"/>
      <c r="AS73" s="1776"/>
      <c r="AT73" s="1776"/>
      <c r="AU73" s="1776"/>
      <c r="AV73" s="1776"/>
      <c r="AW73" s="1776"/>
      <c r="AX73" s="1776"/>
      <c r="AY73" s="1776"/>
      <c r="AZ73" s="1776">
        <v>1</v>
      </c>
    </row>
    <row r="74" spans="1:52">
      <c r="A74" s="1479" t="s">
        <v>2351</v>
      </c>
      <c r="B74" s="1479" t="s">
        <v>2283</v>
      </c>
      <c r="C74" s="1741" t="s">
        <v>2108</v>
      </c>
      <c r="D74" s="1741">
        <v>1030</v>
      </c>
      <c r="E74" s="1741">
        <v>570</v>
      </c>
      <c r="F74" s="1741" t="s">
        <v>2215</v>
      </c>
      <c r="G74" s="1741" t="s">
        <v>2214</v>
      </c>
      <c r="H74" s="1741" t="s">
        <v>1658</v>
      </c>
      <c r="I74" s="1753" t="s">
        <v>2114</v>
      </c>
      <c r="J74" s="1754" t="s">
        <v>3010</v>
      </c>
      <c r="K74" s="1753" t="s">
        <v>2114</v>
      </c>
      <c r="L74" s="1754" t="s">
        <v>3010</v>
      </c>
      <c r="M74" s="1754"/>
      <c r="N74" s="1756">
        <v>10613.94</v>
      </c>
      <c r="O74" s="1757">
        <v>10385.83</v>
      </c>
      <c r="P74" s="1758">
        <v>14960.5</v>
      </c>
      <c r="Q74" s="1759">
        <v>20000</v>
      </c>
      <c r="R74" s="1760">
        <v>20000</v>
      </c>
      <c r="S74" s="1760">
        <v>18808</v>
      </c>
      <c r="T74" s="1760">
        <v>18808</v>
      </c>
      <c r="U74" s="1761">
        <v>30000</v>
      </c>
      <c r="V74" s="1762">
        <v>30000</v>
      </c>
      <c r="W74" s="1757">
        <v>30000</v>
      </c>
      <c r="Z74" s="1773">
        <f t="shared" si="26"/>
        <v>0</v>
      </c>
      <c r="AA74" s="1773">
        <f t="shared" si="28"/>
        <v>0</v>
      </c>
      <c r="AB74" s="1773">
        <f t="shared" si="29"/>
        <v>0</v>
      </c>
      <c r="AC74" s="1773">
        <f t="shared" si="30"/>
        <v>0</v>
      </c>
      <c r="AD74" s="1773">
        <f t="shared" si="31"/>
        <v>0</v>
      </c>
      <c r="AE74" s="1773">
        <f t="shared" si="32"/>
        <v>0</v>
      </c>
      <c r="AF74" s="1773">
        <f t="shared" si="33"/>
        <v>0</v>
      </c>
      <c r="AG74" s="1773">
        <f t="shared" si="34"/>
        <v>0</v>
      </c>
      <c r="AH74" s="1773">
        <f t="shared" si="35"/>
        <v>0</v>
      </c>
      <c r="AI74" s="1773">
        <f t="shared" si="36"/>
        <v>0</v>
      </c>
      <c r="AJ74" s="1773">
        <f t="shared" si="37"/>
        <v>0</v>
      </c>
      <c r="AK74" s="1773">
        <f t="shared" si="38"/>
        <v>0</v>
      </c>
      <c r="AL74" s="1773">
        <f t="shared" si="27"/>
        <v>30000</v>
      </c>
      <c r="AN74" s="1776"/>
      <c r="AO74" s="1776"/>
      <c r="AP74" s="1776"/>
      <c r="AQ74" s="1776"/>
      <c r="AR74" s="1776"/>
      <c r="AS74" s="1776"/>
      <c r="AT74" s="1776"/>
      <c r="AU74" s="1776"/>
      <c r="AV74" s="1776"/>
      <c r="AW74" s="1776"/>
      <c r="AX74" s="1776"/>
      <c r="AY74" s="1776"/>
      <c r="AZ74" s="1776">
        <v>1</v>
      </c>
    </row>
    <row r="75" spans="1:52">
      <c r="A75" s="1479" t="s">
        <v>2352</v>
      </c>
      <c r="B75" s="1479" t="s">
        <v>2245</v>
      </c>
      <c r="C75" s="1741" t="s">
        <v>2108</v>
      </c>
      <c r="D75" s="1741">
        <v>1030</v>
      </c>
      <c r="E75" s="1741">
        <v>650</v>
      </c>
      <c r="F75" s="1741" t="s">
        <v>2215</v>
      </c>
      <c r="G75" s="1741" t="s">
        <v>2214</v>
      </c>
      <c r="H75" s="1741" t="s">
        <v>1658</v>
      </c>
      <c r="I75" s="1753" t="s">
        <v>2114</v>
      </c>
      <c r="J75" s="1754" t="s">
        <v>3006</v>
      </c>
      <c r="K75" s="1753" t="s">
        <v>2114</v>
      </c>
      <c r="L75" s="1754" t="s">
        <v>3006</v>
      </c>
      <c r="M75" s="1754"/>
      <c r="N75" s="1756">
        <v>0</v>
      </c>
      <c r="O75" s="1757">
        <v>0</v>
      </c>
      <c r="P75" s="1758">
        <v>17851.23</v>
      </c>
      <c r="Q75" s="1759">
        <v>0</v>
      </c>
      <c r="R75" s="1760">
        <v>3000</v>
      </c>
      <c r="S75" s="1760">
        <v>8371</v>
      </c>
      <c r="T75" s="1760">
        <v>8371</v>
      </c>
      <c r="U75" s="1761">
        <v>35000</v>
      </c>
      <c r="V75" s="1762">
        <v>35000</v>
      </c>
      <c r="W75" s="1757">
        <v>35000</v>
      </c>
      <c r="Z75" s="1773">
        <f t="shared" si="26"/>
        <v>0</v>
      </c>
      <c r="AA75" s="1773">
        <f t="shared" si="28"/>
        <v>0</v>
      </c>
      <c r="AB75" s="1773">
        <f t="shared" si="29"/>
        <v>0</v>
      </c>
      <c r="AC75" s="1773">
        <f t="shared" si="30"/>
        <v>0</v>
      </c>
      <c r="AD75" s="1773">
        <f t="shared" si="31"/>
        <v>0</v>
      </c>
      <c r="AE75" s="1773">
        <f t="shared" si="32"/>
        <v>0</v>
      </c>
      <c r="AF75" s="1773">
        <f t="shared" si="33"/>
        <v>0</v>
      </c>
      <c r="AG75" s="1773">
        <f t="shared" si="34"/>
        <v>0</v>
      </c>
      <c r="AH75" s="1773">
        <f t="shared" si="35"/>
        <v>0</v>
      </c>
      <c r="AI75" s="1773">
        <f t="shared" si="36"/>
        <v>0</v>
      </c>
      <c r="AJ75" s="1773">
        <f t="shared" si="37"/>
        <v>0</v>
      </c>
      <c r="AK75" s="1773">
        <f t="shared" si="38"/>
        <v>0</v>
      </c>
      <c r="AL75" s="1773">
        <f t="shared" si="27"/>
        <v>35000</v>
      </c>
      <c r="AN75" s="1776"/>
      <c r="AO75" s="1776"/>
      <c r="AP75" s="1776"/>
      <c r="AQ75" s="1776"/>
      <c r="AR75" s="1776"/>
      <c r="AS75" s="1776"/>
      <c r="AT75" s="1776"/>
      <c r="AU75" s="1776"/>
      <c r="AV75" s="1776"/>
      <c r="AW75" s="1776"/>
      <c r="AX75" s="1776"/>
      <c r="AY75" s="1776"/>
      <c r="AZ75" s="1776">
        <v>1</v>
      </c>
    </row>
    <row r="76" spans="1:52">
      <c r="A76" s="1479" t="s">
        <v>2353</v>
      </c>
      <c r="B76" s="1479" t="s">
        <v>2288</v>
      </c>
      <c r="C76" s="1741" t="s">
        <v>2108</v>
      </c>
      <c r="D76" s="1741">
        <v>1030</v>
      </c>
      <c r="E76" s="1741">
        <v>690</v>
      </c>
      <c r="F76" s="1741" t="s">
        <v>2215</v>
      </c>
      <c r="G76" s="1741" t="s">
        <v>2214</v>
      </c>
      <c r="H76" s="1741" t="s">
        <v>1658</v>
      </c>
      <c r="I76" s="1753" t="s">
        <v>2114</v>
      </c>
      <c r="J76" s="1754" t="s">
        <v>2124</v>
      </c>
      <c r="K76" s="1753" t="s">
        <v>2114</v>
      </c>
      <c r="L76" s="1754" t="s">
        <v>2124</v>
      </c>
      <c r="M76" s="1754"/>
      <c r="N76" s="1756">
        <v>0</v>
      </c>
      <c r="O76" s="1757">
        <v>0</v>
      </c>
      <c r="P76" s="1758">
        <v>103783.81</v>
      </c>
      <c r="Q76" s="1759">
        <v>120000</v>
      </c>
      <c r="R76" s="1760">
        <v>50000</v>
      </c>
      <c r="S76" s="1760">
        <v>45001</v>
      </c>
      <c r="T76" s="1760">
        <v>45001</v>
      </c>
      <c r="U76" s="1761">
        <v>50000</v>
      </c>
      <c r="V76" s="1762">
        <v>120000</v>
      </c>
      <c r="W76" s="1757">
        <v>120000</v>
      </c>
      <c r="Z76" s="1773">
        <f t="shared" si="26"/>
        <v>0</v>
      </c>
      <c r="AA76" s="1773">
        <f t="shared" si="28"/>
        <v>0</v>
      </c>
      <c r="AB76" s="1773">
        <f t="shared" si="29"/>
        <v>0</v>
      </c>
      <c r="AC76" s="1773">
        <f t="shared" si="30"/>
        <v>0</v>
      </c>
      <c r="AD76" s="1773">
        <f t="shared" si="31"/>
        <v>0</v>
      </c>
      <c r="AE76" s="1773">
        <f t="shared" si="32"/>
        <v>0</v>
      </c>
      <c r="AF76" s="1773">
        <f t="shared" si="33"/>
        <v>0</v>
      </c>
      <c r="AG76" s="1773">
        <f t="shared" si="34"/>
        <v>0</v>
      </c>
      <c r="AH76" s="1773">
        <f t="shared" si="35"/>
        <v>0</v>
      </c>
      <c r="AI76" s="1773">
        <f t="shared" si="36"/>
        <v>0</v>
      </c>
      <c r="AJ76" s="1773">
        <f t="shared" si="37"/>
        <v>0</v>
      </c>
      <c r="AK76" s="1773">
        <f t="shared" si="38"/>
        <v>0</v>
      </c>
      <c r="AL76" s="1773">
        <f t="shared" si="27"/>
        <v>50000</v>
      </c>
      <c r="AN76" s="1776"/>
      <c r="AO76" s="1776"/>
      <c r="AP76" s="1776"/>
      <c r="AQ76" s="1776"/>
      <c r="AR76" s="1776"/>
      <c r="AS76" s="1776"/>
      <c r="AT76" s="1776"/>
      <c r="AU76" s="1776"/>
      <c r="AV76" s="1776"/>
      <c r="AW76" s="1776"/>
      <c r="AX76" s="1776"/>
      <c r="AY76" s="1776"/>
      <c r="AZ76" s="1776">
        <v>1</v>
      </c>
    </row>
    <row r="77" spans="1:52">
      <c r="A77" t="s">
        <v>2354</v>
      </c>
      <c r="B77" t="s">
        <v>2292</v>
      </c>
      <c r="C77" s="1741" t="s">
        <v>2108</v>
      </c>
      <c r="D77" s="1741">
        <v>1030</v>
      </c>
      <c r="E77" s="1741">
        <v>710</v>
      </c>
      <c r="F77" s="1741" t="s">
        <v>2215</v>
      </c>
      <c r="G77" s="1741" t="s">
        <v>2214</v>
      </c>
      <c r="H77" s="1741" t="s">
        <v>1658</v>
      </c>
      <c r="I77" s="1753" t="s">
        <v>2114</v>
      </c>
      <c r="J77" s="1754"/>
      <c r="K77" s="1753" t="s">
        <v>2114</v>
      </c>
      <c r="L77" s="1754" t="s">
        <v>502</v>
      </c>
      <c r="M77" s="1754"/>
      <c r="N77" s="1756"/>
      <c r="O77" s="1757"/>
      <c r="P77" s="1758"/>
      <c r="Q77" s="1759">
        <v>0</v>
      </c>
      <c r="R77" s="1760">
        <v>2000</v>
      </c>
      <c r="S77" s="1760">
        <v>440</v>
      </c>
      <c r="T77" s="1760">
        <v>440</v>
      </c>
      <c r="U77" s="1761">
        <v>2000</v>
      </c>
      <c r="V77" s="1762">
        <v>2000</v>
      </c>
      <c r="W77" s="1757">
        <v>2000</v>
      </c>
      <c r="Z77" s="1773">
        <f t="shared" si="26"/>
        <v>0</v>
      </c>
      <c r="AA77" s="1773">
        <f t="shared" si="28"/>
        <v>0</v>
      </c>
      <c r="AB77" s="1773">
        <f t="shared" si="29"/>
        <v>0</v>
      </c>
      <c r="AC77" s="1773">
        <f t="shared" si="30"/>
        <v>0</v>
      </c>
      <c r="AD77" s="1773">
        <f t="shared" si="31"/>
        <v>0</v>
      </c>
      <c r="AE77" s="1773">
        <f t="shared" si="32"/>
        <v>0</v>
      </c>
      <c r="AF77" s="1773">
        <f t="shared" si="33"/>
        <v>0</v>
      </c>
      <c r="AG77" s="1773">
        <f t="shared" si="34"/>
        <v>0</v>
      </c>
      <c r="AH77" s="1773">
        <f t="shared" si="35"/>
        <v>0</v>
      </c>
      <c r="AI77" s="1773">
        <f t="shared" si="36"/>
        <v>0</v>
      </c>
      <c r="AJ77" s="1773">
        <f t="shared" si="37"/>
        <v>0</v>
      </c>
      <c r="AK77" s="1773">
        <f t="shared" si="38"/>
        <v>0</v>
      </c>
      <c r="AL77" s="1773">
        <f t="shared" si="27"/>
        <v>2000</v>
      </c>
      <c r="AN77" s="1776"/>
      <c r="AO77" s="1776"/>
      <c r="AP77" s="1776"/>
      <c r="AQ77" s="1776"/>
      <c r="AR77" s="1776"/>
      <c r="AS77" s="1776"/>
      <c r="AT77" s="1776"/>
      <c r="AU77" s="1776"/>
      <c r="AV77" s="1776"/>
      <c r="AW77" s="1776"/>
      <c r="AX77" s="1776"/>
      <c r="AY77" s="1776"/>
      <c r="AZ77" s="1776">
        <v>1</v>
      </c>
    </row>
    <row r="78" spans="1:52">
      <c r="A78" s="1479" t="s">
        <v>2355</v>
      </c>
      <c r="B78" s="1479" t="s">
        <v>2356</v>
      </c>
      <c r="C78" s="1741" t="s">
        <v>2108</v>
      </c>
      <c r="D78" s="1741">
        <v>1030</v>
      </c>
      <c r="E78" s="1741">
        <v>730</v>
      </c>
      <c r="F78" s="1741" t="s">
        <v>2215</v>
      </c>
      <c r="G78" s="1741" t="s">
        <v>2214</v>
      </c>
      <c r="H78" s="1741" t="s">
        <v>1658</v>
      </c>
      <c r="I78" s="1753" t="s">
        <v>2114</v>
      </c>
      <c r="J78" s="1754"/>
      <c r="K78" s="1753" t="s">
        <v>2114</v>
      </c>
      <c r="L78" s="1754" t="s">
        <v>502</v>
      </c>
      <c r="M78" s="1754"/>
      <c r="N78" s="1756">
        <v>462.3</v>
      </c>
      <c r="O78" s="1757">
        <v>4545.3</v>
      </c>
      <c r="P78" s="1758">
        <v>73.73</v>
      </c>
      <c r="Q78" s="1759">
        <v>4000</v>
      </c>
      <c r="R78" s="1760">
        <v>4000</v>
      </c>
      <c r="S78" s="1760">
        <v>448</v>
      </c>
      <c r="T78" s="1760">
        <v>448</v>
      </c>
      <c r="U78" s="1761">
        <v>5000</v>
      </c>
      <c r="V78" s="1762">
        <v>4000</v>
      </c>
      <c r="W78" s="1757">
        <v>4000</v>
      </c>
      <c r="Z78" s="1773">
        <f t="shared" si="26"/>
        <v>0</v>
      </c>
      <c r="AA78" s="1773">
        <f t="shared" si="28"/>
        <v>0</v>
      </c>
      <c r="AB78" s="1773">
        <f t="shared" si="29"/>
        <v>0</v>
      </c>
      <c r="AC78" s="1773">
        <f t="shared" si="30"/>
        <v>0</v>
      </c>
      <c r="AD78" s="1773">
        <f t="shared" si="31"/>
        <v>0</v>
      </c>
      <c r="AE78" s="1773">
        <f t="shared" si="32"/>
        <v>0</v>
      </c>
      <c r="AF78" s="1773">
        <f t="shared" si="33"/>
        <v>0</v>
      </c>
      <c r="AG78" s="1773">
        <f t="shared" si="34"/>
        <v>0</v>
      </c>
      <c r="AH78" s="1773">
        <f t="shared" si="35"/>
        <v>0</v>
      </c>
      <c r="AI78" s="1773">
        <f t="shared" si="36"/>
        <v>0</v>
      </c>
      <c r="AJ78" s="1773">
        <f t="shared" si="37"/>
        <v>0</v>
      </c>
      <c r="AK78" s="1773">
        <f t="shared" si="38"/>
        <v>0</v>
      </c>
      <c r="AL78" s="1773">
        <f t="shared" si="27"/>
        <v>5000</v>
      </c>
      <c r="AN78" s="1776"/>
      <c r="AO78" s="1776"/>
      <c r="AP78" s="1776"/>
      <c r="AQ78" s="1776"/>
      <c r="AR78" s="1776"/>
      <c r="AS78" s="1776"/>
      <c r="AT78" s="1776"/>
      <c r="AU78" s="1776"/>
      <c r="AV78" s="1776"/>
      <c r="AW78" s="1776"/>
      <c r="AX78" s="1776"/>
      <c r="AY78" s="1776"/>
      <c r="AZ78" s="1776">
        <v>1</v>
      </c>
    </row>
    <row r="79" spans="1:52" ht="13.5">
      <c r="A79" s="1479" t="s">
        <v>2357</v>
      </c>
      <c r="B79" s="1479" t="s">
        <v>2358</v>
      </c>
      <c r="C79" s="1741" t="s">
        <v>2108</v>
      </c>
      <c r="D79" s="1741">
        <v>1030</v>
      </c>
      <c r="E79" s="1741">
        <v>740</v>
      </c>
      <c r="F79" s="1741" t="s">
        <v>2215</v>
      </c>
      <c r="G79" s="1741" t="s">
        <v>2214</v>
      </c>
      <c r="H79" s="1741" t="s">
        <v>1658</v>
      </c>
      <c r="I79" s="1753" t="s">
        <v>2114</v>
      </c>
      <c r="J79" s="1754"/>
      <c r="K79" s="1753" t="s">
        <v>2114</v>
      </c>
      <c r="L79" s="235" t="s">
        <v>502</v>
      </c>
      <c r="M79" s="236"/>
      <c r="N79" s="1756">
        <v>0</v>
      </c>
      <c r="O79" s="1757">
        <v>2000</v>
      </c>
      <c r="P79" s="1758">
        <v>0</v>
      </c>
      <c r="Q79" s="1759">
        <v>80000</v>
      </c>
      <c r="R79" s="1760">
        <v>20000</v>
      </c>
      <c r="S79" s="1760">
        <v>16510</v>
      </c>
      <c r="T79" s="1760">
        <v>16510</v>
      </c>
      <c r="U79" s="1761">
        <v>30000</v>
      </c>
      <c r="V79" s="1762">
        <v>80000</v>
      </c>
      <c r="W79" s="1757">
        <v>80000</v>
      </c>
      <c r="Z79" s="1773">
        <f t="shared" si="26"/>
        <v>0</v>
      </c>
      <c r="AA79" s="1773">
        <f t="shared" si="28"/>
        <v>0</v>
      </c>
      <c r="AB79" s="1773">
        <f t="shared" si="29"/>
        <v>0</v>
      </c>
      <c r="AC79" s="1773">
        <f t="shared" si="30"/>
        <v>0</v>
      </c>
      <c r="AD79" s="1773">
        <f t="shared" si="31"/>
        <v>0</v>
      </c>
      <c r="AE79" s="1773">
        <f t="shared" si="32"/>
        <v>0</v>
      </c>
      <c r="AF79" s="1773">
        <f t="shared" si="33"/>
        <v>0</v>
      </c>
      <c r="AG79" s="1773">
        <f t="shared" si="34"/>
        <v>0</v>
      </c>
      <c r="AH79" s="1773">
        <f t="shared" si="35"/>
        <v>0</v>
      </c>
      <c r="AI79" s="1773">
        <f t="shared" si="36"/>
        <v>0</v>
      </c>
      <c r="AJ79" s="1773">
        <f t="shared" si="37"/>
        <v>0</v>
      </c>
      <c r="AK79" s="1773">
        <f t="shared" si="38"/>
        <v>0</v>
      </c>
      <c r="AL79" s="1773">
        <f t="shared" si="27"/>
        <v>30000</v>
      </c>
      <c r="AN79" s="1776"/>
      <c r="AO79" s="1776"/>
      <c r="AP79" s="1776"/>
      <c r="AQ79" s="1776"/>
      <c r="AR79" s="1776"/>
      <c r="AS79" s="1776"/>
      <c r="AT79" s="1776"/>
      <c r="AU79" s="1776"/>
      <c r="AV79" s="1776"/>
      <c r="AW79" s="1776"/>
      <c r="AX79" s="1776"/>
      <c r="AY79" s="1776"/>
      <c r="AZ79" s="1776">
        <v>1</v>
      </c>
    </row>
    <row r="80" spans="1:52" ht="13.5">
      <c r="A80" s="1479" t="s">
        <v>2359</v>
      </c>
      <c r="B80" s="1479" t="s">
        <v>2247</v>
      </c>
      <c r="C80" s="1741" t="s">
        <v>2108</v>
      </c>
      <c r="D80" s="1741">
        <v>1030</v>
      </c>
      <c r="E80" s="1741">
        <v>790</v>
      </c>
      <c r="F80" s="1741" t="s">
        <v>2215</v>
      </c>
      <c r="G80" s="1741" t="s">
        <v>2214</v>
      </c>
      <c r="H80" s="1741" t="s">
        <v>1658</v>
      </c>
      <c r="I80" s="1753" t="s">
        <v>2114</v>
      </c>
      <c r="J80" s="1754" t="s">
        <v>3007</v>
      </c>
      <c r="K80" s="1753" t="s">
        <v>2114</v>
      </c>
      <c r="L80" s="235" t="s">
        <v>3007</v>
      </c>
      <c r="M80" s="236"/>
      <c r="N80" s="1756">
        <v>0</v>
      </c>
      <c r="O80" s="1757">
        <v>0</v>
      </c>
      <c r="P80" s="1758">
        <v>21120.41</v>
      </c>
      <c r="Q80" s="1759">
        <v>20000</v>
      </c>
      <c r="R80" s="1760">
        <v>40000</v>
      </c>
      <c r="S80" s="1760">
        <v>84235</v>
      </c>
      <c r="T80" s="1760">
        <v>84235</v>
      </c>
      <c r="U80" s="1761">
        <v>75000</v>
      </c>
      <c r="V80" s="1762">
        <v>70000</v>
      </c>
      <c r="W80" s="1757">
        <v>70000</v>
      </c>
      <c r="Z80" s="1773">
        <f t="shared" si="26"/>
        <v>0</v>
      </c>
      <c r="AA80" s="1773">
        <f t="shared" si="28"/>
        <v>0</v>
      </c>
      <c r="AB80" s="1773">
        <f t="shared" si="29"/>
        <v>0</v>
      </c>
      <c r="AC80" s="1773">
        <f t="shared" si="30"/>
        <v>0</v>
      </c>
      <c r="AD80" s="1773">
        <f t="shared" si="31"/>
        <v>0</v>
      </c>
      <c r="AE80" s="1773">
        <f t="shared" si="32"/>
        <v>0</v>
      </c>
      <c r="AF80" s="1773">
        <f t="shared" si="33"/>
        <v>0</v>
      </c>
      <c r="AG80" s="1773">
        <f t="shared" si="34"/>
        <v>0</v>
      </c>
      <c r="AH80" s="1773">
        <f t="shared" si="35"/>
        <v>0</v>
      </c>
      <c r="AI80" s="1773">
        <f t="shared" si="36"/>
        <v>0</v>
      </c>
      <c r="AJ80" s="1773">
        <f t="shared" si="37"/>
        <v>0</v>
      </c>
      <c r="AK80" s="1773">
        <f t="shared" si="38"/>
        <v>0</v>
      </c>
      <c r="AL80" s="1773">
        <f t="shared" si="27"/>
        <v>75000</v>
      </c>
      <c r="AN80" s="1776"/>
      <c r="AO80" s="1776"/>
      <c r="AP80" s="1776"/>
      <c r="AQ80" s="1776"/>
      <c r="AR80" s="1776"/>
      <c r="AS80" s="1776"/>
      <c r="AT80" s="1776"/>
      <c r="AU80" s="1776"/>
      <c r="AV80" s="1776"/>
      <c r="AW80" s="1776"/>
      <c r="AX80" s="1776"/>
      <c r="AY80" s="1776"/>
      <c r="AZ80" s="1776">
        <v>1</v>
      </c>
    </row>
    <row r="81" spans="1:52" ht="13.5">
      <c r="A81" s="1479" t="s">
        <v>2360</v>
      </c>
      <c r="B81" s="1479" t="s">
        <v>2295</v>
      </c>
      <c r="C81" s="1741" t="s">
        <v>2108</v>
      </c>
      <c r="D81" s="1741">
        <v>1030</v>
      </c>
      <c r="E81" s="1741">
        <v>1090</v>
      </c>
      <c r="F81" s="1741" t="s">
        <v>2215</v>
      </c>
      <c r="G81" s="1741" t="s">
        <v>2214</v>
      </c>
      <c r="H81" s="1741" t="s">
        <v>1658</v>
      </c>
      <c r="I81" s="1753" t="s">
        <v>2114</v>
      </c>
      <c r="J81" s="1754" t="s">
        <v>3012</v>
      </c>
      <c r="K81" s="1753" t="s">
        <v>2114</v>
      </c>
      <c r="L81" s="235" t="s">
        <v>3012</v>
      </c>
      <c r="M81" s="236"/>
      <c r="N81" s="1756">
        <v>1049.75</v>
      </c>
      <c r="O81" s="1757">
        <v>339.16</v>
      </c>
      <c r="P81" s="1758">
        <v>556.49</v>
      </c>
      <c r="Q81" s="1759">
        <v>600</v>
      </c>
      <c r="R81" s="1760">
        <v>1200</v>
      </c>
      <c r="S81" s="1760">
        <v>515</v>
      </c>
      <c r="T81" s="1760">
        <v>515</v>
      </c>
      <c r="U81" s="1761">
        <v>1600</v>
      </c>
      <c r="V81" s="1762">
        <f>1600*106%</f>
        <v>1696</v>
      </c>
      <c r="W81" s="1757">
        <f>V81*106%</f>
        <v>1797.76</v>
      </c>
      <c r="Z81" s="1773">
        <f t="shared" si="26"/>
        <v>0</v>
      </c>
      <c r="AA81" s="1773">
        <f t="shared" si="28"/>
        <v>0</v>
      </c>
      <c r="AB81" s="1773">
        <f t="shared" si="29"/>
        <v>0</v>
      </c>
      <c r="AC81" s="1773">
        <f t="shared" si="30"/>
        <v>0</v>
      </c>
      <c r="AD81" s="1773">
        <f t="shared" si="31"/>
        <v>0</v>
      </c>
      <c r="AE81" s="1773">
        <f t="shared" si="32"/>
        <v>0</v>
      </c>
      <c r="AF81" s="1773">
        <f t="shared" si="33"/>
        <v>0</v>
      </c>
      <c r="AG81" s="1773">
        <f t="shared" si="34"/>
        <v>0</v>
      </c>
      <c r="AH81" s="1773">
        <f t="shared" si="35"/>
        <v>0</v>
      </c>
      <c r="AI81" s="1773">
        <f t="shared" si="36"/>
        <v>0</v>
      </c>
      <c r="AJ81" s="1773">
        <f t="shared" si="37"/>
        <v>0</v>
      </c>
      <c r="AK81" s="1773">
        <f t="shared" si="38"/>
        <v>0</v>
      </c>
      <c r="AL81" s="1773">
        <f t="shared" si="27"/>
        <v>1600</v>
      </c>
      <c r="AN81" s="1776"/>
      <c r="AO81" s="1776"/>
      <c r="AP81" s="1776"/>
      <c r="AQ81" s="1776"/>
      <c r="AR81" s="1776"/>
      <c r="AS81" s="1776"/>
      <c r="AT81" s="1776"/>
      <c r="AU81" s="1776"/>
      <c r="AV81" s="1776"/>
      <c r="AW81" s="1776"/>
      <c r="AX81" s="1776"/>
      <c r="AY81" s="1776"/>
      <c r="AZ81" s="1776">
        <v>1</v>
      </c>
    </row>
    <row r="82" spans="1:52" ht="13.5">
      <c r="A82" s="1479" t="s">
        <v>2361</v>
      </c>
      <c r="B82" s="1479" t="s">
        <v>2297</v>
      </c>
      <c r="C82" s="1741" t="s">
        <v>2108</v>
      </c>
      <c r="D82" s="1741">
        <v>1030</v>
      </c>
      <c r="E82" s="1741">
        <v>1100</v>
      </c>
      <c r="F82" s="1741" t="s">
        <v>2215</v>
      </c>
      <c r="G82" s="1741" t="s">
        <v>2214</v>
      </c>
      <c r="H82" s="1741" t="s">
        <v>1658</v>
      </c>
      <c r="I82" s="1753" t="s">
        <v>2114</v>
      </c>
      <c r="J82" s="1754" t="s">
        <v>3012</v>
      </c>
      <c r="K82" s="1753" t="s">
        <v>2114</v>
      </c>
      <c r="L82" s="235" t="s">
        <v>3012</v>
      </c>
      <c r="M82" s="179"/>
      <c r="N82" s="1756">
        <v>3969.77</v>
      </c>
      <c r="O82" s="1757">
        <v>4198.93</v>
      </c>
      <c r="P82" s="1758">
        <v>4190.29</v>
      </c>
      <c r="Q82" s="1759">
        <v>4800</v>
      </c>
      <c r="R82" s="1760">
        <v>20000</v>
      </c>
      <c r="S82" s="1760">
        <v>9614</v>
      </c>
      <c r="T82" s="1760">
        <v>9614</v>
      </c>
      <c r="U82" s="1761">
        <v>20000</v>
      </c>
      <c r="V82" s="1762">
        <f>U82*120.38%</f>
        <v>24076</v>
      </c>
      <c r="W82" s="1757">
        <f>V82*120.38%</f>
        <v>28982.6888</v>
      </c>
      <c r="Z82" s="1773">
        <f t="shared" si="26"/>
        <v>0</v>
      </c>
      <c r="AA82" s="1773">
        <f t="shared" si="28"/>
        <v>0</v>
      </c>
      <c r="AB82" s="1773">
        <f t="shared" si="29"/>
        <v>0</v>
      </c>
      <c r="AC82" s="1773">
        <f t="shared" si="30"/>
        <v>0</v>
      </c>
      <c r="AD82" s="1773">
        <f t="shared" si="31"/>
        <v>0</v>
      </c>
      <c r="AE82" s="1773">
        <f t="shared" si="32"/>
        <v>0</v>
      </c>
      <c r="AF82" s="1773">
        <f t="shared" si="33"/>
        <v>0</v>
      </c>
      <c r="AG82" s="1773">
        <f t="shared" si="34"/>
        <v>0</v>
      </c>
      <c r="AH82" s="1773">
        <f t="shared" si="35"/>
        <v>0</v>
      </c>
      <c r="AI82" s="1773">
        <f t="shared" si="36"/>
        <v>0</v>
      </c>
      <c r="AJ82" s="1773">
        <f t="shared" si="37"/>
        <v>0</v>
      </c>
      <c r="AK82" s="1773">
        <f t="shared" si="38"/>
        <v>0</v>
      </c>
      <c r="AL82" s="1773">
        <f t="shared" si="27"/>
        <v>20000</v>
      </c>
      <c r="AN82" s="1776"/>
      <c r="AO82" s="1776"/>
      <c r="AP82" s="1776"/>
      <c r="AQ82" s="1776"/>
      <c r="AR82" s="1776"/>
      <c r="AS82" s="1776"/>
      <c r="AT82" s="1776"/>
      <c r="AU82" s="1776"/>
      <c r="AV82" s="1776"/>
      <c r="AW82" s="1776"/>
      <c r="AX82" s="1776"/>
      <c r="AY82" s="1776"/>
      <c r="AZ82" s="1776">
        <v>1</v>
      </c>
    </row>
    <row r="83" spans="1:52" ht="13.5">
      <c r="A83" s="1479" t="s">
        <v>2362</v>
      </c>
      <c r="B83" s="1479" t="s">
        <v>2299</v>
      </c>
      <c r="C83" s="1741" t="s">
        <v>2108</v>
      </c>
      <c r="D83" s="1741">
        <v>1030</v>
      </c>
      <c r="E83" s="1741">
        <v>1110</v>
      </c>
      <c r="F83" s="1741" t="s">
        <v>2215</v>
      </c>
      <c r="G83" s="1741" t="s">
        <v>2214</v>
      </c>
      <c r="H83" s="1741" t="s">
        <v>1658</v>
      </c>
      <c r="I83" s="1753" t="s">
        <v>2114</v>
      </c>
      <c r="J83" s="1754" t="s">
        <v>3012</v>
      </c>
      <c r="K83" s="1753" t="s">
        <v>2114</v>
      </c>
      <c r="L83" s="235" t="s">
        <v>3012</v>
      </c>
      <c r="M83" s="236"/>
      <c r="N83" s="1756">
        <v>683.76</v>
      </c>
      <c r="O83" s="1757">
        <v>722.24</v>
      </c>
      <c r="P83" s="1758">
        <v>770.6</v>
      </c>
      <c r="Q83" s="1759">
        <v>815</v>
      </c>
      <c r="R83" s="1760">
        <v>1500</v>
      </c>
      <c r="S83" s="1760">
        <v>814</v>
      </c>
      <c r="T83" s="1760">
        <v>814</v>
      </c>
      <c r="U83" s="1761">
        <v>2000</v>
      </c>
      <c r="V83" s="1762">
        <f>U83*106%</f>
        <v>2120</v>
      </c>
      <c r="W83" s="1757">
        <f>V83*106%</f>
        <v>2247.2000000000003</v>
      </c>
      <c r="Z83" s="1773">
        <f t="shared" si="26"/>
        <v>0</v>
      </c>
      <c r="AA83" s="1773">
        <f t="shared" si="28"/>
        <v>0</v>
      </c>
      <c r="AB83" s="1773">
        <f t="shared" si="29"/>
        <v>0</v>
      </c>
      <c r="AC83" s="1773">
        <f t="shared" si="30"/>
        <v>0</v>
      </c>
      <c r="AD83" s="1773">
        <f t="shared" si="31"/>
        <v>0</v>
      </c>
      <c r="AE83" s="1773">
        <f t="shared" si="32"/>
        <v>0</v>
      </c>
      <c r="AF83" s="1773">
        <f t="shared" si="33"/>
        <v>0</v>
      </c>
      <c r="AG83" s="1773">
        <f t="shared" si="34"/>
        <v>0</v>
      </c>
      <c r="AH83" s="1773">
        <f t="shared" si="35"/>
        <v>0</v>
      </c>
      <c r="AI83" s="1773">
        <f t="shared" si="36"/>
        <v>0</v>
      </c>
      <c r="AJ83" s="1773">
        <f t="shared" si="37"/>
        <v>0</v>
      </c>
      <c r="AK83" s="1773">
        <f t="shared" si="38"/>
        <v>0</v>
      </c>
      <c r="AL83" s="1773">
        <f t="shared" si="27"/>
        <v>2000</v>
      </c>
      <c r="AN83" s="1776"/>
      <c r="AO83" s="1776"/>
      <c r="AP83" s="1776"/>
      <c r="AQ83" s="1776"/>
      <c r="AR83" s="1776"/>
      <c r="AS83" s="1776"/>
      <c r="AT83" s="1776"/>
      <c r="AU83" s="1776"/>
      <c r="AV83" s="1776"/>
      <c r="AW83" s="1776"/>
      <c r="AX83" s="1776"/>
      <c r="AY83" s="1776"/>
      <c r="AZ83" s="1776">
        <v>1</v>
      </c>
    </row>
    <row r="84" spans="1:52" ht="13.5">
      <c r="A84" s="1479" t="s">
        <v>2363</v>
      </c>
      <c r="B84" s="1479" t="s">
        <v>2249</v>
      </c>
      <c r="C84" s="1741" t="s">
        <v>2108</v>
      </c>
      <c r="D84" s="1741">
        <v>1030</v>
      </c>
      <c r="E84" s="1741">
        <v>1410</v>
      </c>
      <c r="F84" s="1741" t="s">
        <v>2215</v>
      </c>
      <c r="G84" s="1741" t="s">
        <v>2214</v>
      </c>
      <c r="H84" s="1741" t="s">
        <v>1658</v>
      </c>
      <c r="I84" s="1753" t="s">
        <v>2114</v>
      </c>
      <c r="J84" s="1754" t="s">
        <v>3008</v>
      </c>
      <c r="K84" s="1753" t="s">
        <v>2114</v>
      </c>
      <c r="L84" s="235" t="s">
        <v>3008</v>
      </c>
      <c r="M84" s="236"/>
      <c r="N84" s="1756">
        <v>21840.81</v>
      </c>
      <c r="O84" s="1757">
        <v>0</v>
      </c>
      <c r="P84" s="1758">
        <v>46469.95</v>
      </c>
      <c r="Q84" s="1759">
        <v>55000</v>
      </c>
      <c r="R84" s="1760">
        <v>55000</v>
      </c>
      <c r="S84" s="1760">
        <v>60666</v>
      </c>
      <c r="T84" s="1760">
        <v>60666</v>
      </c>
      <c r="U84" s="1761">
        <v>60000</v>
      </c>
      <c r="V84" s="1762">
        <v>60000</v>
      </c>
      <c r="W84" s="1757">
        <v>60000</v>
      </c>
      <c r="Z84" s="1773">
        <f t="shared" si="26"/>
        <v>0</v>
      </c>
      <c r="AA84" s="1773">
        <f t="shared" si="28"/>
        <v>0</v>
      </c>
      <c r="AB84" s="1773">
        <f t="shared" si="29"/>
        <v>0</v>
      </c>
      <c r="AC84" s="1773">
        <f t="shared" si="30"/>
        <v>0</v>
      </c>
      <c r="AD84" s="1773">
        <f t="shared" si="31"/>
        <v>0</v>
      </c>
      <c r="AE84" s="1773">
        <f t="shared" si="32"/>
        <v>0</v>
      </c>
      <c r="AF84" s="1773">
        <f t="shared" si="33"/>
        <v>0</v>
      </c>
      <c r="AG84" s="1773">
        <f t="shared" si="34"/>
        <v>0</v>
      </c>
      <c r="AH84" s="1773">
        <f t="shared" si="35"/>
        <v>0</v>
      </c>
      <c r="AI84" s="1773">
        <f t="shared" si="36"/>
        <v>0</v>
      </c>
      <c r="AJ84" s="1773">
        <f t="shared" si="37"/>
        <v>0</v>
      </c>
      <c r="AK84" s="1773">
        <f t="shared" si="38"/>
        <v>0</v>
      </c>
      <c r="AL84" s="1773">
        <f t="shared" si="27"/>
        <v>60000</v>
      </c>
      <c r="AN84" s="1776"/>
      <c r="AO84" s="1776"/>
      <c r="AP84" s="1776"/>
      <c r="AQ84" s="1776"/>
      <c r="AR84" s="1776"/>
      <c r="AS84" s="1776"/>
      <c r="AT84" s="1776"/>
      <c r="AU84" s="1776"/>
      <c r="AV84" s="1776"/>
      <c r="AW84" s="1776"/>
      <c r="AX84" s="1776"/>
      <c r="AY84" s="1776"/>
      <c r="AZ84" s="1776">
        <v>1</v>
      </c>
    </row>
    <row r="85" spans="1:52" ht="13.5">
      <c r="A85" s="1479" t="s">
        <v>2364</v>
      </c>
      <c r="B85" s="1479" t="s">
        <v>2365</v>
      </c>
      <c r="C85" s="1741" t="s">
        <v>2108</v>
      </c>
      <c r="D85" s="1741">
        <v>1030</v>
      </c>
      <c r="E85" s="1741">
        <v>1468</v>
      </c>
      <c r="F85" s="1741" t="s">
        <v>2215</v>
      </c>
      <c r="G85" s="1741" t="s">
        <v>2214</v>
      </c>
      <c r="H85" s="1741" t="s">
        <v>1658</v>
      </c>
      <c r="I85" s="1753" t="s">
        <v>2069</v>
      </c>
      <c r="J85" s="1754"/>
      <c r="K85" s="1753" t="s">
        <v>501</v>
      </c>
      <c r="L85" s="235" t="s">
        <v>2171</v>
      </c>
      <c r="M85" s="236"/>
      <c r="N85" s="1756">
        <v>0</v>
      </c>
      <c r="O85" s="1757">
        <v>119668.18</v>
      </c>
      <c r="P85" s="1758">
        <v>3075.21</v>
      </c>
      <c r="Q85" s="1759">
        <v>5000</v>
      </c>
      <c r="R85" s="1760">
        <v>5000</v>
      </c>
      <c r="S85" s="1760">
        <v>2176</v>
      </c>
      <c r="T85" s="1760">
        <v>2176</v>
      </c>
      <c r="U85" s="1761">
        <v>5000</v>
      </c>
      <c r="V85" s="1762">
        <v>5000</v>
      </c>
      <c r="W85" s="1757">
        <v>5000</v>
      </c>
      <c r="Z85" s="1773">
        <f t="shared" si="26"/>
        <v>0</v>
      </c>
      <c r="AA85" s="1773">
        <f t="shared" si="28"/>
        <v>0</v>
      </c>
      <c r="AB85" s="1773">
        <f t="shared" si="29"/>
        <v>0</v>
      </c>
      <c r="AC85" s="1773">
        <f t="shared" si="30"/>
        <v>0</v>
      </c>
      <c r="AD85" s="1773">
        <f t="shared" si="31"/>
        <v>0</v>
      </c>
      <c r="AE85" s="1773">
        <f t="shared" si="32"/>
        <v>0</v>
      </c>
      <c r="AF85" s="1773">
        <f t="shared" si="33"/>
        <v>0</v>
      </c>
      <c r="AG85" s="1773">
        <f t="shared" si="34"/>
        <v>0</v>
      </c>
      <c r="AH85" s="1773">
        <f t="shared" si="35"/>
        <v>0</v>
      </c>
      <c r="AI85" s="1773">
        <f t="shared" si="36"/>
        <v>0</v>
      </c>
      <c r="AJ85" s="1773">
        <f t="shared" si="37"/>
        <v>0</v>
      </c>
      <c r="AK85" s="1773">
        <f t="shared" si="38"/>
        <v>0</v>
      </c>
      <c r="AL85" s="1773">
        <f t="shared" si="27"/>
        <v>5000</v>
      </c>
      <c r="AN85" s="1776"/>
      <c r="AO85" s="1776"/>
      <c r="AP85" s="1776"/>
      <c r="AQ85" s="1776"/>
      <c r="AR85" s="1776"/>
      <c r="AS85" s="1776"/>
      <c r="AT85" s="1776"/>
      <c r="AU85" s="1776"/>
      <c r="AV85" s="1776"/>
      <c r="AW85" s="1776"/>
      <c r="AX85" s="1776"/>
      <c r="AY85" s="1776"/>
      <c r="AZ85" s="1776">
        <v>1</v>
      </c>
    </row>
    <row r="86" spans="1:52">
      <c r="A86" t="s">
        <v>2366</v>
      </c>
      <c r="B86" t="s">
        <v>2367</v>
      </c>
      <c r="C86" s="1741" t="s">
        <v>2108</v>
      </c>
      <c r="D86" s="1741">
        <v>1030</v>
      </c>
      <c r="E86" s="1741">
        <v>1472</v>
      </c>
      <c r="F86" s="1741" t="s">
        <v>2215</v>
      </c>
      <c r="G86" s="1741" t="s">
        <v>2214</v>
      </c>
      <c r="H86" s="1741" t="s">
        <v>1658</v>
      </c>
      <c r="I86" s="1753" t="s">
        <v>2114</v>
      </c>
      <c r="J86" s="1754"/>
      <c r="K86" s="1753" t="s">
        <v>2114</v>
      </c>
      <c r="L86" s="1754" t="s">
        <v>502</v>
      </c>
      <c r="M86" s="1754"/>
      <c r="N86" s="1756">
        <v>0</v>
      </c>
      <c r="O86" s="1757">
        <v>0</v>
      </c>
      <c r="P86" s="1758">
        <v>0</v>
      </c>
      <c r="Q86" s="1759">
        <v>50000</v>
      </c>
      <c r="R86" s="1760">
        <v>50000</v>
      </c>
      <c r="S86" s="1760">
        <v>8426</v>
      </c>
      <c r="T86" s="1760">
        <v>8426</v>
      </c>
      <c r="U86" s="1761">
        <v>50000</v>
      </c>
      <c r="V86" s="1762">
        <v>50000</v>
      </c>
      <c r="W86" s="1757">
        <v>50000</v>
      </c>
      <c r="Z86" s="1773">
        <f t="shared" si="26"/>
        <v>0</v>
      </c>
      <c r="AA86" s="1773">
        <f t="shared" si="28"/>
        <v>0</v>
      </c>
      <c r="AB86" s="1773">
        <f t="shared" si="29"/>
        <v>0</v>
      </c>
      <c r="AC86" s="1773">
        <f t="shared" si="30"/>
        <v>0</v>
      </c>
      <c r="AD86" s="1773">
        <f t="shared" si="31"/>
        <v>0</v>
      </c>
      <c r="AE86" s="1773">
        <f t="shared" si="32"/>
        <v>0</v>
      </c>
      <c r="AF86" s="1773">
        <f t="shared" si="33"/>
        <v>0</v>
      </c>
      <c r="AG86" s="1773">
        <f t="shared" si="34"/>
        <v>0</v>
      </c>
      <c r="AH86" s="1773">
        <f t="shared" si="35"/>
        <v>0</v>
      </c>
      <c r="AI86" s="1773">
        <f t="shared" si="36"/>
        <v>0</v>
      </c>
      <c r="AJ86" s="1773">
        <f t="shared" si="37"/>
        <v>0</v>
      </c>
      <c r="AK86" s="1773">
        <f t="shared" si="38"/>
        <v>0</v>
      </c>
      <c r="AL86" s="1773">
        <f t="shared" si="27"/>
        <v>50000</v>
      </c>
      <c r="AN86" s="1776"/>
      <c r="AO86" s="1776"/>
      <c r="AP86" s="1776"/>
      <c r="AQ86" s="1776"/>
      <c r="AR86" s="1776"/>
      <c r="AS86" s="1776"/>
      <c r="AT86" s="1776"/>
      <c r="AU86" s="1776"/>
      <c r="AV86" s="1776"/>
      <c r="AW86" s="1776"/>
      <c r="AX86" s="1776"/>
      <c r="AY86" s="1776"/>
      <c r="AZ86" s="1776">
        <v>1</v>
      </c>
    </row>
    <row r="87" spans="1:52">
      <c r="A87" t="s">
        <v>2368</v>
      </c>
      <c r="B87" t="s">
        <v>2369</v>
      </c>
      <c r="C87" s="1741" t="s">
        <v>2108</v>
      </c>
      <c r="D87" s="1741">
        <v>1030</v>
      </c>
      <c r="E87" s="1741">
        <v>1473</v>
      </c>
      <c r="F87" s="1741" t="s">
        <v>2215</v>
      </c>
      <c r="G87" s="1741" t="s">
        <v>2214</v>
      </c>
      <c r="H87" s="1741" t="s">
        <v>1658</v>
      </c>
      <c r="I87" s="1753" t="s">
        <v>2114</v>
      </c>
      <c r="J87" s="1754"/>
      <c r="K87" s="1753" t="s">
        <v>2114</v>
      </c>
      <c r="L87" s="1754" t="s">
        <v>502</v>
      </c>
      <c r="M87" s="1754"/>
      <c r="N87" s="1756">
        <v>0</v>
      </c>
      <c r="O87" s="1757">
        <v>0</v>
      </c>
      <c r="P87" s="1758">
        <v>0</v>
      </c>
      <c r="Q87" s="1759">
        <v>2000</v>
      </c>
      <c r="R87" s="1760">
        <v>0</v>
      </c>
      <c r="S87" s="1760">
        <v>0</v>
      </c>
      <c r="T87" s="1760">
        <v>0</v>
      </c>
      <c r="U87" s="1761">
        <v>50000</v>
      </c>
      <c r="V87" s="1762">
        <v>2000</v>
      </c>
      <c r="W87" s="1757">
        <v>2000</v>
      </c>
      <c r="Z87" s="1773">
        <f t="shared" si="26"/>
        <v>0</v>
      </c>
      <c r="AA87" s="1773">
        <f t="shared" si="28"/>
        <v>0</v>
      </c>
      <c r="AB87" s="1773">
        <f t="shared" si="29"/>
        <v>0</v>
      </c>
      <c r="AC87" s="1773">
        <f t="shared" si="30"/>
        <v>0</v>
      </c>
      <c r="AD87" s="1773">
        <f t="shared" si="31"/>
        <v>0</v>
      </c>
      <c r="AE87" s="1773">
        <f t="shared" si="32"/>
        <v>0</v>
      </c>
      <c r="AF87" s="1773">
        <f t="shared" si="33"/>
        <v>0</v>
      </c>
      <c r="AG87" s="1773">
        <f t="shared" si="34"/>
        <v>0</v>
      </c>
      <c r="AH87" s="1773">
        <f t="shared" si="35"/>
        <v>0</v>
      </c>
      <c r="AI87" s="1773">
        <f t="shared" si="36"/>
        <v>0</v>
      </c>
      <c r="AJ87" s="1773">
        <f t="shared" si="37"/>
        <v>0</v>
      </c>
      <c r="AK87" s="1773">
        <f t="shared" si="38"/>
        <v>0</v>
      </c>
      <c r="AL87" s="1773">
        <f t="shared" si="27"/>
        <v>50000</v>
      </c>
      <c r="AN87" s="1776"/>
      <c r="AO87" s="1776"/>
      <c r="AP87" s="1776"/>
      <c r="AQ87" s="1776"/>
      <c r="AR87" s="1776"/>
      <c r="AS87" s="1776"/>
      <c r="AT87" s="1776"/>
      <c r="AU87" s="1776"/>
      <c r="AV87" s="1776"/>
      <c r="AW87" s="1776"/>
      <c r="AX87" s="1776"/>
      <c r="AY87" s="1776"/>
      <c r="AZ87" s="1776">
        <v>1</v>
      </c>
    </row>
    <row r="88" spans="1:52">
      <c r="A88" s="1479" t="s">
        <v>2370</v>
      </c>
      <c r="B88" s="1479" t="s">
        <v>2253</v>
      </c>
      <c r="C88" s="1741" t="s">
        <v>2108</v>
      </c>
      <c r="D88" s="1741">
        <v>1030</v>
      </c>
      <c r="E88" s="1741">
        <v>3510</v>
      </c>
      <c r="F88" s="1741" t="s">
        <v>2215</v>
      </c>
      <c r="G88" s="1741" t="s">
        <v>2214</v>
      </c>
      <c r="H88" s="1741" t="s">
        <v>1658</v>
      </c>
      <c r="I88" s="1753" t="s">
        <v>464</v>
      </c>
      <c r="J88" s="1754"/>
      <c r="K88" s="1753" t="s">
        <v>2114</v>
      </c>
      <c r="L88" s="1754" t="s">
        <v>3029</v>
      </c>
      <c r="M88" s="1754"/>
      <c r="N88" s="1756">
        <v>17287.96</v>
      </c>
      <c r="O88" s="1757">
        <v>0</v>
      </c>
      <c r="P88" s="1758">
        <v>26953.79</v>
      </c>
      <c r="Q88" s="1759">
        <v>50000</v>
      </c>
      <c r="R88" s="1760">
        <v>120000</v>
      </c>
      <c r="S88" s="1760">
        <v>74415</v>
      </c>
      <c r="T88" s="1760">
        <v>74415</v>
      </c>
      <c r="U88" s="1761">
        <v>120000</v>
      </c>
      <c r="V88" s="1762">
        <v>125000</v>
      </c>
      <c r="W88" s="1757">
        <v>130000</v>
      </c>
      <c r="Z88" s="1773">
        <f t="shared" si="26"/>
        <v>0</v>
      </c>
      <c r="AA88" s="1773">
        <f t="shared" si="28"/>
        <v>0</v>
      </c>
      <c r="AB88" s="1773">
        <f t="shared" si="29"/>
        <v>0</v>
      </c>
      <c r="AC88" s="1773">
        <f t="shared" si="30"/>
        <v>0</v>
      </c>
      <c r="AD88" s="1773">
        <f t="shared" si="31"/>
        <v>0</v>
      </c>
      <c r="AE88" s="1773">
        <f t="shared" si="32"/>
        <v>0</v>
      </c>
      <c r="AF88" s="1773">
        <f t="shared" si="33"/>
        <v>0</v>
      </c>
      <c r="AG88" s="1773">
        <f t="shared" si="34"/>
        <v>0</v>
      </c>
      <c r="AH88" s="1773">
        <f t="shared" si="35"/>
        <v>0</v>
      </c>
      <c r="AI88" s="1773">
        <f t="shared" si="36"/>
        <v>0</v>
      </c>
      <c r="AJ88" s="1773">
        <f t="shared" si="37"/>
        <v>0</v>
      </c>
      <c r="AK88" s="1773">
        <f t="shared" si="38"/>
        <v>0</v>
      </c>
      <c r="AL88" s="1773">
        <f t="shared" si="27"/>
        <v>120000</v>
      </c>
      <c r="AN88" s="1776"/>
      <c r="AO88" s="1776"/>
      <c r="AP88" s="1776"/>
      <c r="AQ88" s="1776"/>
      <c r="AR88" s="1776"/>
      <c r="AS88" s="1776"/>
      <c r="AT88" s="1776"/>
      <c r="AU88" s="1776"/>
      <c r="AV88" s="1776"/>
      <c r="AW88" s="1776"/>
      <c r="AX88" s="1776"/>
      <c r="AY88" s="1776"/>
      <c r="AZ88" s="1776">
        <v>1</v>
      </c>
    </row>
    <row r="89" spans="1:52">
      <c r="A89" s="1479" t="s">
        <v>2371</v>
      </c>
      <c r="B89" s="1479" t="s">
        <v>2310</v>
      </c>
      <c r="C89" s="1741" t="s">
        <v>2108</v>
      </c>
      <c r="D89" s="1741">
        <v>1030</v>
      </c>
      <c r="E89" s="1741">
        <v>4120</v>
      </c>
      <c r="F89" s="1741" t="s">
        <v>2215</v>
      </c>
      <c r="G89" s="1741" t="s">
        <v>2214</v>
      </c>
      <c r="H89" s="1741" t="s">
        <v>1658</v>
      </c>
      <c r="I89" s="1753" t="s">
        <v>464</v>
      </c>
      <c r="J89" s="1754"/>
      <c r="K89" s="1753" t="s">
        <v>2114</v>
      </c>
      <c r="L89" s="1754" t="s">
        <v>3029</v>
      </c>
      <c r="M89" s="1754"/>
      <c r="N89" s="1756">
        <v>0</v>
      </c>
      <c r="O89" s="1757">
        <v>0</v>
      </c>
      <c r="P89" s="1758">
        <v>33944.25</v>
      </c>
      <c r="Q89" s="1759">
        <v>0</v>
      </c>
      <c r="R89" s="1760">
        <v>160000</v>
      </c>
      <c r="S89" s="1760">
        <v>131329</v>
      </c>
      <c r="T89" s="1760">
        <v>131329</v>
      </c>
      <c r="U89" s="1761">
        <v>160000</v>
      </c>
      <c r="V89" s="1762">
        <v>160000</v>
      </c>
      <c r="W89" s="1757">
        <v>160000</v>
      </c>
      <c r="Z89" s="1773">
        <f t="shared" si="26"/>
        <v>0</v>
      </c>
      <c r="AA89" s="1773">
        <f t="shared" si="28"/>
        <v>0</v>
      </c>
      <c r="AB89" s="1773">
        <f t="shared" si="29"/>
        <v>0</v>
      </c>
      <c r="AC89" s="1773">
        <f t="shared" si="30"/>
        <v>0</v>
      </c>
      <c r="AD89" s="1773">
        <f t="shared" si="31"/>
        <v>0</v>
      </c>
      <c r="AE89" s="1773">
        <f t="shared" si="32"/>
        <v>0</v>
      </c>
      <c r="AF89" s="1773">
        <f t="shared" si="33"/>
        <v>0</v>
      </c>
      <c r="AG89" s="1773">
        <f t="shared" si="34"/>
        <v>0</v>
      </c>
      <c r="AH89" s="1773">
        <f t="shared" si="35"/>
        <v>0</v>
      </c>
      <c r="AI89" s="1773">
        <f t="shared" si="36"/>
        <v>0</v>
      </c>
      <c r="AJ89" s="1773">
        <f t="shared" si="37"/>
        <v>0</v>
      </c>
      <c r="AK89" s="1773">
        <f t="shared" si="38"/>
        <v>0</v>
      </c>
      <c r="AL89" s="1773">
        <f t="shared" si="27"/>
        <v>160000</v>
      </c>
      <c r="AN89" s="1776"/>
      <c r="AO89" s="1776"/>
      <c r="AP89" s="1776"/>
      <c r="AQ89" s="1776"/>
      <c r="AR89" s="1776"/>
      <c r="AS89" s="1776"/>
      <c r="AT89" s="1776"/>
      <c r="AU89" s="1776"/>
      <c r="AV89" s="1776"/>
      <c r="AW89" s="1776"/>
      <c r="AX89" s="1776"/>
      <c r="AY89" s="1776"/>
      <c r="AZ89" s="1776">
        <v>1</v>
      </c>
    </row>
    <row r="90" spans="1:52">
      <c r="A90" s="1479" t="s">
        <v>2372</v>
      </c>
      <c r="B90" s="1479" t="s">
        <v>2373</v>
      </c>
      <c r="C90" s="1741" t="s">
        <v>2108</v>
      </c>
      <c r="D90" s="1741">
        <v>1030</v>
      </c>
      <c r="E90" s="1741">
        <v>5110</v>
      </c>
      <c r="F90" s="1741" t="s">
        <v>2215</v>
      </c>
      <c r="G90" s="1741" t="s">
        <v>2214</v>
      </c>
      <c r="H90" s="1741" t="s">
        <v>586</v>
      </c>
      <c r="I90" s="1753" t="s">
        <v>494</v>
      </c>
      <c r="J90" s="1754"/>
      <c r="K90" s="1754" t="s">
        <v>494</v>
      </c>
      <c r="L90" s="1754" t="s">
        <v>494</v>
      </c>
      <c r="M90" s="1754"/>
      <c r="N90" s="1756">
        <v>-3783125.99</v>
      </c>
      <c r="O90" s="1757">
        <v>-4273494.01</v>
      </c>
      <c r="P90" s="1758">
        <v>-4431174.97</v>
      </c>
      <c r="Q90" s="1759">
        <v>-10000000</v>
      </c>
      <c r="R90" s="1760">
        <v>-11300000</v>
      </c>
      <c r="S90" s="1760">
        <v>-7937238</v>
      </c>
      <c r="T90" s="1760">
        <v>-7937238</v>
      </c>
      <c r="U90" s="1761">
        <v>-16000000</v>
      </c>
      <c r="V90" s="1762">
        <v>-16500000</v>
      </c>
      <c r="W90" s="1757">
        <v>-17000000</v>
      </c>
      <c r="Z90" s="1773">
        <f t="shared" si="26"/>
        <v>0</v>
      </c>
      <c r="AA90" s="1773">
        <f t="shared" si="28"/>
        <v>0</v>
      </c>
      <c r="AB90" s="1773">
        <f t="shared" si="29"/>
        <v>0</v>
      </c>
      <c r="AC90" s="1773">
        <f t="shared" si="30"/>
        <v>0</v>
      </c>
      <c r="AD90" s="1773">
        <f t="shared" si="31"/>
        <v>0</v>
      </c>
      <c r="AE90" s="1773">
        <f t="shared" si="32"/>
        <v>0</v>
      </c>
      <c r="AF90" s="1773">
        <f t="shared" si="33"/>
        <v>0</v>
      </c>
      <c r="AG90" s="1773">
        <f t="shared" si="34"/>
        <v>0</v>
      </c>
      <c r="AH90" s="1773">
        <f t="shared" si="35"/>
        <v>0</v>
      </c>
      <c r="AI90" s="1773">
        <f t="shared" si="36"/>
        <v>0</v>
      </c>
      <c r="AJ90" s="1773">
        <f t="shared" si="37"/>
        <v>0</v>
      </c>
      <c r="AK90" s="1773">
        <f t="shared" si="38"/>
        <v>0</v>
      </c>
      <c r="AL90" s="1773">
        <f t="shared" si="27"/>
        <v>-16000000</v>
      </c>
      <c r="AN90" s="1776"/>
      <c r="AO90" s="1776"/>
      <c r="AP90" s="1776"/>
      <c r="AQ90" s="1776"/>
      <c r="AR90" s="1776"/>
      <c r="AS90" s="1776"/>
      <c r="AT90" s="1776"/>
      <c r="AU90" s="1776"/>
      <c r="AV90" s="1776"/>
      <c r="AW90" s="1776"/>
      <c r="AX90" s="1776"/>
      <c r="AY90" s="1776"/>
      <c r="AZ90" s="1776">
        <v>1</v>
      </c>
    </row>
    <row r="91" spans="1:52">
      <c r="A91" s="1479" t="s">
        <v>2374</v>
      </c>
      <c r="B91" s="1479" t="s">
        <v>2375</v>
      </c>
      <c r="C91" s="1741" t="s">
        <v>2108</v>
      </c>
      <c r="D91" s="1741">
        <v>1030</v>
      </c>
      <c r="E91" s="1741">
        <v>5160</v>
      </c>
      <c r="F91" s="1741" t="s">
        <v>2215</v>
      </c>
      <c r="G91" s="1741" t="s">
        <v>2214</v>
      </c>
      <c r="H91" s="1741" t="s">
        <v>586</v>
      </c>
      <c r="I91" s="1753" t="s">
        <v>494</v>
      </c>
      <c r="J91" s="1754"/>
      <c r="K91" s="1754" t="s">
        <v>494</v>
      </c>
      <c r="L91" s="1754" t="s">
        <v>494</v>
      </c>
      <c r="M91" s="1754"/>
      <c r="N91" s="1756">
        <v>-87300</v>
      </c>
      <c r="O91" s="1757">
        <v>-166510</v>
      </c>
      <c r="P91" s="1758">
        <v>-286971.5</v>
      </c>
      <c r="Q91" s="1759">
        <v>-380000</v>
      </c>
      <c r="R91" s="1760">
        <v>-380000</v>
      </c>
      <c r="S91" s="1760">
        <v>-197030</v>
      </c>
      <c r="T91" s="1760">
        <v>-197030</v>
      </c>
      <c r="U91" s="1761">
        <v>-100000</v>
      </c>
      <c r="V91" s="1762">
        <v>-380000</v>
      </c>
      <c r="W91" s="1757">
        <v>-380000</v>
      </c>
      <c r="Z91" s="1773">
        <f t="shared" si="26"/>
        <v>0</v>
      </c>
      <c r="AA91" s="1773">
        <f t="shared" si="28"/>
        <v>0</v>
      </c>
      <c r="AB91" s="1773">
        <f t="shared" si="29"/>
        <v>0</v>
      </c>
      <c r="AC91" s="1773">
        <f t="shared" si="30"/>
        <v>0</v>
      </c>
      <c r="AD91" s="1773">
        <f t="shared" si="31"/>
        <v>0</v>
      </c>
      <c r="AE91" s="1773">
        <f t="shared" si="32"/>
        <v>0</v>
      </c>
      <c r="AF91" s="1773">
        <f t="shared" si="33"/>
        <v>0</v>
      </c>
      <c r="AG91" s="1773">
        <f t="shared" si="34"/>
        <v>0</v>
      </c>
      <c r="AH91" s="1773">
        <f t="shared" si="35"/>
        <v>0</v>
      </c>
      <c r="AI91" s="1773">
        <f t="shared" si="36"/>
        <v>0</v>
      </c>
      <c r="AJ91" s="1773">
        <f t="shared" si="37"/>
        <v>0</v>
      </c>
      <c r="AK91" s="1773">
        <f t="shared" si="38"/>
        <v>0</v>
      </c>
      <c r="AL91" s="1773">
        <f t="shared" si="27"/>
        <v>-100000</v>
      </c>
      <c r="AN91" s="1776"/>
      <c r="AO91" s="1776"/>
      <c r="AP91" s="1776"/>
      <c r="AQ91" s="1776"/>
      <c r="AR91" s="1776"/>
      <c r="AS91" s="1776"/>
      <c r="AT91" s="1776"/>
      <c r="AU91" s="1776"/>
      <c r="AV91" s="1776"/>
      <c r="AW91" s="1776"/>
      <c r="AX91" s="1776"/>
      <c r="AY91" s="1776"/>
      <c r="AZ91" s="1776">
        <v>1</v>
      </c>
    </row>
    <row r="92" spans="1:52">
      <c r="A92" s="1479" t="s">
        <v>2376</v>
      </c>
      <c r="B92" s="1479" t="s">
        <v>2377</v>
      </c>
      <c r="C92" s="1742" t="s">
        <v>2108</v>
      </c>
      <c r="D92" s="1742">
        <v>1030</v>
      </c>
      <c r="E92" s="1742">
        <v>5180</v>
      </c>
      <c r="F92" s="1742" t="s">
        <v>2215</v>
      </c>
      <c r="G92" s="1742" t="s">
        <v>2214</v>
      </c>
      <c r="H92" s="1742" t="s">
        <v>586</v>
      </c>
      <c r="I92" s="1764" t="s">
        <v>2135</v>
      </c>
      <c r="J92" s="1765"/>
      <c r="K92" s="1765" t="s">
        <v>495</v>
      </c>
      <c r="L92" s="1765" t="s">
        <v>495</v>
      </c>
      <c r="M92" s="1754"/>
      <c r="N92" s="1756">
        <v>-4848</v>
      </c>
      <c r="O92" s="1757">
        <v>-4800</v>
      </c>
      <c r="P92" s="1758">
        <v>-8620</v>
      </c>
      <c r="Q92" s="1759">
        <v>-7000</v>
      </c>
      <c r="R92" s="1760">
        <v>-7000</v>
      </c>
      <c r="S92" s="1760">
        <v>-14222</v>
      </c>
      <c r="T92" s="1760">
        <v>-14222</v>
      </c>
      <c r="U92" s="1761">
        <v>-20000</v>
      </c>
      <c r="V92" s="1762">
        <v>-7000</v>
      </c>
      <c r="W92" s="1757">
        <v>-7000</v>
      </c>
      <c r="Z92" s="1773">
        <f t="shared" si="26"/>
        <v>0</v>
      </c>
      <c r="AA92" s="1773">
        <f t="shared" si="28"/>
        <v>0</v>
      </c>
      <c r="AB92" s="1773">
        <f t="shared" si="29"/>
        <v>0</v>
      </c>
      <c r="AC92" s="1773">
        <f t="shared" si="30"/>
        <v>0</v>
      </c>
      <c r="AD92" s="1773">
        <f t="shared" si="31"/>
        <v>0</v>
      </c>
      <c r="AE92" s="1773">
        <f t="shared" si="32"/>
        <v>0</v>
      </c>
      <c r="AF92" s="1773">
        <f t="shared" si="33"/>
        <v>0</v>
      </c>
      <c r="AG92" s="1773">
        <f t="shared" si="34"/>
        <v>0</v>
      </c>
      <c r="AH92" s="1773">
        <f t="shared" si="35"/>
        <v>0</v>
      </c>
      <c r="AI92" s="1773">
        <f t="shared" si="36"/>
        <v>0</v>
      </c>
      <c r="AJ92" s="1773">
        <f t="shared" si="37"/>
        <v>0</v>
      </c>
      <c r="AK92" s="1773">
        <f t="shared" si="38"/>
        <v>0</v>
      </c>
      <c r="AL92" s="1773">
        <f t="shared" si="27"/>
        <v>-20000</v>
      </c>
      <c r="AN92" s="1776"/>
      <c r="AO92" s="1776"/>
      <c r="AP92" s="1776"/>
      <c r="AQ92" s="1776"/>
      <c r="AR92" s="1776"/>
      <c r="AS92" s="1776"/>
      <c r="AT92" s="1776"/>
      <c r="AU92" s="1776"/>
      <c r="AV92" s="1776"/>
      <c r="AW92" s="1776"/>
      <c r="AX92" s="1776"/>
      <c r="AY92" s="1776"/>
      <c r="AZ92" s="1776">
        <v>1</v>
      </c>
    </row>
    <row r="93" spans="1:52">
      <c r="A93" s="1479" t="s">
        <v>2378</v>
      </c>
      <c r="B93" s="1479" t="s">
        <v>2379</v>
      </c>
      <c r="C93" s="1741" t="s">
        <v>2108</v>
      </c>
      <c r="D93" s="1741">
        <v>1030</v>
      </c>
      <c r="E93" s="1741">
        <v>5610</v>
      </c>
      <c r="F93" s="1741" t="s">
        <v>2215</v>
      </c>
      <c r="G93" s="1741" t="s">
        <v>2214</v>
      </c>
      <c r="H93" s="1741" t="s">
        <v>586</v>
      </c>
      <c r="I93" s="1753" t="s">
        <v>2135</v>
      </c>
      <c r="J93" s="1754"/>
      <c r="K93" s="1765" t="s">
        <v>495</v>
      </c>
      <c r="L93" s="1754" t="s">
        <v>495</v>
      </c>
      <c r="M93" s="1754"/>
      <c r="N93" s="1756">
        <v>-29987.74</v>
      </c>
      <c r="O93" s="1757">
        <v>-23546.35</v>
      </c>
      <c r="P93" s="1758">
        <v>-27138.74</v>
      </c>
      <c r="Q93" s="1759">
        <v>-37000</v>
      </c>
      <c r="R93" s="1760">
        <v>-37000</v>
      </c>
      <c r="S93" s="1760">
        <v>-32297</v>
      </c>
      <c r="T93" s="1760">
        <v>-32297</v>
      </c>
      <c r="U93" s="1761">
        <v>-30000</v>
      </c>
      <c r="V93" s="1762">
        <v>-37000</v>
      </c>
      <c r="W93" s="1757">
        <v>-37000</v>
      </c>
      <c r="Z93" s="1773">
        <f t="shared" si="26"/>
        <v>0</v>
      </c>
      <c r="AA93" s="1773">
        <f t="shared" si="28"/>
        <v>0</v>
      </c>
      <c r="AB93" s="1773">
        <f t="shared" si="29"/>
        <v>0</v>
      </c>
      <c r="AC93" s="1773">
        <f t="shared" si="30"/>
        <v>0</v>
      </c>
      <c r="AD93" s="1773">
        <f t="shared" si="31"/>
        <v>0</v>
      </c>
      <c r="AE93" s="1773">
        <f t="shared" si="32"/>
        <v>0</v>
      </c>
      <c r="AF93" s="1773">
        <f t="shared" si="33"/>
        <v>0</v>
      </c>
      <c r="AG93" s="1773">
        <f t="shared" si="34"/>
        <v>0</v>
      </c>
      <c r="AH93" s="1773">
        <f t="shared" si="35"/>
        <v>0</v>
      </c>
      <c r="AI93" s="1773">
        <f t="shared" si="36"/>
        <v>0</v>
      </c>
      <c r="AJ93" s="1773">
        <f t="shared" si="37"/>
        <v>0</v>
      </c>
      <c r="AK93" s="1773">
        <f t="shared" si="38"/>
        <v>0</v>
      </c>
      <c r="AL93" s="1773">
        <f t="shared" si="27"/>
        <v>-30000</v>
      </c>
      <c r="AN93" s="1776"/>
      <c r="AO93" s="1776"/>
      <c r="AP93" s="1776"/>
      <c r="AQ93" s="1776"/>
      <c r="AR93" s="1776"/>
      <c r="AS93" s="1776"/>
      <c r="AT93" s="1776"/>
      <c r="AU93" s="1776"/>
      <c r="AV93" s="1776"/>
      <c r="AW93" s="1776"/>
      <c r="AX93" s="1776"/>
      <c r="AY93" s="1776"/>
      <c r="AZ93" s="1776">
        <v>1</v>
      </c>
    </row>
    <row r="94" spans="1:52">
      <c r="A94" s="1479" t="s">
        <v>2380</v>
      </c>
      <c r="B94" s="1479" t="s">
        <v>2381</v>
      </c>
      <c r="C94" s="1741" t="s">
        <v>2108</v>
      </c>
      <c r="D94" s="1741">
        <v>1030</v>
      </c>
      <c r="E94" s="1741">
        <v>5790</v>
      </c>
      <c r="F94" s="1741" t="s">
        <v>2215</v>
      </c>
      <c r="G94" s="1741" t="s">
        <v>2214</v>
      </c>
      <c r="H94" s="1741" t="s">
        <v>586</v>
      </c>
      <c r="I94" s="1753" t="s">
        <v>2135</v>
      </c>
      <c r="J94" s="1754"/>
      <c r="K94" s="1765" t="s">
        <v>495</v>
      </c>
      <c r="L94" s="1754" t="s">
        <v>495</v>
      </c>
      <c r="M94" s="1754"/>
      <c r="N94" s="1756">
        <v>-2762</v>
      </c>
      <c r="O94" s="1757">
        <v>-5070</v>
      </c>
      <c r="P94" s="1758">
        <v>-3678</v>
      </c>
      <c r="Q94" s="1759">
        <v>-5500</v>
      </c>
      <c r="R94" s="1760">
        <v>-5500</v>
      </c>
      <c r="S94" s="1760">
        <v>-8182</v>
      </c>
      <c r="T94" s="1760">
        <v>-8182</v>
      </c>
      <c r="U94" s="1761">
        <v>-7500</v>
      </c>
      <c r="V94" s="1762">
        <v>-5600</v>
      </c>
      <c r="W94" s="1757">
        <v>-5700</v>
      </c>
      <c r="Z94" s="1773">
        <f t="shared" si="26"/>
        <v>0</v>
      </c>
      <c r="AA94" s="1773">
        <f t="shared" si="28"/>
        <v>0</v>
      </c>
      <c r="AB94" s="1773">
        <f t="shared" si="29"/>
        <v>0</v>
      </c>
      <c r="AC94" s="1773">
        <f t="shared" si="30"/>
        <v>0</v>
      </c>
      <c r="AD94" s="1773">
        <f t="shared" si="31"/>
        <v>0</v>
      </c>
      <c r="AE94" s="1773">
        <f t="shared" si="32"/>
        <v>0</v>
      </c>
      <c r="AF94" s="1773">
        <f t="shared" si="33"/>
        <v>0</v>
      </c>
      <c r="AG94" s="1773">
        <f t="shared" si="34"/>
        <v>0</v>
      </c>
      <c r="AH94" s="1773">
        <f t="shared" si="35"/>
        <v>0</v>
      </c>
      <c r="AI94" s="1773">
        <f t="shared" si="36"/>
        <v>0</v>
      </c>
      <c r="AJ94" s="1773">
        <f t="shared" si="37"/>
        <v>0</v>
      </c>
      <c r="AK94" s="1773">
        <f t="shared" si="38"/>
        <v>0</v>
      </c>
      <c r="AL94" s="1773">
        <f t="shared" si="27"/>
        <v>-7500</v>
      </c>
      <c r="AN94" s="1776"/>
      <c r="AO94" s="1776"/>
      <c r="AP94" s="1776"/>
      <c r="AQ94" s="1776"/>
      <c r="AR94" s="1776"/>
      <c r="AS94" s="1776"/>
      <c r="AT94" s="1776"/>
      <c r="AU94" s="1776"/>
      <c r="AV94" s="1776"/>
      <c r="AW94" s="1776"/>
      <c r="AX94" s="1776"/>
      <c r="AY94" s="1776"/>
      <c r="AZ94" s="1776">
        <v>1</v>
      </c>
    </row>
    <row r="95" spans="1:52">
      <c r="A95" s="1479" t="s">
        <v>2382</v>
      </c>
      <c r="B95" s="1479" t="s">
        <v>2383</v>
      </c>
      <c r="C95" s="1741" t="s">
        <v>2108</v>
      </c>
      <c r="D95" s="1741">
        <v>1030</v>
      </c>
      <c r="E95" s="1741">
        <v>5880</v>
      </c>
      <c r="F95" s="1741" t="s">
        <v>2215</v>
      </c>
      <c r="G95" s="1741" t="s">
        <v>2214</v>
      </c>
      <c r="H95" s="1741" t="s">
        <v>586</v>
      </c>
      <c r="I95" s="1753" t="s">
        <v>2135</v>
      </c>
      <c r="J95" s="1754"/>
      <c r="K95" s="1765" t="s">
        <v>495</v>
      </c>
      <c r="L95" s="1754" t="s">
        <v>495</v>
      </c>
      <c r="M95" s="1754"/>
      <c r="N95" s="1756">
        <v>-50810</v>
      </c>
      <c r="O95" s="1757">
        <v>-59540</v>
      </c>
      <c r="P95" s="1758">
        <v>-87740</v>
      </c>
      <c r="Q95" s="1759">
        <v>-84000</v>
      </c>
      <c r="R95" s="1760">
        <v>-84000</v>
      </c>
      <c r="S95" s="1760">
        <v>-95124</v>
      </c>
      <c r="T95" s="1760">
        <v>-95124</v>
      </c>
      <c r="U95" s="1761">
        <v>-120000</v>
      </c>
      <c r="V95" s="1762">
        <v>-150000</v>
      </c>
      <c r="W95" s="1757">
        <v>-160000</v>
      </c>
      <c r="Z95" s="1773">
        <f t="shared" si="26"/>
        <v>0</v>
      </c>
      <c r="AA95" s="1773">
        <f t="shared" si="28"/>
        <v>0</v>
      </c>
      <c r="AB95" s="1773">
        <f t="shared" si="29"/>
        <v>0</v>
      </c>
      <c r="AC95" s="1773">
        <f t="shared" si="30"/>
        <v>0</v>
      </c>
      <c r="AD95" s="1773">
        <f t="shared" si="31"/>
        <v>0</v>
      </c>
      <c r="AE95" s="1773">
        <f t="shared" si="32"/>
        <v>0</v>
      </c>
      <c r="AF95" s="1773">
        <f t="shared" si="33"/>
        <v>0</v>
      </c>
      <c r="AG95" s="1773">
        <f t="shared" si="34"/>
        <v>0</v>
      </c>
      <c r="AH95" s="1773">
        <f t="shared" si="35"/>
        <v>0</v>
      </c>
      <c r="AI95" s="1773">
        <f t="shared" si="36"/>
        <v>0</v>
      </c>
      <c r="AJ95" s="1773">
        <f t="shared" si="37"/>
        <v>0</v>
      </c>
      <c r="AK95" s="1773">
        <f t="shared" si="38"/>
        <v>0</v>
      </c>
      <c r="AL95" s="1773">
        <f t="shared" si="27"/>
        <v>-120000</v>
      </c>
      <c r="AN95" s="1776"/>
      <c r="AO95" s="1776"/>
      <c r="AP95" s="1776"/>
      <c r="AQ95" s="1776"/>
      <c r="AR95" s="1776"/>
      <c r="AS95" s="1776"/>
      <c r="AT95" s="1776"/>
      <c r="AU95" s="1776"/>
      <c r="AV95" s="1776"/>
      <c r="AW95" s="1776"/>
      <c r="AX95" s="1776"/>
      <c r="AY95" s="1776"/>
      <c r="AZ95" s="1776">
        <v>1</v>
      </c>
    </row>
    <row r="96" spans="1:52">
      <c r="A96" s="1479" t="s">
        <v>2384</v>
      </c>
      <c r="B96" s="1479" t="s">
        <v>2385</v>
      </c>
      <c r="C96" s="1741" t="s">
        <v>2108</v>
      </c>
      <c r="D96" s="1741">
        <v>1030</v>
      </c>
      <c r="E96" s="1741">
        <v>6100</v>
      </c>
      <c r="F96" s="1741" t="s">
        <v>2215</v>
      </c>
      <c r="G96" s="1741" t="s">
        <v>2214</v>
      </c>
      <c r="H96" s="1741" t="s">
        <v>586</v>
      </c>
      <c r="I96" s="1753" t="s">
        <v>2135</v>
      </c>
      <c r="J96" s="1754"/>
      <c r="K96" s="1765" t="s">
        <v>495</v>
      </c>
      <c r="L96" s="1754" t="s">
        <v>495</v>
      </c>
      <c r="M96" s="1754"/>
      <c r="N96" s="1756">
        <v>-112721.62</v>
      </c>
      <c r="O96" s="1757">
        <v>-131383.95000000001</v>
      </c>
      <c r="P96" s="1758">
        <v>-163688.15</v>
      </c>
      <c r="Q96" s="1759">
        <v>-168000</v>
      </c>
      <c r="R96" s="1760">
        <v>-168000</v>
      </c>
      <c r="S96" s="1760">
        <v>-164482</v>
      </c>
      <c r="T96" s="1760">
        <v>-164482</v>
      </c>
      <c r="U96" s="1761">
        <v>-135000</v>
      </c>
      <c r="V96" s="1762">
        <v>-168000</v>
      </c>
      <c r="W96" s="1757">
        <v>-168000</v>
      </c>
      <c r="Z96" s="1773">
        <f t="shared" si="26"/>
        <v>0</v>
      </c>
      <c r="AA96" s="1773">
        <f t="shared" si="28"/>
        <v>0</v>
      </c>
      <c r="AB96" s="1773">
        <f t="shared" si="29"/>
        <v>0</v>
      </c>
      <c r="AC96" s="1773">
        <f t="shared" si="30"/>
        <v>0</v>
      </c>
      <c r="AD96" s="1773">
        <f t="shared" si="31"/>
        <v>0</v>
      </c>
      <c r="AE96" s="1773">
        <f t="shared" si="32"/>
        <v>0</v>
      </c>
      <c r="AF96" s="1773">
        <f t="shared" si="33"/>
        <v>0</v>
      </c>
      <c r="AG96" s="1773">
        <f t="shared" si="34"/>
        <v>0</v>
      </c>
      <c r="AH96" s="1773">
        <f t="shared" si="35"/>
        <v>0</v>
      </c>
      <c r="AI96" s="1773">
        <f t="shared" si="36"/>
        <v>0</v>
      </c>
      <c r="AJ96" s="1773">
        <f t="shared" si="37"/>
        <v>0</v>
      </c>
      <c r="AK96" s="1773">
        <f t="shared" si="38"/>
        <v>0</v>
      </c>
      <c r="AL96" s="1773">
        <f t="shared" si="27"/>
        <v>-135000</v>
      </c>
      <c r="AN96" s="1776"/>
      <c r="AO96" s="1776"/>
      <c r="AP96" s="1776"/>
      <c r="AQ96" s="1776"/>
      <c r="AR96" s="1776"/>
      <c r="AS96" s="1776"/>
      <c r="AT96" s="1776"/>
      <c r="AU96" s="1776"/>
      <c r="AV96" s="1776"/>
      <c r="AW96" s="1776"/>
      <c r="AX96" s="1776"/>
      <c r="AY96" s="1776"/>
      <c r="AZ96" s="1776">
        <v>1</v>
      </c>
    </row>
    <row r="97" spans="1:52">
      <c r="A97" s="1479" t="s">
        <v>2386</v>
      </c>
      <c r="B97" s="1479" t="s">
        <v>2387</v>
      </c>
      <c r="C97" s="1741" t="s">
        <v>2108</v>
      </c>
      <c r="D97" s="1741">
        <v>1030</v>
      </c>
      <c r="E97" s="1741">
        <v>6110</v>
      </c>
      <c r="F97" s="1741" t="s">
        <v>2215</v>
      </c>
      <c r="G97" s="1741" t="s">
        <v>2214</v>
      </c>
      <c r="H97" s="1741" t="s">
        <v>586</v>
      </c>
      <c r="I97" s="1753" t="s">
        <v>2135</v>
      </c>
      <c r="J97" s="1754"/>
      <c r="K97" s="1765" t="s">
        <v>495</v>
      </c>
      <c r="L97" s="1754" t="s">
        <v>495</v>
      </c>
      <c r="M97" s="1754"/>
      <c r="N97" s="1756">
        <v>-2663.5</v>
      </c>
      <c r="O97" s="1757">
        <v>-2670</v>
      </c>
      <c r="P97" s="1758">
        <v>-2200</v>
      </c>
      <c r="Q97" s="1759">
        <v>-3300</v>
      </c>
      <c r="R97" s="1760">
        <v>-3300</v>
      </c>
      <c r="S97" s="1760">
        <v>-3076</v>
      </c>
      <c r="T97" s="1760">
        <v>-3076</v>
      </c>
      <c r="U97" s="1761">
        <v>-3300</v>
      </c>
      <c r="V97" s="1762">
        <v>-3400</v>
      </c>
      <c r="W97" s="1757">
        <v>-3500</v>
      </c>
      <c r="Z97" s="1773">
        <f t="shared" si="26"/>
        <v>0</v>
      </c>
      <c r="AA97" s="1773">
        <f t="shared" si="28"/>
        <v>0</v>
      </c>
      <c r="AB97" s="1773">
        <f t="shared" si="29"/>
        <v>0</v>
      </c>
      <c r="AC97" s="1773">
        <f t="shared" si="30"/>
        <v>0</v>
      </c>
      <c r="AD97" s="1773">
        <f t="shared" si="31"/>
        <v>0</v>
      </c>
      <c r="AE97" s="1773">
        <f t="shared" si="32"/>
        <v>0</v>
      </c>
      <c r="AF97" s="1773">
        <f t="shared" si="33"/>
        <v>0</v>
      </c>
      <c r="AG97" s="1773">
        <f t="shared" si="34"/>
        <v>0</v>
      </c>
      <c r="AH97" s="1773">
        <f t="shared" si="35"/>
        <v>0</v>
      </c>
      <c r="AI97" s="1773">
        <f t="shared" si="36"/>
        <v>0</v>
      </c>
      <c r="AJ97" s="1773">
        <f t="shared" si="37"/>
        <v>0</v>
      </c>
      <c r="AK97" s="1773">
        <f t="shared" si="38"/>
        <v>0</v>
      </c>
      <c r="AL97" s="1773">
        <f t="shared" si="27"/>
        <v>-3300</v>
      </c>
      <c r="AN97" s="1776"/>
      <c r="AO97" s="1776"/>
      <c r="AP97" s="1776"/>
      <c r="AQ97" s="1776"/>
      <c r="AR97" s="1776"/>
      <c r="AS97" s="1776"/>
      <c r="AT97" s="1776"/>
      <c r="AU97" s="1776"/>
      <c r="AV97" s="1776"/>
      <c r="AW97" s="1776"/>
      <c r="AX97" s="1776"/>
      <c r="AY97" s="1776"/>
      <c r="AZ97" s="1776">
        <v>1</v>
      </c>
    </row>
    <row r="98" spans="1:52" ht="13.5">
      <c r="A98" s="1479" t="s">
        <v>2388</v>
      </c>
      <c r="B98" s="1479" t="s">
        <v>2389</v>
      </c>
      <c r="C98" s="1741" t="s">
        <v>2108</v>
      </c>
      <c r="D98" s="1741">
        <v>1030</v>
      </c>
      <c r="E98" s="1741">
        <v>6120</v>
      </c>
      <c r="F98" s="1741" t="s">
        <v>2215</v>
      </c>
      <c r="G98" s="1741" t="s">
        <v>2214</v>
      </c>
      <c r="H98" s="1741" t="s">
        <v>586</v>
      </c>
      <c r="I98" s="1753" t="s">
        <v>2135</v>
      </c>
      <c r="J98" s="1754"/>
      <c r="K98" s="1765" t="s">
        <v>495</v>
      </c>
      <c r="L98" s="1754" t="s">
        <v>495</v>
      </c>
      <c r="M98" s="1763"/>
      <c r="N98" s="1756">
        <v>-4358</v>
      </c>
      <c r="O98" s="1757">
        <v>-8330</v>
      </c>
      <c r="P98" s="1758">
        <v>-8411.25</v>
      </c>
      <c r="Q98" s="1759">
        <v>-12700</v>
      </c>
      <c r="R98" s="1760">
        <v>-12700</v>
      </c>
      <c r="S98" s="1760">
        <v>-11777</v>
      </c>
      <c r="T98" s="1760">
        <v>-11777</v>
      </c>
      <c r="U98" s="1761">
        <v>-8000</v>
      </c>
      <c r="V98" s="1762">
        <v>-12800</v>
      </c>
      <c r="W98" s="1757">
        <v>-12900</v>
      </c>
      <c r="Z98" s="1773">
        <f t="shared" ref="Z98:Z129" si="39">$AL98*AN98</f>
        <v>0</v>
      </c>
      <c r="AA98" s="1773">
        <f t="shared" si="28"/>
        <v>0</v>
      </c>
      <c r="AB98" s="1773">
        <f t="shared" si="29"/>
        <v>0</v>
      </c>
      <c r="AC98" s="1773">
        <f t="shared" si="30"/>
        <v>0</v>
      </c>
      <c r="AD98" s="1773">
        <f t="shared" si="31"/>
        <v>0</v>
      </c>
      <c r="AE98" s="1773">
        <f t="shared" si="32"/>
        <v>0</v>
      </c>
      <c r="AF98" s="1773">
        <f t="shared" si="33"/>
        <v>0</v>
      </c>
      <c r="AG98" s="1773">
        <f t="shared" si="34"/>
        <v>0</v>
      </c>
      <c r="AH98" s="1773">
        <f t="shared" si="35"/>
        <v>0</v>
      </c>
      <c r="AI98" s="1773">
        <f t="shared" si="36"/>
        <v>0</v>
      </c>
      <c r="AJ98" s="1773">
        <f t="shared" si="37"/>
        <v>0</v>
      </c>
      <c r="AK98" s="1773">
        <f t="shared" si="38"/>
        <v>0</v>
      </c>
      <c r="AL98" s="1773">
        <f t="shared" si="27"/>
        <v>-8000</v>
      </c>
      <c r="AN98" s="1776"/>
      <c r="AO98" s="1776"/>
      <c r="AP98" s="1776"/>
      <c r="AQ98" s="1776"/>
      <c r="AR98" s="1776"/>
      <c r="AS98" s="1776"/>
      <c r="AT98" s="1776"/>
      <c r="AU98" s="1776"/>
      <c r="AV98" s="1776"/>
      <c r="AW98" s="1776"/>
      <c r="AX98" s="1776"/>
      <c r="AY98" s="1776"/>
      <c r="AZ98" s="1776">
        <v>1</v>
      </c>
    </row>
    <row r="99" spans="1:52">
      <c r="A99" t="s">
        <v>2390</v>
      </c>
      <c r="B99" t="s">
        <v>2391</v>
      </c>
      <c r="C99" s="1741" t="s">
        <v>2108</v>
      </c>
      <c r="D99" s="1741">
        <v>1030</v>
      </c>
      <c r="E99" s="1741">
        <v>6593</v>
      </c>
      <c r="F99" s="1741" t="s">
        <v>2215</v>
      </c>
      <c r="G99" s="1741" t="s">
        <v>2214</v>
      </c>
      <c r="H99" s="1741" t="s">
        <v>586</v>
      </c>
      <c r="I99" s="1753" t="s">
        <v>494</v>
      </c>
      <c r="J99" s="1754"/>
      <c r="K99" s="1754" t="s">
        <v>494</v>
      </c>
      <c r="L99" s="1754" t="s">
        <v>494</v>
      </c>
      <c r="M99" s="1754"/>
      <c r="N99" s="1756"/>
      <c r="O99" s="1757"/>
      <c r="P99" s="1758"/>
      <c r="Q99" s="1759">
        <v>-5000</v>
      </c>
      <c r="R99" s="1760">
        <v>-5000</v>
      </c>
      <c r="S99" s="1760">
        <v>-1742</v>
      </c>
      <c r="T99" s="1760">
        <v>-1742</v>
      </c>
      <c r="U99" s="1761">
        <v>-5000</v>
      </c>
      <c r="V99" s="1762">
        <v>-5000</v>
      </c>
      <c r="W99" s="1757">
        <v>-5000</v>
      </c>
      <c r="Z99" s="1773">
        <f t="shared" si="39"/>
        <v>0</v>
      </c>
      <c r="AA99" s="1773">
        <f t="shared" ref="AA99:AA130" si="40">$AL99*AO99</f>
        <v>0</v>
      </c>
      <c r="AB99" s="1773">
        <f t="shared" ref="AB99:AB130" si="41">$AL99*AP99</f>
        <v>0</v>
      </c>
      <c r="AC99" s="1773">
        <f t="shared" ref="AC99:AC130" si="42">$AL99*AQ99</f>
        <v>0</v>
      </c>
      <c r="AD99" s="1773">
        <f t="shared" ref="AD99:AD130" si="43">$AL99*AR99</f>
        <v>0</v>
      </c>
      <c r="AE99" s="1773">
        <f t="shared" ref="AE99:AE130" si="44">$AL99*AS99</f>
        <v>0</v>
      </c>
      <c r="AF99" s="1773">
        <f t="shared" ref="AF99:AF130" si="45">$AL99*AT99</f>
        <v>0</v>
      </c>
      <c r="AG99" s="1773">
        <f t="shared" ref="AG99:AG130" si="46">$AL99*AU99</f>
        <v>0</v>
      </c>
      <c r="AH99" s="1773">
        <f t="shared" ref="AH99:AH130" si="47">$AL99*AV99</f>
        <v>0</v>
      </c>
      <c r="AI99" s="1773">
        <f t="shared" ref="AI99:AI130" si="48">$AL99*AW99</f>
        <v>0</v>
      </c>
      <c r="AJ99" s="1773">
        <f t="shared" ref="AJ99:AJ130" si="49">$AL99*AX99</f>
        <v>0</v>
      </c>
      <c r="AK99" s="1773">
        <f t="shared" ref="AK99:AK130" si="50">$AL99*AY99</f>
        <v>0</v>
      </c>
      <c r="AL99" s="1773">
        <f t="shared" si="27"/>
        <v>-5000</v>
      </c>
      <c r="AN99" s="1776"/>
      <c r="AO99" s="1776"/>
      <c r="AP99" s="1776"/>
      <c r="AQ99" s="1776"/>
      <c r="AR99" s="1776"/>
      <c r="AS99" s="1776"/>
      <c r="AT99" s="1776"/>
      <c r="AU99" s="1776"/>
      <c r="AV99" s="1776"/>
      <c r="AW99" s="1776"/>
      <c r="AX99" s="1776"/>
      <c r="AY99" s="1776"/>
      <c r="AZ99" s="1776">
        <v>1</v>
      </c>
    </row>
    <row r="100" spans="1:52">
      <c r="A100" t="s">
        <v>2392</v>
      </c>
      <c r="B100" t="s">
        <v>2393</v>
      </c>
      <c r="C100" s="1741" t="s">
        <v>2108</v>
      </c>
      <c r="D100" s="1741">
        <v>1030</v>
      </c>
      <c r="E100" s="1741">
        <v>6594</v>
      </c>
      <c r="F100" s="1741" t="s">
        <v>2215</v>
      </c>
      <c r="G100" s="1741" t="s">
        <v>2214</v>
      </c>
      <c r="H100" s="1741" t="s">
        <v>586</v>
      </c>
      <c r="I100" s="1753" t="s">
        <v>494</v>
      </c>
      <c r="J100" s="1754"/>
      <c r="K100" s="1754" t="s">
        <v>494</v>
      </c>
      <c r="L100" s="1754" t="s">
        <v>494</v>
      </c>
      <c r="M100" s="1754"/>
      <c r="N100" s="1756"/>
      <c r="O100" s="1757"/>
      <c r="P100" s="1758"/>
      <c r="Q100" s="1759">
        <v>-1000</v>
      </c>
      <c r="R100" s="1760">
        <v>-1000</v>
      </c>
      <c r="S100" s="1760">
        <v>-336</v>
      </c>
      <c r="T100" s="1760">
        <v>-336</v>
      </c>
      <c r="U100" s="1761">
        <v>0</v>
      </c>
      <c r="V100" s="1762">
        <v>-1000</v>
      </c>
      <c r="W100" s="1757">
        <v>-1000</v>
      </c>
      <c r="Z100" s="1773">
        <f t="shared" si="39"/>
        <v>0</v>
      </c>
      <c r="AA100" s="1773">
        <f t="shared" si="40"/>
        <v>0</v>
      </c>
      <c r="AB100" s="1773">
        <f t="shared" si="41"/>
        <v>0</v>
      </c>
      <c r="AC100" s="1773">
        <f t="shared" si="42"/>
        <v>0</v>
      </c>
      <c r="AD100" s="1773">
        <f t="shared" si="43"/>
        <v>0</v>
      </c>
      <c r="AE100" s="1773">
        <f t="shared" si="44"/>
        <v>0</v>
      </c>
      <c r="AF100" s="1773">
        <f t="shared" si="45"/>
        <v>0</v>
      </c>
      <c r="AG100" s="1773">
        <f t="shared" si="46"/>
        <v>0</v>
      </c>
      <c r="AH100" s="1773">
        <f t="shared" si="47"/>
        <v>0</v>
      </c>
      <c r="AI100" s="1773">
        <f t="shared" si="48"/>
        <v>0</v>
      </c>
      <c r="AJ100" s="1773">
        <f t="shared" si="49"/>
        <v>0</v>
      </c>
      <c r="AK100" s="1773">
        <f t="shared" si="50"/>
        <v>0</v>
      </c>
      <c r="AL100" s="1773">
        <f t="shared" si="27"/>
        <v>0</v>
      </c>
      <c r="AN100" s="1776"/>
      <c r="AO100" s="1776"/>
      <c r="AP100" s="1776"/>
      <c r="AQ100" s="1776"/>
      <c r="AR100" s="1776"/>
      <c r="AS100" s="1776"/>
      <c r="AT100" s="1776"/>
      <c r="AU100" s="1776"/>
      <c r="AV100" s="1776"/>
      <c r="AW100" s="1776"/>
      <c r="AX100" s="1776"/>
      <c r="AY100" s="1776"/>
      <c r="AZ100" s="1776">
        <v>1</v>
      </c>
    </row>
    <row r="101" spans="1:52" ht="13.5">
      <c r="A101" t="s">
        <v>2394</v>
      </c>
      <c r="B101" t="s">
        <v>2395</v>
      </c>
      <c r="C101" s="1741" t="s">
        <v>2108</v>
      </c>
      <c r="D101" s="1741">
        <v>1030</v>
      </c>
      <c r="E101" s="1741">
        <v>6595</v>
      </c>
      <c r="F101" s="1741" t="s">
        <v>2215</v>
      </c>
      <c r="G101" s="1741" t="s">
        <v>2214</v>
      </c>
      <c r="H101" s="1741" t="s">
        <v>586</v>
      </c>
      <c r="I101" s="1753" t="s">
        <v>2131</v>
      </c>
      <c r="J101" s="1754"/>
      <c r="K101" s="1754" t="s">
        <v>1723</v>
      </c>
      <c r="L101" s="1754" t="s">
        <v>1723</v>
      </c>
      <c r="M101" s="1439"/>
      <c r="N101" s="1756"/>
      <c r="O101" s="1757"/>
      <c r="P101" s="1758"/>
      <c r="Q101" s="1759">
        <v>-5000</v>
      </c>
      <c r="R101" s="1760">
        <v>-5000</v>
      </c>
      <c r="S101" s="1760">
        <v>-1680</v>
      </c>
      <c r="T101" s="1760">
        <v>-1680</v>
      </c>
      <c r="U101" s="1761">
        <v>0</v>
      </c>
      <c r="V101" s="1762">
        <v>-5000</v>
      </c>
      <c r="W101" s="1757">
        <v>-5000</v>
      </c>
      <c r="Z101" s="1773">
        <f t="shared" si="39"/>
        <v>0</v>
      </c>
      <c r="AA101" s="1773">
        <f t="shared" si="40"/>
        <v>0</v>
      </c>
      <c r="AB101" s="1773">
        <f t="shared" si="41"/>
        <v>0</v>
      </c>
      <c r="AC101" s="1773">
        <f t="shared" si="42"/>
        <v>0</v>
      </c>
      <c r="AD101" s="1773">
        <f t="shared" si="43"/>
        <v>0</v>
      </c>
      <c r="AE101" s="1773">
        <f t="shared" si="44"/>
        <v>0</v>
      </c>
      <c r="AF101" s="1773">
        <f t="shared" si="45"/>
        <v>0</v>
      </c>
      <c r="AG101" s="1773">
        <f t="shared" si="46"/>
        <v>0</v>
      </c>
      <c r="AH101" s="1773">
        <f t="shared" si="47"/>
        <v>0</v>
      </c>
      <c r="AI101" s="1773">
        <f t="shared" si="48"/>
        <v>0</v>
      </c>
      <c r="AJ101" s="1773">
        <f t="shared" si="49"/>
        <v>0</v>
      </c>
      <c r="AK101" s="1773">
        <f t="shared" si="50"/>
        <v>0</v>
      </c>
      <c r="AL101" s="1773">
        <f t="shared" si="27"/>
        <v>0</v>
      </c>
      <c r="AN101" s="1776"/>
      <c r="AO101" s="1776"/>
      <c r="AP101" s="1776"/>
      <c r="AQ101" s="1776"/>
      <c r="AR101" s="1776"/>
      <c r="AS101" s="1776"/>
      <c r="AT101" s="1776"/>
      <c r="AU101" s="1776"/>
      <c r="AV101" s="1776"/>
      <c r="AW101" s="1776"/>
      <c r="AX101" s="1776"/>
      <c r="AY101" s="1776"/>
      <c r="AZ101" s="1776">
        <v>1</v>
      </c>
    </row>
    <row r="102" spans="1:52">
      <c r="A102" t="s">
        <v>2396</v>
      </c>
      <c r="B102" t="s">
        <v>2397</v>
      </c>
      <c r="C102" s="1741" t="s">
        <v>2108</v>
      </c>
      <c r="D102" s="1741">
        <v>1030</v>
      </c>
      <c r="E102" s="1741">
        <v>6596</v>
      </c>
      <c r="F102" s="1741" t="s">
        <v>2215</v>
      </c>
      <c r="G102" s="1741" t="s">
        <v>2214</v>
      </c>
      <c r="H102" s="1741" t="s">
        <v>586</v>
      </c>
      <c r="I102" s="1753" t="s">
        <v>2135</v>
      </c>
      <c r="J102" s="1754"/>
      <c r="K102" s="1765" t="s">
        <v>495</v>
      </c>
      <c r="L102" s="1754" t="s">
        <v>495</v>
      </c>
      <c r="M102" s="1754"/>
      <c r="N102" s="1756"/>
      <c r="O102" s="1757"/>
      <c r="P102" s="1758"/>
      <c r="Q102" s="1759">
        <v>-25000</v>
      </c>
      <c r="R102" s="1760">
        <v>-25000</v>
      </c>
      <c r="S102" s="1760">
        <v>-8400</v>
      </c>
      <c r="T102" s="1760">
        <v>-8400</v>
      </c>
      <c r="U102" s="1761">
        <v>-3000</v>
      </c>
      <c r="V102" s="1762">
        <v>-3000</v>
      </c>
      <c r="W102" s="1757">
        <v>-3000</v>
      </c>
      <c r="Z102" s="1773">
        <f t="shared" si="39"/>
        <v>0</v>
      </c>
      <c r="AA102" s="1773">
        <f t="shared" si="40"/>
        <v>0</v>
      </c>
      <c r="AB102" s="1773">
        <f t="shared" si="41"/>
        <v>0</v>
      </c>
      <c r="AC102" s="1773">
        <f t="shared" si="42"/>
        <v>0</v>
      </c>
      <c r="AD102" s="1773">
        <f t="shared" si="43"/>
        <v>0</v>
      </c>
      <c r="AE102" s="1773">
        <f t="shared" si="44"/>
        <v>0</v>
      </c>
      <c r="AF102" s="1773">
        <f t="shared" si="45"/>
        <v>0</v>
      </c>
      <c r="AG102" s="1773">
        <f t="shared" si="46"/>
        <v>0</v>
      </c>
      <c r="AH102" s="1773">
        <f t="shared" si="47"/>
        <v>0</v>
      </c>
      <c r="AI102" s="1773">
        <f t="shared" si="48"/>
        <v>0</v>
      </c>
      <c r="AJ102" s="1773">
        <f t="shared" si="49"/>
        <v>0</v>
      </c>
      <c r="AK102" s="1773">
        <f t="shared" si="50"/>
        <v>0</v>
      </c>
      <c r="AL102" s="1773">
        <f t="shared" si="27"/>
        <v>-3000</v>
      </c>
      <c r="AN102" s="1776"/>
      <c r="AO102" s="1776"/>
      <c r="AP102" s="1776"/>
      <c r="AQ102" s="1776"/>
      <c r="AR102" s="1776"/>
      <c r="AS102" s="1776"/>
      <c r="AT102" s="1776"/>
      <c r="AU102" s="1776"/>
      <c r="AV102" s="1776"/>
      <c r="AW102" s="1776"/>
      <c r="AX102" s="1776"/>
      <c r="AY102" s="1776"/>
      <c r="AZ102" s="1776">
        <v>1</v>
      </c>
    </row>
    <row r="103" spans="1:52">
      <c r="A103" t="s">
        <v>2398</v>
      </c>
      <c r="B103" t="s">
        <v>2399</v>
      </c>
      <c r="C103" s="1741" t="s">
        <v>2108</v>
      </c>
      <c r="D103" s="1741">
        <v>1030</v>
      </c>
      <c r="E103" s="1741">
        <v>6597</v>
      </c>
      <c r="F103" s="1741" t="s">
        <v>2215</v>
      </c>
      <c r="G103" s="1741" t="s">
        <v>2214</v>
      </c>
      <c r="H103" s="1741" t="s">
        <v>586</v>
      </c>
      <c r="I103" s="1753" t="s">
        <v>2135</v>
      </c>
      <c r="J103" s="1754"/>
      <c r="K103" s="1765" t="s">
        <v>495</v>
      </c>
      <c r="L103" s="1754" t="s">
        <v>495</v>
      </c>
      <c r="M103" s="1754"/>
      <c r="N103" s="1756"/>
      <c r="O103" s="1757"/>
      <c r="P103" s="1758"/>
      <c r="Q103" s="1759">
        <v>-10000</v>
      </c>
      <c r="R103" s="1760">
        <v>-10000</v>
      </c>
      <c r="S103" s="1760">
        <v>-3360</v>
      </c>
      <c r="T103" s="1760">
        <v>-3360</v>
      </c>
      <c r="U103" s="1761">
        <v>-3000</v>
      </c>
      <c r="V103" s="1762">
        <v>-2500</v>
      </c>
      <c r="W103" s="1757">
        <v>-2500</v>
      </c>
      <c r="Z103" s="1773">
        <f t="shared" si="39"/>
        <v>0</v>
      </c>
      <c r="AA103" s="1773">
        <f t="shared" si="40"/>
        <v>0</v>
      </c>
      <c r="AB103" s="1773">
        <f t="shared" si="41"/>
        <v>0</v>
      </c>
      <c r="AC103" s="1773">
        <f t="shared" si="42"/>
        <v>0</v>
      </c>
      <c r="AD103" s="1773">
        <f t="shared" si="43"/>
        <v>0</v>
      </c>
      <c r="AE103" s="1773">
        <f t="shared" si="44"/>
        <v>0</v>
      </c>
      <c r="AF103" s="1773">
        <f t="shared" si="45"/>
        <v>0</v>
      </c>
      <c r="AG103" s="1773">
        <f t="shared" si="46"/>
        <v>0</v>
      </c>
      <c r="AH103" s="1773">
        <f t="shared" si="47"/>
        <v>0</v>
      </c>
      <c r="AI103" s="1773">
        <f t="shared" si="48"/>
        <v>0</v>
      </c>
      <c r="AJ103" s="1773">
        <f t="shared" si="49"/>
        <v>0</v>
      </c>
      <c r="AK103" s="1773">
        <f t="shared" si="50"/>
        <v>0</v>
      </c>
      <c r="AL103" s="1773">
        <f t="shared" si="27"/>
        <v>-3000</v>
      </c>
      <c r="AN103" s="1776"/>
      <c r="AO103" s="1776"/>
      <c r="AP103" s="1776"/>
      <c r="AQ103" s="1776"/>
      <c r="AR103" s="1776"/>
      <c r="AS103" s="1776"/>
      <c r="AT103" s="1776"/>
      <c r="AU103" s="1776"/>
      <c r="AV103" s="1776"/>
      <c r="AW103" s="1776"/>
      <c r="AX103" s="1776"/>
      <c r="AY103" s="1776"/>
      <c r="AZ103" s="1776">
        <v>1</v>
      </c>
    </row>
    <row r="104" spans="1:52">
      <c r="A104" t="s">
        <v>2400</v>
      </c>
      <c r="B104" t="s">
        <v>2401</v>
      </c>
      <c r="C104" s="1741" t="s">
        <v>2108</v>
      </c>
      <c r="D104" s="1741">
        <v>1030</v>
      </c>
      <c r="E104" s="1741">
        <v>6598</v>
      </c>
      <c r="F104" s="1741" t="s">
        <v>2215</v>
      </c>
      <c r="G104" s="1741" t="s">
        <v>2214</v>
      </c>
      <c r="H104" s="1741" t="s">
        <v>586</v>
      </c>
      <c r="I104" s="1753" t="s">
        <v>2135</v>
      </c>
      <c r="J104" s="1754"/>
      <c r="K104" s="1765" t="s">
        <v>495</v>
      </c>
      <c r="L104" s="1754" t="s">
        <v>495</v>
      </c>
      <c r="M104" s="1754"/>
      <c r="N104" s="1756"/>
      <c r="O104" s="1757"/>
      <c r="P104" s="1758"/>
      <c r="Q104" s="1759">
        <v>-90000</v>
      </c>
      <c r="R104" s="1760">
        <v>-90000</v>
      </c>
      <c r="S104" s="1760">
        <v>-79635</v>
      </c>
      <c r="T104" s="1760">
        <v>-79635</v>
      </c>
      <c r="U104" s="1761">
        <v>-90000</v>
      </c>
      <c r="V104" s="1762">
        <v>-90000</v>
      </c>
      <c r="W104" s="1757">
        <v>-90000</v>
      </c>
      <c r="Z104" s="1773">
        <f t="shared" si="39"/>
        <v>0</v>
      </c>
      <c r="AA104" s="1773">
        <f t="shared" si="40"/>
        <v>0</v>
      </c>
      <c r="AB104" s="1773">
        <f t="shared" si="41"/>
        <v>0</v>
      </c>
      <c r="AC104" s="1773">
        <f t="shared" si="42"/>
        <v>0</v>
      </c>
      <c r="AD104" s="1773">
        <f t="shared" si="43"/>
        <v>0</v>
      </c>
      <c r="AE104" s="1773">
        <f t="shared" si="44"/>
        <v>0</v>
      </c>
      <c r="AF104" s="1773">
        <f t="shared" si="45"/>
        <v>0</v>
      </c>
      <c r="AG104" s="1773">
        <f t="shared" si="46"/>
        <v>0</v>
      </c>
      <c r="AH104" s="1773">
        <f t="shared" si="47"/>
        <v>0</v>
      </c>
      <c r="AI104" s="1773">
        <f t="shared" si="48"/>
        <v>0</v>
      </c>
      <c r="AJ104" s="1773">
        <f t="shared" si="49"/>
        <v>0</v>
      </c>
      <c r="AK104" s="1773">
        <f t="shared" si="50"/>
        <v>0</v>
      </c>
      <c r="AL104" s="1773">
        <f t="shared" si="27"/>
        <v>-90000</v>
      </c>
      <c r="AN104" s="1776"/>
      <c r="AO104" s="1776"/>
      <c r="AP104" s="1776"/>
      <c r="AQ104" s="1776"/>
      <c r="AR104" s="1776"/>
      <c r="AS104" s="1776"/>
      <c r="AT104" s="1776"/>
      <c r="AU104" s="1776"/>
      <c r="AV104" s="1776"/>
      <c r="AW104" s="1776"/>
      <c r="AX104" s="1776"/>
      <c r="AY104" s="1776"/>
      <c r="AZ104" s="1776">
        <v>1</v>
      </c>
    </row>
    <row r="105" spans="1:52">
      <c r="A105" s="1479" t="s">
        <v>2402</v>
      </c>
      <c r="B105" s="1479" t="s">
        <v>2231</v>
      </c>
      <c r="C105" s="1741" t="s">
        <v>2108</v>
      </c>
      <c r="D105" s="1741">
        <v>1040</v>
      </c>
      <c r="E105" s="1741">
        <v>10</v>
      </c>
      <c r="F105" s="1741" t="s">
        <v>2216</v>
      </c>
      <c r="G105" s="1741" t="s">
        <v>2214</v>
      </c>
      <c r="H105" s="1741" t="s">
        <v>1658</v>
      </c>
      <c r="I105" s="1753" t="s">
        <v>3003</v>
      </c>
      <c r="J105" s="1754" t="s">
        <v>2109</v>
      </c>
      <c r="K105" s="1753" t="s">
        <v>497</v>
      </c>
      <c r="L105" s="1753" t="s">
        <v>1158</v>
      </c>
      <c r="M105" s="1754"/>
      <c r="N105" s="1756">
        <v>630808.79</v>
      </c>
      <c r="O105" s="1757">
        <v>728140.74</v>
      </c>
      <c r="P105" s="1758">
        <v>776985.95</v>
      </c>
      <c r="Q105" s="1759">
        <v>1483460</v>
      </c>
      <c r="R105" s="1760">
        <v>1483460</v>
      </c>
      <c r="S105" s="1760">
        <v>1238508</v>
      </c>
      <c r="T105" s="1760">
        <v>1238508</v>
      </c>
      <c r="U105" s="1761">
        <v>1652848.7759999991</v>
      </c>
      <c r="V105" s="1762">
        <f>U105*108%</f>
        <v>1785076.6780799993</v>
      </c>
      <c r="W105" s="1757">
        <f>V105*108%</f>
        <v>1927882.8123263994</v>
      </c>
      <c r="Z105" s="1773">
        <f t="shared" si="39"/>
        <v>0</v>
      </c>
      <c r="AA105" s="1773">
        <f t="shared" si="40"/>
        <v>0</v>
      </c>
      <c r="AB105" s="1773">
        <f t="shared" si="41"/>
        <v>0</v>
      </c>
      <c r="AC105" s="1773">
        <f t="shared" si="42"/>
        <v>0</v>
      </c>
      <c r="AD105" s="1773">
        <f t="shared" si="43"/>
        <v>0</v>
      </c>
      <c r="AE105" s="1773">
        <f t="shared" si="44"/>
        <v>0</v>
      </c>
      <c r="AF105" s="1773">
        <f t="shared" si="45"/>
        <v>0</v>
      </c>
      <c r="AG105" s="1773">
        <f t="shared" si="46"/>
        <v>0</v>
      </c>
      <c r="AH105" s="1773">
        <f t="shared" si="47"/>
        <v>0</v>
      </c>
      <c r="AI105" s="1773">
        <f t="shared" si="48"/>
        <v>0</v>
      </c>
      <c r="AJ105" s="1773">
        <f t="shared" si="49"/>
        <v>0</v>
      </c>
      <c r="AK105" s="1773">
        <f t="shared" si="50"/>
        <v>0</v>
      </c>
      <c r="AL105" s="1773">
        <f t="shared" si="27"/>
        <v>1652848.7759999991</v>
      </c>
      <c r="AN105" s="1776"/>
      <c r="AO105" s="1776"/>
      <c r="AP105" s="1776"/>
      <c r="AQ105" s="1776"/>
      <c r="AR105" s="1776"/>
      <c r="AS105" s="1776"/>
      <c r="AT105" s="1776"/>
      <c r="AU105" s="1776"/>
      <c r="AV105" s="1776"/>
      <c r="AW105" s="1776"/>
      <c r="AX105" s="1776"/>
      <c r="AY105" s="1776"/>
      <c r="AZ105" s="1776">
        <v>1</v>
      </c>
    </row>
    <row r="106" spans="1:52">
      <c r="A106" s="1479" t="s">
        <v>2403</v>
      </c>
      <c r="B106" s="1479" t="s">
        <v>2262</v>
      </c>
      <c r="C106" s="1741" t="s">
        <v>2108</v>
      </c>
      <c r="D106" s="1741">
        <v>1040</v>
      </c>
      <c r="E106" s="1741">
        <v>20</v>
      </c>
      <c r="F106" s="1741" t="s">
        <v>2216</v>
      </c>
      <c r="G106" s="1741" t="s">
        <v>2214</v>
      </c>
      <c r="H106" s="1741" t="s">
        <v>1658</v>
      </c>
      <c r="I106" s="1753" t="s">
        <v>3003</v>
      </c>
      <c r="J106" s="1754" t="s">
        <v>2109</v>
      </c>
      <c r="K106" s="1753" t="s">
        <v>497</v>
      </c>
      <c r="L106" s="1754" t="s">
        <v>1158</v>
      </c>
      <c r="M106" s="1754"/>
      <c r="N106" s="1760">
        <v>1693.75</v>
      </c>
      <c r="O106" s="1757">
        <v>0</v>
      </c>
      <c r="P106" s="1758">
        <v>84.21</v>
      </c>
      <c r="Q106" s="1759">
        <v>5000</v>
      </c>
      <c r="R106" s="1760">
        <v>5000</v>
      </c>
      <c r="S106" s="1760">
        <v>560</v>
      </c>
      <c r="T106" s="1760">
        <v>560</v>
      </c>
      <c r="U106" s="1761">
        <v>6000</v>
      </c>
      <c r="V106" s="1762">
        <v>6000</v>
      </c>
      <c r="W106" s="1757">
        <v>6000</v>
      </c>
      <c r="Z106" s="1773">
        <f t="shared" si="39"/>
        <v>0</v>
      </c>
      <c r="AA106" s="1773">
        <f t="shared" si="40"/>
        <v>0</v>
      </c>
      <c r="AB106" s="1773">
        <f t="shared" si="41"/>
        <v>0</v>
      </c>
      <c r="AC106" s="1773">
        <f t="shared" si="42"/>
        <v>0</v>
      </c>
      <c r="AD106" s="1773">
        <f t="shared" si="43"/>
        <v>0</v>
      </c>
      <c r="AE106" s="1773">
        <f t="shared" si="44"/>
        <v>0</v>
      </c>
      <c r="AF106" s="1773">
        <f t="shared" si="45"/>
        <v>0</v>
      </c>
      <c r="AG106" s="1773">
        <f t="shared" si="46"/>
        <v>0</v>
      </c>
      <c r="AH106" s="1773">
        <f t="shared" si="47"/>
        <v>0</v>
      </c>
      <c r="AI106" s="1773">
        <f t="shared" si="48"/>
        <v>0</v>
      </c>
      <c r="AJ106" s="1773">
        <f t="shared" si="49"/>
        <v>0</v>
      </c>
      <c r="AK106" s="1773">
        <f t="shared" si="50"/>
        <v>0</v>
      </c>
      <c r="AL106" s="1773">
        <f t="shared" si="27"/>
        <v>6000</v>
      </c>
      <c r="AN106" s="1776"/>
      <c r="AO106" s="1776"/>
      <c r="AP106" s="1776"/>
      <c r="AQ106" s="1776"/>
      <c r="AR106" s="1776"/>
      <c r="AS106" s="1776"/>
      <c r="AT106" s="1776"/>
      <c r="AU106" s="1776"/>
      <c r="AV106" s="1776"/>
      <c r="AW106" s="1776"/>
      <c r="AX106" s="1776"/>
      <c r="AY106" s="1776"/>
      <c r="AZ106" s="1776">
        <v>1</v>
      </c>
    </row>
    <row r="107" spans="1:52">
      <c r="A107" s="1479" t="s">
        <v>2404</v>
      </c>
      <c r="B107" s="1479" t="s">
        <v>2233</v>
      </c>
      <c r="C107" s="1741" t="s">
        <v>2108</v>
      </c>
      <c r="D107" s="1741">
        <v>1040</v>
      </c>
      <c r="E107" s="1741">
        <v>30</v>
      </c>
      <c r="F107" s="1741" t="s">
        <v>2216</v>
      </c>
      <c r="G107" s="1741" t="s">
        <v>2214</v>
      </c>
      <c r="H107" s="1741" t="s">
        <v>1658</v>
      </c>
      <c r="I107" s="1753" t="s">
        <v>3003</v>
      </c>
      <c r="J107" s="1754" t="s">
        <v>3004</v>
      </c>
      <c r="K107" s="1753" t="s">
        <v>497</v>
      </c>
      <c r="L107" s="1754" t="s">
        <v>1159</v>
      </c>
      <c r="M107" s="1754"/>
      <c r="N107" s="1756">
        <v>240</v>
      </c>
      <c r="O107" s="1757">
        <v>603.75</v>
      </c>
      <c r="P107" s="1758">
        <v>468.75</v>
      </c>
      <c r="Q107" s="1759">
        <v>1505</v>
      </c>
      <c r="R107" s="1760">
        <v>1505</v>
      </c>
      <c r="S107" s="1760">
        <v>629</v>
      </c>
      <c r="T107" s="1760">
        <v>629</v>
      </c>
      <c r="U107" s="1761">
        <v>1672.9116814079998</v>
      </c>
      <c r="V107" s="1762">
        <f>U107*108%</f>
        <v>1806.7446159206399</v>
      </c>
      <c r="W107" s="1757">
        <f>V107*108%</f>
        <v>1951.2841851942912</v>
      </c>
      <c r="Z107" s="1773">
        <f t="shared" si="39"/>
        <v>0</v>
      </c>
      <c r="AA107" s="1773">
        <f t="shared" si="40"/>
        <v>0</v>
      </c>
      <c r="AB107" s="1773">
        <f t="shared" si="41"/>
        <v>0</v>
      </c>
      <c r="AC107" s="1773">
        <f t="shared" si="42"/>
        <v>0</v>
      </c>
      <c r="AD107" s="1773">
        <f t="shared" si="43"/>
        <v>0</v>
      </c>
      <c r="AE107" s="1773">
        <f t="shared" si="44"/>
        <v>0</v>
      </c>
      <c r="AF107" s="1773">
        <f t="shared" si="45"/>
        <v>0</v>
      </c>
      <c r="AG107" s="1773">
        <f t="shared" si="46"/>
        <v>0</v>
      </c>
      <c r="AH107" s="1773">
        <f t="shared" si="47"/>
        <v>0</v>
      </c>
      <c r="AI107" s="1773">
        <f t="shared" si="48"/>
        <v>0</v>
      </c>
      <c r="AJ107" s="1773">
        <f t="shared" si="49"/>
        <v>0</v>
      </c>
      <c r="AK107" s="1773">
        <f t="shared" si="50"/>
        <v>0</v>
      </c>
      <c r="AL107" s="1773">
        <f t="shared" si="27"/>
        <v>1672.9116814079998</v>
      </c>
      <c r="AN107" s="1776"/>
      <c r="AO107" s="1776"/>
      <c r="AP107" s="1776"/>
      <c r="AQ107" s="1776"/>
      <c r="AR107" s="1776"/>
      <c r="AS107" s="1776"/>
      <c r="AT107" s="1776"/>
      <c r="AU107" s="1776"/>
      <c r="AV107" s="1776"/>
      <c r="AW107" s="1776"/>
      <c r="AX107" s="1776"/>
      <c r="AY107" s="1776"/>
      <c r="AZ107" s="1776">
        <v>1</v>
      </c>
    </row>
    <row r="108" spans="1:52">
      <c r="A108" s="1479" t="s">
        <v>2405</v>
      </c>
      <c r="B108" s="1479" t="s">
        <v>2265</v>
      </c>
      <c r="C108" s="1741" t="s">
        <v>2108</v>
      </c>
      <c r="D108" s="1741">
        <v>1040</v>
      </c>
      <c r="E108" s="1741">
        <v>40</v>
      </c>
      <c r="F108" s="1741" t="s">
        <v>2216</v>
      </c>
      <c r="G108" s="1741" t="s">
        <v>2214</v>
      </c>
      <c r="H108" s="1741" t="s">
        <v>1658</v>
      </c>
      <c r="I108" s="1753" t="s">
        <v>3003</v>
      </c>
      <c r="J108" s="1754" t="s">
        <v>2110</v>
      </c>
      <c r="K108" s="1753" t="s">
        <v>497</v>
      </c>
      <c r="L108" s="1754" t="s">
        <v>1159</v>
      </c>
      <c r="M108" s="1754"/>
      <c r="N108" s="1756">
        <v>11491.2</v>
      </c>
      <c r="O108" s="1757">
        <v>12694.8</v>
      </c>
      <c r="P108" s="1758">
        <v>14684.4</v>
      </c>
      <c r="Q108" s="1759">
        <v>18210</v>
      </c>
      <c r="R108" s="1760">
        <v>18210</v>
      </c>
      <c r="S108" s="1760">
        <v>16357</v>
      </c>
      <c r="T108" s="1760">
        <v>16357</v>
      </c>
      <c r="U108" s="1761">
        <v>13378.172544000001</v>
      </c>
      <c r="V108" s="1762">
        <v>19485</v>
      </c>
      <c r="W108" s="1757">
        <v>20850</v>
      </c>
      <c r="Z108" s="1773">
        <f t="shared" si="39"/>
        <v>0</v>
      </c>
      <c r="AA108" s="1773">
        <f t="shared" si="40"/>
        <v>0</v>
      </c>
      <c r="AB108" s="1773">
        <f t="shared" si="41"/>
        <v>0</v>
      </c>
      <c r="AC108" s="1773">
        <f t="shared" si="42"/>
        <v>0</v>
      </c>
      <c r="AD108" s="1773">
        <f t="shared" si="43"/>
        <v>0</v>
      </c>
      <c r="AE108" s="1773">
        <f t="shared" si="44"/>
        <v>0</v>
      </c>
      <c r="AF108" s="1773">
        <f t="shared" si="45"/>
        <v>0</v>
      </c>
      <c r="AG108" s="1773">
        <f t="shared" si="46"/>
        <v>0</v>
      </c>
      <c r="AH108" s="1773">
        <f t="shared" si="47"/>
        <v>0</v>
      </c>
      <c r="AI108" s="1773">
        <f t="shared" si="48"/>
        <v>0</v>
      </c>
      <c r="AJ108" s="1773">
        <f t="shared" si="49"/>
        <v>0</v>
      </c>
      <c r="AK108" s="1773">
        <f t="shared" si="50"/>
        <v>0</v>
      </c>
      <c r="AL108" s="1773">
        <f t="shared" si="27"/>
        <v>13378.172544000001</v>
      </c>
      <c r="AN108" s="1776"/>
      <c r="AO108" s="1776"/>
      <c r="AP108" s="1776"/>
      <c r="AQ108" s="1776"/>
      <c r="AR108" s="1776"/>
      <c r="AS108" s="1776"/>
      <c r="AT108" s="1776"/>
      <c r="AU108" s="1776"/>
      <c r="AV108" s="1776"/>
      <c r="AW108" s="1776"/>
      <c r="AX108" s="1776"/>
      <c r="AY108" s="1776"/>
      <c r="AZ108" s="1776">
        <v>1</v>
      </c>
    </row>
    <row r="109" spans="1:52">
      <c r="A109" s="1479" t="s">
        <v>2406</v>
      </c>
      <c r="B109" s="1479" t="s">
        <v>2235</v>
      </c>
      <c r="C109" s="1741" t="s">
        <v>2108</v>
      </c>
      <c r="D109" s="1741">
        <v>1040</v>
      </c>
      <c r="E109" s="1741">
        <v>50</v>
      </c>
      <c r="F109" s="1741" t="s">
        <v>2216</v>
      </c>
      <c r="G109" s="1741" t="s">
        <v>2214</v>
      </c>
      <c r="H109" s="1741" t="s">
        <v>1658</v>
      </c>
      <c r="I109" s="1753" t="s">
        <v>3003</v>
      </c>
      <c r="J109" s="1754" t="s">
        <v>2110</v>
      </c>
      <c r="K109" s="1753" t="s">
        <v>497</v>
      </c>
      <c r="L109" s="1754" t="s">
        <v>1159</v>
      </c>
      <c r="M109" s="1754"/>
      <c r="N109" s="1756">
        <v>101052.88</v>
      </c>
      <c r="O109" s="1757">
        <v>153827.12</v>
      </c>
      <c r="P109" s="1758">
        <v>126265.77</v>
      </c>
      <c r="Q109" s="1759">
        <v>327050</v>
      </c>
      <c r="R109" s="1760">
        <v>327050</v>
      </c>
      <c r="S109" s="1760">
        <v>180385</v>
      </c>
      <c r="T109" s="1760">
        <v>180385</v>
      </c>
      <c r="U109" s="1761">
        <v>353486.8272360001</v>
      </c>
      <c r="V109" s="1762">
        <f>U109*108%</f>
        <v>381765.77341488015</v>
      </c>
      <c r="W109" s="1757">
        <f>V109*108%</f>
        <v>412307.03528807062</v>
      </c>
      <c r="Z109" s="1773">
        <f t="shared" si="39"/>
        <v>0</v>
      </c>
      <c r="AA109" s="1773">
        <f t="shared" si="40"/>
        <v>0</v>
      </c>
      <c r="AB109" s="1773">
        <f t="shared" si="41"/>
        <v>0</v>
      </c>
      <c r="AC109" s="1773">
        <f t="shared" si="42"/>
        <v>0</v>
      </c>
      <c r="AD109" s="1773">
        <f t="shared" si="43"/>
        <v>0</v>
      </c>
      <c r="AE109" s="1773">
        <f t="shared" si="44"/>
        <v>0</v>
      </c>
      <c r="AF109" s="1773">
        <f t="shared" si="45"/>
        <v>0</v>
      </c>
      <c r="AG109" s="1773">
        <f t="shared" si="46"/>
        <v>0</v>
      </c>
      <c r="AH109" s="1773">
        <f t="shared" si="47"/>
        <v>0</v>
      </c>
      <c r="AI109" s="1773">
        <f t="shared" si="48"/>
        <v>0</v>
      </c>
      <c r="AJ109" s="1773">
        <f t="shared" si="49"/>
        <v>0</v>
      </c>
      <c r="AK109" s="1773">
        <f t="shared" si="50"/>
        <v>0</v>
      </c>
      <c r="AL109" s="1773">
        <f t="shared" si="27"/>
        <v>353486.8272360001</v>
      </c>
      <c r="AN109" s="1776"/>
      <c r="AO109" s="1776"/>
      <c r="AP109" s="1776"/>
      <c r="AQ109" s="1776"/>
      <c r="AR109" s="1776"/>
      <c r="AS109" s="1776"/>
      <c r="AT109" s="1776"/>
      <c r="AU109" s="1776"/>
      <c r="AV109" s="1776"/>
      <c r="AW109" s="1776"/>
      <c r="AX109" s="1776"/>
      <c r="AY109" s="1776"/>
      <c r="AZ109" s="1776">
        <v>1</v>
      </c>
    </row>
    <row r="110" spans="1:52">
      <c r="A110" s="1479" t="s">
        <v>2407</v>
      </c>
      <c r="B110" s="1479" t="s">
        <v>2237</v>
      </c>
      <c r="C110" s="1741" t="s">
        <v>2108</v>
      </c>
      <c r="D110" s="1741">
        <v>1040</v>
      </c>
      <c r="E110" s="1741">
        <v>60</v>
      </c>
      <c r="F110" s="1741" t="s">
        <v>2216</v>
      </c>
      <c r="G110" s="1741" t="s">
        <v>2214</v>
      </c>
      <c r="H110" s="1741" t="s">
        <v>1658</v>
      </c>
      <c r="I110" s="1753" t="s">
        <v>3003</v>
      </c>
      <c r="J110" s="1754" t="s">
        <v>2110</v>
      </c>
      <c r="K110" s="1753" t="s">
        <v>497</v>
      </c>
      <c r="L110" s="1754" t="s">
        <v>1159</v>
      </c>
      <c r="M110" s="1754"/>
      <c r="N110" s="1756">
        <v>5606.84</v>
      </c>
      <c r="O110" s="1757">
        <v>7139.66</v>
      </c>
      <c r="P110" s="1758">
        <v>7396.36</v>
      </c>
      <c r="Q110" s="1759">
        <v>14400</v>
      </c>
      <c r="R110" s="1760">
        <v>14400</v>
      </c>
      <c r="S110" s="1760">
        <v>9242</v>
      </c>
      <c r="T110" s="1760">
        <v>9242</v>
      </c>
      <c r="U110" s="1761">
        <v>13430.664959999993</v>
      </c>
      <c r="V110" s="1762">
        <v>15410</v>
      </c>
      <c r="W110" s="1757">
        <v>16490</v>
      </c>
      <c r="Z110" s="1773">
        <f t="shared" si="39"/>
        <v>0</v>
      </c>
      <c r="AA110" s="1773">
        <f t="shared" si="40"/>
        <v>0</v>
      </c>
      <c r="AB110" s="1773">
        <f t="shared" si="41"/>
        <v>0</v>
      </c>
      <c r="AC110" s="1773">
        <f t="shared" si="42"/>
        <v>0</v>
      </c>
      <c r="AD110" s="1773">
        <f t="shared" si="43"/>
        <v>0</v>
      </c>
      <c r="AE110" s="1773">
        <f t="shared" si="44"/>
        <v>0</v>
      </c>
      <c r="AF110" s="1773">
        <f t="shared" si="45"/>
        <v>0</v>
      </c>
      <c r="AG110" s="1773">
        <f t="shared" si="46"/>
        <v>0</v>
      </c>
      <c r="AH110" s="1773">
        <f t="shared" si="47"/>
        <v>0</v>
      </c>
      <c r="AI110" s="1773">
        <f t="shared" si="48"/>
        <v>0</v>
      </c>
      <c r="AJ110" s="1773">
        <f t="shared" si="49"/>
        <v>0</v>
      </c>
      <c r="AK110" s="1773">
        <f t="shared" si="50"/>
        <v>0</v>
      </c>
      <c r="AL110" s="1773">
        <f t="shared" si="27"/>
        <v>13430.664959999993</v>
      </c>
      <c r="AN110" s="1776"/>
      <c r="AO110" s="1776"/>
      <c r="AP110" s="1776"/>
      <c r="AQ110" s="1776"/>
      <c r="AR110" s="1776"/>
      <c r="AS110" s="1776"/>
      <c r="AT110" s="1776"/>
      <c r="AU110" s="1776"/>
      <c r="AV110" s="1776"/>
      <c r="AW110" s="1776"/>
      <c r="AX110" s="1776"/>
      <c r="AY110" s="1776"/>
      <c r="AZ110" s="1776">
        <v>1</v>
      </c>
    </row>
    <row r="111" spans="1:52">
      <c r="A111" t="s">
        <v>2408</v>
      </c>
      <c r="B111" t="s">
        <v>2269</v>
      </c>
      <c r="C111" s="1741" t="s">
        <v>2108</v>
      </c>
      <c r="D111" s="1741">
        <v>1040</v>
      </c>
      <c r="E111" s="1741">
        <v>80</v>
      </c>
      <c r="F111" s="1741" t="s">
        <v>2216</v>
      </c>
      <c r="G111" s="1741" t="s">
        <v>2214</v>
      </c>
      <c r="H111" s="1741" t="s">
        <v>1658</v>
      </c>
      <c r="I111" s="1753" t="s">
        <v>3003</v>
      </c>
      <c r="J111" s="1754" t="s">
        <v>2112</v>
      </c>
      <c r="K111" s="1753" t="s">
        <v>497</v>
      </c>
      <c r="L111" s="1754" t="s">
        <v>807</v>
      </c>
      <c r="M111" s="1754"/>
      <c r="N111" s="1756">
        <v>0</v>
      </c>
      <c r="O111" s="1757">
        <v>0</v>
      </c>
      <c r="P111" s="1758">
        <v>0</v>
      </c>
      <c r="Q111" s="1759">
        <v>1800</v>
      </c>
      <c r="R111" s="1760">
        <v>1800</v>
      </c>
      <c r="S111" s="1760">
        <v>203</v>
      </c>
      <c r="T111" s="1760">
        <v>203</v>
      </c>
      <c r="U111" s="1761">
        <v>1800</v>
      </c>
      <c r="V111" s="1762">
        <v>1950</v>
      </c>
      <c r="W111" s="1757">
        <v>2060</v>
      </c>
      <c r="Z111" s="1773">
        <f t="shared" si="39"/>
        <v>0</v>
      </c>
      <c r="AA111" s="1773">
        <f t="shared" si="40"/>
        <v>0</v>
      </c>
      <c r="AB111" s="1773">
        <f t="shared" si="41"/>
        <v>0</v>
      </c>
      <c r="AC111" s="1773">
        <f t="shared" si="42"/>
        <v>0</v>
      </c>
      <c r="AD111" s="1773">
        <f t="shared" si="43"/>
        <v>0</v>
      </c>
      <c r="AE111" s="1773">
        <f t="shared" si="44"/>
        <v>0</v>
      </c>
      <c r="AF111" s="1773">
        <f t="shared" si="45"/>
        <v>0</v>
      </c>
      <c r="AG111" s="1773">
        <f t="shared" si="46"/>
        <v>0</v>
      </c>
      <c r="AH111" s="1773">
        <f t="shared" si="47"/>
        <v>0</v>
      </c>
      <c r="AI111" s="1773">
        <f t="shared" si="48"/>
        <v>0</v>
      </c>
      <c r="AJ111" s="1773">
        <f t="shared" si="49"/>
        <v>0</v>
      </c>
      <c r="AK111" s="1773">
        <f t="shared" si="50"/>
        <v>0</v>
      </c>
      <c r="AL111" s="1773">
        <f t="shared" si="27"/>
        <v>1800</v>
      </c>
      <c r="AN111" s="1776"/>
      <c r="AO111" s="1776"/>
      <c r="AP111" s="1776"/>
      <c r="AQ111" s="1776"/>
      <c r="AR111" s="1776"/>
      <c r="AS111" s="1776"/>
      <c r="AT111" s="1776"/>
      <c r="AU111" s="1776"/>
      <c r="AV111" s="1776"/>
      <c r="AW111" s="1776"/>
      <c r="AX111" s="1776"/>
      <c r="AY111" s="1776"/>
      <c r="AZ111" s="1776">
        <v>1</v>
      </c>
    </row>
    <row r="112" spans="1:52" ht="13.5">
      <c r="A112" t="s">
        <v>2409</v>
      </c>
      <c r="B112" t="s">
        <v>2249</v>
      </c>
      <c r="C112" s="1741" t="s">
        <v>2108</v>
      </c>
      <c r="D112" s="1741">
        <v>1040</v>
      </c>
      <c r="E112" s="1741">
        <v>90</v>
      </c>
      <c r="F112" s="1741" t="s">
        <v>2216</v>
      </c>
      <c r="G112" s="1741" t="s">
        <v>2214</v>
      </c>
      <c r="H112" s="1741" t="s">
        <v>1658</v>
      </c>
      <c r="I112" s="1753" t="s">
        <v>2114</v>
      </c>
      <c r="J112" s="1754" t="s">
        <v>3008</v>
      </c>
      <c r="K112" s="1753" t="s">
        <v>2114</v>
      </c>
      <c r="L112" s="1754" t="s">
        <v>3008</v>
      </c>
      <c r="M112" s="1755"/>
      <c r="N112" s="1756"/>
      <c r="O112" s="1757"/>
      <c r="P112" s="1758"/>
      <c r="Q112" s="1759"/>
      <c r="R112" s="1760">
        <v>5000</v>
      </c>
      <c r="S112" s="1760">
        <v>0</v>
      </c>
      <c r="T112" s="1760">
        <v>0</v>
      </c>
      <c r="U112" s="1761">
        <v>0</v>
      </c>
      <c r="V112" s="1762">
        <v>0</v>
      </c>
      <c r="W112" s="1757">
        <v>0</v>
      </c>
      <c r="Z112" s="1773">
        <f t="shared" si="39"/>
        <v>0</v>
      </c>
      <c r="AA112" s="1773">
        <f t="shared" si="40"/>
        <v>0</v>
      </c>
      <c r="AB112" s="1773">
        <f t="shared" si="41"/>
        <v>0</v>
      </c>
      <c r="AC112" s="1773">
        <f t="shared" si="42"/>
        <v>0</v>
      </c>
      <c r="AD112" s="1773">
        <f t="shared" si="43"/>
        <v>0</v>
      </c>
      <c r="AE112" s="1773">
        <f t="shared" si="44"/>
        <v>0</v>
      </c>
      <c r="AF112" s="1773">
        <f t="shared" si="45"/>
        <v>0</v>
      </c>
      <c r="AG112" s="1773">
        <f t="shared" si="46"/>
        <v>0</v>
      </c>
      <c r="AH112" s="1773">
        <f t="shared" si="47"/>
        <v>0</v>
      </c>
      <c r="AI112" s="1773">
        <f t="shared" si="48"/>
        <v>0</v>
      </c>
      <c r="AJ112" s="1773">
        <f t="shared" si="49"/>
        <v>0</v>
      </c>
      <c r="AK112" s="1773">
        <f t="shared" si="50"/>
        <v>0</v>
      </c>
      <c r="AL112" s="1773">
        <f t="shared" si="27"/>
        <v>0</v>
      </c>
      <c r="AN112" s="1776"/>
      <c r="AO112" s="1776"/>
      <c r="AP112" s="1776"/>
      <c r="AQ112" s="1776"/>
      <c r="AR112" s="1776"/>
      <c r="AS112" s="1776"/>
      <c r="AT112" s="1776"/>
      <c r="AU112" s="1776"/>
      <c r="AV112" s="1776"/>
      <c r="AW112" s="1776"/>
      <c r="AX112" s="1776"/>
      <c r="AY112" s="1776"/>
      <c r="AZ112" s="1776">
        <v>1</v>
      </c>
    </row>
    <row r="113" spans="1:52" ht="13.5">
      <c r="A113" s="1479" t="s">
        <v>2410</v>
      </c>
      <c r="B113" s="1479" t="s">
        <v>2271</v>
      </c>
      <c r="C113" s="1741" t="s">
        <v>2108</v>
      </c>
      <c r="D113" s="1741">
        <v>1040</v>
      </c>
      <c r="E113" s="1741">
        <v>100</v>
      </c>
      <c r="F113" s="1741" t="s">
        <v>2216</v>
      </c>
      <c r="G113" s="1741" t="s">
        <v>2214</v>
      </c>
      <c r="H113" s="1741" t="s">
        <v>1658</v>
      </c>
      <c r="I113" s="1753" t="s">
        <v>3003</v>
      </c>
      <c r="J113" s="1754" t="s">
        <v>2145</v>
      </c>
      <c r="K113" s="1753" t="s">
        <v>497</v>
      </c>
      <c r="L113" s="1754" t="s">
        <v>1778</v>
      </c>
      <c r="M113" s="1755"/>
      <c r="N113" s="1756">
        <v>7009.69</v>
      </c>
      <c r="O113" s="1757">
        <v>0</v>
      </c>
      <c r="P113" s="1758">
        <v>8450.08</v>
      </c>
      <c r="Q113" s="1759">
        <v>22000</v>
      </c>
      <c r="R113" s="1760">
        <v>22000</v>
      </c>
      <c r="S113" s="1760">
        <v>2464</v>
      </c>
      <c r="T113" s="1760">
        <v>2464</v>
      </c>
      <c r="U113" s="1761">
        <v>22000</v>
      </c>
      <c r="V113" s="1762">
        <v>23000</v>
      </c>
      <c r="W113" s="1757">
        <v>24000</v>
      </c>
      <c r="Z113" s="1773">
        <f t="shared" si="39"/>
        <v>0</v>
      </c>
      <c r="AA113" s="1773">
        <f t="shared" si="40"/>
        <v>0</v>
      </c>
      <c r="AB113" s="1773">
        <f t="shared" si="41"/>
        <v>0</v>
      </c>
      <c r="AC113" s="1773">
        <f t="shared" si="42"/>
        <v>0</v>
      </c>
      <c r="AD113" s="1773">
        <f t="shared" si="43"/>
        <v>0</v>
      </c>
      <c r="AE113" s="1773">
        <f t="shared" si="44"/>
        <v>0</v>
      </c>
      <c r="AF113" s="1773">
        <f t="shared" si="45"/>
        <v>0</v>
      </c>
      <c r="AG113" s="1773">
        <f t="shared" si="46"/>
        <v>0</v>
      </c>
      <c r="AH113" s="1773">
        <f t="shared" si="47"/>
        <v>0</v>
      </c>
      <c r="AI113" s="1773">
        <f t="shared" si="48"/>
        <v>0</v>
      </c>
      <c r="AJ113" s="1773">
        <f t="shared" si="49"/>
        <v>0</v>
      </c>
      <c r="AK113" s="1773">
        <f t="shared" si="50"/>
        <v>0</v>
      </c>
      <c r="AL113" s="1773">
        <f t="shared" si="27"/>
        <v>22000</v>
      </c>
      <c r="AN113" s="1776"/>
      <c r="AO113" s="1776"/>
      <c r="AP113" s="1776"/>
      <c r="AQ113" s="1776"/>
      <c r="AR113" s="1776"/>
      <c r="AS113" s="1776"/>
      <c r="AT113" s="1776"/>
      <c r="AU113" s="1776"/>
      <c r="AV113" s="1776"/>
      <c r="AW113" s="1776"/>
      <c r="AX113" s="1776"/>
      <c r="AY113" s="1776"/>
      <c r="AZ113" s="1776">
        <v>1</v>
      </c>
    </row>
    <row r="114" spans="1:52" ht="13.5">
      <c r="A114" s="1479" t="s">
        <v>2411</v>
      </c>
      <c r="B114" s="1479" t="s">
        <v>2241</v>
      </c>
      <c r="C114" s="1741" t="s">
        <v>2108</v>
      </c>
      <c r="D114" s="1741">
        <v>1040</v>
      </c>
      <c r="E114" s="1741">
        <v>140</v>
      </c>
      <c r="F114" s="1741" t="s">
        <v>2216</v>
      </c>
      <c r="G114" s="1741" t="s">
        <v>2214</v>
      </c>
      <c r="H114" s="1741" t="s">
        <v>1658</v>
      </c>
      <c r="I114" s="1753" t="s">
        <v>3003</v>
      </c>
      <c r="J114" s="1754" t="s">
        <v>3005</v>
      </c>
      <c r="K114" s="1753" t="s">
        <v>497</v>
      </c>
      <c r="L114" s="1754" t="s">
        <v>1163</v>
      </c>
      <c r="M114" s="1755"/>
      <c r="N114" s="1756">
        <v>36277.67</v>
      </c>
      <c r="O114" s="1757">
        <v>31991.759999999998</v>
      </c>
      <c r="P114" s="1758">
        <v>37321.03</v>
      </c>
      <c r="Q114" s="1759">
        <v>97100</v>
      </c>
      <c r="R114" s="1760">
        <v>97100</v>
      </c>
      <c r="S114" s="1760">
        <v>65087</v>
      </c>
      <c r="T114" s="1760">
        <v>65087</v>
      </c>
      <c r="U114" s="1761">
        <v>106783.45319999999</v>
      </c>
      <c r="V114" s="1762">
        <f>U114*108%</f>
        <v>115326.129456</v>
      </c>
      <c r="W114" s="1757">
        <f>V114*108%</f>
        <v>124552.21981248001</v>
      </c>
      <c r="Z114" s="1773">
        <f t="shared" si="39"/>
        <v>0</v>
      </c>
      <c r="AA114" s="1773">
        <f t="shared" si="40"/>
        <v>0</v>
      </c>
      <c r="AB114" s="1773">
        <f t="shared" si="41"/>
        <v>0</v>
      </c>
      <c r="AC114" s="1773">
        <f t="shared" si="42"/>
        <v>0</v>
      </c>
      <c r="AD114" s="1773">
        <f t="shared" si="43"/>
        <v>0</v>
      </c>
      <c r="AE114" s="1773">
        <f t="shared" si="44"/>
        <v>0</v>
      </c>
      <c r="AF114" s="1773">
        <f t="shared" si="45"/>
        <v>0</v>
      </c>
      <c r="AG114" s="1773">
        <f t="shared" si="46"/>
        <v>0</v>
      </c>
      <c r="AH114" s="1773">
        <f t="shared" si="47"/>
        <v>0</v>
      </c>
      <c r="AI114" s="1773">
        <f t="shared" si="48"/>
        <v>0</v>
      </c>
      <c r="AJ114" s="1773">
        <f t="shared" si="49"/>
        <v>0</v>
      </c>
      <c r="AK114" s="1773">
        <f t="shared" si="50"/>
        <v>0</v>
      </c>
      <c r="AL114" s="1773">
        <f t="shared" si="27"/>
        <v>106783.45319999999</v>
      </c>
      <c r="AN114" s="1776"/>
      <c r="AO114" s="1776"/>
      <c r="AP114" s="1776"/>
      <c r="AQ114" s="1776"/>
      <c r="AR114" s="1776"/>
      <c r="AS114" s="1776"/>
      <c r="AT114" s="1776"/>
      <c r="AU114" s="1776"/>
      <c r="AV114" s="1776"/>
      <c r="AW114" s="1776"/>
      <c r="AX114" s="1776"/>
      <c r="AY114" s="1776"/>
      <c r="AZ114" s="1776">
        <v>1</v>
      </c>
    </row>
    <row r="115" spans="1:52" ht="13.5">
      <c r="A115" s="1479" t="s">
        <v>2412</v>
      </c>
      <c r="B115" s="1479" t="s">
        <v>2274</v>
      </c>
      <c r="C115" s="1741" t="s">
        <v>2108</v>
      </c>
      <c r="D115" s="1741">
        <v>1040</v>
      </c>
      <c r="E115" s="1741">
        <v>150</v>
      </c>
      <c r="F115" s="1741" t="s">
        <v>2216</v>
      </c>
      <c r="G115" s="1741" t="s">
        <v>2214</v>
      </c>
      <c r="H115" s="1741" t="s">
        <v>1658</v>
      </c>
      <c r="I115" s="1753" t="s">
        <v>3003</v>
      </c>
      <c r="J115" s="1754" t="s">
        <v>2113</v>
      </c>
      <c r="K115" s="1753" t="s">
        <v>497</v>
      </c>
      <c r="L115" s="1754" t="s">
        <v>1160</v>
      </c>
      <c r="M115" s="1755"/>
      <c r="N115" s="1756">
        <v>129422.88</v>
      </c>
      <c r="O115" s="1757">
        <v>140164.92000000001</v>
      </c>
      <c r="P115" s="1758">
        <v>162095.82</v>
      </c>
      <c r="Q115" s="1759">
        <v>224965</v>
      </c>
      <c r="R115" s="1760">
        <v>224965</v>
      </c>
      <c r="S115" s="1760">
        <v>149554</v>
      </c>
      <c r="T115" s="1760">
        <v>149554</v>
      </c>
      <c r="U115" s="1761">
        <v>224964</v>
      </c>
      <c r="V115" s="1762">
        <v>240715</v>
      </c>
      <c r="W115" s="1757">
        <v>257565</v>
      </c>
      <c r="Z115" s="1773">
        <f t="shared" si="39"/>
        <v>0</v>
      </c>
      <c r="AA115" s="1773">
        <f t="shared" si="40"/>
        <v>0</v>
      </c>
      <c r="AB115" s="1773">
        <f t="shared" si="41"/>
        <v>0</v>
      </c>
      <c r="AC115" s="1773">
        <f t="shared" si="42"/>
        <v>0</v>
      </c>
      <c r="AD115" s="1773">
        <f t="shared" si="43"/>
        <v>0</v>
      </c>
      <c r="AE115" s="1773">
        <f t="shared" si="44"/>
        <v>0</v>
      </c>
      <c r="AF115" s="1773">
        <f t="shared" si="45"/>
        <v>0</v>
      </c>
      <c r="AG115" s="1773">
        <f t="shared" si="46"/>
        <v>0</v>
      </c>
      <c r="AH115" s="1773">
        <f t="shared" si="47"/>
        <v>0</v>
      </c>
      <c r="AI115" s="1773">
        <f t="shared" si="48"/>
        <v>0</v>
      </c>
      <c r="AJ115" s="1773">
        <f t="shared" si="49"/>
        <v>0</v>
      </c>
      <c r="AK115" s="1773">
        <f t="shared" si="50"/>
        <v>0</v>
      </c>
      <c r="AL115" s="1773">
        <f t="shared" si="27"/>
        <v>224964</v>
      </c>
      <c r="AN115" s="1776"/>
      <c r="AO115" s="1776"/>
      <c r="AP115" s="1776"/>
      <c r="AQ115" s="1776"/>
      <c r="AR115" s="1776"/>
      <c r="AS115" s="1776"/>
      <c r="AT115" s="1776"/>
      <c r="AU115" s="1776"/>
      <c r="AV115" s="1776"/>
      <c r="AW115" s="1776"/>
      <c r="AX115" s="1776"/>
      <c r="AY115" s="1776"/>
      <c r="AZ115" s="1776">
        <v>1</v>
      </c>
    </row>
    <row r="116" spans="1:52" ht="13.5">
      <c r="A116" s="1479" t="s">
        <v>2413</v>
      </c>
      <c r="B116" s="1479" t="s">
        <v>2276</v>
      </c>
      <c r="C116" s="1741" t="s">
        <v>2108</v>
      </c>
      <c r="D116" s="1741">
        <v>1040</v>
      </c>
      <c r="E116" s="1741">
        <v>170</v>
      </c>
      <c r="F116" s="1741" t="s">
        <v>2216</v>
      </c>
      <c r="G116" s="1741" t="s">
        <v>2214</v>
      </c>
      <c r="H116" s="1741" t="s">
        <v>1658</v>
      </c>
      <c r="I116" s="1753" t="s">
        <v>3003</v>
      </c>
      <c r="J116" s="1754" t="s">
        <v>1161</v>
      </c>
      <c r="K116" s="1753" t="s">
        <v>497</v>
      </c>
      <c r="L116" s="1754" t="s">
        <v>1161</v>
      </c>
      <c r="M116" s="1755"/>
      <c r="N116" s="1756">
        <v>864.28</v>
      </c>
      <c r="O116" s="1757">
        <v>0</v>
      </c>
      <c r="P116" s="1758">
        <v>1648.81</v>
      </c>
      <c r="Q116" s="1759">
        <v>1000</v>
      </c>
      <c r="R116" s="1760">
        <v>1000</v>
      </c>
      <c r="S116" s="1760">
        <v>112</v>
      </c>
      <c r="T116" s="1760">
        <v>112</v>
      </c>
      <c r="U116" s="1761">
        <v>3000</v>
      </c>
      <c r="V116" s="1762">
        <v>3000</v>
      </c>
      <c r="W116" s="1757">
        <v>3000</v>
      </c>
      <c r="Z116" s="1773">
        <f t="shared" si="39"/>
        <v>0</v>
      </c>
      <c r="AA116" s="1773">
        <f t="shared" si="40"/>
        <v>0</v>
      </c>
      <c r="AB116" s="1773">
        <f t="shared" si="41"/>
        <v>0</v>
      </c>
      <c r="AC116" s="1773">
        <f t="shared" si="42"/>
        <v>0</v>
      </c>
      <c r="AD116" s="1773">
        <f t="shared" si="43"/>
        <v>0</v>
      </c>
      <c r="AE116" s="1773">
        <f t="shared" si="44"/>
        <v>0</v>
      </c>
      <c r="AF116" s="1773">
        <f t="shared" si="45"/>
        <v>0</v>
      </c>
      <c r="AG116" s="1773">
        <f t="shared" si="46"/>
        <v>0</v>
      </c>
      <c r="AH116" s="1773">
        <f t="shared" si="47"/>
        <v>0</v>
      </c>
      <c r="AI116" s="1773">
        <f t="shared" si="48"/>
        <v>0</v>
      </c>
      <c r="AJ116" s="1773">
        <f t="shared" si="49"/>
        <v>0</v>
      </c>
      <c r="AK116" s="1773">
        <f t="shared" si="50"/>
        <v>0</v>
      </c>
      <c r="AL116" s="1773">
        <f t="shared" si="27"/>
        <v>3000</v>
      </c>
      <c r="AN116" s="1776"/>
      <c r="AO116" s="1776"/>
      <c r="AP116" s="1776"/>
      <c r="AQ116" s="1776"/>
      <c r="AR116" s="1776"/>
      <c r="AS116" s="1776"/>
      <c r="AT116" s="1776"/>
      <c r="AU116" s="1776"/>
      <c r="AV116" s="1776"/>
      <c r="AW116" s="1776"/>
      <c r="AX116" s="1776"/>
      <c r="AY116" s="1776"/>
      <c r="AZ116" s="1776">
        <v>1</v>
      </c>
    </row>
    <row r="117" spans="1:52" ht="13.5">
      <c r="A117" s="1479" t="s">
        <v>2414</v>
      </c>
      <c r="B117" s="1479" t="s">
        <v>2278</v>
      </c>
      <c r="C117" s="1741" t="s">
        <v>2108</v>
      </c>
      <c r="D117" s="1741">
        <v>1040</v>
      </c>
      <c r="E117" s="1741">
        <v>200</v>
      </c>
      <c r="F117" s="1741" t="s">
        <v>2216</v>
      </c>
      <c r="G117" s="1741" t="s">
        <v>2214</v>
      </c>
      <c r="H117" s="1741" t="s">
        <v>1658</v>
      </c>
      <c r="I117" s="1753" t="s">
        <v>3003</v>
      </c>
      <c r="J117" s="1754" t="s">
        <v>2113</v>
      </c>
      <c r="K117" s="1753" t="s">
        <v>497</v>
      </c>
      <c r="L117" s="1754" t="s">
        <v>1160</v>
      </c>
      <c r="M117" s="1755"/>
      <c r="N117" s="1756">
        <v>3780</v>
      </c>
      <c r="O117" s="1757">
        <v>4099.08</v>
      </c>
      <c r="P117" s="1758">
        <v>4099.08</v>
      </c>
      <c r="Q117" s="1759">
        <v>4100</v>
      </c>
      <c r="R117" s="1760">
        <v>4100</v>
      </c>
      <c r="S117" s="1760">
        <v>4112</v>
      </c>
      <c r="T117" s="1760">
        <v>4112</v>
      </c>
      <c r="U117" s="1761">
        <v>4099.08</v>
      </c>
      <c r="V117" s="1762">
        <v>4390</v>
      </c>
      <c r="W117" s="1757">
        <v>4695</v>
      </c>
      <c r="Z117" s="1773">
        <f t="shared" si="39"/>
        <v>0</v>
      </c>
      <c r="AA117" s="1773">
        <f t="shared" si="40"/>
        <v>0</v>
      </c>
      <c r="AB117" s="1773">
        <f t="shared" si="41"/>
        <v>0</v>
      </c>
      <c r="AC117" s="1773">
        <f t="shared" si="42"/>
        <v>0</v>
      </c>
      <c r="AD117" s="1773">
        <f t="shared" si="43"/>
        <v>0</v>
      </c>
      <c r="AE117" s="1773">
        <f t="shared" si="44"/>
        <v>0</v>
      </c>
      <c r="AF117" s="1773">
        <f t="shared" si="45"/>
        <v>0</v>
      </c>
      <c r="AG117" s="1773">
        <f t="shared" si="46"/>
        <v>0</v>
      </c>
      <c r="AH117" s="1773">
        <f t="shared" si="47"/>
        <v>0</v>
      </c>
      <c r="AI117" s="1773">
        <f t="shared" si="48"/>
        <v>0</v>
      </c>
      <c r="AJ117" s="1773">
        <f t="shared" si="49"/>
        <v>0</v>
      </c>
      <c r="AK117" s="1773">
        <f t="shared" si="50"/>
        <v>0</v>
      </c>
      <c r="AL117" s="1773">
        <f t="shared" si="27"/>
        <v>4099.08</v>
      </c>
      <c r="AN117" s="1776"/>
      <c r="AO117" s="1776"/>
      <c r="AP117" s="1776"/>
      <c r="AQ117" s="1776"/>
      <c r="AR117" s="1776"/>
      <c r="AS117" s="1776"/>
      <c r="AT117" s="1776"/>
      <c r="AU117" s="1776"/>
      <c r="AV117" s="1776"/>
      <c r="AW117" s="1776"/>
      <c r="AX117" s="1776"/>
      <c r="AY117" s="1776"/>
      <c r="AZ117" s="1776">
        <v>1</v>
      </c>
    </row>
    <row r="118" spans="1:52" ht="13.5">
      <c r="A118" s="1479" t="s">
        <v>2415</v>
      </c>
      <c r="B118" s="1479" t="s">
        <v>2349</v>
      </c>
      <c r="C118" s="1741" t="s">
        <v>2108</v>
      </c>
      <c r="D118" s="1741">
        <v>1040</v>
      </c>
      <c r="E118" s="1741">
        <v>510</v>
      </c>
      <c r="F118" s="1741" t="s">
        <v>2216</v>
      </c>
      <c r="G118" s="1741" t="s">
        <v>2214</v>
      </c>
      <c r="H118" s="1741" t="s">
        <v>1658</v>
      </c>
      <c r="I118" s="1753" t="s">
        <v>2114</v>
      </c>
      <c r="J118" s="1754" t="s">
        <v>3018</v>
      </c>
      <c r="K118" s="1753" t="s">
        <v>2114</v>
      </c>
      <c r="L118" s="1754" t="s">
        <v>3018</v>
      </c>
      <c r="M118" s="1755"/>
      <c r="N118" s="1756">
        <v>41457.43</v>
      </c>
      <c r="O118" s="1757">
        <v>50998.15</v>
      </c>
      <c r="P118" s="1758">
        <v>43405.7</v>
      </c>
      <c r="Q118" s="1759">
        <v>84320</v>
      </c>
      <c r="R118" s="1760">
        <v>40000</v>
      </c>
      <c r="S118" s="1760">
        <v>52174</v>
      </c>
      <c r="T118" s="1760">
        <v>52174</v>
      </c>
      <c r="U118" s="1761">
        <v>50000</v>
      </c>
      <c r="V118" s="1762">
        <v>52000</v>
      </c>
      <c r="W118" s="1757">
        <v>55000</v>
      </c>
      <c r="Z118" s="1773">
        <f t="shared" si="39"/>
        <v>0</v>
      </c>
      <c r="AA118" s="1773">
        <f t="shared" si="40"/>
        <v>0</v>
      </c>
      <c r="AB118" s="1773">
        <f t="shared" si="41"/>
        <v>0</v>
      </c>
      <c r="AC118" s="1773">
        <f t="shared" si="42"/>
        <v>0</v>
      </c>
      <c r="AD118" s="1773">
        <f t="shared" si="43"/>
        <v>0</v>
      </c>
      <c r="AE118" s="1773">
        <f t="shared" si="44"/>
        <v>0</v>
      </c>
      <c r="AF118" s="1773">
        <f t="shared" si="45"/>
        <v>0</v>
      </c>
      <c r="AG118" s="1773">
        <f t="shared" si="46"/>
        <v>0</v>
      </c>
      <c r="AH118" s="1773">
        <f t="shared" si="47"/>
        <v>0</v>
      </c>
      <c r="AI118" s="1773">
        <f t="shared" si="48"/>
        <v>0</v>
      </c>
      <c r="AJ118" s="1773">
        <f t="shared" si="49"/>
        <v>0</v>
      </c>
      <c r="AK118" s="1773">
        <f t="shared" si="50"/>
        <v>0</v>
      </c>
      <c r="AL118" s="1773">
        <f t="shared" si="27"/>
        <v>50000</v>
      </c>
      <c r="AN118" s="1776"/>
      <c r="AO118" s="1776"/>
      <c r="AP118" s="1776"/>
      <c r="AQ118" s="1776"/>
      <c r="AR118" s="1776"/>
      <c r="AS118" s="1776"/>
      <c r="AT118" s="1776"/>
      <c r="AU118" s="1776"/>
      <c r="AV118" s="1776"/>
      <c r="AW118" s="1776"/>
      <c r="AX118" s="1776"/>
      <c r="AY118" s="1776"/>
      <c r="AZ118" s="1776">
        <v>1</v>
      </c>
    </row>
    <row r="119" spans="1:52" ht="13.5">
      <c r="A119" s="1479" t="s">
        <v>2416</v>
      </c>
      <c r="B119" s="1479" t="s">
        <v>2243</v>
      </c>
      <c r="C119" s="1741" t="s">
        <v>2108</v>
      </c>
      <c r="D119" s="1741">
        <v>1040</v>
      </c>
      <c r="E119" s="1741">
        <v>520</v>
      </c>
      <c r="F119" s="1741" t="s">
        <v>2216</v>
      </c>
      <c r="G119" s="1741" t="s">
        <v>2214</v>
      </c>
      <c r="H119" s="1741" t="s">
        <v>1658</v>
      </c>
      <c r="I119" s="1753" t="s">
        <v>2114</v>
      </c>
      <c r="J119" s="1754" t="s">
        <v>2138</v>
      </c>
      <c r="K119" s="1753" t="s">
        <v>2114</v>
      </c>
      <c r="L119" s="1754" t="s">
        <v>2138</v>
      </c>
      <c r="M119" s="1755"/>
      <c r="N119" s="1756">
        <v>39911.64</v>
      </c>
      <c r="O119" s="1757">
        <v>26350.9</v>
      </c>
      <c r="P119" s="1758">
        <v>27132.7</v>
      </c>
      <c r="Q119" s="1759">
        <v>31425</v>
      </c>
      <c r="R119" s="1760">
        <v>377045</v>
      </c>
      <c r="S119" s="1760">
        <v>184056</v>
      </c>
      <c r="T119" s="1760">
        <v>184056</v>
      </c>
      <c r="U119" s="1761">
        <v>390000</v>
      </c>
      <c r="V119" s="1762">
        <f>U119*106%</f>
        <v>413400</v>
      </c>
      <c r="W119" s="1757">
        <f>V119*106%</f>
        <v>438204</v>
      </c>
      <c r="Z119" s="1773">
        <f t="shared" si="39"/>
        <v>0</v>
      </c>
      <c r="AA119" s="1773">
        <f t="shared" si="40"/>
        <v>0</v>
      </c>
      <c r="AB119" s="1773">
        <f t="shared" si="41"/>
        <v>0</v>
      </c>
      <c r="AC119" s="1773">
        <f t="shared" si="42"/>
        <v>0</v>
      </c>
      <c r="AD119" s="1773">
        <f t="shared" si="43"/>
        <v>0</v>
      </c>
      <c r="AE119" s="1773">
        <f t="shared" si="44"/>
        <v>0</v>
      </c>
      <c r="AF119" s="1773">
        <f t="shared" si="45"/>
        <v>0</v>
      </c>
      <c r="AG119" s="1773">
        <f t="shared" si="46"/>
        <v>0</v>
      </c>
      <c r="AH119" s="1773">
        <f t="shared" si="47"/>
        <v>0</v>
      </c>
      <c r="AI119" s="1773">
        <f t="shared" si="48"/>
        <v>0</v>
      </c>
      <c r="AJ119" s="1773">
        <f t="shared" si="49"/>
        <v>0</v>
      </c>
      <c r="AK119" s="1773">
        <f t="shared" si="50"/>
        <v>0</v>
      </c>
      <c r="AL119" s="1773">
        <f t="shared" si="27"/>
        <v>390000</v>
      </c>
      <c r="AN119" s="1776"/>
      <c r="AO119" s="1776"/>
      <c r="AP119" s="1776"/>
      <c r="AQ119" s="1776"/>
      <c r="AR119" s="1776"/>
      <c r="AS119" s="1776"/>
      <c r="AT119" s="1776"/>
      <c r="AU119" s="1776"/>
      <c r="AV119" s="1776"/>
      <c r="AW119" s="1776"/>
      <c r="AX119" s="1776"/>
      <c r="AY119" s="1776"/>
      <c r="AZ119" s="1776">
        <v>1</v>
      </c>
    </row>
    <row r="120" spans="1:52" ht="13.5">
      <c r="A120" s="1479" t="s">
        <v>2417</v>
      </c>
      <c r="B120" s="1479" t="s">
        <v>2418</v>
      </c>
      <c r="C120" s="1741" t="s">
        <v>2108</v>
      </c>
      <c r="D120" s="1741">
        <v>1040</v>
      </c>
      <c r="E120" s="1741">
        <v>530</v>
      </c>
      <c r="F120" s="1741" t="s">
        <v>2216</v>
      </c>
      <c r="G120" s="1741" t="s">
        <v>2214</v>
      </c>
      <c r="H120" s="1741" t="s">
        <v>1658</v>
      </c>
      <c r="I120" s="1753" t="s">
        <v>2114</v>
      </c>
      <c r="J120" s="1754" t="s">
        <v>2137</v>
      </c>
      <c r="K120" s="1753" t="s">
        <v>2114</v>
      </c>
      <c r="L120" s="1754" t="s">
        <v>2137</v>
      </c>
      <c r="M120" s="1755"/>
      <c r="N120" s="1756">
        <v>0</v>
      </c>
      <c r="O120" s="1757">
        <v>0</v>
      </c>
      <c r="P120" s="1758">
        <v>7659.72</v>
      </c>
      <c r="Q120" s="1759">
        <v>0</v>
      </c>
      <c r="R120" s="1760">
        <v>0</v>
      </c>
      <c r="S120" s="1760">
        <v>72</v>
      </c>
      <c r="T120" s="1760">
        <v>72</v>
      </c>
      <c r="U120" s="1761">
        <v>1000</v>
      </c>
      <c r="V120" s="1762">
        <v>0</v>
      </c>
      <c r="W120" s="1757">
        <v>0</v>
      </c>
      <c r="Z120" s="1773">
        <f t="shared" si="39"/>
        <v>0</v>
      </c>
      <c r="AA120" s="1773">
        <f t="shared" si="40"/>
        <v>0</v>
      </c>
      <c r="AB120" s="1773">
        <f t="shared" si="41"/>
        <v>0</v>
      </c>
      <c r="AC120" s="1773">
        <f t="shared" si="42"/>
        <v>0</v>
      </c>
      <c r="AD120" s="1773">
        <f t="shared" si="43"/>
        <v>0</v>
      </c>
      <c r="AE120" s="1773">
        <f t="shared" si="44"/>
        <v>0</v>
      </c>
      <c r="AF120" s="1773">
        <f t="shared" si="45"/>
        <v>0</v>
      </c>
      <c r="AG120" s="1773">
        <f t="shared" si="46"/>
        <v>0</v>
      </c>
      <c r="AH120" s="1773">
        <f t="shared" si="47"/>
        <v>0</v>
      </c>
      <c r="AI120" s="1773">
        <f t="shared" si="48"/>
        <v>0</v>
      </c>
      <c r="AJ120" s="1773">
        <f t="shared" si="49"/>
        <v>0</v>
      </c>
      <c r="AK120" s="1773">
        <f t="shared" si="50"/>
        <v>0</v>
      </c>
      <c r="AL120" s="1773">
        <f t="shared" si="27"/>
        <v>1000</v>
      </c>
      <c r="AN120" s="1776"/>
      <c r="AO120" s="1776"/>
      <c r="AP120" s="1776"/>
      <c r="AQ120" s="1776"/>
      <c r="AR120" s="1776"/>
      <c r="AS120" s="1776"/>
      <c r="AT120" s="1776"/>
      <c r="AU120" s="1776"/>
      <c r="AV120" s="1776"/>
      <c r="AW120" s="1776"/>
      <c r="AX120" s="1776"/>
      <c r="AY120" s="1776"/>
      <c r="AZ120" s="1776">
        <v>1</v>
      </c>
    </row>
    <row r="121" spans="1:52" ht="13.5">
      <c r="A121" s="1479" t="s">
        <v>2419</v>
      </c>
      <c r="B121" s="1479" t="s">
        <v>2420</v>
      </c>
      <c r="C121" s="1741" t="s">
        <v>2108</v>
      </c>
      <c r="D121" s="1741">
        <v>1040</v>
      </c>
      <c r="E121" s="1741">
        <v>540</v>
      </c>
      <c r="F121" s="1741" t="s">
        <v>2216</v>
      </c>
      <c r="G121" s="1741" t="s">
        <v>2214</v>
      </c>
      <c r="H121" s="1741" t="s">
        <v>1658</v>
      </c>
      <c r="I121" s="1753" t="s">
        <v>2114</v>
      </c>
      <c r="J121" s="1754"/>
      <c r="K121" s="1753" t="s">
        <v>2114</v>
      </c>
      <c r="L121" s="1754" t="s">
        <v>502</v>
      </c>
      <c r="M121" s="1755"/>
      <c r="N121" s="1756">
        <v>7524.3</v>
      </c>
      <c r="O121" s="1757">
        <v>27284.55</v>
      </c>
      <c r="P121" s="1758">
        <v>153031.52000000002</v>
      </c>
      <c r="Q121" s="1759">
        <v>7250</v>
      </c>
      <c r="R121" s="1760">
        <v>10000</v>
      </c>
      <c r="S121" s="1760">
        <v>10440</v>
      </c>
      <c r="T121" s="1760">
        <v>10440</v>
      </c>
      <c r="U121" s="1761">
        <v>25000</v>
      </c>
      <c r="V121" s="1762">
        <v>7300</v>
      </c>
      <c r="W121" s="1757">
        <v>7350</v>
      </c>
      <c r="Z121" s="1773">
        <f t="shared" si="39"/>
        <v>0</v>
      </c>
      <c r="AA121" s="1773">
        <f t="shared" si="40"/>
        <v>0</v>
      </c>
      <c r="AB121" s="1773">
        <f t="shared" si="41"/>
        <v>0</v>
      </c>
      <c r="AC121" s="1773">
        <f t="shared" si="42"/>
        <v>0</v>
      </c>
      <c r="AD121" s="1773">
        <f t="shared" si="43"/>
        <v>0</v>
      </c>
      <c r="AE121" s="1773">
        <f t="shared" si="44"/>
        <v>0</v>
      </c>
      <c r="AF121" s="1773">
        <f t="shared" si="45"/>
        <v>0</v>
      </c>
      <c r="AG121" s="1773">
        <f t="shared" si="46"/>
        <v>0</v>
      </c>
      <c r="AH121" s="1773">
        <f t="shared" si="47"/>
        <v>0</v>
      </c>
      <c r="AI121" s="1773">
        <f t="shared" si="48"/>
        <v>0</v>
      </c>
      <c r="AJ121" s="1773">
        <f t="shared" si="49"/>
        <v>0</v>
      </c>
      <c r="AK121" s="1773">
        <f t="shared" si="50"/>
        <v>0</v>
      </c>
      <c r="AL121" s="1773">
        <f t="shared" si="27"/>
        <v>25000</v>
      </c>
      <c r="AN121" s="1776"/>
      <c r="AO121" s="1776"/>
      <c r="AP121" s="1776"/>
      <c r="AQ121" s="1776"/>
      <c r="AR121" s="1776"/>
      <c r="AS121" s="1776"/>
      <c r="AT121" s="1776"/>
      <c r="AU121" s="1776"/>
      <c r="AV121" s="1776"/>
      <c r="AW121" s="1776"/>
      <c r="AX121" s="1776"/>
      <c r="AY121" s="1776"/>
      <c r="AZ121" s="1776">
        <v>1</v>
      </c>
    </row>
    <row r="122" spans="1:52">
      <c r="A122" s="1479" t="s">
        <v>2421</v>
      </c>
      <c r="B122" s="1479" t="s">
        <v>2422</v>
      </c>
      <c r="C122" s="1741" t="s">
        <v>2108</v>
      </c>
      <c r="D122" s="1741">
        <v>1040</v>
      </c>
      <c r="E122" s="1741">
        <v>550</v>
      </c>
      <c r="F122" s="1741" t="s">
        <v>2216</v>
      </c>
      <c r="G122" s="1741" t="s">
        <v>2214</v>
      </c>
      <c r="H122" s="1741" t="s">
        <v>1658</v>
      </c>
      <c r="I122" s="1753" t="s">
        <v>2114</v>
      </c>
      <c r="J122" s="1754" t="s">
        <v>3019</v>
      </c>
      <c r="K122" s="1753" t="s">
        <v>2114</v>
      </c>
      <c r="L122" s="1754" t="s">
        <v>3019</v>
      </c>
      <c r="M122" s="1754"/>
      <c r="N122" s="1756">
        <v>33161.449999999997</v>
      </c>
      <c r="O122" s="1757">
        <v>0</v>
      </c>
      <c r="P122" s="1758">
        <v>0</v>
      </c>
      <c r="Q122" s="1759">
        <v>0</v>
      </c>
      <c r="R122" s="1760">
        <v>0</v>
      </c>
      <c r="S122" s="1760">
        <v>0</v>
      </c>
      <c r="T122" s="1760">
        <v>0</v>
      </c>
      <c r="U122" s="1761">
        <v>0</v>
      </c>
      <c r="V122" s="1762">
        <v>0</v>
      </c>
      <c r="W122" s="1757">
        <v>0</v>
      </c>
      <c r="Z122" s="1773">
        <f t="shared" si="39"/>
        <v>0</v>
      </c>
      <c r="AA122" s="1773">
        <f t="shared" si="40"/>
        <v>0</v>
      </c>
      <c r="AB122" s="1773">
        <f t="shared" si="41"/>
        <v>0</v>
      </c>
      <c r="AC122" s="1773">
        <f t="shared" si="42"/>
        <v>0</v>
      </c>
      <c r="AD122" s="1773">
        <f t="shared" si="43"/>
        <v>0</v>
      </c>
      <c r="AE122" s="1773">
        <f t="shared" si="44"/>
        <v>0</v>
      </c>
      <c r="AF122" s="1773">
        <f t="shared" si="45"/>
        <v>0</v>
      </c>
      <c r="AG122" s="1773">
        <f t="shared" si="46"/>
        <v>0</v>
      </c>
      <c r="AH122" s="1773">
        <f t="shared" si="47"/>
        <v>0</v>
      </c>
      <c r="AI122" s="1773">
        <f t="shared" si="48"/>
        <v>0</v>
      </c>
      <c r="AJ122" s="1773">
        <f t="shared" si="49"/>
        <v>0</v>
      </c>
      <c r="AK122" s="1773">
        <f t="shared" si="50"/>
        <v>0</v>
      </c>
      <c r="AL122" s="1773">
        <f t="shared" si="27"/>
        <v>0</v>
      </c>
      <c r="AN122" s="1776"/>
      <c r="AO122" s="1776"/>
      <c r="AP122" s="1776"/>
      <c r="AQ122" s="1776"/>
      <c r="AR122" s="1776"/>
      <c r="AS122" s="1776"/>
      <c r="AT122" s="1776"/>
      <c r="AU122" s="1776"/>
      <c r="AV122" s="1776"/>
      <c r="AW122" s="1776"/>
      <c r="AX122" s="1776"/>
      <c r="AY122" s="1776"/>
      <c r="AZ122" s="1776">
        <v>1</v>
      </c>
    </row>
    <row r="123" spans="1:52">
      <c r="A123" s="1479" t="s">
        <v>2423</v>
      </c>
      <c r="B123" s="1479" t="s">
        <v>2283</v>
      </c>
      <c r="C123" s="1741" t="s">
        <v>2108</v>
      </c>
      <c r="D123" s="1741">
        <v>1040</v>
      </c>
      <c r="E123" s="1741">
        <v>570</v>
      </c>
      <c r="F123" s="1741" t="s">
        <v>2216</v>
      </c>
      <c r="G123" s="1741" t="s">
        <v>2214</v>
      </c>
      <c r="H123" s="1741" t="s">
        <v>1658</v>
      </c>
      <c r="I123" s="1753" t="s">
        <v>2114</v>
      </c>
      <c r="J123" s="1754" t="s">
        <v>3010</v>
      </c>
      <c r="K123" s="1753" t="s">
        <v>2114</v>
      </c>
      <c r="L123" s="1754" t="s">
        <v>3010</v>
      </c>
      <c r="M123" s="1754"/>
      <c r="N123" s="1756">
        <v>118228.98</v>
      </c>
      <c r="O123" s="1757">
        <v>109283.63</v>
      </c>
      <c r="P123" s="1758">
        <v>87463.41</v>
      </c>
      <c r="Q123" s="1759">
        <v>70000</v>
      </c>
      <c r="R123" s="1760">
        <v>50000</v>
      </c>
      <c r="S123" s="1760">
        <v>68569</v>
      </c>
      <c r="T123" s="1760">
        <v>68569</v>
      </c>
      <c r="U123" s="1761">
        <v>55000</v>
      </c>
      <c r="V123" s="1762">
        <v>70500</v>
      </c>
      <c r="W123" s="1757">
        <v>71000</v>
      </c>
      <c r="Z123" s="1773">
        <f t="shared" si="39"/>
        <v>0</v>
      </c>
      <c r="AA123" s="1773">
        <f t="shared" si="40"/>
        <v>0</v>
      </c>
      <c r="AB123" s="1773">
        <f t="shared" si="41"/>
        <v>0</v>
      </c>
      <c r="AC123" s="1773">
        <f t="shared" si="42"/>
        <v>0</v>
      </c>
      <c r="AD123" s="1773">
        <f t="shared" si="43"/>
        <v>0</v>
      </c>
      <c r="AE123" s="1773">
        <f t="shared" si="44"/>
        <v>0</v>
      </c>
      <c r="AF123" s="1773">
        <f t="shared" si="45"/>
        <v>0</v>
      </c>
      <c r="AG123" s="1773">
        <f t="shared" si="46"/>
        <v>0</v>
      </c>
      <c r="AH123" s="1773">
        <f t="shared" si="47"/>
        <v>0</v>
      </c>
      <c r="AI123" s="1773">
        <f t="shared" si="48"/>
        <v>0</v>
      </c>
      <c r="AJ123" s="1773">
        <f t="shared" si="49"/>
        <v>0</v>
      </c>
      <c r="AK123" s="1773">
        <f t="shared" si="50"/>
        <v>0</v>
      </c>
      <c r="AL123" s="1773">
        <f t="shared" si="27"/>
        <v>55000</v>
      </c>
      <c r="AN123" s="1776"/>
      <c r="AO123" s="1776"/>
      <c r="AP123" s="1776"/>
      <c r="AQ123" s="1776"/>
      <c r="AR123" s="1776"/>
      <c r="AS123" s="1776"/>
      <c r="AT123" s="1776"/>
      <c r="AU123" s="1776"/>
      <c r="AV123" s="1776"/>
      <c r="AW123" s="1776"/>
      <c r="AX123" s="1776"/>
      <c r="AY123" s="1776"/>
      <c r="AZ123" s="1776">
        <v>1</v>
      </c>
    </row>
    <row r="124" spans="1:52">
      <c r="A124" s="1479" t="s">
        <v>2424</v>
      </c>
      <c r="B124" s="1479" t="s">
        <v>2425</v>
      </c>
      <c r="C124" s="1741" t="s">
        <v>2108</v>
      </c>
      <c r="D124" s="1741">
        <v>1040</v>
      </c>
      <c r="E124" s="1741">
        <v>590</v>
      </c>
      <c r="F124" s="1741" t="s">
        <v>2216</v>
      </c>
      <c r="G124" s="1741" t="s">
        <v>2214</v>
      </c>
      <c r="H124" s="1741" t="s">
        <v>1658</v>
      </c>
      <c r="I124" s="1753" t="s">
        <v>2114</v>
      </c>
      <c r="J124" s="1754"/>
      <c r="K124" s="1753" t="s">
        <v>2114</v>
      </c>
      <c r="L124" s="1754" t="s">
        <v>502</v>
      </c>
      <c r="M124" s="1754"/>
      <c r="N124" s="1756">
        <v>449.65</v>
      </c>
      <c r="O124" s="1757">
        <v>0</v>
      </c>
      <c r="P124" s="1758">
        <v>0</v>
      </c>
      <c r="Q124" s="1759">
        <v>300</v>
      </c>
      <c r="R124" s="1760">
        <v>300</v>
      </c>
      <c r="S124" s="1760">
        <v>33</v>
      </c>
      <c r="T124" s="1760">
        <v>33</v>
      </c>
      <c r="U124" s="1761">
        <v>1000</v>
      </c>
      <c r="V124" s="1762">
        <v>1000</v>
      </c>
      <c r="W124" s="1757">
        <v>1000</v>
      </c>
      <c r="Z124" s="1773">
        <f t="shared" si="39"/>
        <v>0</v>
      </c>
      <c r="AA124" s="1773">
        <f t="shared" si="40"/>
        <v>0</v>
      </c>
      <c r="AB124" s="1773">
        <f t="shared" si="41"/>
        <v>0</v>
      </c>
      <c r="AC124" s="1773">
        <f t="shared" si="42"/>
        <v>0</v>
      </c>
      <c r="AD124" s="1773">
        <f t="shared" si="43"/>
        <v>0</v>
      </c>
      <c r="AE124" s="1773">
        <f t="shared" si="44"/>
        <v>0</v>
      </c>
      <c r="AF124" s="1773">
        <f t="shared" si="45"/>
        <v>0</v>
      </c>
      <c r="AG124" s="1773">
        <f t="shared" si="46"/>
        <v>0</v>
      </c>
      <c r="AH124" s="1773">
        <f t="shared" si="47"/>
        <v>0</v>
      </c>
      <c r="AI124" s="1773">
        <f t="shared" si="48"/>
        <v>0</v>
      </c>
      <c r="AJ124" s="1773">
        <f t="shared" si="49"/>
        <v>0</v>
      </c>
      <c r="AK124" s="1773">
        <f t="shared" si="50"/>
        <v>0</v>
      </c>
      <c r="AL124" s="1773">
        <f t="shared" si="27"/>
        <v>1000</v>
      </c>
      <c r="AN124" s="1776"/>
      <c r="AO124" s="1776"/>
      <c r="AP124" s="1776"/>
      <c r="AQ124" s="1776"/>
      <c r="AR124" s="1776"/>
      <c r="AS124" s="1776"/>
      <c r="AT124" s="1776"/>
      <c r="AU124" s="1776"/>
      <c r="AV124" s="1776"/>
      <c r="AW124" s="1776"/>
      <c r="AX124" s="1776"/>
      <c r="AY124" s="1776"/>
      <c r="AZ124" s="1776">
        <v>1</v>
      </c>
    </row>
    <row r="125" spans="1:52">
      <c r="A125" t="s">
        <v>2426</v>
      </c>
      <c r="B125" t="s">
        <v>2427</v>
      </c>
      <c r="C125" s="1741" t="s">
        <v>2108</v>
      </c>
      <c r="D125" s="1741">
        <v>1040</v>
      </c>
      <c r="E125" s="1741">
        <v>630</v>
      </c>
      <c r="F125" s="1741" t="s">
        <v>2216</v>
      </c>
      <c r="G125" s="1741" t="s">
        <v>2214</v>
      </c>
      <c r="H125" s="1741" t="s">
        <v>1658</v>
      </c>
      <c r="I125" s="1753" t="s">
        <v>2114</v>
      </c>
      <c r="J125" s="1754"/>
      <c r="K125" s="1753" t="s">
        <v>2114</v>
      </c>
      <c r="L125" s="1754" t="s">
        <v>502</v>
      </c>
      <c r="M125" s="1754"/>
      <c r="N125" s="1756"/>
      <c r="O125" s="1757"/>
      <c r="P125" s="1758"/>
      <c r="Q125" s="1759">
        <v>100000</v>
      </c>
      <c r="R125" s="1760">
        <v>30000</v>
      </c>
      <c r="S125" s="1760">
        <v>11200</v>
      </c>
      <c r="T125" s="1760">
        <v>11200</v>
      </c>
      <c r="U125" s="1761">
        <v>120000</v>
      </c>
      <c r="V125" s="1762">
        <v>100000</v>
      </c>
      <c r="W125" s="1757">
        <v>100000</v>
      </c>
      <c r="Z125" s="1773">
        <f t="shared" si="39"/>
        <v>0</v>
      </c>
      <c r="AA125" s="1773">
        <f t="shared" si="40"/>
        <v>0</v>
      </c>
      <c r="AB125" s="1773">
        <f t="shared" si="41"/>
        <v>0</v>
      </c>
      <c r="AC125" s="1773">
        <f t="shared" si="42"/>
        <v>0</v>
      </c>
      <c r="AD125" s="1773">
        <f t="shared" si="43"/>
        <v>0</v>
      </c>
      <c r="AE125" s="1773">
        <f t="shared" si="44"/>
        <v>0</v>
      </c>
      <c r="AF125" s="1773">
        <f t="shared" si="45"/>
        <v>0</v>
      </c>
      <c r="AG125" s="1773">
        <f t="shared" si="46"/>
        <v>0</v>
      </c>
      <c r="AH125" s="1773">
        <f t="shared" si="47"/>
        <v>0</v>
      </c>
      <c r="AI125" s="1773">
        <f t="shared" si="48"/>
        <v>0</v>
      </c>
      <c r="AJ125" s="1773">
        <f t="shared" si="49"/>
        <v>0</v>
      </c>
      <c r="AK125" s="1773">
        <f t="shared" si="50"/>
        <v>0</v>
      </c>
      <c r="AL125" s="1773">
        <f t="shared" si="27"/>
        <v>120000</v>
      </c>
      <c r="AN125" s="1776"/>
      <c r="AO125" s="1776"/>
      <c r="AP125" s="1776"/>
      <c r="AQ125" s="1776"/>
      <c r="AR125" s="1776"/>
      <c r="AS125" s="1776"/>
      <c r="AT125" s="1776"/>
      <c r="AU125" s="1776"/>
      <c r="AV125" s="1776"/>
      <c r="AW125" s="1776"/>
      <c r="AX125" s="1776"/>
      <c r="AY125" s="1776"/>
      <c r="AZ125" s="1776">
        <v>1</v>
      </c>
    </row>
    <row r="126" spans="1:52">
      <c r="A126" s="1479" t="s">
        <v>2428</v>
      </c>
      <c r="B126" s="1479" t="s">
        <v>2245</v>
      </c>
      <c r="C126" s="1741" t="s">
        <v>2108</v>
      </c>
      <c r="D126" s="1741">
        <v>1040</v>
      </c>
      <c r="E126" s="1741">
        <v>650</v>
      </c>
      <c r="F126" s="1741" t="s">
        <v>2216</v>
      </c>
      <c r="G126" s="1741" t="s">
        <v>2214</v>
      </c>
      <c r="H126" s="1741" t="s">
        <v>1658</v>
      </c>
      <c r="I126" s="1753" t="s">
        <v>2114</v>
      </c>
      <c r="J126" s="1754" t="s">
        <v>3006</v>
      </c>
      <c r="K126" s="1753" t="s">
        <v>2114</v>
      </c>
      <c r="L126" s="1754" t="s">
        <v>3006</v>
      </c>
      <c r="M126" s="1754"/>
      <c r="N126" s="1756">
        <v>5950</v>
      </c>
      <c r="O126" s="1757">
        <v>3876</v>
      </c>
      <c r="P126" s="1758">
        <v>3412.28</v>
      </c>
      <c r="Q126" s="1759">
        <v>20000</v>
      </c>
      <c r="R126" s="1760">
        <v>10000</v>
      </c>
      <c r="S126" s="1760">
        <v>3577</v>
      </c>
      <c r="T126" s="1760">
        <v>3577</v>
      </c>
      <c r="U126" s="1761">
        <v>70000</v>
      </c>
      <c r="V126" s="1762">
        <v>55000</v>
      </c>
      <c r="W126" s="1757">
        <v>30000</v>
      </c>
      <c r="Z126" s="1773">
        <f t="shared" si="39"/>
        <v>0</v>
      </c>
      <c r="AA126" s="1773">
        <f t="shared" si="40"/>
        <v>0</v>
      </c>
      <c r="AB126" s="1773">
        <f t="shared" si="41"/>
        <v>0</v>
      </c>
      <c r="AC126" s="1773">
        <f t="shared" si="42"/>
        <v>0</v>
      </c>
      <c r="AD126" s="1773">
        <f t="shared" si="43"/>
        <v>0</v>
      </c>
      <c r="AE126" s="1773">
        <f t="shared" si="44"/>
        <v>0</v>
      </c>
      <c r="AF126" s="1773">
        <f t="shared" si="45"/>
        <v>0</v>
      </c>
      <c r="AG126" s="1773">
        <f t="shared" si="46"/>
        <v>0</v>
      </c>
      <c r="AH126" s="1773">
        <f t="shared" si="47"/>
        <v>0</v>
      </c>
      <c r="AI126" s="1773">
        <f t="shared" si="48"/>
        <v>0</v>
      </c>
      <c r="AJ126" s="1773">
        <f t="shared" si="49"/>
        <v>0</v>
      </c>
      <c r="AK126" s="1773">
        <f t="shared" si="50"/>
        <v>0</v>
      </c>
      <c r="AL126" s="1773">
        <f t="shared" si="27"/>
        <v>70000</v>
      </c>
      <c r="AN126" s="1776"/>
      <c r="AO126" s="1776"/>
      <c r="AP126" s="1776"/>
      <c r="AQ126" s="1776"/>
      <c r="AR126" s="1776"/>
      <c r="AS126" s="1776"/>
      <c r="AT126" s="1776"/>
      <c r="AU126" s="1776"/>
      <c r="AV126" s="1776"/>
      <c r="AW126" s="1776"/>
      <c r="AX126" s="1776"/>
      <c r="AY126" s="1776"/>
      <c r="AZ126" s="1776">
        <v>1</v>
      </c>
    </row>
    <row r="127" spans="1:52">
      <c r="A127" s="1479" t="s">
        <v>2429</v>
      </c>
      <c r="B127" s="1479" t="s">
        <v>2288</v>
      </c>
      <c r="C127" s="1741" t="s">
        <v>2108</v>
      </c>
      <c r="D127" s="1741">
        <v>1040</v>
      </c>
      <c r="E127" s="1741">
        <v>690</v>
      </c>
      <c r="F127" s="1741" t="s">
        <v>2216</v>
      </c>
      <c r="G127" s="1741" t="s">
        <v>2214</v>
      </c>
      <c r="H127" s="1741" t="s">
        <v>1658</v>
      </c>
      <c r="I127" s="1753" t="s">
        <v>2114</v>
      </c>
      <c r="J127" s="1754" t="s">
        <v>2124</v>
      </c>
      <c r="K127" s="1753" t="s">
        <v>2114</v>
      </c>
      <c r="L127" s="1754" t="s">
        <v>2124</v>
      </c>
      <c r="M127" s="1754"/>
      <c r="N127" s="1756">
        <v>23500.39</v>
      </c>
      <c r="O127" s="1757">
        <v>36570.26</v>
      </c>
      <c r="P127" s="1758">
        <v>3457.89</v>
      </c>
      <c r="Q127" s="1759">
        <v>30000</v>
      </c>
      <c r="R127" s="1760">
        <v>10000</v>
      </c>
      <c r="S127" s="1760">
        <v>3360</v>
      </c>
      <c r="T127" s="1760">
        <v>3360</v>
      </c>
      <c r="U127" s="1761">
        <v>10000</v>
      </c>
      <c r="V127" s="1762">
        <v>30000</v>
      </c>
      <c r="W127" s="1757">
        <v>30000</v>
      </c>
      <c r="Z127" s="1773">
        <f t="shared" si="39"/>
        <v>0</v>
      </c>
      <c r="AA127" s="1773">
        <f t="shared" si="40"/>
        <v>0</v>
      </c>
      <c r="AB127" s="1773">
        <f t="shared" si="41"/>
        <v>0</v>
      </c>
      <c r="AC127" s="1773">
        <f t="shared" si="42"/>
        <v>0</v>
      </c>
      <c r="AD127" s="1773">
        <f t="shared" si="43"/>
        <v>0</v>
      </c>
      <c r="AE127" s="1773">
        <f t="shared" si="44"/>
        <v>0</v>
      </c>
      <c r="AF127" s="1773">
        <f t="shared" si="45"/>
        <v>0</v>
      </c>
      <c r="AG127" s="1773">
        <f t="shared" si="46"/>
        <v>0</v>
      </c>
      <c r="AH127" s="1773">
        <f t="shared" si="47"/>
        <v>0</v>
      </c>
      <c r="AI127" s="1773">
        <f t="shared" si="48"/>
        <v>0</v>
      </c>
      <c r="AJ127" s="1773">
        <f t="shared" si="49"/>
        <v>0</v>
      </c>
      <c r="AK127" s="1773">
        <f t="shared" si="50"/>
        <v>0</v>
      </c>
      <c r="AL127" s="1773">
        <f t="shared" si="27"/>
        <v>10000</v>
      </c>
      <c r="AN127" s="1776"/>
      <c r="AO127" s="1776"/>
      <c r="AP127" s="1776"/>
      <c r="AQ127" s="1776"/>
      <c r="AR127" s="1776"/>
      <c r="AS127" s="1776"/>
      <c r="AT127" s="1776"/>
      <c r="AU127" s="1776"/>
      <c r="AV127" s="1776"/>
      <c r="AW127" s="1776"/>
      <c r="AX127" s="1776"/>
      <c r="AY127" s="1776"/>
      <c r="AZ127" s="1776">
        <v>1</v>
      </c>
    </row>
    <row r="128" spans="1:52">
      <c r="A128" s="1479" t="s">
        <v>2430</v>
      </c>
      <c r="B128" s="1479" t="s">
        <v>2290</v>
      </c>
      <c r="C128" s="1741" t="s">
        <v>2108</v>
      </c>
      <c r="D128" s="1741">
        <v>1040</v>
      </c>
      <c r="E128" s="1741">
        <v>700</v>
      </c>
      <c r="F128" s="1741" t="s">
        <v>2216</v>
      </c>
      <c r="G128" s="1741" t="s">
        <v>2214</v>
      </c>
      <c r="H128" s="1741" t="s">
        <v>1658</v>
      </c>
      <c r="I128" s="1753" t="s">
        <v>2114</v>
      </c>
      <c r="J128" s="1754" t="s">
        <v>3011</v>
      </c>
      <c r="K128" s="1753" t="s">
        <v>2114</v>
      </c>
      <c r="L128" s="1754" t="s">
        <v>3011</v>
      </c>
      <c r="M128" s="1754"/>
      <c r="N128" s="1756">
        <v>1840.52</v>
      </c>
      <c r="O128" s="1757">
        <v>307.02</v>
      </c>
      <c r="P128" s="1758">
        <v>0</v>
      </c>
      <c r="Q128" s="1759">
        <v>4450</v>
      </c>
      <c r="R128" s="1760">
        <v>4450</v>
      </c>
      <c r="S128" s="1760">
        <v>499</v>
      </c>
      <c r="T128" s="1760">
        <v>499</v>
      </c>
      <c r="U128" s="1761">
        <v>7000</v>
      </c>
      <c r="V128" s="1762">
        <v>7000</v>
      </c>
      <c r="W128" s="1757">
        <v>7000</v>
      </c>
      <c r="Z128" s="1773">
        <f t="shared" si="39"/>
        <v>0</v>
      </c>
      <c r="AA128" s="1773">
        <f t="shared" si="40"/>
        <v>0</v>
      </c>
      <c r="AB128" s="1773">
        <f t="shared" si="41"/>
        <v>0</v>
      </c>
      <c r="AC128" s="1773">
        <f t="shared" si="42"/>
        <v>0</v>
      </c>
      <c r="AD128" s="1773">
        <f t="shared" si="43"/>
        <v>0</v>
      </c>
      <c r="AE128" s="1773">
        <f t="shared" si="44"/>
        <v>0</v>
      </c>
      <c r="AF128" s="1773">
        <f t="shared" si="45"/>
        <v>0</v>
      </c>
      <c r="AG128" s="1773">
        <f t="shared" si="46"/>
        <v>0</v>
      </c>
      <c r="AH128" s="1773">
        <f t="shared" si="47"/>
        <v>0</v>
      </c>
      <c r="AI128" s="1773">
        <f t="shared" si="48"/>
        <v>0</v>
      </c>
      <c r="AJ128" s="1773">
        <f t="shared" si="49"/>
        <v>0</v>
      </c>
      <c r="AK128" s="1773">
        <f t="shared" si="50"/>
        <v>0</v>
      </c>
      <c r="AL128" s="1773">
        <f t="shared" si="27"/>
        <v>7000</v>
      </c>
      <c r="AN128" s="1776"/>
      <c r="AO128" s="1776"/>
      <c r="AP128" s="1776"/>
      <c r="AQ128" s="1776"/>
      <c r="AR128" s="1776"/>
      <c r="AS128" s="1776"/>
      <c r="AT128" s="1776"/>
      <c r="AU128" s="1776"/>
      <c r="AV128" s="1776"/>
      <c r="AW128" s="1776"/>
      <c r="AX128" s="1776"/>
      <c r="AY128" s="1776"/>
      <c r="AZ128" s="1776">
        <v>1</v>
      </c>
    </row>
    <row r="129" spans="1:52">
      <c r="A129" s="1479" t="s">
        <v>2431</v>
      </c>
      <c r="B129" s="1479" t="s">
        <v>2292</v>
      </c>
      <c r="C129" s="1741" t="s">
        <v>2108</v>
      </c>
      <c r="D129" s="1741">
        <v>1040</v>
      </c>
      <c r="E129" s="1741">
        <v>710</v>
      </c>
      <c r="F129" s="1741" t="s">
        <v>2216</v>
      </c>
      <c r="G129" s="1741" t="s">
        <v>2214</v>
      </c>
      <c r="H129" s="1741" t="s">
        <v>1658</v>
      </c>
      <c r="I129" s="1753" t="s">
        <v>2114</v>
      </c>
      <c r="J129" s="1754"/>
      <c r="K129" s="1753" t="s">
        <v>2114</v>
      </c>
      <c r="L129" s="1754" t="s">
        <v>502</v>
      </c>
      <c r="M129" s="1754"/>
      <c r="N129" s="1756">
        <v>355.5</v>
      </c>
      <c r="O129" s="1757">
        <v>0</v>
      </c>
      <c r="P129" s="1758">
        <v>219</v>
      </c>
      <c r="Q129" s="1759">
        <v>400</v>
      </c>
      <c r="R129" s="1760">
        <v>1000</v>
      </c>
      <c r="S129" s="1760">
        <v>868</v>
      </c>
      <c r="T129" s="1760">
        <v>868</v>
      </c>
      <c r="U129" s="1761">
        <v>2000</v>
      </c>
      <c r="V129" s="1762">
        <v>2500</v>
      </c>
      <c r="W129" s="1757">
        <v>2500</v>
      </c>
      <c r="Z129" s="1773">
        <f t="shared" si="39"/>
        <v>0</v>
      </c>
      <c r="AA129" s="1773">
        <f t="shared" si="40"/>
        <v>0</v>
      </c>
      <c r="AB129" s="1773">
        <f t="shared" si="41"/>
        <v>0</v>
      </c>
      <c r="AC129" s="1773">
        <f t="shared" si="42"/>
        <v>0</v>
      </c>
      <c r="AD129" s="1773">
        <f t="shared" si="43"/>
        <v>0</v>
      </c>
      <c r="AE129" s="1773">
        <f t="shared" si="44"/>
        <v>0</v>
      </c>
      <c r="AF129" s="1773">
        <f t="shared" si="45"/>
        <v>0</v>
      </c>
      <c r="AG129" s="1773">
        <f t="shared" si="46"/>
        <v>0</v>
      </c>
      <c r="AH129" s="1773">
        <f t="shared" si="47"/>
        <v>0</v>
      </c>
      <c r="AI129" s="1773">
        <f t="shared" si="48"/>
        <v>0</v>
      </c>
      <c r="AJ129" s="1773">
        <f t="shared" si="49"/>
        <v>0</v>
      </c>
      <c r="AK129" s="1773">
        <f t="shared" si="50"/>
        <v>0</v>
      </c>
      <c r="AL129" s="1773">
        <f t="shared" si="27"/>
        <v>2000</v>
      </c>
      <c r="AN129" s="1776"/>
      <c r="AO129" s="1776"/>
      <c r="AP129" s="1776"/>
      <c r="AQ129" s="1776"/>
      <c r="AR129" s="1776"/>
      <c r="AS129" s="1776"/>
      <c r="AT129" s="1776"/>
      <c r="AU129" s="1776"/>
      <c r="AV129" s="1776"/>
      <c r="AW129" s="1776"/>
      <c r="AX129" s="1776"/>
      <c r="AY129" s="1776"/>
      <c r="AZ129" s="1776">
        <v>1</v>
      </c>
    </row>
    <row r="130" spans="1:52">
      <c r="A130" s="1479" t="s">
        <v>2432</v>
      </c>
      <c r="B130" s="1479" t="s">
        <v>2247</v>
      </c>
      <c r="C130" s="1741" t="s">
        <v>2108</v>
      </c>
      <c r="D130" s="1741">
        <v>1040</v>
      </c>
      <c r="E130" s="1741">
        <v>790</v>
      </c>
      <c r="F130" s="1741" t="s">
        <v>2216</v>
      </c>
      <c r="G130" s="1741" t="s">
        <v>2214</v>
      </c>
      <c r="H130" s="1741" t="s">
        <v>1658</v>
      </c>
      <c r="I130" s="1753" t="s">
        <v>2114</v>
      </c>
      <c r="J130" s="1754" t="s">
        <v>3007</v>
      </c>
      <c r="K130" s="1753" t="s">
        <v>2114</v>
      </c>
      <c r="L130" s="1754" t="s">
        <v>3007</v>
      </c>
      <c r="M130" s="1754"/>
      <c r="N130" s="1756">
        <v>52380</v>
      </c>
      <c r="O130" s="1757">
        <v>72151.710000000006</v>
      </c>
      <c r="P130" s="1758">
        <v>76462.34</v>
      </c>
      <c r="Q130" s="1759">
        <v>100000</v>
      </c>
      <c r="R130" s="1760">
        <v>60000</v>
      </c>
      <c r="S130" s="1760">
        <v>60948</v>
      </c>
      <c r="T130" s="1760">
        <v>60948</v>
      </c>
      <c r="U130" s="1761">
        <v>70000</v>
      </c>
      <c r="V130" s="1762">
        <v>100000</v>
      </c>
      <c r="W130" s="1757">
        <v>100000</v>
      </c>
      <c r="Z130" s="1773">
        <f t="shared" ref="Z130:Z161" si="51">$AL130*AN130</f>
        <v>0</v>
      </c>
      <c r="AA130" s="1773">
        <f t="shared" si="40"/>
        <v>0</v>
      </c>
      <c r="AB130" s="1773">
        <f t="shared" si="41"/>
        <v>0</v>
      </c>
      <c r="AC130" s="1773">
        <f t="shared" si="42"/>
        <v>0</v>
      </c>
      <c r="AD130" s="1773">
        <f t="shared" si="43"/>
        <v>0</v>
      </c>
      <c r="AE130" s="1773">
        <f t="shared" si="44"/>
        <v>0</v>
      </c>
      <c r="AF130" s="1773">
        <f t="shared" si="45"/>
        <v>0</v>
      </c>
      <c r="AG130" s="1773">
        <f t="shared" si="46"/>
        <v>0</v>
      </c>
      <c r="AH130" s="1773">
        <f t="shared" si="47"/>
        <v>0</v>
      </c>
      <c r="AI130" s="1773">
        <f t="shared" si="48"/>
        <v>0</v>
      </c>
      <c r="AJ130" s="1773">
        <f t="shared" si="49"/>
        <v>0</v>
      </c>
      <c r="AK130" s="1773">
        <f t="shared" si="50"/>
        <v>0</v>
      </c>
      <c r="AL130" s="1773">
        <f t="shared" ref="AL130:AL193" si="52">U130</f>
        <v>70000</v>
      </c>
      <c r="AN130" s="1776"/>
      <c r="AO130" s="1776"/>
      <c r="AP130" s="1776"/>
      <c r="AQ130" s="1776"/>
      <c r="AR130" s="1776"/>
      <c r="AS130" s="1776"/>
      <c r="AT130" s="1776"/>
      <c r="AU130" s="1776"/>
      <c r="AV130" s="1776"/>
      <c r="AW130" s="1776"/>
      <c r="AX130" s="1776"/>
      <c r="AY130" s="1776"/>
      <c r="AZ130" s="1776">
        <v>1</v>
      </c>
    </row>
    <row r="131" spans="1:52">
      <c r="A131" t="s">
        <v>2433</v>
      </c>
      <c r="B131" t="s">
        <v>2434</v>
      </c>
      <c r="C131" s="1741" t="s">
        <v>2108</v>
      </c>
      <c r="D131" s="1741">
        <v>1040</v>
      </c>
      <c r="E131" s="1741">
        <v>990</v>
      </c>
      <c r="F131" s="1741" t="s">
        <v>2216</v>
      </c>
      <c r="G131" s="1741" t="s">
        <v>2214</v>
      </c>
      <c r="H131" s="1741" t="s">
        <v>1658</v>
      </c>
      <c r="I131" s="1753" t="s">
        <v>2114</v>
      </c>
      <c r="J131" s="1754"/>
      <c r="K131" s="1753" t="s">
        <v>2114</v>
      </c>
      <c r="L131" s="1754" t="s">
        <v>502</v>
      </c>
      <c r="M131" s="1754"/>
      <c r="N131" s="1756"/>
      <c r="O131" s="1757"/>
      <c r="P131" s="1758"/>
      <c r="Q131" s="1759">
        <v>0</v>
      </c>
      <c r="R131" s="1760">
        <v>0</v>
      </c>
      <c r="S131" s="1760">
        <v>1920</v>
      </c>
      <c r="T131" s="1760">
        <v>1920</v>
      </c>
      <c r="U131" s="1761">
        <v>0</v>
      </c>
      <c r="V131" s="1762">
        <v>0</v>
      </c>
      <c r="W131" s="1757">
        <v>0</v>
      </c>
      <c r="Z131" s="1773">
        <f t="shared" si="51"/>
        <v>0</v>
      </c>
      <c r="AA131" s="1773">
        <f t="shared" ref="AA131:AA162" si="53">$AL131*AO131</f>
        <v>0</v>
      </c>
      <c r="AB131" s="1773">
        <f t="shared" ref="AB131:AB162" si="54">$AL131*AP131</f>
        <v>0</v>
      </c>
      <c r="AC131" s="1773">
        <f t="shared" ref="AC131:AC162" si="55">$AL131*AQ131</f>
        <v>0</v>
      </c>
      <c r="AD131" s="1773">
        <f t="shared" ref="AD131:AD162" si="56">$AL131*AR131</f>
        <v>0</v>
      </c>
      <c r="AE131" s="1773">
        <f t="shared" ref="AE131:AE162" si="57">$AL131*AS131</f>
        <v>0</v>
      </c>
      <c r="AF131" s="1773">
        <f t="shared" ref="AF131:AF162" si="58">$AL131*AT131</f>
        <v>0</v>
      </c>
      <c r="AG131" s="1773">
        <f t="shared" ref="AG131:AG162" si="59">$AL131*AU131</f>
        <v>0</v>
      </c>
      <c r="AH131" s="1773">
        <f t="shared" ref="AH131:AH162" si="60">$AL131*AV131</f>
        <v>0</v>
      </c>
      <c r="AI131" s="1773">
        <f t="shared" ref="AI131:AI162" si="61">$AL131*AW131</f>
        <v>0</v>
      </c>
      <c r="AJ131" s="1773">
        <f t="shared" ref="AJ131:AJ162" si="62">$AL131*AX131</f>
        <v>0</v>
      </c>
      <c r="AK131" s="1773">
        <f t="shared" ref="AK131:AK162" si="63">$AL131*AY131</f>
        <v>0</v>
      </c>
      <c r="AL131" s="1773">
        <f t="shared" si="52"/>
        <v>0</v>
      </c>
      <c r="AN131" s="1776"/>
      <c r="AO131" s="1776"/>
      <c r="AP131" s="1776"/>
      <c r="AQ131" s="1776"/>
      <c r="AR131" s="1776"/>
      <c r="AS131" s="1776"/>
      <c r="AT131" s="1776"/>
      <c r="AU131" s="1776"/>
      <c r="AV131" s="1776"/>
      <c r="AW131" s="1776"/>
      <c r="AX131" s="1776"/>
      <c r="AY131" s="1776"/>
      <c r="AZ131" s="1776">
        <v>1</v>
      </c>
    </row>
    <row r="132" spans="1:52">
      <c r="A132" s="1479" t="s">
        <v>2435</v>
      </c>
      <c r="B132" s="1479" t="s">
        <v>2436</v>
      </c>
      <c r="C132" s="1741" t="s">
        <v>2108</v>
      </c>
      <c r="D132" s="1741">
        <v>1040</v>
      </c>
      <c r="E132" s="1741">
        <v>1080</v>
      </c>
      <c r="F132" s="1741" t="s">
        <v>2216</v>
      </c>
      <c r="G132" s="1741" t="s">
        <v>2214</v>
      </c>
      <c r="H132" s="1741" t="s">
        <v>1658</v>
      </c>
      <c r="I132" s="1753" t="s">
        <v>2114</v>
      </c>
      <c r="J132" s="1754"/>
      <c r="K132" s="1753" t="s">
        <v>2114</v>
      </c>
      <c r="L132" s="1754" t="s">
        <v>502</v>
      </c>
      <c r="M132" s="1754"/>
      <c r="N132" s="1756">
        <v>8501.76</v>
      </c>
      <c r="O132" s="1757">
        <v>9284.51</v>
      </c>
      <c r="P132" s="1758">
        <v>6500</v>
      </c>
      <c r="Q132" s="1759">
        <v>10000</v>
      </c>
      <c r="R132" s="1760">
        <v>15000</v>
      </c>
      <c r="S132" s="1760">
        <v>9229</v>
      </c>
      <c r="T132" s="1760">
        <v>9229</v>
      </c>
      <c r="U132" s="1761">
        <v>18000</v>
      </c>
      <c r="V132" s="1762">
        <v>10000</v>
      </c>
      <c r="W132" s="1757">
        <v>10000</v>
      </c>
      <c r="Z132" s="1773">
        <f t="shared" si="51"/>
        <v>0</v>
      </c>
      <c r="AA132" s="1773">
        <f t="shared" si="53"/>
        <v>0</v>
      </c>
      <c r="AB132" s="1773">
        <f t="shared" si="54"/>
        <v>0</v>
      </c>
      <c r="AC132" s="1773">
        <f t="shared" si="55"/>
        <v>0</v>
      </c>
      <c r="AD132" s="1773">
        <f t="shared" si="56"/>
        <v>0</v>
      </c>
      <c r="AE132" s="1773">
        <f t="shared" si="57"/>
        <v>0</v>
      </c>
      <c r="AF132" s="1773">
        <f t="shared" si="58"/>
        <v>0</v>
      </c>
      <c r="AG132" s="1773">
        <f t="shared" si="59"/>
        <v>0</v>
      </c>
      <c r="AH132" s="1773">
        <f t="shared" si="60"/>
        <v>0</v>
      </c>
      <c r="AI132" s="1773">
        <f t="shared" si="61"/>
        <v>0</v>
      </c>
      <c r="AJ132" s="1773">
        <f t="shared" si="62"/>
        <v>0</v>
      </c>
      <c r="AK132" s="1773">
        <f t="shared" si="63"/>
        <v>0</v>
      </c>
      <c r="AL132" s="1773">
        <f t="shared" si="52"/>
        <v>18000</v>
      </c>
      <c r="AN132" s="1776"/>
      <c r="AO132" s="1776"/>
      <c r="AP132" s="1776"/>
      <c r="AQ132" s="1776"/>
      <c r="AR132" s="1776"/>
      <c r="AS132" s="1776"/>
      <c r="AT132" s="1776"/>
      <c r="AU132" s="1776"/>
      <c r="AV132" s="1776"/>
      <c r="AW132" s="1776"/>
      <c r="AX132" s="1776"/>
      <c r="AY132" s="1776"/>
      <c r="AZ132" s="1776">
        <v>1</v>
      </c>
    </row>
    <row r="133" spans="1:52">
      <c r="A133" s="1479" t="s">
        <v>2437</v>
      </c>
      <c r="B133" s="1479" t="s">
        <v>2295</v>
      </c>
      <c r="C133" s="1741" t="s">
        <v>2108</v>
      </c>
      <c r="D133" s="1741">
        <v>1040</v>
      </c>
      <c r="E133" s="1741">
        <v>1090</v>
      </c>
      <c r="F133" s="1741" t="s">
        <v>2216</v>
      </c>
      <c r="G133" s="1741" t="s">
        <v>2214</v>
      </c>
      <c r="H133" s="1741" t="s">
        <v>1658</v>
      </c>
      <c r="I133" s="1753" t="s">
        <v>2114</v>
      </c>
      <c r="J133" s="1754" t="s">
        <v>3012</v>
      </c>
      <c r="K133" s="1753" t="s">
        <v>2114</v>
      </c>
      <c r="L133" s="1754" t="s">
        <v>3012</v>
      </c>
      <c r="M133" s="1754"/>
      <c r="N133" s="1756">
        <v>1329.56</v>
      </c>
      <c r="O133" s="1757">
        <v>2200.46</v>
      </c>
      <c r="P133" s="1758">
        <v>3454.48</v>
      </c>
      <c r="Q133" s="1759">
        <v>2500</v>
      </c>
      <c r="R133" s="1760">
        <v>5000</v>
      </c>
      <c r="S133" s="1760">
        <v>4930</v>
      </c>
      <c r="T133" s="1760">
        <v>4930</v>
      </c>
      <c r="U133" s="1761">
        <v>6500</v>
      </c>
      <c r="V133" s="1762">
        <f>U133*106%</f>
        <v>6890</v>
      </c>
      <c r="W133" s="1757">
        <f>V133*106%</f>
        <v>7303.4000000000005</v>
      </c>
      <c r="Z133" s="1773">
        <f t="shared" si="51"/>
        <v>0</v>
      </c>
      <c r="AA133" s="1773">
        <f t="shared" si="53"/>
        <v>0</v>
      </c>
      <c r="AB133" s="1773">
        <f t="shared" si="54"/>
        <v>0</v>
      </c>
      <c r="AC133" s="1773">
        <f t="shared" si="55"/>
        <v>0</v>
      </c>
      <c r="AD133" s="1773">
        <f t="shared" si="56"/>
        <v>0</v>
      </c>
      <c r="AE133" s="1773">
        <f t="shared" si="57"/>
        <v>0</v>
      </c>
      <c r="AF133" s="1773">
        <f t="shared" si="58"/>
        <v>0</v>
      </c>
      <c r="AG133" s="1773">
        <f t="shared" si="59"/>
        <v>0</v>
      </c>
      <c r="AH133" s="1773">
        <f t="shared" si="60"/>
        <v>0</v>
      </c>
      <c r="AI133" s="1773">
        <f t="shared" si="61"/>
        <v>0</v>
      </c>
      <c r="AJ133" s="1773">
        <f t="shared" si="62"/>
        <v>0</v>
      </c>
      <c r="AK133" s="1773">
        <f t="shared" si="63"/>
        <v>0</v>
      </c>
      <c r="AL133" s="1773">
        <f t="shared" si="52"/>
        <v>6500</v>
      </c>
      <c r="AN133" s="1776"/>
      <c r="AO133" s="1776"/>
      <c r="AP133" s="1776"/>
      <c r="AQ133" s="1776"/>
      <c r="AR133" s="1776"/>
      <c r="AS133" s="1776"/>
      <c r="AT133" s="1776"/>
      <c r="AU133" s="1776"/>
      <c r="AV133" s="1776"/>
      <c r="AW133" s="1776"/>
      <c r="AX133" s="1776"/>
      <c r="AY133" s="1776"/>
      <c r="AZ133" s="1776">
        <v>1</v>
      </c>
    </row>
    <row r="134" spans="1:52">
      <c r="A134" s="1479" t="s">
        <v>2438</v>
      </c>
      <c r="B134" s="1479" t="s">
        <v>2297</v>
      </c>
      <c r="C134" s="1741" t="s">
        <v>2108</v>
      </c>
      <c r="D134" s="1741">
        <v>1040</v>
      </c>
      <c r="E134" s="1741">
        <v>1100</v>
      </c>
      <c r="F134" s="1741" t="s">
        <v>2216</v>
      </c>
      <c r="G134" s="1741" t="s">
        <v>2214</v>
      </c>
      <c r="H134" s="1741" t="s">
        <v>1658</v>
      </c>
      <c r="I134" s="1753" t="s">
        <v>2114</v>
      </c>
      <c r="J134" s="1754" t="s">
        <v>3012</v>
      </c>
      <c r="K134" s="1753" t="s">
        <v>2114</v>
      </c>
      <c r="L134" s="1754" t="s">
        <v>3012</v>
      </c>
      <c r="M134" s="1754"/>
      <c r="N134" s="1756">
        <v>6032.73</v>
      </c>
      <c r="O134" s="1757">
        <v>6290.18</v>
      </c>
      <c r="P134" s="1758">
        <v>7160.43</v>
      </c>
      <c r="Q134" s="1759">
        <v>7360</v>
      </c>
      <c r="R134" s="1760">
        <v>20000</v>
      </c>
      <c r="S134" s="1760">
        <v>10322</v>
      </c>
      <c r="T134" s="1760">
        <v>10322</v>
      </c>
      <c r="U134" s="1761">
        <v>21500</v>
      </c>
      <c r="V134" s="1762">
        <f>U134*120.38%</f>
        <v>25881.7</v>
      </c>
      <c r="W134" s="1757">
        <f>V134*120.38%</f>
        <v>31156.390459999999</v>
      </c>
      <c r="Z134" s="1773">
        <f t="shared" si="51"/>
        <v>0</v>
      </c>
      <c r="AA134" s="1773">
        <f t="shared" si="53"/>
        <v>0</v>
      </c>
      <c r="AB134" s="1773">
        <f t="shared" si="54"/>
        <v>0</v>
      </c>
      <c r="AC134" s="1773">
        <f t="shared" si="55"/>
        <v>0</v>
      </c>
      <c r="AD134" s="1773">
        <f t="shared" si="56"/>
        <v>0</v>
      </c>
      <c r="AE134" s="1773">
        <f t="shared" si="57"/>
        <v>0</v>
      </c>
      <c r="AF134" s="1773">
        <f t="shared" si="58"/>
        <v>0</v>
      </c>
      <c r="AG134" s="1773">
        <f t="shared" si="59"/>
        <v>0</v>
      </c>
      <c r="AH134" s="1773">
        <f t="shared" si="60"/>
        <v>0</v>
      </c>
      <c r="AI134" s="1773">
        <f t="shared" si="61"/>
        <v>0</v>
      </c>
      <c r="AJ134" s="1773">
        <f t="shared" si="62"/>
        <v>0</v>
      </c>
      <c r="AK134" s="1773">
        <f t="shared" si="63"/>
        <v>0</v>
      </c>
      <c r="AL134" s="1773">
        <f t="shared" si="52"/>
        <v>21500</v>
      </c>
      <c r="AN134" s="1776"/>
      <c r="AO134" s="1776"/>
      <c r="AP134" s="1776"/>
      <c r="AQ134" s="1776"/>
      <c r="AR134" s="1776"/>
      <c r="AS134" s="1776"/>
      <c r="AT134" s="1776"/>
      <c r="AU134" s="1776"/>
      <c r="AV134" s="1776"/>
      <c r="AW134" s="1776"/>
      <c r="AX134" s="1776"/>
      <c r="AY134" s="1776"/>
      <c r="AZ134" s="1776">
        <v>1</v>
      </c>
    </row>
    <row r="135" spans="1:52">
      <c r="A135" s="1479" t="s">
        <v>2439</v>
      </c>
      <c r="B135" s="1479" t="s">
        <v>2299</v>
      </c>
      <c r="C135" s="1741" t="s">
        <v>2108</v>
      </c>
      <c r="D135" s="1741">
        <v>1040</v>
      </c>
      <c r="E135" s="1741">
        <v>1110</v>
      </c>
      <c r="F135" s="1741" t="s">
        <v>2216</v>
      </c>
      <c r="G135" s="1741" t="s">
        <v>2214</v>
      </c>
      <c r="H135" s="1741" t="s">
        <v>1658</v>
      </c>
      <c r="I135" s="1753" t="s">
        <v>2114</v>
      </c>
      <c r="J135" s="1754" t="s">
        <v>3012</v>
      </c>
      <c r="K135" s="1753" t="s">
        <v>2114</v>
      </c>
      <c r="L135" s="1754" t="s">
        <v>3012</v>
      </c>
      <c r="M135" s="1754"/>
      <c r="N135" s="1756">
        <v>2038.13</v>
      </c>
      <c r="O135" s="1757">
        <v>2156.77</v>
      </c>
      <c r="P135" s="1758">
        <v>2299.9</v>
      </c>
      <c r="Q135" s="1759">
        <v>2425</v>
      </c>
      <c r="R135" s="1760">
        <v>5000</v>
      </c>
      <c r="S135" s="1760">
        <v>2353</v>
      </c>
      <c r="T135" s="1760">
        <v>2353</v>
      </c>
      <c r="U135" s="1761">
        <v>6500</v>
      </c>
      <c r="V135" s="1762">
        <f>6500*106%</f>
        <v>6890</v>
      </c>
      <c r="W135" s="1757">
        <f>V135*106%</f>
        <v>7303.4000000000005</v>
      </c>
      <c r="Z135" s="1773">
        <f t="shared" si="51"/>
        <v>0</v>
      </c>
      <c r="AA135" s="1773">
        <f t="shared" si="53"/>
        <v>0</v>
      </c>
      <c r="AB135" s="1773">
        <f t="shared" si="54"/>
        <v>0</v>
      </c>
      <c r="AC135" s="1773">
        <f t="shared" si="55"/>
        <v>0</v>
      </c>
      <c r="AD135" s="1773">
        <f t="shared" si="56"/>
        <v>0</v>
      </c>
      <c r="AE135" s="1773">
        <f t="shared" si="57"/>
        <v>0</v>
      </c>
      <c r="AF135" s="1773">
        <f t="shared" si="58"/>
        <v>0</v>
      </c>
      <c r="AG135" s="1773">
        <f t="shared" si="59"/>
        <v>0</v>
      </c>
      <c r="AH135" s="1773">
        <f t="shared" si="60"/>
        <v>0</v>
      </c>
      <c r="AI135" s="1773">
        <f t="shared" si="61"/>
        <v>0</v>
      </c>
      <c r="AJ135" s="1773">
        <f t="shared" si="62"/>
        <v>0</v>
      </c>
      <c r="AK135" s="1773">
        <f t="shared" si="63"/>
        <v>0</v>
      </c>
      <c r="AL135" s="1773">
        <f t="shared" si="52"/>
        <v>6500</v>
      </c>
      <c r="AN135" s="1776"/>
      <c r="AO135" s="1776"/>
      <c r="AP135" s="1776"/>
      <c r="AQ135" s="1776"/>
      <c r="AR135" s="1776"/>
      <c r="AS135" s="1776"/>
      <c r="AT135" s="1776"/>
      <c r="AU135" s="1776"/>
      <c r="AV135" s="1776"/>
      <c r="AW135" s="1776"/>
      <c r="AX135" s="1776"/>
      <c r="AY135" s="1776"/>
      <c r="AZ135" s="1776">
        <v>1</v>
      </c>
    </row>
    <row r="136" spans="1:52">
      <c r="A136" s="1479" t="s">
        <v>2440</v>
      </c>
      <c r="B136" s="1479" t="s">
        <v>2301</v>
      </c>
      <c r="C136" s="1741" t="s">
        <v>2108</v>
      </c>
      <c r="D136" s="1741">
        <v>1040</v>
      </c>
      <c r="E136" s="1741">
        <v>1120</v>
      </c>
      <c r="F136" s="1741" t="s">
        <v>2216</v>
      </c>
      <c r="G136" s="1741" t="s">
        <v>2214</v>
      </c>
      <c r="H136" s="1741" t="s">
        <v>1658</v>
      </c>
      <c r="I136" s="1753" t="s">
        <v>2114</v>
      </c>
      <c r="J136" s="1754" t="s">
        <v>3012</v>
      </c>
      <c r="K136" s="1753" t="s">
        <v>2114</v>
      </c>
      <c r="L136" s="1754" t="s">
        <v>3012</v>
      </c>
      <c r="M136" s="1754"/>
      <c r="N136" s="1756">
        <v>1754</v>
      </c>
      <c r="O136" s="1757">
        <v>2156.77</v>
      </c>
      <c r="P136" s="1758">
        <v>1655.6</v>
      </c>
      <c r="Q136" s="1759">
        <v>2290</v>
      </c>
      <c r="R136" s="1760">
        <v>3000</v>
      </c>
      <c r="S136" s="1760">
        <v>1609</v>
      </c>
      <c r="T136" s="1760">
        <v>1609</v>
      </c>
      <c r="U136" s="1761">
        <v>4200</v>
      </c>
      <c r="V136" s="1762">
        <f>U136*106%</f>
        <v>4452</v>
      </c>
      <c r="W136" s="1757">
        <f>V136*106%</f>
        <v>4719.12</v>
      </c>
      <c r="Z136" s="1773">
        <f t="shared" si="51"/>
        <v>0</v>
      </c>
      <c r="AA136" s="1773">
        <f t="shared" si="53"/>
        <v>0</v>
      </c>
      <c r="AB136" s="1773">
        <f t="shared" si="54"/>
        <v>0</v>
      </c>
      <c r="AC136" s="1773">
        <f t="shared" si="55"/>
        <v>0</v>
      </c>
      <c r="AD136" s="1773">
        <f t="shared" si="56"/>
        <v>0</v>
      </c>
      <c r="AE136" s="1773">
        <f t="shared" si="57"/>
        <v>0</v>
      </c>
      <c r="AF136" s="1773">
        <f t="shared" si="58"/>
        <v>0</v>
      </c>
      <c r="AG136" s="1773">
        <f t="shared" si="59"/>
        <v>0</v>
      </c>
      <c r="AH136" s="1773">
        <f t="shared" si="60"/>
        <v>0</v>
      </c>
      <c r="AI136" s="1773">
        <f t="shared" si="61"/>
        <v>0</v>
      </c>
      <c r="AJ136" s="1773">
        <f t="shared" si="62"/>
        <v>0</v>
      </c>
      <c r="AK136" s="1773">
        <f t="shared" si="63"/>
        <v>0</v>
      </c>
      <c r="AL136" s="1773">
        <f t="shared" si="52"/>
        <v>4200</v>
      </c>
      <c r="AN136" s="1776"/>
      <c r="AO136" s="1776"/>
      <c r="AP136" s="1776"/>
      <c r="AQ136" s="1776"/>
      <c r="AR136" s="1776"/>
      <c r="AS136" s="1776"/>
      <c r="AT136" s="1776"/>
      <c r="AU136" s="1776"/>
      <c r="AV136" s="1776"/>
      <c r="AW136" s="1776"/>
      <c r="AX136" s="1776"/>
      <c r="AY136" s="1776"/>
      <c r="AZ136" s="1776">
        <v>1</v>
      </c>
    </row>
    <row r="137" spans="1:52">
      <c r="A137" s="1479" t="s">
        <v>2441</v>
      </c>
      <c r="B137" s="1479" t="s">
        <v>2303</v>
      </c>
      <c r="C137" s="1741" t="s">
        <v>2108</v>
      </c>
      <c r="D137" s="1741">
        <v>1040</v>
      </c>
      <c r="E137" s="1741">
        <v>1170</v>
      </c>
      <c r="F137" s="1741" t="s">
        <v>2216</v>
      </c>
      <c r="G137" s="1741" t="s">
        <v>2214</v>
      </c>
      <c r="H137" s="1741" t="s">
        <v>1658</v>
      </c>
      <c r="I137" s="1753" t="s">
        <v>2114</v>
      </c>
      <c r="J137" s="1754"/>
      <c r="K137" s="1753" t="s">
        <v>2114</v>
      </c>
      <c r="L137" s="1754" t="s">
        <v>502</v>
      </c>
      <c r="M137" s="1754"/>
      <c r="N137" s="1756">
        <v>0</v>
      </c>
      <c r="O137" s="1757">
        <v>0</v>
      </c>
      <c r="P137" s="1758">
        <v>4666.8900000000003</v>
      </c>
      <c r="Q137" s="1759">
        <v>3000</v>
      </c>
      <c r="R137" s="1760">
        <v>3000</v>
      </c>
      <c r="S137" s="1760">
        <v>336</v>
      </c>
      <c r="T137" s="1760">
        <v>336</v>
      </c>
      <c r="U137" s="1761">
        <v>5000</v>
      </c>
      <c r="V137" s="1762">
        <v>5000</v>
      </c>
      <c r="W137" s="1757">
        <v>5000</v>
      </c>
      <c r="Z137" s="1773">
        <f t="shared" si="51"/>
        <v>0</v>
      </c>
      <c r="AA137" s="1773">
        <f t="shared" si="53"/>
        <v>0</v>
      </c>
      <c r="AB137" s="1773">
        <f t="shared" si="54"/>
        <v>0</v>
      </c>
      <c r="AC137" s="1773">
        <f t="shared" si="55"/>
        <v>0</v>
      </c>
      <c r="AD137" s="1773">
        <f t="shared" si="56"/>
        <v>0</v>
      </c>
      <c r="AE137" s="1773">
        <f t="shared" si="57"/>
        <v>0</v>
      </c>
      <c r="AF137" s="1773">
        <f t="shared" si="58"/>
        <v>0</v>
      </c>
      <c r="AG137" s="1773">
        <f t="shared" si="59"/>
        <v>0</v>
      </c>
      <c r="AH137" s="1773">
        <f t="shared" si="60"/>
        <v>0</v>
      </c>
      <c r="AI137" s="1773">
        <f t="shared" si="61"/>
        <v>0</v>
      </c>
      <c r="AJ137" s="1773">
        <f t="shared" si="62"/>
        <v>0</v>
      </c>
      <c r="AK137" s="1773">
        <f t="shared" si="63"/>
        <v>0</v>
      </c>
      <c r="AL137" s="1773">
        <f t="shared" si="52"/>
        <v>5000</v>
      </c>
      <c r="AN137" s="1776"/>
      <c r="AO137" s="1776"/>
      <c r="AP137" s="1776"/>
      <c r="AQ137" s="1776"/>
      <c r="AR137" s="1776"/>
      <c r="AS137" s="1776"/>
      <c r="AT137" s="1776"/>
      <c r="AU137" s="1776"/>
      <c r="AV137" s="1776"/>
      <c r="AW137" s="1776"/>
      <c r="AX137" s="1776"/>
      <c r="AY137" s="1776"/>
      <c r="AZ137" s="1776">
        <v>1</v>
      </c>
    </row>
    <row r="138" spans="1:52">
      <c r="A138" s="1479" t="s">
        <v>2442</v>
      </c>
      <c r="B138" s="1479" t="s">
        <v>2443</v>
      </c>
      <c r="C138" s="1741" t="s">
        <v>2108</v>
      </c>
      <c r="D138" s="1741">
        <v>1040</v>
      </c>
      <c r="E138" s="1741">
        <v>1180</v>
      </c>
      <c r="F138" s="1741" t="s">
        <v>2216</v>
      </c>
      <c r="G138" s="1741" t="s">
        <v>2214</v>
      </c>
      <c r="H138" s="1741" t="s">
        <v>1658</v>
      </c>
      <c r="I138" s="1753" t="s">
        <v>2114</v>
      </c>
      <c r="J138" s="1754"/>
      <c r="K138" s="1753" t="s">
        <v>2114</v>
      </c>
      <c r="L138" s="1754" t="s">
        <v>502</v>
      </c>
      <c r="M138" s="1754"/>
      <c r="N138" s="1756"/>
      <c r="O138" s="1757"/>
      <c r="P138" s="1758"/>
      <c r="Q138" s="1759"/>
      <c r="R138" s="1760">
        <v>1000</v>
      </c>
      <c r="S138" s="1760">
        <v>0</v>
      </c>
      <c r="T138" s="1760">
        <v>0</v>
      </c>
      <c r="U138" s="1761">
        <v>5000</v>
      </c>
      <c r="V138" s="1762">
        <v>0</v>
      </c>
      <c r="W138" s="1757">
        <v>0</v>
      </c>
      <c r="Z138" s="1773">
        <f t="shared" si="51"/>
        <v>0</v>
      </c>
      <c r="AA138" s="1773">
        <f t="shared" si="53"/>
        <v>0</v>
      </c>
      <c r="AB138" s="1773">
        <f t="shared" si="54"/>
        <v>0</v>
      </c>
      <c r="AC138" s="1773">
        <f t="shared" si="55"/>
        <v>0</v>
      </c>
      <c r="AD138" s="1773">
        <f t="shared" si="56"/>
        <v>0</v>
      </c>
      <c r="AE138" s="1773">
        <f t="shared" si="57"/>
        <v>0</v>
      </c>
      <c r="AF138" s="1773">
        <f t="shared" si="58"/>
        <v>0</v>
      </c>
      <c r="AG138" s="1773">
        <f t="shared" si="59"/>
        <v>0</v>
      </c>
      <c r="AH138" s="1773">
        <f t="shared" si="60"/>
        <v>0</v>
      </c>
      <c r="AI138" s="1773">
        <f t="shared" si="61"/>
        <v>0</v>
      </c>
      <c r="AJ138" s="1773">
        <f t="shared" si="62"/>
        <v>0</v>
      </c>
      <c r="AK138" s="1773">
        <f t="shared" si="63"/>
        <v>0</v>
      </c>
      <c r="AL138" s="1773">
        <f t="shared" si="52"/>
        <v>5000</v>
      </c>
      <c r="AN138" s="1776"/>
      <c r="AO138" s="1776"/>
      <c r="AP138" s="1776"/>
      <c r="AQ138" s="1776"/>
      <c r="AR138" s="1776"/>
      <c r="AS138" s="1776"/>
      <c r="AT138" s="1776"/>
      <c r="AU138" s="1776"/>
      <c r="AV138" s="1776"/>
      <c r="AW138" s="1776"/>
      <c r="AX138" s="1776"/>
      <c r="AY138" s="1776"/>
      <c r="AZ138" s="1776">
        <v>1</v>
      </c>
    </row>
    <row r="139" spans="1:52">
      <c r="A139" s="1479" t="s">
        <v>2444</v>
      </c>
      <c r="B139" s="1479" t="s">
        <v>2445</v>
      </c>
      <c r="C139" s="1741" t="s">
        <v>2108</v>
      </c>
      <c r="D139" s="1741">
        <v>1040</v>
      </c>
      <c r="E139" s="1741">
        <v>1190</v>
      </c>
      <c r="F139" s="1741" t="s">
        <v>2216</v>
      </c>
      <c r="G139" s="1741" t="s">
        <v>2214</v>
      </c>
      <c r="H139" s="1741" t="s">
        <v>1658</v>
      </c>
      <c r="I139" s="1753" t="s">
        <v>3015</v>
      </c>
      <c r="J139" s="1754"/>
      <c r="K139" s="1753" t="s">
        <v>2114</v>
      </c>
      <c r="L139" s="1754" t="s">
        <v>3015</v>
      </c>
      <c r="M139" s="1754"/>
      <c r="N139" s="1756">
        <v>0</v>
      </c>
      <c r="O139" s="1757">
        <v>0</v>
      </c>
      <c r="P139" s="1758">
        <v>1185</v>
      </c>
      <c r="Q139" s="1759">
        <v>0</v>
      </c>
      <c r="R139" s="1760">
        <v>0</v>
      </c>
      <c r="S139" s="1760">
        <v>5080</v>
      </c>
      <c r="T139" s="1760">
        <v>5080</v>
      </c>
      <c r="U139" s="1761">
        <v>0</v>
      </c>
      <c r="V139" s="1762">
        <v>0</v>
      </c>
      <c r="W139" s="1757">
        <v>0</v>
      </c>
      <c r="Z139" s="1773">
        <f t="shared" si="51"/>
        <v>0</v>
      </c>
      <c r="AA139" s="1773">
        <f t="shared" si="53"/>
        <v>0</v>
      </c>
      <c r="AB139" s="1773">
        <f t="shared" si="54"/>
        <v>0</v>
      </c>
      <c r="AC139" s="1773">
        <f t="shared" si="55"/>
        <v>0</v>
      </c>
      <c r="AD139" s="1773">
        <f t="shared" si="56"/>
        <v>0</v>
      </c>
      <c r="AE139" s="1773">
        <f t="shared" si="57"/>
        <v>0</v>
      </c>
      <c r="AF139" s="1773">
        <f t="shared" si="58"/>
        <v>0</v>
      </c>
      <c r="AG139" s="1773">
        <f t="shared" si="59"/>
        <v>0</v>
      </c>
      <c r="AH139" s="1773">
        <f t="shared" si="60"/>
        <v>0</v>
      </c>
      <c r="AI139" s="1773">
        <f t="shared" si="61"/>
        <v>0</v>
      </c>
      <c r="AJ139" s="1773">
        <f t="shared" si="62"/>
        <v>0</v>
      </c>
      <c r="AK139" s="1773">
        <f t="shared" si="63"/>
        <v>0</v>
      </c>
      <c r="AL139" s="1773">
        <f t="shared" si="52"/>
        <v>0</v>
      </c>
      <c r="AN139" s="1776"/>
      <c r="AO139" s="1776"/>
      <c r="AP139" s="1776"/>
      <c r="AQ139" s="1776"/>
      <c r="AR139" s="1776"/>
      <c r="AS139" s="1776"/>
      <c r="AT139" s="1776"/>
      <c r="AU139" s="1776"/>
      <c r="AV139" s="1776"/>
      <c r="AW139" s="1776"/>
      <c r="AX139" s="1776"/>
      <c r="AY139" s="1776"/>
      <c r="AZ139" s="1776">
        <v>1</v>
      </c>
    </row>
    <row r="140" spans="1:52">
      <c r="A140" t="s">
        <v>2446</v>
      </c>
      <c r="B140" t="s">
        <v>2447</v>
      </c>
      <c r="C140" s="1741" t="s">
        <v>2108</v>
      </c>
      <c r="D140" s="1741">
        <v>1040</v>
      </c>
      <c r="E140" s="1741">
        <v>1330</v>
      </c>
      <c r="F140" s="1741" t="s">
        <v>2216</v>
      </c>
      <c r="G140" s="1741" t="s">
        <v>2214</v>
      </c>
      <c r="H140" s="1741" t="s">
        <v>1658</v>
      </c>
      <c r="I140" s="1753" t="s">
        <v>2114</v>
      </c>
      <c r="J140" s="1754"/>
      <c r="K140" s="1753" t="s">
        <v>2114</v>
      </c>
      <c r="L140" s="1754" t="s">
        <v>502</v>
      </c>
      <c r="M140" s="1754"/>
      <c r="N140" s="1756"/>
      <c r="O140" s="1757"/>
      <c r="P140" s="1758"/>
      <c r="Q140" s="1759">
        <v>0</v>
      </c>
      <c r="R140" s="1760">
        <v>5000</v>
      </c>
      <c r="S140" s="1760">
        <v>3483</v>
      </c>
      <c r="T140" s="1760">
        <v>3483</v>
      </c>
      <c r="U140" s="1761">
        <v>5000</v>
      </c>
      <c r="V140" s="1762">
        <v>0</v>
      </c>
      <c r="W140" s="1757">
        <v>0</v>
      </c>
      <c r="Z140" s="1773">
        <f t="shared" si="51"/>
        <v>0</v>
      </c>
      <c r="AA140" s="1773">
        <f t="shared" si="53"/>
        <v>0</v>
      </c>
      <c r="AB140" s="1773">
        <f t="shared" si="54"/>
        <v>0</v>
      </c>
      <c r="AC140" s="1773">
        <f t="shared" si="55"/>
        <v>0</v>
      </c>
      <c r="AD140" s="1773">
        <f t="shared" si="56"/>
        <v>0</v>
      </c>
      <c r="AE140" s="1773">
        <f t="shared" si="57"/>
        <v>0</v>
      </c>
      <c r="AF140" s="1773">
        <f t="shared" si="58"/>
        <v>0</v>
      </c>
      <c r="AG140" s="1773">
        <f t="shared" si="59"/>
        <v>0</v>
      </c>
      <c r="AH140" s="1773">
        <f t="shared" si="60"/>
        <v>0</v>
      </c>
      <c r="AI140" s="1773">
        <f t="shared" si="61"/>
        <v>0</v>
      </c>
      <c r="AJ140" s="1773">
        <f t="shared" si="62"/>
        <v>0</v>
      </c>
      <c r="AK140" s="1773">
        <f t="shared" si="63"/>
        <v>0</v>
      </c>
      <c r="AL140" s="1773">
        <f t="shared" si="52"/>
        <v>5000</v>
      </c>
      <c r="AN140" s="1776"/>
      <c r="AO140" s="1776"/>
      <c r="AP140" s="1776"/>
      <c r="AQ140" s="1776"/>
      <c r="AR140" s="1776"/>
      <c r="AS140" s="1776"/>
      <c r="AT140" s="1776"/>
      <c r="AU140" s="1776"/>
      <c r="AV140" s="1776"/>
      <c r="AW140" s="1776"/>
      <c r="AX140" s="1776"/>
      <c r="AY140" s="1776"/>
      <c r="AZ140" s="1776">
        <v>1</v>
      </c>
    </row>
    <row r="141" spans="1:52">
      <c r="A141" s="1479" t="s">
        <v>2448</v>
      </c>
      <c r="B141" s="1479" t="s">
        <v>2249</v>
      </c>
      <c r="C141" s="1741" t="s">
        <v>2108</v>
      </c>
      <c r="D141" s="1741">
        <v>1040</v>
      </c>
      <c r="E141" s="1741">
        <v>1410</v>
      </c>
      <c r="F141" s="1741" t="s">
        <v>2216</v>
      </c>
      <c r="G141" s="1741" t="s">
        <v>2214</v>
      </c>
      <c r="H141" s="1741" t="s">
        <v>1658</v>
      </c>
      <c r="I141" s="1753" t="s">
        <v>2114</v>
      </c>
      <c r="J141" s="1754" t="s">
        <v>3008</v>
      </c>
      <c r="K141" s="1753" t="s">
        <v>2114</v>
      </c>
      <c r="L141" s="1754" t="s">
        <v>3008</v>
      </c>
      <c r="M141" s="1754"/>
      <c r="N141" s="1756">
        <v>110.95</v>
      </c>
      <c r="O141" s="1757">
        <v>1473.28</v>
      </c>
      <c r="P141" s="1758">
        <v>1469.86</v>
      </c>
      <c r="Q141" s="1759">
        <v>20000</v>
      </c>
      <c r="R141" s="1760">
        <v>15000</v>
      </c>
      <c r="S141" s="1760">
        <v>14823</v>
      </c>
      <c r="T141" s="1760">
        <v>14823</v>
      </c>
      <c r="U141" s="1761">
        <v>20000</v>
      </c>
      <c r="V141" s="1762">
        <v>20000</v>
      </c>
      <c r="W141" s="1757">
        <v>20000</v>
      </c>
      <c r="Z141" s="1773">
        <f t="shared" si="51"/>
        <v>0</v>
      </c>
      <c r="AA141" s="1773">
        <f t="shared" si="53"/>
        <v>0</v>
      </c>
      <c r="AB141" s="1773">
        <f t="shared" si="54"/>
        <v>0</v>
      </c>
      <c r="AC141" s="1773">
        <f t="shared" si="55"/>
        <v>0</v>
      </c>
      <c r="AD141" s="1773">
        <f t="shared" si="56"/>
        <v>0</v>
      </c>
      <c r="AE141" s="1773">
        <f t="shared" si="57"/>
        <v>0</v>
      </c>
      <c r="AF141" s="1773">
        <f t="shared" si="58"/>
        <v>0</v>
      </c>
      <c r="AG141" s="1773">
        <f t="shared" si="59"/>
        <v>0</v>
      </c>
      <c r="AH141" s="1773">
        <f t="shared" si="60"/>
        <v>0</v>
      </c>
      <c r="AI141" s="1773">
        <f t="shared" si="61"/>
        <v>0</v>
      </c>
      <c r="AJ141" s="1773">
        <f t="shared" si="62"/>
        <v>0</v>
      </c>
      <c r="AK141" s="1773">
        <f t="shared" si="63"/>
        <v>0</v>
      </c>
      <c r="AL141" s="1773">
        <f t="shared" si="52"/>
        <v>20000</v>
      </c>
      <c r="AN141" s="1776"/>
      <c r="AO141" s="1776"/>
      <c r="AP141" s="1776"/>
      <c r="AQ141" s="1776"/>
      <c r="AR141" s="1776"/>
      <c r="AS141" s="1776"/>
      <c r="AT141" s="1776"/>
      <c r="AU141" s="1776"/>
      <c r="AV141" s="1776"/>
      <c r="AW141" s="1776"/>
      <c r="AX141" s="1776"/>
      <c r="AY141" s="1776"/>
      <c r="AZ141" s="1776">
        <v>1</v>
      </c>
    </row>
    <row r="142" spans="1:52">
      <c r="A142" s="1479" t="s">
        <v>2449</v>
      </c>
      <c r="B142" s="1479" t="s">
        <v>2251</v>
      </c>
      <c r="C142" s="1741" t="s">
        <v>2108</v>
      </c>
      <c r="D142" s="1741">
        <v>1040</v>
      </c>
      <c r="E142" s="1741">
        <v>1440</v>
      </c>
      <c r="F142" s="1741" t="s">
        <v>2216</v>
      </c>
      <c r="G142" s="1741" t="s">
        <v>2214</v>
      </c>
      <c r="H142" s="1741" t="s">
        <v>1658</v>
      </c>
      <c r="I142" s="1753" t="s">
        <v>2115</v>
      </c>
      <c r="J142" s="1754"/>
      <c r="K142" s="1753" t="s">
        <v>1596</v>
      </c>
      <c r="L142" s="1754" t="s">
        <v>1696</v>
      </c>
      <c r="M142" s="1754"/>
      <c r="N142" s="1756">
        <v>0</v>
      </c>
      <c r="O142" s="1757">
        <v>255241.01797411891</v>
      </c>
      <c r="P142" s="1758">
        <v>735378.43630801048</v>
      </c>
      <c r="Q142" s="1759">
        <v>30000</v>
      </c>
      <c r="R142" s="1760">
        <v>30000</v>
      </c>
      <c r="S142" s="1760">
        <v>3360</v>
      </c>
      <c r="T142" s="1760">
        <v>3360</v>
      </c>
      <c r="U142" s="1761">
        <v>5292733.0649144258</v>
      </c>
      <c r="V142" s="1762">
        <f>U142*106%</f>
        <v>5610297.0488092918</v>
      </c>
      <c r="W142" s="1757">
        <f>V142*106%</f>
        <v>5946914.8717378499</v>
      </c>
      <c r="Z142" s="1773">
        <f t="shared" si="51"/>
        <v>0</v>
      </c>
      <c r="AA142" s="1773">
        <f t="shared" si="53"/>
        <v>0</v>
      </c>
      <c r="AB142" s="1773">
        <f t="shared" si="54"/>
        <v>0</v>
      </c>
      <c r="AC142" s="1773">
        <f t="shared" si="55"/>
        <v>0</v>
      </c>
      <c r="AD142" s="1773">
        <f t="shared" si="56"/>
        <v>0</v>
      </c>
      <c r="AE142" s="1773">
        <f t="shared" si="57"/>
        <v>0</v>
      </c>
      <c r="AF142" s="1773">
        <f t="shared" si="58"/>
        <v>0</v>
      </c>
      <c r="AG142" s="1773">
        <f t="shared" si="59"/>
        <v>0</v>
      </c>
      <c r="AH142" s="1773">
        <f t="shared" si="60"/>
        <v>0</v>
      </c>
      <c r="AI142" s="1773">
        <f t="shared" si="61"/>
        <v>0</v>
      </c>
      <c r="AJ142" s="1773">
        <f t="shared" si="62"/>
        <v>0</v>
      </c>
      <c r="AK142" s="1773">
        <f t="shared" si="63"/>
        <v>0</v>
      </c>
      <c r="AL142" s="1773">
        <f t="shared" si="52"/>
        <v>5292733.0649144258</v>
      </c>
      <c r="AN142" s="1776"/>
      <c r="AO142" s="1776"/>
      <c r="AP142" s="1776"/>
      <c r="AQ142" s="1776"/>
      <c r="AR142" s="1776"/>
      <c r="AS142" s="1776"/>
      <c r="AT142" s="1776"/>
      <c r="AU142" s="1776"/>
      <c r="AV142" s="1776"/>
      <c r="AW142" s="1776"/>
      <c r="AX142" s="1776"/>
      <c r="AY142" s="1776"/>
      <c r="AZ142" s="1776">
        <v>1</v>
      </c>
    </row>
    <row r="143" spans="1:52">
      <c r="A143" s="1479" t="s">
        <v>2450</v>
      </c>
      <c r="B143" s="1479" t="s">
        <v>2451</v>
      </c>
      <c r="C143" s="1741" t="s">
        <v>2108</v>
      </c>
      <c r="D143" s="1741">
        <v>1040</v>
      </c>
      <c r="E143" s="1741">
        <v>1450</v>
      </c>
      <c r="F143" s="1741" t="s">
        <v>2216</v>
      </c>
      <c r="G143" s="1741" t="s">
        <v>2214</v>
      </c>
      <c r="H143" s="1741" t="s">
        <v>1658</v>
      </c>
      <c r="I143" s="1753" t="s">
        <v>2115</v>
      </c>
      <c r="J143" s="1754"/>
      <c r="K143" s="1753" t="s">
        <v>1596</v>
      </c>
      <c r="L143" s="1754" t="s">
        <v>1696</v>
      </c>
      <c r="M143" s="1754"/>
      <c r="N143" s="1756">
        <v>0</v>
      </c>
      <c r="O143" s="1757">
        <v>0</v>
      </c>
      <c r="P143" s="1758">
        <v>448.48</v>
      </c>
      <c r="Q143" s="1759">
        <v>0</v>
      </c>
      <c r="R143" s="1760">
        <v>0</v>
      </c>
      <c r="S143" s="1760">
        <v>0</v>
      </c>
      <c r="T143" s="1760">
        <v>0</v>
      </c>
      <c r="U143" s="1761">
        <v>0</v>
      </c>
      <c r="V143" s="1762">
        <v>0</v>
      </c>
      <c r="W143" s="1757">
        <v>0</v>
      </c>
      <c r="Z143" s="1773">
        <f t="shared" si="51"/>
        <v>0</v>
      </c>
      <c r="AA143" s="1773">
        <f t="shared" si="53"/>
        <v>0</v>
      </c>
      <c r="AB143" s="1773">
        <f t="shared" si="54"/>
        <v>0</v>
      </c>
      <c r="AC143" s="1773">
        <f t="shared" si="55"/>
        <v>0</v>
      </c>
      <c r="AD143" s="1773">
        <f t="shared" si="56"/>
        <v>0</v>
      </c>
      <c r="AE143" s="1773">
        <f t="shared" si="57"/>
        <v>0</v>
      </c>
      <c r="AF143" s="1773">
        <f t="shared" si="58"/>
        <v>0</v>
      </c>
      <c r="AG143" s="1773">
        <f t="shared" si="59"/>
        <v>0</v>
      </c>
      <c r="AH143" s="1773">
        <f t="shared" si="60"/>
        <v>0</v>
      </c>
      <c r="AI143" s="1773">
        <f t="shared" si="61"/>
        <v>0</v>
      </c>
      <c r="AJ143" s="1773">
        <f t="shared" si="62"/>
        <v>0</v>
      </c>
      <c r="AK143" s="1773">
        <f t="shared" si="63"/>
        <v>0</v>
      </c>
      <c r="AL143" s="1773">
        <f t="shared" si="52"/>
        <v>0</v>
      </c>
      <c r="AN143" s="1776"/>
      <c r="AO143" s="1776"/>
      <c r="AP143" s="1776"/>
      <c r="AQ143" s="1776"/>
      <c r="AR143" s="1776"/>
      <c r="AS143" s="1776"/>
      <c r="AT143" s="1776"/>
      <c r="AU143" s="1776"/>
      <c r="AV143" s="1776"/>
      <c r="AW143" s="1776"/>
      <c r="AX143" s="1776"/>
      <c r="AY143" s="1776"/>
      <c r="AZ143" s="1776">
        <v>1</v>
      </c>
    </row>
    <row r="144" spans="1:52">
      <c r="A144" s="1479" t="s">
        <v>2452</v>
      </c>
      <c r="B144" s="1479" t="s">
        <v>2453</v>
      </c>
      <c r="C144" s="1741" t="s">
        <v>2108</v>
      </c>
      <c r="D144" s="1741">
        <v>1040</v>
      </c>
      <c r="E144" s="1741">
        <v>1467</v>
      </c>
      <c r="F144" s="1741" t="s">
        <v>2216</v>
      </c>
      <c r="G144" s="1741" t="s">
        <v>2214</v>
      </c>
      <c r="H144" s="1741" t="s">
        <v>1658</v>
      </c>
      <c r="I144" s="1753" t="s">
        <v>2117</v>
      </c>
      <c r="J144" s="1754" t="s">
        <v>2119</v>
      </c>
      <c r="K144" s="1754" t="s">
        <v>1665</v>
      </c>
      <c r="L144" s="1754" t="s">
        <v>1665</v>
      </c>
      <c r="M144" s="1754"/>
      <c r="N144" s="1756">
        <v>19225.650000000001</v>
      </c>
      <c r="O144" s="1757">
        <v>16946.27</v>
      </c>
      <c r="P144" s="1758">
        <v>11908.510000000002</v>
      </c>
      <c r="Q144" s="1759">
        <v>40000</v>
      </c>
      <c r="R144" s="1760">
        <v>40000</v>
      </c>
      <c r="S144" s="1760">
        <v>21769</v>
      </c>
      <c r="T144" s="1760">
        <v>21769</v>
      </c>
      <c r="U144" s="1761">
        <v>45000</v>
      </c>
      <c r="V144" s="1762">
        <v>50000</v>
      </c>
      <c r="W144" s="1757">
        <v>55000</v>
      </c>
      <c r="Z144" s="1773">
        <f t="shared" si="51"/>
        <v>0</v>
      </c>
      <c r="AA144" s="1773">
        <f t="shared" si="53"/>
        <v>0</v>
      </c>
      <c r="AB144" s="1773">
        <f t="shared" si="54"/>
        <v>0</v>
      </c>
      <c r="AC144" s="1773">
        <f t="shared" si="55"/>
        <v>0</v>
      </c>
      <c r="AD144" s="1773">
        <f t="shared" si="56"/>
        <v>0</v>
      </c>
      <c r="AE144" s="1773">
        <f t="shared" si="57"/>
        <v>0</v>
      </c>
      <c r="AF144" s="1773">
        <f t="shared" si="58"/>
        <v>0</v>
      </c>
      <c r="AG144" s="1773">
        <f t="shared" si="59"/>
        <v>0</v>
      </c>
      <c r="AH144" s="1773">
        <f t="shared" si="60"/>
        <v>0</v>
      </c>
      <c r="AI144" s="1773">
        <f t="shared" si="61"/>
        <v>0</v>
      </c>
      <c r="AJ144" s="1773">
        <f t="shared" si="62"/>
        <v>0</v>
      </c>
      <c r="AK144" s="1773">
        <f t="shared" si="63"/>
        <v>0</v>
      </c>
      <c r="AL144" s="1773">
        <f t="shared" si="52"/>
        <v>45000</v>
      </c>
      <c r="AN144" s="1776"/>
      <c r="AO144" s="1776"/>
      <c r="AP144" s="1776"/>
      <c r="AQ144" s="1776"/>
      <c r="AR144" s="1776"/>
      <c r="AS144" s="1776"/>
      <c r="AT144" s="1776"/>
      <c r="AU144" s="1776"/>
      <c r="AV144" s="1776"/>
      <c r="AW144" s="1776"/>
      <c r="AX144" s="1776"/>
      <c r="AY144" s="1776"/>
      <c r="AZ144" s="1776">
        <v>1</v>
      </c>
    </row>
    <row r="145" spans="1:52">
      <c r="A145" s="1479" t="s">
        <v>2454</v>
      </c>
      <c r="B145" s="1479" t="s">
        <v>2455</v>
      </c>
      <c r="C145" s="1741" t="s">
        <v>2108</v>
      </c>
      <c r="D145" s="1741">
        <v>1040</v>
      </c>
      <c r="E145" s="1741">
        <v>1469</v>
      </c>
      <c r="F145" s="1741" t="s">
        <v>2216</v>
      </c>
      <c r="G145" s="1741" t="s">
        <v>2214</v>
      </c>
      <c r="H145" s="1741" t="s">
        <v>1658</v>
      </c>
      <c r="I145" s="1753" t="s">
        <v>2117</v>
      </c>
      <c r="J145" s="1754" t="s">
        <v>2119</v>
      </c>
      <c r="K145" s="1754" t="s">
        <v>1665</v>
      </c>
      <c r="L145" s="1754" t="s">
        <v>1665</v>
      </c>
      <c r="M145" s="1754"/>
      <c r="N145" s="1756">
        <v>0</v>
      </c>
      <c r="O145" s="1757">
        <v>0</v>
      </c>
      <c r="P145" s="1758">
        <v>18088.79</v>
      </c>
      <c r="Q145" s="1759">
        <v>50000</v>
      </c>
      <c r="R145" s="1760">
        <v>50000</v>
      </c>
      <c r="S145" s="1760">
        <v>69697</v>
      </c>
      <c r="T145" s="1760">
        <v>69697</v>
      </c>
      <c r="U145" s="1761">
        <v>60000</v>
      </c>
      <c r="V145" s="1762">
        <v>65000</v>
      </c>
      <c r="W145" s="1757">
        <v>65000</v>
      </c>
      <c r="Z145" s="1773">
        <f t="shared" si="51"/>
        <v>0</v>
      </c>
      <c r="AA145" s="1773">
        <f t="shared" si="53"/>
        <v>0</v>
      </c>
      <c r="AB145" s="1773">
        <f t="shared" si="54"/>
        <v>0</v>
      </c>
      <c r="AC145" s="1773">
        <f t="shared" si="55"/>
        <v>0</v>
      </c>
      <c r="AD145" s="1773">
        <f t="shared" si="56"/>
        <v>0</v>
      </c>
      <c r="AE145" s="1773">
        <f t="shared" si="57"/>
        <v>0</v>
      </c>
      <c r="AF145" s="1773">
        <f t="shared" si="58"/>
        <v>0</v>
      </c>
      <c r="AG145" s="1773">
        <f t="shared" si="59"/>
        <v>0</v>
      </c>
      <c r="AH145" s="1773">
        <f t="shared" si="60"/>
        <v>0</v>
      </c>
      <c r="AI145" s="1773">
        <f t="shared" si="61"/>
        <v>0</v>
      </c>
      <c r="AJ145" s="1773">
        <f t="shared" si="62"/>
        <v>0</v>
      </c>
      <c r="AK145" s="1773">
        <f t="shared" si="63"/>
        <v>0</v>
      </c>
      <c r="AL145" s="1773">
        <f t="shared" si="52"/>
        <v>60000</v>
      </c>
      <c r="AN145" s="1776"/>
      <c r="AO145" s="1776"/>
      <c r="AP145" s="1776"/>
      <c r="AQ145" s="1776"/>
      <c r="AR145" s="1776"/>
      <c r="AS145" s="1776"/>
      <c r="AT145" s="1776"/>
      <c r="AU145" s="1776"/>
      <c r="AV145" s="1776"/>
      <c r="AW145" s="1776"/>
      <c r="AX145" s="1776"/>
      <c r="AY145" s="1776"/>
      <c r="AZ145" s="1776">
        <v>1</v>
      </c>
    </row>
    <row r="146" spans="1:52">
      <c r="A146" s="1479" t="s">
        <v>2456</v>
      </c>
      <c r="B146" s="1479" t="s">
        <v>2253</v>
      </c>
      <c r="C146" s="1741" t="s">
        <v>2108</v>
      </c>
      <c r="D146" s="1741">
        <v>1040</v>
      </c>
      <c r="E146" s="1741">
        <v>3510</v>
      </c>
      <c r="F146" s="1741" t="s">
        <v>2216</v>
      </c>
      <c r="G146" s="1741" t="s">
        <v>2214</v>
      </c>
      <c r="H146" s="1741" t="s">
        <v>1658</v>
      </c>
      <c r="I146" s="1753" t="s">
        <v>464</v>
      </c>
      <c r="J146" s="1754"/>
      <c r="K146" s="1753" t="s">
        <v>2114</v>
      </c>
      <c r="L146" s="1754" t="s">
        <v>3029</v>
      </c>
      <c r="M146" s="1754"/>
      <c r="N146" s="1756">
        <v>1817.97</v>
      </c>
      <c r="O146" s="1757">
        <v>12918.57</v>
      </c>
      <c r="P146" s="1758">
        <v>989.03</v>
      </c>
      <c r="Q146" s="1759">
        <v>10000</v>
      </c>
      <c r="R146" s="1760">
        <v>5000</v>
      </c>
      <c r="S146" s="1760">
        <v>6366</v>
      </c>
      <c r="T146" s="1760">
        <v>6366</v>
      </c>
      <c r="U146" s="1761">
        <v>7500</v>
      </c>
      <c r="V146" s="1762">
        <v>10000</v>
      </c>
      <c r="W146" s="1757">
        <v>10000</v>
      </c>
      <c r="Z146" s="1773">
        <f t="shared" si="51"/>
        <v>0</v>
      </c>
      <c r="AA146" s="1773">
        <f t="shared" si="53"/>
        <v>0</v>
      </c>
      <c r="AB146" s="1773">
        <f t="shared" si="54"/>
        <v>0</v>
      </c>
      <c r="AC146" s="1773">
        <f t="shared" si="55"/>
        <v>0</v>
      </c>
      <c r="AD146" s="1773">
        <f t="shared" si="56"/>
        <v>0</v>
      </c>
      <c r="AE146" s="1773">
        <f t="shared" si="57"/>
        <v>0</v>
      </c>
      <c r="AF146" s="1773">
        <f t="shared" si="58"/>
        <v>0</v>
      </c>
      <c r="AG146" s="1773">
        <f t="shared" si="59"/>
        <v>0</v>
      </c>
      <c r="AH146" s="1773">
        <f t="shared" si="60"/>
        <v>0</v>
      </c>
      <c r="AI146" s="1773">
        <f t="shared" si="61"/>
        <v>0</v>
      </c>
      <c r="AJ146" s="1773">
        <f t="shared" si="62"/>
        <v>0</v>
      </c>
      <c r="AK146" s="1773">
        <f t="shared" si="63"/>
        <v>0</v>
      </c>
      <c r="AL146" s="1773">
        <f t="shared" si="52"/>
        <v>7500</v>
      </c>
      <c r="AN146" s="1776"/>
      <c r="AO146" s="1776"/>
      <c r="AP146" s="1776"/>
      <c r="AQ146" s="1776"/>
      <c r="AR146" s="1776"/>
      <c r="AS146" s="1776"/>
      <c r="AT146" s="1776"/>
      <c r="AU146" s="1776"/>
      <c r="AV146" s="1776"/>
      <c r="AW146" s="1776"/>
      <c r="AX146" s="1776"/>
      <c r="AY146" s="1776"/>
      <c r="AZ146" s="1776">
        <v>1</v>
      </c>
    </row>
    <row r="147" spans="1:52" ht="13.5">
      <c r="A147" s="1479" t="s">
        <v>2457</v>
      </c>
      <c r="B147" s="1479" t="s">
        <v>2310</v>
      </c>
      <c r="C147" s="1741" t="s">
        <v>2108</v>
      </c>
      <c r="D147" s="1741">
        <v>1040</v>
      </c>
      <c r="E147" s="1741">
        <v>3520</v>
      </c>
      <c r="F147" s="1741" t="s">
        <v>2216</v>
      </c>
      <c r="G147" s="1741" t="s">
        <v>2214</v>
      </c>
      <c r="H147" s="1741" t="s">
        <v>1658</v>
      </c>
      <c r="I147" s="1753" t="s">
        <v>464</v>
      </c>
      <c r="J147" s="1754"/>
      <c r="K147" s="1753" t="s">
        <v>2114</v>
      </c>
      <c r="L147" s="1754" t="s">
        <v>3029</v>
      </c>
      <c r="M147" s="1763"/>
      <c r="N147" s="1756">
        <v>11906.49</v>
      </c>
      <c r="O147" s="1757">
        <v>13153.42</v>
      </c>
      <c r="P147" s="1758">
        <v>1120.3900000000001</v>
      </c>
      <c r="Q147" s="1759">
        <v>9100</v>
      </c>
      <c r="R147" s="1760">
        <v>20000</v>
      </c>
      <c r="S147" s="1760">
        <v>19254</v>
      </c>
      <c r="T147" s="1760">
        <v>19254</v>
      </c>
      <c r="U147" s="1761">
        <v>21000</v>
      </c>
      <c r="V147" s="1762">
        <v>25000</v>
      </c>
      <c r="W147" s="1757">
        <v>27000</v>
      </c>
      <c r="Z147" s="1773">
        <f t="shared" si="51"/>
        <v>0</v>
      </c>
      <c r="AA147" s="1773">
        <f t="shared" si="53"/>
        <v>0</v>
      </c>
      <c r="AB147" s="1773">
        <f t="shared" si="54"/>
        <v>0</v>
      </c>
      <c r="AC147" s="1773">
        <f t="shared" si="55"/>
        <v>0</v>
      </c>
      <c r="AD147" s="1773">
        <f t="shared" si="56"/>
        <v>0</v>
      </c>
      <c r="AE147" s="1773">
        <f t="shared" si="57"/>
        <v>0</v>
      </c>
      <c r="AF147" s="1773">
        <f t="shared" si="58"/>
        <v>0</v>
      </c>
      <c r="AG147" s="1773">
        <f t="shared" si="59"/>
        <v>0</v>
      </c>
      <c r="AH147" s="1773">
        <f t="shared" si="60"/>
        <v>0</v>
      </c>
      <c r="AI147" s="1773">
        <f t="shared" si="61"/>
        <v>0</v>
      </c>
      <c r="AJ147" s="1773">
        <f t="shared" si="62"/>
        <v>0</v>
      </c>
      <c r="AK147" s="1773">
        <f t="shared" si="63"/>
        <v>0</v>
      </c>
      <c r="AL147" s="1773">
        <f t="shared" si="52"/>
        <v>21000</v>
      </c>
      <c r="AN147" s="1776"/>
      <c r="AO147" s="1776"/>
      <c r="AP147" s="1776"/>
      <c r="AQ147" s="1776"/>
      <c r="AR147" s="1776"/>
      <c r="AS147" s="1776"/>
      <c r="AT147" s="1776"/>
      <c r="AU147" s="1776"/>
      <c r="AV147" s="1776"/>
      <c r="AW147" s="1776"/>
      <c r="AX147" s="1776"/>
      <c r="AY147" s="1776"/>
      <c r="AZ147" s="1776">
        <v>1</v>
      </c>
    </row>
    <row r="148" spans="1:52" ht="13.5">
      <c r="A148" s="1479" t="s">
        <v>2458</v>
      </c>
      <c r="B148" s="1479" t="s">
        <v>2459</v>
      </c>
      <c r="C148" s="1741" t="s">
        <v>2108</v>
      </c>
      <c r="D148" s="1741">
        <v>1040</v>
      </c>
      <c r="E148" s="1741">
        <v>3540</v>
      </c>
      <c r="F148" s="1741" t="s">
        <v>2216</v>
      </c>
      <c r="G148" s="1741" t="s">
        <v>2214</v>
      </c>
      <c r="H148" s="1741" t="s">
        <v>1658</v>
      </c>
      <c r="I148" s="1753" t="s">
        <v>464</v>
      </c>
      <c r="J148" s="1754"/>
      <c r="K148" s="1753" t="s">
        <v>2114</v>
      </c>
      <c r="L148" s="1754" t="s">
        <v>3029</v>
      </c>
      <c r="M148" s="1763"/>
      <c r="N148" s="1756">
        <v>35247.279999999999</v>
      </c>
      <c r="O148" s="1757">
        <v>50403.64</v>
      </c>
      <c r="P148" s="1758">
        <v>64153.049999999996</v>
      </c>
      <c r="Q148" s="1759">
        <v>55000</v>
      </c>
      <c r="R148" s="1760">
        <v>55000</v>
      </c>
      <c r="S148" s="1760">
        <v>46924</v>
      </c>
      <c r="T148" s="1760">
        <v>46924</v>
      </c>
      <c r="U148" s="1761">
        <v>58000</v>
      </c>
      <c r="V148" s="1762">
        <v>50000</v>
      </c>
      <c r="W148" s="1757">
        <v>50000</v>
      </c>
      <c r="Z148" s="1773">
        <f t="shared" si="51"/>
        <v>0</v>
      </c>
      <c r="AA148" s="1773">
        <f t="shared" si="53"/>
        <v>0</v>
      </c>
      <c r="AB148" s="1773">
        <f t="shared" si="54"/>
        <v>0</v>
      </c>
      <c r="AC148" s="1773">
        <f t="shared" si="55"/>
        <v>0</v>
      </c>
      <c r="AD148" s="1773">
        <f t="shared" si="56"/>
        <v>0</v>
      </c>
      <c r="AE148" s="1773">
        <f t="shared" si="57"/>
        <v>0</v>
      </c>
      <c r="AF148" s="1773">
        <f t="shared" si="58"/>
        <v>0</v>
      </c>
      <c r="AG148" s="1773">
        <f t="shared" si="59"/>
        <v>0</v>
      </c>
      <c r="AH148" s="1773">
        <f t="shared" si="60"/>
        <v>0</v>
      </c>
      <c r="AI148" s="1773">
        <f t="shared" si="61"/>
        <v>0</v>
      </c>
      <c r="AJ148" s="1773">
        <f t="shared" si="62"/>
        <v>0</v>
      </c>
      <c r="AK148" s="1773">
        <f t="shared" si="63"/>
        <v>0</v>
      </c>
      <c r="AL148" s="1773">
        <f t="shared" si="52"/>
        <v>58000</v>
      </c>
      <c r="AN148" s="1776"/>
      <c r="AO148" s="1776"/>
      <c r="AP148" s="1776"/>
      <c r="AQ148" s="1776"/>
      <c r="AR148" s="1776"/>
      <c r="AS148" s="1776"/>
      <c r="AT148" s="1776"/>
      <c r="AU148" s="1776"/>
      <c r="AV148" s="1776"/>
      <c r="AW148" s="1776"/>
      <c r="AX148" s="1776"/>
      <c r="AY148" s="1776"/>
      <c r="AZ148" s="1776">
        <v>1</v>
      </c>
    </row>
    <row r="149" spans="1:52" ht="13.5">
      <c r="A149" s="1479" t="s">
        <v>2460</v>
      </c>
      <c r="B149" s="1479" t="s">
        <v>2312</v>
      </c>
      <c r="C149" s="1741" t="s">
        <v>2108</v>
      </c>
      <c r="D149" s="1741">
        <v>1040</v>
      </c>
      <c r="E149" s="1741">
        <v>4110</v>
      </c>
      <c r="F149" s="1741" t="s">
        <v>2216</v>
      </c>
      <c r="G149" s="1741" t="s">
        <v>2214</v>
      </c>
      <c r="H149" s="1741" t="s">
        <v>1658</v>
      </c>
      <c r="I149" s="1753" t="s">
        <v>2117</v>
      </c>
      <c r="J149" s="1754"/>
      <c r="K149" s="1754" t="s">
        <v>1665</v>
      </c>
      <c r="L149" s="1754" t="s">
        <v>1665</v>
      </c>
      <c r="M149" s="1763"/>
      <c r="N149" s="1756">
        <v>19919.349999999999</v>
      </c>
      <c r="O149" s="1757">
        <v>0</v>
      </c>
      <c r="P149" s="1758">
        <v>0</v>
      </c>
      <c r="Q149" s="1759">
        <v>0</v>
      </c>
      <c r="R149" s="1760">
        <v>0</v>
      </c>
      <c r="S149" s="1760">
        <v>0</v>
      </c>
      <c r="T149" s="1760">
        <v>0</v>
      </c>
      <c r="U149" s="1761">
        <v>0</v>
      </c>
      <c r="V149" s="1762">
        <v>0</v>
      </c>
      <c r="W149" s="1757">
        <v>0</v>
      </c>
      <c r="Z149" s="1773">
        <f t="shared" si="51"/>
        <v>0</v>
      </c>
      <c r="AA149" s="1773">
        <f t="shared" si="53"/>
        <v>0</v>
      </c>
      <c r="AB149" s="1773">
        <f t="shared" si="54"/>
        <v>0</v>
      </c>
      <c r="AC149" s="1773">
        <f t="shared" si="55"/>
        <v>0</v>
      </c>
      <c r="AD149" s="1773">
        <f t="shared" si="56"/>
        <v>0</v>
      </c>
      <c r="AE149" s="1773">
        <f t="shared" si="57"/>
        <v>0</v>
      </c>
      <c r="AF149" s="1773">
        <f t="shared" si="58"/>
        <v>0</v>
      </c>
      <c r="AG149" s="1773">
        <f t="shared" si="59"/>
        <v>0</v>
      </c>
      <c r="AH149" s="1773">
        <f t="shared" si="60"/>
        <v>0</v>
      </c>
      <c r="AI149" s="1773">
        <f t="shared" si="61"/>
        <v>0</v>
      </c>
      <c r="AJ149" s="1773">
        <f t="shared" si="62"/>
        <v>0</v>
      </c>
      <c r="AK149" s="1773">
        <f t="shared" si="63"/>
        <v>0</v>
      </c>
      <c r="AL149" s="1773">
        <f t="shared" si="52"/>
        <v>0</v>
      </c>
      <c r="AN149" s="1776"/>
      <c r="AO149" s="1776"/>
      <c r="AP149" s="1776"/>
      <c r="AQ149" s="1776"/>
      <c r="AR149" s="1776"/>
      <c r="AS149" s="1776"/>
      <c r="AT149" s="1776"/>
      <c r="AU149" s="1776"/>
      <c r="AV149" s="1776"/>
      <c r="AW149" s="1776"/>
      <c r="AX149" s="1776"/>
      <c r="AY149" s="1776"/>
      <c r="AZ149" s="1776">
        <v>1</v>
      </c>
    </row>
    <row r="150" spans="1:52" ht="13.5">
      <c r="A150" s="1479" t="s">
        <v>2461</v>
      </c>
      <c r="B150" s="1479" t="s">
        <v>2314</v>
      </c>
      <c r="C150" s="1741" t="s">
        <v>2108</v>
      </c>
      <c r="D150" s="1741">
        <v>1040</v>
      </c>
      <c r="E150" s="1741">
        <v>4120</v>
      </c>
      <c r="F150" s="1741" t="s">
        <v>2216</v>
      </c>
      <c r="G150" s="1741" t="s">
        <v>2214</v>
      </c>
      <c r="H150" s="1741" t="s">
        <v>1658</v>
      </c>
      <c r="I150" s="1753" t="s">
        <v>2114</v>
      </c>
      <c r="J150" s="1754" t="s">
        <v>3014</v>
      </c>
      <c r="K150" s="1753" t="s">
        <v>2114</v>
      </c>
      <c r="L150" s="1754" t="s">
        <v>3029</v>
      </c>
      <c r="M150" s="1763"/>
      <c r="N150" s="1756">
        <v>70079.009999999995</v>
      </c>
      <c r="O150" s="1757">
        <v>0</v>
      </c>
      <c r="P150" s="1758">
        <v>0</v>
      </c>
      <c r="Q150" s="1759">
        <v>0</v>
      </c>
      <c r="R150" s="1760">
        <v>20000</v>
      </c>
      <c r="S150" s="1760">
        <v>19196</v>
      </c>
      <c r="T150" s="1760">
        <v>19196</v>
      </c>
      <c r="U150" s="1761">
        <v>22000</v>
      </c>
      <c r="V150" s="1762">
        <v>0</v>
      </c>
      <c r="W150" s="1757">
        <v>0</v>
      </c>
      <c r="Z150" s="1773">
        <f t="shared" si="51"/>
        <v>0</v>
      </c>
      <c r="AA150" s="1773">
        <f t="shared" si="53"/>
        <v>0</v>
      </c>
      <c r="AB150" s="1773">
        <f t="shared" si="54"/>
        <v>0</v>
      </c>
      <c r="AC150" s="1773">
        <f t="shared" si="55"/>
        <v>0</v>
      </c>
      <c r="AD150" s="1773">
        <f t="shared" si="56"/>
        <v>0</v>
      </c>
      <c r="AE150" s="1773">
        <f t="shared" si="57"/>
        <v>0</v>
      </c>
      <c r="AF150" s="1773">
        <f t="shared" si="58"/>
        <v>0</v>
      </c>
      <c r="AG150" s="1773">
        <f t="shared" si="59"/>
        <v>0</v>
      </c>
      <c r="AH150" s="1773">
        <f t="shared" si="60"/>
        <v>0</v>
      </c>
      <c r="AI150" s="1773">
        <f t="shared" si="61"/>
        <v>0</v>
      </c>
      <c r="AJ150" s="1773">
        <f t="shared" si="62"/>
        <v>0</v>
      </c>
      <c r="AK150" s="1773">
        <f t="shared" si="63"/>
        <v>0</v>
      </c>
      <c r="AL150" s="1773">
        <f t="shared" si="52"/>
        <v>22000</v>
      </c>
      <c r="AN150" s="1776"/>
      <c r="AO150" s="1776"/>
      <c r="AP150" s="1776"/>
      <c r="AQ150" s="1776"/>
      <c r="AR150" s="1776"/>
      <c r="AS150" s="1776"/>
      <c r="AT150" s="1776"/>
      <c r="AU150" s="1776"/>
      <c r="AV150" s="1776"/>
      <c r="AW150" s="1776"/>
      <c r="AX150" s="1776"/>
      <c r="AY150" s="1776"/>
      <c r="AZ150" s="1776">
        <v>1</v>
      </c>
    </row>
    <row r="151" spans="1:52">
      <c r="A151" s="1479" t="s">
        <v>2462</v>
      </c>
      <c r="B151" s="1479" t="s">
        <v>2463</v>
      </c>
      <c r="C151" s="1741" t="s">
        <v>2108</v>
      </c>
      <c r="D151" s="1741">
        <v>1040</v>
      </c>
      <c r="E151" s="1741">
        <v>4360</v>
      </c>
      <c r="F151" s="1741" t="s">
        <v>2216</v>
      </c>
      <c r="G151" s="1741" t="s">
        <v>2214</v>
      </c>
      <c r="H151" s="1741" t="s">
        <v>1658</v>
      </c>
      <c r="I151" s="1753" t="s">
        <v>2117</v>
      </c>
      <c r="J151" s="1754"/>
      <c r="K151" s="1754" t="s">
        <v>1665</v>
      </c>
      <c r="L151" s="1754" t="s">
        <v>1665</v>
      </c>
      <c r="M151" s="1754"/>
      <c r="N151" s="1756">
        <v>187072.65</v>
      </c>
      <c r="O151" s="1757">
        <v>0</v>
      </c>
      <c r="P151" s="1758">
        <v>0</v>
      </c>
      <c r="Q151" s="1759">
        <v>0</v>
      </c>
      <c r="R151" s="1760">
        <v>0</v>
      </c>
      <c r="S151" s="1760">
        <v>0</v>
      </c>
      <c r="T151" s="1760">
        <v>0</v>
      </c>
      <c r="U151" s="1761">
        <v>0</v>
      </c>
      <c r="V151" s="1762">
        <v>0</v>
      </c>
      <c r="W151" s="1757">
        <v>0</v>
      </c>
      <c r="Z151" s="1773">
        <f t="shared" si="51"/>
        <v>0</v>
      </c>
      <c r="AA151" s="1773">
        <f t="shared" si="53"/>
        <v>0</v>
      </c>
      <c r="AB151" s="1773">
        <f t="shared" si="54"/>
        <v>0</v>
      </c>
      <c r="AC151" s="1773">
        <f t="shared" si="55"/>
        <v>0</v>
      </c>
      <c r="AD151" s="1773">
        <f t="shared" si="56"/>
        <v>0</v>
      </c>
      <c r="AE151" s="1773">
        <f t="shared" si="57"/>
        <v>0</v>
      </c>
      <c r="AF151" s="1773">
        <f t="shared" si="58"/>
        <v>0</v>
      </c>
      <c r="AG151" s="1773">
        <f t="shared" si="59"/>
        <v>0</v>
      </c>
      <c r="AH151" s="1773">
        <f t="shared" si="60"/>
        <v>0</v>
      </c>
      <c r="AI151" s="1773">
        <f t="shared" si="61"/>
        <v>0</v>
      </c>
      <c r="AJ151" s="1773">
        <f t="shared" si="62"/>
        <v>0</v>
      </c>
      <c r="AK151" s="1773">
        <f t="shared" si="63"/>
        <v>0</v>
      </c>
      <c r="AL151" s="1773">
        <f t="shared" si="52"/>
        <v>0</v>
      </c>
      <c r="AN151" s="1776"/>
      <c r="AO151" s="1776"/>
      <c r="AP151" s="1776"/>
      <c r="AQ151" s="1776"/>
      <c r="AR151" s="1776"/>
      <c r="AS151" s="1776"/>
      <c r="AT151" s="1776"/>
      <c r="AU151" s="1776"/>
      <c r="AV151" s="1776"/>
      <c r="AW151" s="1776"/>
      <c r="AX151" s="1776"/>
      <c r="AY151" s="1776"/>
      <c r="AZ151" s="1776">
        <v>1</v>
      </c>
    </row>
    <row r="152" spans="1:52">
      <c r="A152" s="1479" t="s">
        <v>2464</v>
      </c>
      <c r="B152" s="1479" t="s">
        <v>2465</v>
      </c>
      <c r="C152" s="1741" t="s">
        <v>2108</v>
      </c>
      <c r="D152" s="1741">
        <v>1040</v>
      </c>
      <c r="E152" s="1741">
        <v>4380</v>
      </c>
      <c r="F152" s="1741" t="s">
        <v>2216</v>
      </c>
      <c r="G152" s="1741" t="s">
        <v>2214</v>
      </c>
      <c r="H152" s="1741" t="s">
        <v>1658</v>
      </c>
      <c r="I152" s="1753" t="s">
        <v>3003</v>
      </c>
      <c r="J152" s="1754" t="s">
        <v>2145</v>
      </c>
      <c r="K152" s="1753" t="s">
        <v>497</v>
      </c>
      <c r="L152" s="1754" t="s">
        <v>1778</v>
      </c>
      <c r="M152" s="1754"/>
      <c r="N152" s="1756">
        <v>54543.29</v>
      </c>
      <c r="O152" s="1757">
        <v>0</v>
      </c>
      <c r="P152" s="1758">
        <v>0</v>
      </c>
      <c r="Q152" s="1759">
        <v>0</v>
      </c>
      <c r="R152" s="1760">
        <v>0</v>
      </c>
      <c r="S152" s="1760">
        <v>0</v>
      </c>
      <c r="T152" s="1760">
        <v>0</v>
      </c>
      <c r="U152" s="1761">
        <v>0</v>
      </c>
      <c r="V152" s="1762">
        <v>0</v>
      </c>
      <c r="W152" s="1757">
        <v>0</v>
      </c>
      <c r="Z152" s="1773">
        <f t="shared" si="51"/>
        <v>0</v>
      </c>
      <c r="AA152" s="1773">
        <f t="shared" si="53"/>
        <v>0</v>
      </c>
      <c r="AB152" s="1773">
        <f t="shared" si="54"/>
        <v>0</v>
      </c>
      <c r="AC152" s="1773">
        <f t="shared" si="55"/>
        <v>0</v>
      </c>
      <c r="AD152" s="1773">
        <f t="shared" si="56"/>
        <v>0</v>
      </c>
      <c r="AE152" s="1773">
        <f t="shared" si="57"/>
        <v>0</v>
      </c>
      <c r="AF152" s="1773">
        <f t="shared" si="58"/>
        <v>0</v>
      </c>
      <c r="AG152" s="1773">
        <f t="shared" si="59"/>
        <v>0</v>
      </c>
      <c r="AH152" s="1773">
        <f t="shared" si="60"/>
        <v>0</v>
      </c>
      <c r="AI152" s="1773">
        <f t="shared" si="61"/>
        <v>0</v>
      </c>
      <c r="AJ152" s="1773">
        <f t="shared" si="62"/>
        <v>0</v>
      </c>
      <c r="AK152" s="1773">
        <f t="shared" si="63"/>
        <v>0</v>
      </c>
      <c r="AL152" s="1773">
        <f t="shared" si="52"/>
        <v>0</v>
      </c>
      <c r="AN152" s="1776"/>
      <c r="AO152" s="1776"/>
      <c r="AP152" s="1776"/>
      <c r="AQ152" s="1776"/>
      <c r="AR152" s="1776"/>
      <c r="AS152" s="1776"/>
      <c r="AT152" s="1776"/>
      <c r="AU152" s="1776"/>
      <c r="AV152" s="1776"/>
      <c r="AW152" s="1776"/>
      <c r="AX152" s="1776"/>
      <c r="AY152" s="1776"/>
      <c r="AZ152" s="1776">
        <v>1</v>
      </c>
    </row>
    <row r="153" spans="1:52" ht="13.5">
      <c r="A153" s="1479" t="s">
        <v>2466</v>
      </c>
      <c r="B153" s="1479" t="s">
        <v>2316</v>
      </c>
      <c r="C153" s="1741" t="s">
        <v>2108</v>
      </c>
      <c r="D153" s="1741">
        <v>1040</v>
      </c>
      <c r="E153" s="1741">
        <v>5000</v>
      </c>
      <c r="F153" s="1741" t="s">
        <v>2216</v>
      </c>
      <c r="G153" s="1741" t="s">
        <v>2214</v>
      </c>
      <c r="H153" s="1741" t="s">
        <v>1658</v>
      </c>
      <c r="I153" s="1753" t="s">
        <v>3015</v>
      </c>
      <c r="J153" s="1754"/>
      <c r="K153" s="1753" t="s">
        <v>2114</v>
      </c>
      <c r="L153" s="1754" t="s">
        <v>3015</v>
      </c>
      <c r="M153" s="1439"/>
      <c r="N153" s="1756">
        <v>0</v>
      </c>
      <c r="O153" s="1757">
        <v>1001.9900000000002</v>
      </c>
      <c r="P153" s="1758">
        <v>0</v>
      </c>
      <c r="Q153" s="1759">
        <v>0</v>
      </c>
      <c r="R153" s="1760">
        <v>0</v>
      </c>
      <c r="S153" s="1760">
        <v>0</v>
      </c>
      <c r="T153" s="1760">
        <v>0</v>
      </c>
      <c r="U153" s="1761">
        <v>0</v>
      </c>
      <c r="V153" s="1762">
        <v>0</v>
      </c>
      <c r="W153" s="1757">
        <v>0</v>
      </c>
      <c r="Z153" s="1773">
        <f t="shared" si="51"/>
        <v>0</v>
      </c>
      <c r="AA153" s="1773">
        <f t="shared" si="53"/>
        <v>0</v>
      </c>
      <c r="AB153" s="1773">
        <f t="shared" si="54"/>
        <v>0</v>
      </c>
      <c r="AC153" s="1773">
        <f t="shared" si="55"/>
        <v>0</v>
      </c>
      <c r="AD153" s="1773">
        <f t="shared" si="56"/>
        <v>0</v>
      </c>
      <c r="AE153" s="1773">
        <f t="shared" si="57"/>
        <v>0</v>
      </c>
      <c r="AF153" s="1773">
        <f t="shared" si="58"/>
        <v>0</v>
      </c>
      <c r="AG153" s="1773">
        <f t="shared" si="59"/>
        <v>0</v>
      </c>
      <c r="AH153" s="1773">
        <f t="shared" si="60"/>
        <v>0</v>
      </c>
      <c r="AI153" s="1773">
        <f t="shared" si="61"/>
        <v>0</v>
      </c>
      <c r="AJ153" s="1773">
        <f t="shared" si="62"/>
        <v>0</v>
      </c>
      <c r="AK153" s="1773">
        <f t="shared" si="63"/>
        <v>0</v>
      </c>
      <c r="AL153" s="1773">
        <f t="shared" si="52"/>
        <v>0</v>
      </c>
      <c r="AN153" s="1776"/>
      <c r="AO153" s="1776"/>
      <c r="AP153" s="1776"/>
      <c r="AQ153" s="1776"/>
      <c r="AR153" s="1776"/>
      <c r="AS153" s="1776"/>
      <c r="AT153" s="1776"/>
      <c r="AU153" s="1776"/>
      <c r="AV153" s="1776"/>
      <c r="AW153" s="1776"/>
      <c r="AX153" s="1776"/>
      <c r="AY153" s="1776"/>
      <c r="AZ153" s="1776">
        <v>1</v>
      </c>
    </row>
    <row r="154" spans="1:52" ht="13.5">
      <c r="A154" s="1479" t="s">
        <v>2467</v>
      </c>
      <c r="B154" s="1479" t="s">
        <v>2318</v>
      </c>
      <c r="C154" s="1741" t="s">
        <v>2108</v>
      </c>
      <c r="D154" s="1741">
        <v>1040</v>
      </c>
      <c r="E154" s="1741">
        <v>5020</v>
      </c>
      <c r="F154" s="1741" t="s">
        <v>2216</v>
      </c>
      <c r="G154" s="1741" t="s">
        <v>2214</v>
      </c>
      <c r="H154" s="1741" t="s">
        <v>586</v>
      </c>
      <c r="I154" s="1753" t="s">
        <v>2121</v>
      </c>
      <c r="J154" s="1754" t="s">
        <v>3016</v>
      </c>
      <c r="K154" s="236" t="s">
        <v>35</v>
      </c>
      <c r="L154" s="1754" t="s">
        <v>2128</v>
      </c>
      <c r="M154" s="1754"/>
      <c r="N154" s="1756">
        <v>0</v>
      </c>
      <c r="O154" s="1757">
        <v>-1142.27</v>
      </c>
      <c r="P154" s="1758">
        <v>0</v>
      </c>
      <c r="Q154" s="1759">
        <v>0</v>
      </c>
      <c r="R154" s="1760">
        <v>0</v>
      </c>
      <c r="S154" s="1760">
        <v>0</v>
      </c>
      <c r="T154" s="1760">
        <v>0</v>
      </c>
      <c r="U154" s="1761">
        <v>0</v>
      </c>
      <c r="V154" s="1762">
        <v>0</v>
      </c>
      <c r="W154" s="1757">
        <v>0</v>
      </c>
      <c r="Z154" s="1773">
        <f t="shared" si="51"/>
        <v>0</v>
      </c>
      <c r="AA154" s="1773">
        <f t="shared" si="53"/>
        <v>0</v>
      </c>
      <c r="AB154" s="1773">
        <f t="shared" si="54"/>
        <v>0</v>
      </c>
      <c r="AC154" s="1773">
        <f t="shared" si="55"/>
        <v>0</v>
      </c>
      <c r="AD154" s="1773">
        <f t="shared" si="56"/>
        <v>0</v>
      </c>
      <c r="AE154" s="1773">
        <f t="shared" si="57"/>
        <v>0</v>
      </c>
      <c r="AF154" s="1773">
        <f t="shared" si="58"/>
        <v>0</v>
      </c>
      <c r="AG154" s="1773">
        <f t="shared" si="59"/>
        <v>0</v>
      </c>
      <c r="AH154" s="1773">
        <f t="shared" si="60"/>
        <v>0</v>
      </c>
      <c r="AI154" s="1773">
        <f t="shared" si="61"/>
        <v>0</v>
      </c>
      <c r="AJ154" s="1773">
        <f t="shared" si="62"/>
        <v>0</v>
      </c>
      <c r="AK154" s="1773">
        <f t="shared" si="63"/>
        <v>0</v>
      </c>
      <c r="AL154" s="1773">
        <f t="shared" si="52"/>
        <v>0</v>
      </c>
      <c r="AN154" s="1776"/>
      <c r="AO154" s="1776"/>
      <c r="AP154" s="1776"/>
      <c r="AQ154" s="1776"/>
      <c r="AR154" s="1776"/>
      <c r="AS154" s="1776"/>
      <c r="AT154" s="1776"/>
      <c r="AU154" s="1776"/>
      <c r="AV154" s="1776"/>
      <c r="AW154" s="1776"/>
      <c r="AX154" s="1776"/>
      <c r="AY154" s="1776"/>
      <c r="AZ154" s="1776">
        <v>1</v>
      </c>
    </row>
    <row r="155" spans="1:52" ht="13.5">
      <c r="A155" s="1479" t="s">
        <v>2468</v>
      </c>
      <c r="B155" s="1479" t="s">
        <v>2445</v>
      </c>
      <c r="C155" s="1741" t="s">
        <v>2108</v>
      </c>
      <c r="D155" s="1741">
        <v>1040</v>
      </c>
      <c r="E155" s="1741">
        <v>5030</v>
      </c>
      <c r="F155" s="1741" t="s">
        <v>2216</v>
      </c>
      <c r="G155" s="1741" t="s">
        <v>2214</v>
      </c>
      <c r="H155" s="1741" t="s">
        <v>586</v>
      </c>
      <c r="I155" s="1753" t="s">
        <v>2121</v>
      </c>
      <c r="J155" s="1754" t="s">
        <v>3016</v>
      </c>
      <c r="K155" s="236" t="s">
        <v>35</v>
      </c>
      <c r="L155" s="1754" t="s">
        <v>2128</v>
      </c>
      <c r="M155" s="1754"/>
      <c r="N155" s="1756">
        <v>0</v>
      </c>
      <c r="O155" s="1757">
        <v>0</v>
      </c>
      <c r="P155" s="1758">
        <v>0</v>
      </c>
      <c r="Q155" s="1759">
        <v>0</v>
      </c>
      <c r="R155" s="1760">
        <v>0</v>
      </c>
      <c r="S155" s="1760">
        <v>0</v>
      </c>
      <c r="T155" s="1760">
        <v>0</v>
      </c>
      <c r="U155" s="1761">
        <v>0</v>
      </c>
      <c r="V155" s="1762">
        <v>0</v>
      </c>
      <c r="W155" s="1757">
        <v>0</v>
      </c>
      <c r="Z155" s="1773">
        <f t="shared" si="51"/>
        <v>0</v>
      </c>
      <c r="AA155" s="1773">
        <f t="shared" si="53"/>
        <v>0</v>
      </c>
      <c r="AB155" s="1773">
        <f t="shared" si="54"/>
        <v>0</v>
      </c>
      <c r="AC155" s="1773">
        <f t="shared" si="55"/>
        <v>0</v>
      </c>
      <c r="AD155" s="1773">
        <f t="shared" si="56"/>
        <v>0</v>
      </c>
      <c r="AE155" s="1773">
        <f t="shared" si="57"/>
        <v>0</v>
      </c>
      <c r="AF155" s="1773">
        <f t="shared" si="58"/>
        <v>0</v>
      </c>
      <c r="AG155" s="1773">
        <f t="shared" si="59"/>
        <v>0</v>
      </c>
      <c r="AH155" s="1773">
        <f t="shared" si="60"/>
        <v>0</v>
      </c>
      <c r="AI155" s="1773">
        <f t="shared" si="61"/>
        <v>0</v>
      </c>
      <c r="AJ155" s="1773">
        <f t="shared" si="62"/>
        <v>0</v>
      </c>
      <c r="AK155" s="1773">
        <f t="shared" si="63"/>
        <v>0</v>
      </c>
      <c r="AL155" s="1773">
        <f t="shared" si="52"/>
        <v>0</v>
      </c>
      <c r="AN155" s="1776"/>
      <c r="AO155" s="1776"/>
      <c r="AP155" s="1776"/>
      <c r="AQ155" s="1776"/>
      <c r="AR155" s="1776"/>
      <c r="AS155" s="1776"/>
      <c r="AT155" s="1776"/>
      <c r="AU155" s="1776"/>
      <c r="AV155" s="1776"/>
      <c r="AW155" s="1776"/>
      <c r="AX155" s="1776"/>
      <c r="AY155" s="1776"/>
      <c r="AZ155" s="1776">
        <v>1</v>
      </c>
    </row>
    <row r="156" spans="1:52">
      <c r="A156" s="1479" t="s">
        <v>2469</v>
      </c>
      <c r="B156" s="1479" t="s">
        <v>2470</v>
      </c>
      <c r="C156" s="1741" t="s">
        <v>2108</v>
      </c>
      <c r="D156" s="1741">
        <v>1040</v>
      </c>
      <c r="E156" s="1741">
        <v>5270</v>
      </c>
      <c r="F156" s="1741" t="s">
        <v>2216</v>
      </c>
      <c r="G156" s="1741" t="s">
        <v>2214</v>
      </c>
      <c r="H156" s="1741" t="s">
        <v>586</v>
      </c>
      <c r="I156" s="1753" t="s">
        <v>2120</v>
      </c>
      <c r="J156" s="1754"/>
      <c r="K156" s="1754" t="s">
        <v>1666</v>
      </c>
      <c r="L156" s="1754" t="s">
        <v>1666</v>
      </c>
      <c r="M156" s="1754"/>
      <c r="N156" s="1756">
        <v>-503.16</v>
      </c>
      <c r="O156" s="1757">
        <v>-10</v>
      </c>
      <c r="P156" s="1758">
        <v>0</v>
      </c>
      <c r="Q156" s="1759">
        <v>-500</v>
      </c>
      <c r="R156" s="1760">
        <v>-500</v>
      </c>
      <c r="S156" s="1760">
        <v>-164</v>
      </c>
      <c r="T156" s="1760">
        <v>-164</v>
      </c>
      <c r="U156" s="1761">
        <v>-1000</v>
      </c>
      <c r="V156" s="1762">
        <v>-1000</v>
      </c>
      <c r="W156" s="1757">
        <v>-1000</v>
      </c>
      <c r="Z156" s="1773">
        <f t="shared" si="51"/>
        <v>0</v>
      </c>
      <c r="AA156" s="1773">
        <f t="shared" si="53"/>
        <v>0</v>
      </c>
      <c r="AB156" s="1773">
        <f t="shared" si="54"/>
        <v>0</v>
      </c>
      <c r="AC156" s="1773">
        <f t="shared" si="55"/>
        <v>0</v>
      </c>
      <c r="AD156" s="1773">
        <f t="shared" si="56"/>
        <v>0</v>
      </c>
      <c r="AE156" s="1773">
        <f t="shared" si="57"/>
        <v>0</v>
      </c>
      <c r="AF156" s="1773">
        <f t="shared" si="58"/>
        <v>0</v>
      </c>
      <c r="AG156" s="1773">
        <f t="shared" si="59"/>
        <v>0</v>
      </c>
      <c r="AH156" s="1773">
        <f t="shared" si="60"/>
        <v>0</v>
      </c>
      <c r="AI156" s="1773">
        <f t="shared" si="61"/>
        <v>0</v>
      </c>
      <c r="AJ156" s="1773">
        <f t="shared" si="62"/>
        <v>0</v>
      </c>
      <c r="AK156" s="1773">
        <f t="shared" si="63"/>
        <v>0</v>
      </c>
      <c r="AL156" s="1773">
        <f t="shared" si="52"/>
        <v>-1000</v>
      </c>
      <c r="AN156" s="1776"/>
      <c r="AO156" s="1776"/>
      <c r="AP156" s="1776"/>
      <c r="AQ156" s="1776"/>
      <c r="AR156" s="1776"/>
      <c r="AS156" s="1776"/>
      <c r="AT156" s="1776"/>
      <c r="AU156" s="1776"/>
      <c r="AV156" s="1776"/>
      <c r="AW156" s="1776"/>
      <c r="AX156" s="1776"/>
      <c r="AY156" s="1776"/>
      <c r="AZ156" s="1776">
        <v>1</v>
      </c>
    </row>
    <row r="157" spans="1:52">
      <c r="A157" s="1479" t="s">
        <v>2471</v>
      </c>
      <c r="B157" s="1479" t="s">
        <v>2472</v>
      </c>
      <c r="C157" s="1741" t="s">
        <v>2108</v>
      </c>
      <c r="D157" s="1741">
        <v>1040</v>
      </c>
      <c r="E157" s="1741">
        <v>5640</v>
      </c>
      <c r="F157" s="1741" t="s">
        <v>2216</v>
      </c>
      <c r="G157" s="1741" t="s">
        <v>2214</v>
      </c>
      <c r="H157" s="1741" t="s">
        <v>586</v>
      </c>
      <c r="I157" s="1753" t="s">
        <v>2120</v>
      </c>
      <c r="J157" s="1754"/>
      <c r="K157" s="1754" t="s">
        <v>1666</v>
      </c>
      <c r="L157" s="1754" t="s">
        <v>1666</v>
      </c>
      <c r="M157" s="1754"/>
      <c r="N157" s="1756">
        <v>-848.18</v>
      </c>
      <c r="O157" s="1757">
        <v>-1114.73</v>
      </c>
      <c r="P157" s="1758">
        <v>-877.72</v>
      </c>
      <c r="Q157" s="1759">
        <v>-1300</v>
      </c>
      <c r="R157" s="1760">
        <v>-1300</v>
      </c>
      <c r="S157" s="1760">
        <v>-1150</v>
      </c>
      <c r="T157" s="1760">
        <v>-1150</v>
      </c>
      <c r="U157" s="1761">
        <v>-1300</v>
      </c>
      <c r="V157" s="1762">
        <v>-1400</v>
      </c>
      <c r="W157" s="1757">
        <v>-1500</v>
      </c>
      <c r="Z157" s="1773">
        <f t="shared" si="51"/>
        <v>0</v>
      </c>
      <c r="AA157" s="1773">
        <f t="shared" si="53"/>
        <v>0</v>
      </c>
      <c r="AB157" s="1773">
        <f t="shared" si="54"/>
        <v>0</v>
      </c>
      <c r="AC157" s="1773">
        <f t="shared" si="55"/>
        <v>0</v>
      </c>
      <c r="AD157" s="1773">
        <f t="shared" si="56"/>
        <v>0</v>
      </c>
      <c r="AE157" s="1773">
        <f t="shared" si="57"/>
        <v>0</v>
      </c>
      <c r="AF157" s="1773">
        <f t="shared" si="58"/>
        <v>0</v>
      </c>
      <c r="AG157" s="1773">
        <f t="shared" si="59"/>
        <v>0</v>
      </c>
      <c r="AH157" s="1773">
        <f t="shared" si="60"/>
        <v>0</v>
      </c>
      <c r="AI157" s="1773">
        <f t="shared" si="61"/>
        <v>0</v>
      </c>
      <c r="AJ157" s="1773">
        <f t="shared" si="62"/>
        <v>0</v>
      </c>
      <c r="AK157" s="1773">
        <f t="shared" si="63"/>
        <v>0</v>
      </c>
      <c r="AL157" s="1773">
        <f t="shared" si="52"/>
        <v>-1300</v>
      </c>
      <c r="AN157" s="1776"/>
      <c r="AO157" s="1776"/>
      <c r="AP157" s="1776"/>
      <c r="AQ157" s="1776"/>
      <c r="AR157" s="1776"/>
      <c r="AS157" s="1776"/>
      <c r="AT157" s="1776"/>
      <c r="AU157" s="1776"/>
      <c r="AV157" s="1776"/>
      <c r="AW157" s="1776"/>
      <c r="AX157" s="1776"/>
      <c r="AY157" s="1776"/>
      <c r="AZ157" s="1776">
        <v>1</v>
      </c>
    </row>
    <row r="158" spans="1:52">
      <c r="A158" s="1479" t="s">
        <v>2473</v>
      </c>
      <c r="B158" s="1479" t="s">
        <v>2474</v>
      </c>
      <c r="C158" s="1741" t="s">
        <v>2108</v>
      </c>
      <c r="D158" s="1741">
        <v>1040</v>
      </c>
      <c r="E158" s="1741">
        <v>5840</v>
      </c>
      <c r="F158" s="1741" t="s">
        <v>2216</v>
      </c>
      <c r="G158" s="1741" t="s">
        <v>2214</v>
      </c>
      <c r="H158" s="1741" t="s">
        <v>586</v>
      </c>
      <c r="I158" s="1753" t="s">
        <v>2120</v>
      </c>
      <c r="J158" s="1754"/>
      <c r="K158" s="1754" t="s">
        <v>1666</v>
      </c>
      <c r="L158" s="1753" t="s">
        <v>1666</v>
      </c>
      <c r="M158" s="1754"/>
      <c r="N158" s="1756">
        <v>-20.65</v>
      </c>
      <c r="O158" s="1757">
        <v>0</v>
      </c>
      <c r="P158" s="1758">
        <v>0</v>
      </c>
      <c r="Q158" s="1759">
        <v>0</v>
      </c>
      <c r="R158" s="1760">
        <v>0</v>
      </c>
      <c r="S158" s="1760">
        <v>0</v>
      </c>
      <c r="T158" s="1760">
        <v>0</v>
      </c>
      <c r="U158" s="1761">
        <v>0</v>
      </c>
      <c r="V158" s="1762">
        <v>0</v>
      </c>
      <c r="W158" s="1757">
        <v>0</v>
      </c>
      <c r="Z158" s="1773">
        <f t="shared" si="51"/>
        <v>0</v>
      </c>
      <c r="AA158" s="1773">
        <f t="shared" si="53"/>
        <v>0</v>
      </c>
      <c r="AB158" s="1773">
        <f t="shared" si="54"/>
        <v>0</v>
      </c>
      <c r="AC158" s="1773">
        <f t="shared" si="55"/>
        <v>0</v>
      </c>
      <c r="AD158" s="1773">
        <f t="shared" si="56"/>
        <v>0</v>
      </c>
      <c r="AE158" s="1773">
        <f t="shared" si="57"/>
        <v>0</v>
      </c>
      <c r="AF158" s="1773">
        <f t="shared" si="58"/>
        <v>0</v>
      </c>
      <c r="AG158" s="1773">
        <f t="shared" si="59"/>
        <v>0</v>
      </c>
      <c r="AH158" s="1773">
        <f t="shared" si="60"/>
        <v>0</v>
      </c>
      <c r="AI158" s="1773">
        <f t="shared" si="61"/>
        <v>0</v>
      </c>
      <c r="AJ158" s="1773">
        <f t="shared" si="62"/>
        <v>0</v>
      </c>
      <c r="AK158" s="1773">
        <f t="shared" si="63"/>
        <v>0</v>
      </c>
      <c r="AL158" s="1773">
        <f t="shared" si="52"/>
        <v>0</v>
      </c>
      <c r="AN158" s="1776"/>
      <c r="AO158" s="1776"/>
      <c r="AP158" s="1776"/>
      <c r="AQ158" s="1776"/>
      <c r="AR158" s="1776"/>
      <c r="AS158" s="1776"/>
      <c r="AT158" s="1776"/>
      <c r="AU158" s="1776"/>
      <c r="AV158" s="1776"/>
      <c r="AW158" s="1776"/>
      <c r="AX158" s="1776"/>
      <c r="AY158" s="1776"/>
      <c r="AZ158" s="1776">
        <v>1</v>
      </c>
    </row>
    <row r="159" spans="1:52">
      <c r="A159" s="1479" t="s">
        <v>2475</v>
      </c>
      <c r="B159" s="1479" t="s">
        <v>2476</v>
      </c>
      <c r="C159" s="1741" t="s">
        <v>2108</v>
      </c>
      <c r="D159" s="1741">
        <v>1040</v>
      </c>
      <c r="E159" s="1741">
        <v>5870</v>
      </c>
      <c r="F159" s="1741" t="s">
        <v>2216</v>
      </c>
      <c r="G159" s="1741" t="s">
        <v>2214</v>
      </c>
      <c r="H159" s="1741" t="s">
        <v>586</v>
      </c>
      <c r="I159" s="1753" t="s">
        <v>2120</v>
      </c>
      <c r="J159" s="1754"/>
      <c r="K159" s="1754" t="s">
        <v>1666</v>
      </c>
      <c r="L159" s="1753" t="s">
        <v>1666</v>
      </c>
      <c r="M159" s="1754"/>
      <c r="N159" s="1756">
        <v>0</v>
      </c>
      <c r="O159" s="1757">
        <v>0</v>
      </c>
      <c r="P159" s="1758">
        <v>49.12</v>
      </c>
      <c r="Q159" s="1759">
        <v>0</v>
      </c>
      <c r="R159" s="1760">
        <v>0</v>
      </c>
      <c r="S159" s="1760">
        <v>0</v>
      </c>
      <c r="T159" s="1760">
        <v>0</v>
      </c>
      <c r="U159" s="1761">
        <v>0</v>
      </c>
      <c r="V159" s="1762">
        <v>0</v>
      </c>
      <c r="W159" s="1757">
        <v>0</v>
      </c>
      <c r="Z159" s="1773">
        <f t="shared" si="51"/>
        <v>0</v>
      </c>
      <c r="AA159" s="1773">
        <f t="shared" si="53"/>
        <v>0</v>
      </c>
      <c r="AB159" s="1773">
        <f t="shared" si="54"/>
        <v>0</v>
      </c>
      <c r="AC159" s="1773">
        <f t="shared" si="55"/>
        <v>0</v>
      </c>
      <c r="AD159" s="1773">
        <f t="shared" si="56"/>
        <v>0</v>
      </c>
      <c r="AE159" s="1773">
        <f t="shared" si="57"/>
        <v>0</v>
      </c>
      <c r="AF159" s="1773">
        <f t="shared" si="58"/>
        <v>0</v>
      </c>
      <c r="AG159" s="1773">
        <f t="shared" si="59"/>
        <v>0</v>
      </c>
      <c r="AH159" s="1773">
        <f t="shared" si="60"/>
        <v>0</v>
      </c>
      <c r="AI159" s="1773">
        <f t="shared" si="61"/>
        <v>0</v>
      </c>
      <c r="AJ159" s="1773">
        <f t="shared" si="62"/>
        <v>0</v>
      </c>
      <c r="AK159" s="1773">
        <f t="shared" si="63"/>
        <v>0</v>
      </c>
      <c r="AL159" s="1773">
        <f t="shared" si="52"/>
        <v>0</v>
      </c>
      <c r="AN159" s="1776"/>
      <c r="AO159" s="1776"/>
      <c r="AP159" s="1776"/>
      <c r="AQ159" s="1776"/>
      <c r="AR159" s="1776"/>
      <c r="AS159" s="1776"/>
      <c r="AT159" s="1776"/>
      <c r="AU159" s="1776"/>
      <c r="AV159" s="1776"/>
      <c r="AW159" s="1776"/>
      <c r="AX159" s="1776"/>
      <c r="AY159" s="1776"/>
      <c r="AZ159" s="1776">
        <v>1</v>
      </c>
    </row>
    <row r="160" spans="1:52">
      <c r="A160" t="s">
        <v>2477</v>
      </c>
      <c r="B160" t="s">
        <v>2478</v>
      </c>
      <c r="C160" s="1741" t="s">
        <v>2108</v>
      </c>
      <c r="D160" s="1741">
        <v>1040</v>
      </c>
      <c r="E160" s="1741">
        <v>6270</v>
      </c>
      <c r="F160" s="1741" t="s">
        <v>2216</v>
      </c>
      <c r="G160" s="1741" t="s">
        <v>2214</v>
      </c>
      <c r="H160" s="1741" t="s">
        <v>586</v>
      </c>
      <c r="I160" s="1753" t="s">
        <v>2120</v>
      </c>
      <c r="J160" s="1754"/>
      <c r="K160" s="1754" t="s">
        <v>1666</v>
      </c>
      <c r="L160" s="1753" t="s">
        <v>1666</v>
      </c>
      <c r="M160" s="1754"/>
      <c r="N160" s="1756"/>
      <c r="O160" s="1757"/>
      <c r="P160" s="1758"/>
      <c r="Q160" s="1759">
        <v>-900</v>
      </c>
      <c r="R160" s="1760">
        <v>-900</v>
      </c>
      <c r="S160" s="1760">
        <v>-300</v>
      </c>
      <c r="T160" s="1760">
        <v>-300</v>
      </c>
      <c r="U160" s="1761">
        <v>-1000</v>
      </c>
      <c r="V160" s="1762">
        <v>-900</v>
      </c>
      <c r="W160" s="1757">
        <v>-900</v>
      </c>
      <c r="Z160" s="1773">
        <f t="shared" si="51"/>
        <v>0</v>
      </c>
      <c r="AA160" s="1773">
        <f t="shared" si="53"/>
        <v>0</v>
      </c>
      <c r="AB160" s="1773">
        <f t="shared" si="54"/>
        <v>0</v>
      </c>
      <c r="AC160" s="1773">
        <f t="shared" si="55"/>
        <v>0</v>
      </c>
      <c r="AD160" s="1773">
        <f t="shared" si="56"/>
        <v>0</v>
      </c>
      <c r="AE160" s="1773">
        <f t="shared" si="57"/>
        <v>0</v>
      </c>
      <c r="AF160" s="1773">
        <f t="shared" si="58"/>
        <v>0</v>
      </c>
      <c r="AG160" s="1773">
        <f t="shared" si="59"/>
        <v>0</v>
      </c>
      <c r="AH160" s="1773">
        <f t="shared" si="60"/>
        <v>0</v>
      </c>
      <c r="AI160" s="1773">
        <f t="shared" si="61"/>
        <v>0</v>
      </c>
      <c r="AJ160" s="1773">
        <f t="shared" si="62"/>
        <v>0</v>
      </c>
      <c r="AK160" s="1773">
        <f t="shared" si="63"/>
        <v>0</v>
      </c>
      <c r="AL160" s="1773">
        <f t="shared" si="52"/>
        <v>-1000</v>
      </c>
      <c r="AN160" s="1776"/>
      <c r="AO160" s="1776"/>
      <c r="AP160" s="1776"/>
      <c r="AQ160" s="1776"/>
      <c r="AR160" s="1776"/>
      <c r="AS160" s="1776"/>
      <c r="AT160" s="1776"/>
      <c r="AU160" s="1776"/>
      <c r="AV160" s="1776"/>
      <c r="AW160" s="1776"/>
      <c r="AX160" s="1776"/>
      <c r="AY160" s="1776"/>
      <c r="AZ160" s="1776">
        <v>1</v>
      </c>
    </row>
    <row r="161" spans="1:52">
      <c r="A161" s="1479" t="s">
        <v>2479</v>
      </c>
      <c r="B161" s="1479" t="s">
        <v>2480</v>
      </c>
      <c r="C161" s="1741" t="s">
        <v>2108</v>
      </c>
      <c r="D161" s="1741">
        <v>1040</v>
      </c>
      <c r="E161" s="1741">
        <v>6340</v>
      </c>
      <c r="F161" s="1741" t="s">
        <v>2216</v>
      </c>
      <c r="G161" s="1741" t="s">
        <v>2214</v>
      </c>
      <c r="H161" s="1741" t="s">
        <v>586</v>
      </c>
      <c r="I161" s="1753" t="s">
        <v>2120</v>
      </c>
      <c r="J161" s="1754"/>
      <c r="K161" s="1754" t="s">
        <v>1666</v>
      </c>
      <c r="L161" s="1754" t="s">
        <v>1666</v>
      </c>
      <c r="M161" s="1754"/>
      <c r="N161" s="1756">
        <v>-1049.3499999999999</v>
      </c>
      <c r="O161" s="1757">
        <v>0</v>
      </c>
      <c r="P161" s="1758">
        <v>0</v>
      </c>
      <c r="Q161" s="1759">
        <v>0</v>
      </c>
      <c r="R161" s="1760">
        <v>0</v>
      </c>
      <c r="S161" s="1760">
        <v>0</v>
      </c>
      <c r="T161" s="1760">
        <v>0</v>
      </c>
      <c r="U161" s="1761">
        <v>0</v>
      </c>
      <c r="V161" s="1762">
        <v>0</v>
      </c>
      <c r="W161" s="1757">
        <v>0</v>
      </c>
      <c r="Z161" s="1773">
        <f t="shared" si="51"/>
        <v>0</v>
      </c>
      <c r="AA161" s="1773">
        <f t="shared" si="53"/>
        <v>0</v>
      </c>
      <c r="AB161" s="1773">
        <f t="shared" si="54"/>
        <v>0</v>
      </c>
      <c r="AC161" s="1773">
        <f t="shared" si="55"/>
        <v>0</v>
      </c>
      <c r="AD161" s="1773">
        <f t="shared" si="56"/>
        <v>0</v>
      </c>
      <c r="AE161" s="1773">
        <f t="shared" si="57"/>
        <v>0</v>
      </c>
      <c r="AF161" s="1773">
        <f t="shared" si="58"/>
        <v>0</v>
      </c>
      <c r="AG161" s="1773">
        <f t="shared" si="59"/>
        <v>0</v>
      </c>
      <c r="AH161" s="1773">
        <f t="shared" si="60"/>
        <v>0</v>
      </c>
      <c r="AI161" s="1773">
        <f t="shared" si="61"/>
        <v>0</v>
      </c>
      <c r="AJ161" s="1773">
        <f t="shared" si="62"/>
        <v>0</v>
      </c>
      <c r="AK161" s="1773">
        <f t="shared" si="63"/>
        <v>0</v>
      </c>
      <c r="AL161" s="1773">
        <f t="shared" si="52"/>
        <v>0</v>
      </c>
      <c r="AN161" s="1776"/>
      <c r="AO161" s="1776"/>
      <c r="AP161" s="1776"/>
      <c r="AQ161" s="1776"/>
      <c r="AR161" s="1776"/>
      <c r="AS161" s="1776"/>
      <c r="AT161" s="1776"/>
      <c r="AU161" s="1776"/>
      <c r="AV161" s="1776"/>
      <c r="AW161" s="1776"/>
      <c r="AX161" s="1776"/>
      <c r="AY161" s="1776"/>
      <c r="AZ161" s="1776">
        <v>1</v>
      </c>
    </row>
    <row r="162" spans="1:52">
      <c r="A162" s="1479" t="s">
        <v>2481</v>
      </c>
      <c r="B162" s="1479" t="s">
        <v>2482</v>
      </c>
      <c r="C162" s="1741" t="s">
        <v>2108</v>
      </c>
      <c r="D162" s="1741">
        <v>1040</v>
      </c>
      <c r="E162" s="1741">
        <v>6420</v>
      </c>
      <c r="F162" s="1741" t="s">
        <v>2216</v>
      </c>
      <c r="G162" s="1741" t="s">
        <v>2214</v>
      </c>
      <c r="H162" s="1741" t="s">
        <v>586</v>
      </c>
      <c r="I162" s="1753" t="s">
        <v>2120</v>
      </c>
      <c r="J162" s="1754"/>
      <c r="K162" s="1754" t="s">
        <v>1666</v>
      </c>
      <c r="L162" s="1754" t="s">
        <v>1666</v>
      </c>
      <c r="M162" s="1754"/>
      <c r="N162" s="1756">
        <v>-867940</v>
      </c>
      <c r="O162" s="1757">
        <v>-10376556.199999999</v>
      </c>
      <c r="P162" s="1758">
        <v>-125738.84</v>
      </c>
      <c r="Q162" s="1759">
        <v>-2700</v>
      </c>
      <c r="R162" s="1760">
        <v>-2700</v>
      </c>
      <c r="S162" s="1760">
        <v>-1618</v>
      </c>
      <c r="T162" s="1760">
        <v>-1618</v>
      </c>
      <c r="U162" s="1761">
        <v>-2500</v>
      </c>
      <c r="V162" s="1762">
        <v>-2800</v>
      </c>
      <c r="W162" s="1757">
        <v>-2900</v>
      </c>
      <c r="Z162" s="1773">
        <f t="shared" ref="Z162:Z187" si="64">$AL162*AN162</f>
        <v>0</v>
      </c>
      <c r="AA162" s="1773">
        <f t="shared" si="53"/>
        <v>0</v>
      </c>
      <c r="AB162" s="1773">
        <f t="shared" si="54"/>
        <v>0</v>
      </c>
      <c r="AC162" s="1773">
        <f t="shared" si="55"/>
        <v>0</v>
      </c>
      <c r="AD162" s="1773">
        <f t="shared" si="56"/>
        <v>0</v>
      </c>
      <c r="AE162" s="1773">
        <f t="shared" si="57"/>
        <v>0</v>
      </c>
      <c r="AF162" s="1773">
        <f t="shared" si="58"/>
        <v>0</v>
      </c>
      <c r="AG162" s="1773">
        <f t="shared" si="59"/>
        <v>0</v>
      </c>
      <c r="AH162" s="1773">
        <f t="shared" si="60"/>
        <v>0</v>
      </c>
      <c r="AI162" s="1773">
        <f t="shared" si="61"/>
        <v>0</v>
      </c>
      <c r="AJ162" s="1773">
        <f t="shared" si="62"/>
        <v>0</v>
      </c>
      <c r="AK162" s="1773">
        <f t="shared" si="63"/>
        <v>0</v>
      </c>
      <c r="AL162" s="1773">
        <f t="shared" si="52"/>
        <v>-2500</v>
      </c>
      <c r="AN162" s="1776"/>
      <c r="AO162" s="1776"/>
      <c r="AP162" s="1776"/>
      <c r="AQ162" s="1776"/>
      <c r="AR162" s="1776"/>
      <c r="AS162" s="1776"/>
      <c r="AT162" s="1776"/>
      <c r="AU162" s="1776"/>
      <c r="AV162" s="1776"/>
      <c r="AW162" s="1776"/>
      <c r="AX162" s="1776"/>
      <c r="AY162" s="1776"/>
      <c r="AZ162" s="1776">
        <v>1</v>
      </c>
    </row>
    <row r="163" spans="1:52">
      <c r="A163" t="s">
        <v>2483</v>
      </c>
      <c r="B163" t="s">
        <v>2484</v>
      </c>
      <c r="C163" s="1741" t="s">
        <v>2108</v>
      </c>
      <c r="D163" s="1741">
        <v>1040</v>
      </c>
      <c r="E163" s="1741">
        <v>6500</v>
      </c>
      <c r="F163" s="1741" t="s">
        <v>2216</v>
      </c>
      <c r="G163" s="1741" t="s">
        <v>2214</v>
      </c>
      <c r="H163" s="1741" t="s">
        <v>586</v>
      </c>
      <c r="I163" s="1753" t="s">
        <v>2120</v>
      </c>
      <c r="J163" s="1754"/>
      <c r="K163" s="1754" t="s">
        <v>1666</v>
      </c>
      <c r="L163" s="1754" t="s">
        <v>1666</v>
      </c>
      <c r="M163" s="1754"/>
      <c r="N163" s="1756"/>
      <c r="O163" s="1757"/>
      <c r="P163" s="1758"/>
      <c r="Q163" s="1759">
        <v>-5300</v>
      </c>
      <c r="R163" s="1760">
        <v>-5300</v>
      </c>
      <c r="S163" s="1760">
        <v>-1780</v>
      </c>
      <c r="T163" s="1760">
        <v>-1780</v>
      </c>
      <c r="U163" s="1761">
        <v>-5300</v>
      </c>
      <c r="V163" s="1762">
        <v>-5300</v>
      </c>
      <c r="W163" s="1757">
        <v>-5350</v>
      </c>
      <c r="Z163" s="1773">
        <f t="shared" si="64"/>
        <v>0</v>
      </c>
      <c r="AA163" s="1773">
        <f t="shared" ref="AA163:AA187" si="65">$AL163*AO163</f>
        <v>0</v>
      </c>
      <c r="AB163" s="1773">
        <f t="shared" ref="AB163:AB187" si="66">$AL163*AP163</f>
        <v>0</v>
      </c>
      <c r="AC163" s="1773">
        <f t="shared" ref="AC163:AC187" si="67">$AL163*AQ163</f>
        <v>0</v>
      </c>
      <c r="AD163" s="1773">
        <f t="shared" ref="AD163:AD187" si="68">$AL163*AR163</f>
        <v>0</v>
      </c>
      <c r="AE163" s="1773">
        <f t="shared" ref="AE163:AE187" si="69">$AL163*AS163</f>
        <v>0</v>
      </c>
      <c r="AF163" s="1773">
        <f t="shared" ref="AF163:AF187" si="70">$AL163*AT163</f>
        <v>0</v>
      </c>
      <c r="AG163" s="1773">
        <f t="shared" ref="AG163:AG187" si="71">$AL163*AU163</f>
        <v>0</v>
      </c>
      <c r="AH163" s="1773">
        <f t="shared" ref="AH163:AH187" si="72">$AL163*AV163</f>
        <v>0</v>
      </c>
      <c r="AI163" s="1773">
        <f t="shared" ref="AI163:AI187" si="73">$AL163*AW163</f>
        <v>0</v>
      </c>
      <c r="AJ163" s="1773">
        <f t="shared" ref="AJ163:AJ187" si="74">$AL163*AX163</f>
        <v>0</v>
      </c>
      <c r="AK163" s="1773">
        <f t="shared" ref="AK163:AK187" si="75">$AL163*AY163</f>
        <v>0</v>
      </c>
      <c r="AL163" s="1773">
        <f t="shared" si="52"/>
        <v>-5300</v>
      </c>
      <c r="AN163" s="1776"/>
      <c r="AO163" s="1776"/>
      <c r="AP163" s="1776"/>
      <c r="AQ163" s="1776"/>
      <c r="AR163" s="1776"/>
      <c r="AS163" s="1776"/>
      <c r="AT163" s="1776"/>
      <c r="AU163" s="1776"/>
      <c r="AV163" s="1776"/>
      <c r="AW163" s="1776"/>
      <c r="AX163" s="1776"/>
      <c r="AY163" s="1776"/>
      <c r="AZ163" s="1776">
        <v>1</v>
      </c>
    </row>
    <row r="164" spans="1:52" ht="13.5">
      <c r="A164" s="1479" t="s">
        <v>2485</v>
      </c>
      <c r="B164" s="1479" t="s">
        <v>2486</v>
      </c>
      <c r="C164" s="1741" t="s">
        <v>2108</v>
      </c>
      <c r="D164" s="1741">
        <v>1040</v>
      </c>
      <c r="E164" s="1741">
        <v>6591</v>
      </c>
      <c r="F164" s="1741" t="s">
        <v>2216</v>
      </c>
      <c r="G164" s="1741" t="s">
        <v>2214</v>
      </c>
      <c r="H164" s="1741" t="s">
        <v>586</v>
      </c>
      <c r="I164" s="1753" t="s">
        <v>2121</v>
      </c>
      <c r="J164" s="1754" t="s">
        <v>3016</v>
      </c>
      <c r="K164" s="236" t="s">
        <v>35</v>
      </c>
      <c r="L164" s="1754" t="s">
        <v>2128</v>
      </c>
      <c r="M164" s="1754"/>
      <c r="N164" s="1756">
        <v>0</v>
      </c>
      <c r="O164" s="1757">
        <v>-49433.3</v>
      </c>
      <c r="P164" s="1758">
        <v>-51290.94</v>
      </c>
      <c r="Q164" s="1759">
        <v>-20000</v>
      </c>
      <c r="R164" s="1760">
        <v>-20000</v>
      </c>
      <c r="S164" s="1760">
        <v>-27033</v>
      </c>
      <c r="T164" s="1760">
        <v>-27033</v>
      </c>
      <c r="U164" s="1761">
        <v>-35000</v>
      </c>
      <c r="V164" s="1762">
        <v>-45000</v>
      </c>
      <c r="W164" s="1757">
        <v>-50000</v>
      </c>
      <c r="Z164" s="1773">
        <f t="shared" si="64"/>
        <v>0</v>
      </c>
      <c r="AA164" s="1773">
        <f t="shared" si="65"/>
        <v>0</v>
      </c>
      <c r="AB164" s="1773">
        <f t="shared" si="66"/>
        <v>0</v>
      </c>
      <c r="AC164" s="1773">
        <f t="shared" si="67"/>
        <v>0</v>
      </c>
      <c r="AD164" s="1773">
        <f t="shared" si="68"/>
        <v>0</v>
      </c>
      <c r="AE164" s="1773">
        <f t="shared" si="69"/>
        <v>0</v>
      </c>
      <c r="AF164" s="1773">
        <f t="shared" si="70"/>
        <v>0</v>
      </c>
      <c r="AG164" s="1773">
        <f t="shared" si="71"/>
        <v>0</v>
      </c>
      <c r="AH164" s="1773">
        <f t="shared" si="72"/>
        <v>0</v>
      </c>
      <c r="AI164" s="1773">
        <f t="shared" si="73"/>
        <v>0</v>
      </c>
      <c r="AJ164" s="1773">
        <f t="shared" si="74"/>
        <v>0</v>
      </c>
      <c r="AK164" s="1773">
        <f t="shared" si="75"/>
        <v>0</v>
      </c>
      <c r="AL164" s="1773">
        <f t="shared" si="52"/>
        <v>-35000</v>
      </c>
      <c r="AN164" s="1776"/>
      <c r="AO164" s="1776"/>
      <c r="AP164" s="1776"/>
      <c r="AQ164" s="1776"/>
      <c r="AR164" s="1776"/>
      <c r="AS164" s="1776"/>
      <c r="AT164" s="1776"/>
      <c r="AU164" s="1776"/>
      <c r="AV164" s="1776"/>
      <c r="AW164" s="1776"/>
      <c r="AX164" s="1776"/>
      <c r="AY164" s="1776"/>
      <c r="AZ164" s="1776">
        <v>1</v>
      </c>
    </row>
    <row r="165" spans="1:52">
      <c r="A165" s="1479" t="s">
        <v>2487</v>
      </c>
      <c r="B165" s="1479" t="s">
        <v>2253</v>
      </c>
      <c r="C165" s="1741" t="s">
        <v>2108</v>
      </c>
      <c r="D165" s="1741">
        <v>1050</v>
      </c>
      <c r="E165" s="1741">
        <v>3510</v>
      </c>
      <c r="F165" s="1741" t="s">
        <v>2221</v>
      </c>
      <c r="G165" s="1741" t="s">
        <v>2220</v>
      </c>
      <c r="H165" s="1741" t="s">
        <v>1658</v>
      </c>
      <c r="I165" s="1753" t="s">
        <v>464</v>
      </c>
      <c r="J165" s="1754"/>
      <c r="K165" s="1753" t="s">
        <v>2114</v>
      </c>
      <c r="L165" s="1754" t="s">
        <v>3029</v>
      </c>
      <c r="M165" s="1754"/>
      <c r="N165" s="1756">
        <v>0</v>
      </c>
      <c r="O165" s="1757">
        <v>1069.0999999999999</v>
      </c>
      <c r="P165" s="1758">
        <v>0</v>
      </c>
      <c r="Q165" s="1759">
        <v>120000</v>
      </c>
      <c r="R165" s="1760">
        <v>30000</v>
      </c>
      <c r="S165" s="1760">
        <v>13586</v>
      </c>
      <c r="T165" s="1760">
        <v>13586</v>
      </c>
      <c r="U165" s="1761">
        <v>120000</v>
      </c>
      <c r="V165" s="1762">
        <v>120000</v>
      </c>
      <c r="W165" s="1757">
        <v>120000</v>
      </c>
      <c r="Z165" s="1773">
        <f t="shared" si="64"/>
        <v>0</v>
      </c>
      <c r="AA165" s="1773">
        <f t="shared" si="65"/>
        <v>0</v>
      </c>
      <c r="AB165" s="1773">
        <f t="shared" si="66"/>
        <v>0</v>
      </c>
      <c r="AC165" s="1773">
        <f t="shared" si="67"/>
        <v>0</v>
      </c>
      <c r="AD165" s="1773">
        <f t="shared" si="68"/>
        <v>0</v>
      </c>
      <c r="AE165" s="1773">
        <f t="shared" si="69"/>
        <v>0</v>
      </c>
      <c r="AF165" s="1773">
        <f t="shared" si="70"/>
        <v>0</v>
      </c>
      <c r="AG165" s="1773">
        <f t="shared" si="71"/>
        <v>0</v>
      </c>
      <c r="AH165" s="1773">
        <f t="shared" si="72"/>
        <v>0</v>
      </c>
      <c r="AI165" s="1773">
        <f t="shared" si="73"/>
        <v>0</v>
      </c>
      <c r="AJ165" s="1773">
        <f t="shared" si="74"/>
        <v>0</v>
      </c>
      <c r="AK165" s="1773">
        <f t="shared" si="75"/>
        <v>0</v>
      </c>
      <c r="AL165" s="1773">
        <f t="shared" si="52"/>
        <v>120000</v>
      </c>
      <c r="AN165" s="1776"/>
      <c r="AO165" s="1776"/>
      <c r="AP165" s="1776"/>
      <c r="AQ165" s="1776"/>
      <c r="AR165" s="1776"/>
      <c r="AS165" s="1776"/>
      <c r="AT165" s="1776"/>
      <c r="AU165" s="1776"/>
      <c r="AV165" s="1776"/>
      <c r="AW165" s="1776"/>
      <c r="AX165" s="1776"/>
      <c r="AY165" s="1776"/>
      <c r="AZ165" s="1776">
        <v>1</v>
      </c>
    </row>
    <row r="166" spans="1:52" ht="13.5">
      <c r="A166" s="1479" t="s">
        <v>2488</v>
      </c>
      <c r="B166" s="1479" t="s">
        <v>2489</v>
      </c>
      <c r="C166" s="1741" t="s">
        <v>2108</v>
      </c>
      <c r="D166" s="1741">
        <v>1050</v>
      </c>
      <c r="E166" s="1741">
        <v>5320</v>
      </c>
      <c r="F166" s="1741" t="s">
        <v>2221</v>
      </c>
      <c r="G166" s="1741" t="s">
        <v>2220</v>
      </c>
      <c r="H166" s="1741" t="s">
        <v>586</v>
      </c>
      <c r="I166" s="1753" t="s">
        <v>2120</v>
      </c>
      <c r="J166" s="1754"/>
      <c r="K166" s="1754" t="s">
        <v>1666</v>
      </c>
      <c r="L166" s="1754" t="s">
        <v>1666</v>
      </c>
      <c r="M166" s="1755"/>
      <c r="N166" s="1756">
        <v>-13720</v>
      </c>
      <c r="O166" s="1757">
        <v>-3795</v>
      </c>
      <c r="P166" s="1758">
        <v>-2840</v>
      </c>
      <c r="Q166" s="1759">
        <v>-8300</v>
      </c>
      <c r="R166" s="1760">
        <v>-12000</v>
      </c>
      <c r="S166" s="1760">
        <v>-9734</v>
      </c>
      <c r="T166" s="1760">
        <v>-9734</v>
      </c>
      <c r="U166" s="1761">
        <v>-10000</v>
      </c>
      <c r="V166" s="1762">
        <v>-12000</v>
      </c>
      <c r="W166" s="1757">
        <v>-15000</v>
      </c>
      <c r="Z166" s="1773">
        <f t="shared" si="64"/>
        <v>0</v>
      </c>
      <c r="AA166" s="1773">
        <f t="shared" si="65"/>
        <v>0</v>
      </c>
      <c r="AB166" s="1773">
        <f t="shared" si="66"/>
        <v>0</v>
      </c>
      <c r="AC166" s="1773">
        <f t="shared" si="67"/>
        <v>0</v>
      </c>
      <c r="AD166" s="1773">
        <f t="shared" si="68"/>
        <v>0</v>
      </c>
      <c r="AE166" s="1773">
        <f t="shared" si="69"/>
        <v>0</v>
      </c>
      <c r="AF166" s="1773">
        <f t="shared" si="70"/>
        <v>0</v>
      </c>
      <c r="AG166" s="1773">
        <f t="shared" si="71"/>
        <v>0</v>
      </c>
      <c r="AH166" s="1773">
        <f t="shared" si="72"/>
        <v>0</v>
      </c>
      <c r="AI166" s="1773">
        <f t="shared" si="73"/>
        <v>0</v>
      </c>
      <c r="AJ166" s="1773">
        <f t="shared" si="74"/>
        <v>0</v>
      </c>
      <c r="AK166" s="1773">
        <f t="shared" si="75"/>
        <v>0</v>
      </c>
      <c r="AL166" s="1773">
        <f t="shared" si="52"/>
        <v>-10000</v>
      </c>
      <c r="AN166" s="1776"/>
      <c r="AO166" s="1776"/>
      <c r="AP166" s="1776"/>
      <c r="AQ166" s="1776"/>
      <c r="AR166" s="1776"/>
      <c r="AS166" s="1776"/>
      <c r="AT166" s="1776"/>
      <c r="AU166" s="1776"/>
      <c r="AV166" s="1776"/>
      <c r="AW166" s="1776"/>
      <c r="AX166" s="1776"/>
      <c r="AY166" s="1776"/>
      <c r="AZ166" s="1776">
        <v>1</v>
      </c>
    </row>
    <row r="167" spans="1:52" ht="13.5">
      <c r="A167" s="1479" t="s">
        <v>2490</v>
      </c>
      <c r="B167" s="1479" t="s">
        <v>2231</v>
      </c>
      <c r="C167" s="1741" t="s">
        <v>2108</v>
      </c>
      <c r="D167" s="1741">
        <v>1060</v>
      </c>
      <c r="E167" s="1741">
        <v>10</v>
      </c>
      <c r="F167" s="1741" t="s">
        <v>2211</v>
      </c>
      <c r="G167" s="1741" t="s">
        <v>2209</v>
      </c>
      <c r="H167" s="1741" t="s">
        <v>1658</v>
      </c>
      <c r="I167" s="1753" t="s">
        <v>3003</v>
      </c>
      <c r="J167" s="1754" t="s">
        <v>2109</v>
      </c>
      <c r="K167" s="1753" t="s">
        <v>497</v>
      </c>
      <c r="L167" s="1754" t="s">
        <v>1158</v>
      </c>
      <c r="M167" s="1755"/>
      <c r="N167" s="1756">
        <v>156369.78</v>
      </c>
      <c r="O167" s="1757">
        <v>169549.68</v>
      </c>
      <c r="P167" s="1758">
        <v>192985.9</v>
      </c>
      <c r="Q167" s="1759">
        <v>393990</v>
      </c>
      <c r="R167" s="1760">
        <v>393990</v>
      </c>
      <c r="S167" s="1760">
        <v>223388</v>
      </c>
      <c r="T167" s="1760">
        <v>223388</v>
      </c>
      <c r="U167" s="1761">
        <v>433790.38079999993</v>
      </c>
      <c r="V167" s="1762">
        <f>U167*108%</f>
        <v>468493.61126399995</v>
      </c>
      <c r="W167" s="1757">
        <f>V167*108%</f>
        <v>505973.10016511998</v>
      </c>
      <c r="Z167" s="1773">
        <f t="shared" si="64"/>
        <v>0</v>
      </c>
      <c r="AA167" s="1773">
        <f t="shared" si="65"/>
        <v>0</v>
      </c>
      <c r="AB167" s="1773">
        <f t="shared" si="66"/>
        <v>0</v>
      </c>
      <c r="AC167" s="1773">
        <f t="shared" si="67"/>
        <v>0</v>
      </c>
      <c r="AD167" s="1773">
        <f t="shared" si="68"/>
        <v>0</v>
      </c>
      <c r="AE167" s="1773">
        <f t="shared" si="69"/>
        <v>0</v>
      </c>
      <c r="AF167" s="1773">
        <f t="shared" si="70"/>
        <v>0</v>
      </c>
      <c r="AG167" s="1773">
        <f t="shared" si="71"/>
        <v>0</v>
      </c>
      <c r="AH167" s="1773">
        <f t="shared" si="72"/>
        <v>0</v>
      </c>
      <c r="AI167" s="1773">
        <f t="shared" si="73"/>
        <v>0</v>
      </c>
      <c r="AJ167" s="1773">
        <f t="shared" si="74"/>
        <v>0</v>
      </c>
      <c r="AK167" s="1773">
        <f t="shared" si="75"/>
        <v>0</v>
      </c>
      <c r="AL167" s="1773">
        <f t="shared" si="52"/>
        <v>433790.38079999993</v>
      </c>
      <c r="AN167" s="1776"/>
      <c r="AO167" s="1776"/>
      <c r="AP167" s="1776"/>
      <c r="AQ167" s="1776"/>
      <c r="AR167" s="1776"/>
      <c r="AS167" s="1776"/>
      <c r="AT167" s="1776"/>
      <c r="AU167" s="1776"/>
      <c r="AV167" s="1776"/>
      <c r="AW167" s="1776"/>
      <c r="AX167" s="1776"/>
      <c r="AY167" s="1776"/>
      <c r="AZ167" s="1776">
        <v>1</v>
      </c>
    </row>
    <row r="168" spans="1:52" ht="13.5">
      <c r="A168" s="1479" t="s">
        <v>2491</v>
      </c>
      <c r="B168" s="1479" t="s">
        <v>2262</v>
      </c>
      <c r="C168" s="1741" t="s">
        <v>2108</v>
      </c>
      <c r="D168" s="1741">
        <v>1060</v>
      </c>
      <c r="E168" s="1741">
        <v>20</v>
      </c>
      <c r="F168" s="1741" t="s">
        <v>2211</v>
      </c>
      <c r="G168" s="1741" t="s">
        <v>2209</v>
      </c>
      <c r="H168" s="1741" t="s">
        <v>1658</v>
      </c>
      <c r="I168" s="1753" t="s">
        <v>3003</v>
      </c>
      <c r="J168" s="1754" t="s">
        <v>2109</v>
      </c>
      <c r="K168" s="1753" t="s">
        <v>497</v>
      </c>
      <c r="L168" s="1754" t="s">
        <v>1158</v>
      </c>
      <c r="M168" s="1755"/>
      <c r="N168" s="1756">
        <v>0</v>
      </c>
      <c r="O168" s="1757">
        <v>29734.3</v>
      </c>
      <c r="P168" s="1758">
        <v>0</v>
      </c>
      <c r="Q168" s="1759">
        <v>0</v>
      </c>
      <c r="R168" s="1760">
        <v>0</v>
      </c>
      <c r="S168" s="1760">
        <v>0</v>
      </c>
      <c r="T168" s="1760">
        <v>0</v>
      </c>
      <c r="U168" s="1761">
        <v>0</v>
      </c>
      <c r="V168" s="1762">
        <v>0</v>
      </c>
      <c r="W168" s="1757">
        <v>0</v>
      </c>
      <c r="Z168" s="1773">
        <f t="shared" si="64"/>
        <v>0</v>
      </c>
      <c r="AA168" s="1773">
        <f t="shared" si="65"/>
        <v>0</v>
      </c>
      <c r="AB168" s="1773">
        <f t="shared" si="66"/>
        <v>0</v>
      </c>
      <c r="AC168" s="1773">
        <f t="shared" si="67"/>
        <v>0</v>
      </c>
      <c r="AD168" s="1773">
        <f t="shared" si="68"/>
        <v>0</v>
      </c>
      <c r="AE168" s="1773">
        <f t="shared" si="69"/>
        <v>0</v>
      </c>
      <c r="AF168" s="1773">
        <f t="shared" si="70"/>
        <v>0</v>
      </c>
      <c r="AG168" s="1773">
        <f t="shared" si="71"/>
        <v>0</v>
      </c>
      <c r="AH168" s="1773">
        <f t="shared" si="72"/>
        <v>0</v>
      </c>
      <c r="AI168" s="1773">
        <f t="shared" si="73"/>
        <v>0</v>
      </c>
      <c r="AJ168" s="1773">
        <f t="shared" si="74"/>
        <v>0</v>
      </c>
      <c r="AK168" s="1773">
        <f t="shared" si="75"/>
        <v>0</v>
      </c>
      <c r="AL168" s="1773">
        <f t="shared" si="52"/>
        <v>0</v>
      </c>
      <c r="AN168" s="1776"/>
      <c r="AO168" s="1776"/>
      <c r="AP168" s="1776"/>
      <c r="AQ168" s="1776"/>
      <c r="AR168" s="1776"/>
      <c r="AS168" s="1776"/>
      <c r="AT168" s="1776"/>
      <c r="AU168" s="1776"/>
      <c r="AV168" s="1776"/>
      <c r="AW168" s="1776"/>
      <c r="AX168" s="1776"/>
      <c r="AY168" s="1776"/>
      <c r="AZ168" s="1776">
        <v>1</v>
      </c>
    </row>
    <row r="169" spans="1:52" ht="13.5">
      <c r="A169" s="1479" t="s">
        <v>2492</v>
      </c>
      <c r="B169" s="1479" t="s">
        <v>2233</v>
      </c>
      <c r="C169" s="1741" t="s">
        <v>2108</v>
      </c>
      <c r="D169" s="1741">
        <v>1060</v>
      </c>
      <c r="E169" s="1741">
        <v>30</v>
      </c>
      <c r="F169" s="1741" t="s">
        <v>2211</v>
      </c>
      <c r="G169" s="1741" t="s">
        <v>2209</v>
      </c>
      <c r="H169" s="1741" t="s">
        <v>1658</v>
      </c>
      <c r="I169" s="1753" t="s">
        <v>3003</v>
      </c>
      <c r="J169" s="1754" t="s">
        <v>3004</v>
      </c>
      <c r="K169" s="1753" t="s">
        <v>497</v>
      </c>
      <c r="L169" s="1754" t="s">
        <v>1159</v>
      </c>
      <c r="M169" s="1755"/>
      <c r="N169" s="1756">
        <v>124.8</v>
      </c>
      <c r="O169" s="1757">
        <v>134.63999999999999</v>
      </c>
      <c r="P169" s="1758">
        <v>146.16</v>
      </c>
      <c r="Q169" s="1759">
        <v>410</v>
      </c>
      <c r="R169" s="1760">
        <v>410</v>
      </c>
      <c r="S169" s="1760">
        <v>186</v>
      </c>
      <c r="T169" s="1760">
        <v>186</v>
      </c>
      <c r="U169" s="1761">
        <v>451.14199603199995</v>
      </c>
      <c r="V169" s="1762">
        <v>470</v>
      </c>
      <c r="W169" s="1757">
        <v>500</v>
      </c>
      <c r="Z169" s="1773">
        <f t="shared" si="64"/>
        <v>0</v>
      </c>
      <c r="AA169" s="1773">
        <f t="shared" si="65"/>
        <v>0</v>
      </c>
      <c r="AB169" s="1773">
        <f t="shared" si="66"/>
        <v>0</v>
      </c>
      <c r="AC169" s="1773">
        <f t="shared" si="67"/>
        <v>0</v>
      </c>
      <c r="AD169" s="1773">
        <f t="shared" si="68"/>
        <v>0</v>
      </c>
      <c r="AE169" s="1773">
        <f t="shared" si="69"/>
        <v>0</v>
      </c>
      <c r="AF169" s="1773">
        <f t="shared" si="70"/>
        <v>0</v>
      </c>
      <c r="AG169" s="1773">
        <f t="shared" si="71"/>
        <v>0</v>
      </c>
      <c r="AH169" s="1773">
        <f t="shared" si="72"/>
        <v>0</v>
      </c>
      <c r="AI169" s="1773">
        <f t="shared" si="73"/>
        <v>0</v>
      </c>
      <c r="AJ169" s="1773">
        <f t="shared" si="74"/>
        <v>0</v>
      </c>
      <c r="AK169" s="1773">
        <f t="shared" si="75"/>
        <v>0</v>
      </c>
      <c r="AL169" s="1773">
        <f t="shared" si="52"/>
        <v>451.14199603199995</v>
      </c>
      <c r="AN169" s="1776"/>
      <c r="AO169" s="1776"/>
      <c r="AP169" s="1776"/>
      <c r="AQ169" s="1776"/>
      <c r="AR169" s="1776"/>
      <c r="AS169" s="1776"/>
      <c r="AT169" s="1776"/>
      <c r="AU169" s="1776"/>
      <c r="AV169" s="1776"/>
      <c r="AW169" s="1776"/>
      <c r="AX169" s="1776"/>
      <c r="AY169" s="1776"/>
      <c r="AZ169" s="1776">
        <v>1</v>
      </c>
    </row>
    <row r="170" spans="1:52" ht="13.5">
      <c r="A170" s="1479" t="s">
        <v>2493</v>
      </c>
      <c r="B170" s="1479" t="s">
        <v>2265</v>
      </c>
      <c r="C170" s="1741" t="s">
        <v>2108</v>
      </c>
      <c r="D170" s="1741">
        <v>1060</v>
      </c>
      <c r="E170" s="1741">
        <v>40</v>
      </c>
      <c r="F170" s="1741" t="s">
        <v>2211</v>
      </c>
      <c r="G170" s="1741" t="s">
        <v>2209</v>
      </c>
      <c r="H170" s="1741" t="s">
        <v>1658</v>
      </c>
      <c r="I170" s="1753" t="s">
        <v>3003</v>
      </c>
      <c r="J170" s="1754" t="s">
        <v>2110</v>
      </c>
      <c r="K170" s="1753" t="s">
        <v>497</v>
      </c>
      <c r="L170" s="1754" t="s">
        <v>1159</v>
      </c>
      <c r="M170" s="1755"/>
      <c r="N170" s="1756">
        <v>1882.8</v>
      </c>
      <c r="O170" s="1757">
        <v>2038.2</v>
      </c>
      <c r="P170" s="1758">
        <v>2615.4</v>
      </c>
      <c r="Q170" s="1759">
        <v>3000</v>
      </c>
      <c r="R170" s="1760">
        <v>3000</v>
      </c>
      <c r="S170" s="1760">
        <v>2252</v>
      </c>
      <c r="T170" s="1760">
        <v>2252</v>
      </c>
      <c r="U170" s="1761">
        <v>0</v>
      </c>
      <c r="V170" s="1762">
        <v>3000</v>
      </c>
      <c r="W170" s="1757">
        <v>3000</v>
      </c>
      <c r="Z170" s="1773">
        <f t="shared" si="64"/>
        <v>0</v>
      </c>
      <c r="AA170" s="1773">
        <f t="shared" si="65"/>
        <v>0</v>
      </c>
      <c r="AB170" s="1773">
        <f t="shared" si="66"/>
        <v>0</v>
      </c>
      <c r="AC170" s="1773">
        <f t="shared" si="67"/>
        <v>0</v>
      </c>
      <c r="AD170" s="1773">
        <f t="shared" si="68"/>
        <v>0</v>
      </c>
      <c r="AE170" s="1773">
        <f t="shared" si="69"/>
        <v>0</v>
      </c>
      <c r="AF170" s="1773">
        <f t="shared" si="70"/>
        <v>0</v>
      </c>
      <c r="AG170" s="1773">
        <f t="shared" si="71"/>
        <v>0</v>
      </c>
      <c r="AH170" s="1773">
        <f t="shared" si="72"/>
        <v>0</v>
      </c>
      <c r="AI170" s="1773">
        <f t="shared" si="73"/>
        <v>0</v>
      </c>
      <c r="AJ170" s="1773">
        <f t="shared" si="74"/>
        <v>0</v>
      </c>
      <c r="AK170" s="1773">
        <f t="shared" si="75"/>
        <v>0</v>
      </c>
      <c r="AL170" s="1773">
        <f t="shared" si="52"/>
        <v>0</v>
      </c>
      <c r="AN170" s="1776"/>
      <c r="AO170" s="1776"/>
      <c r="AP170" s="1776"/>
      <c r="AQ170" s="1776"/>
      <c r="AR170" s="1776"/>
      <c r="AS170" s="1776"/>
      <c r="AT170" s="1776"/>
      <c r="AU170" s="1776"/>
      <c r="AV170" s="1776"/>
      <c r="AW170" s="1776"/>
      <c r="AX170" s="1776"/>
      <c r="AY170" s="1776"/>
      <c r="AZ170" s="1776">
        <v>1</v>
      </c>
    </row>
    <row r="171" spans="1:52" ht="13.5">
      <c r="A171" s="1479" t="s">
        <v>2494</v>
      </c>
      <c r="B171" s="1479" t="s">
        <v>2235</v>
      </c>
      <c r="C171" s="1741" t="s">
        <v>2108</v>
      </c>
      <c r="D171" s="1741">
        <v>1060</v>
      </c>
      <c r="E171" s="1741">
        <v>50</v>
      </c>
      <c r="F171" s="1741" t="s">
        <v>2211</v>
      </c>
      <c r="G171" s="1741" t="s">
        <v>2209</v>
      </c>
      <c r="H171" s="1741" t="s">
        <v>1658</v>
      </c>
      <c r="I171" s="1753" t="s">
        <v>3003</v>
      </c>
      <c r="J171" s="1754" t="s">
        <v>2110</v>
      </c>
      <c r="K171" s="1753" t="s">
        <v>497</v>
      </c>
      <c r="L171" s="1754" t="s">
        <v>1159</v>
      </c>
      <c r="M171" s="1755"/>
      <c r="N171" s="1756">
        <v>32772.120000000003</v>
      </c>
      <c r="O171" s="1757">
        <v>35493.96</v>
      </c>
      <c r="P171" s="1758">
        <v>40694.07</v>
      </c>
      <c r="Q171" s="1759">
        <v>89635</v>
      </c>
      <c r="R171" s="1760">
        <v>89635</v>
      </c>
      <c r="S171" s="1760">
        <v>47941</v>
      </c>
      <c r="T171" s="1760">
        <v>47941</v>
      </c>
      <c r="U171" s="1761">
        <v>98687.311631999968</v>
      </c>
      <c r="V171" s="1762">
        <f>U171*108%</f>
        <v>106582.29656255998</v>
      </c>
      <c r="W171" s="1757">
        <f>V171*108%</f>
        <v>115108.88028756478</v>
      </c>
      <c r="Z171" s="1773">
        <f t="shared" si="64"/>
        <v>0</v>
      </c>
      <c r="AA171" s="1773">
        <f t="shared" si="65"/>
        <v>0</v>
      </c>
      <c r="AB171" s="1773">
        <f t="shared" si="66"/>
        <v>0</v>
      </c>
      <c r="AC171" s="1773">
        <f t="shared" si="67"/>
        <v>0</v>
      </c>
      <c r="AD171" s="1773">
        <f t="shared" si="68"/>
        <v>0</v>
      </c>
      <c r="AE171" s="1773">
        <f t="shared" si="69"/>
        <v>0</v>
      </c>
      <c r="AF171" s="1773">
        <f t="shared" si="70"/>
        <v>0</v>
      </c>
      <c r="AG171" s="1773">
        <f t="shared" si="71"/>
        <v>0</v>
      </c>
      <c r="AH171" s="1773">
        <f t="shared" si="72"/>
        <v>0</v>
      </c>
      <c r="AI171" s="1773">
        <f t="shared" si="73"/>
        <v>0</v>
      </c>
      <c r="AJ171" s="1773">
        <f t="shared" si="74"/>
        <v>0</v>
      </c>
      <c r="AK171" s="1773">
        <f t="shared" si="75"/>
        <v>0</v>
      </c>
      <c r="AL171" s="1773">
        <f t="shared" si="52"/>
        <v>98687.311631999968</v>
      </c>
      <c r="AN171" s="1776"/>
      <c r="AO171" s="1776"/>
      <c r="AP171" s="1776"/>
      <c r="AQ171" s="1776"/>
      <c r="AR171" s="1776"/>
      <c r="AS171" s="1776"/>
      <c r="AT171" s="1776"/>
      <c r="AU171" s="1776"/>
      <c r="AV171" s="1776"/>
      <c r="AW171" s="1776"/>
      <c r="AX171" s="1776"/>
      <c r="AY171" s="1776"/>
      <c r="AZ171" s="1776">
        <v>1</v>
      </c>
    </row>
    <row r="172" spans="1:52" ht="13.5">
      <c r="A172" s="1479" t="s">
        <v>2495</v>
      </c>
      <c r="B172" s="1479" t="s">
        <v>2237</v>
      </c>
      <c r="C172" s="1741" t="s">
        <v>2108</v>
      </c>
      <c r="D172" s="1741">
        <v>1060</v>
      </c>
      <c r="E172" s="1741">
        <v>60</v>
      </c>
      <c r="F172" s="1741" t="s">
        <v>2211</v>
      </c>
      <c r="G172" s="1741" t="s">
        <v>2209</v>
      </c>
      <c r="H172" s="1741" t="s">
        <v>1658</v>
      </c>
      <c r="I172" s="1753" t="s">
        <v>3003</v>
      </c>
      <c r="J172" s="1754" t="s">
        <v>2110</v>
      </c>
      <c r="K172" s="1753" t="s">
        <v>497</v>
      </c>
      <c r="L172" s="1754" t="s">
        <v>1159</v>
      </c>
      <c r="M172" s="1755"/>
      <c r="N172" s="1756">
        <v>1820.33</v>
      </c>
      <c r="O172" s="1757">
        <v>2014.9</v>
      </c>
      <c r="P172" s="1758">
        <v>2178.81</v>
      </c>
      <c r="Q172" s="1759">
        <v>4270</v>
      </c>
      <c r="R172" s="1760">
        <v>4270</v>
      </c>
      <c r="S172" s="1760">
        <v>2506</v>
      </c>
      <c r="T172" s="1760">
        <v>2506</v>
      </c>
      <c r="U172" s="1761">
        <v>4699.3957919999993</v>
      </c>
      <c r="V172" s="1762">
        <v>4570</v>
      </c>
      <c r="W172" s="1757">
        <v>4890</v>
      </c>
      <c r="Z172" s="1773">
        <f t="shared" si="64"/>
        <v>0</v>
      </c>
      <c r="AA172" s="1773">
        <f t="shared" si="65"/>
        <v>0</v>
      </c>
      <c r="AB172" s="1773">
        <f t="shared" si="66"/>
        <v>0</v>
      </c>
      <c r="AC172" s="1773">
        <f t="shared" si="67"/>
        <v>0</v>
      </c>
      <c r="AD172" s="1773">
        <f t="shared" si="68"/>
        <v>0</v>
      </c>
      <c r="AE172" s="1773">
        <f t="shared" si="69"/>
        <v>0</v>
      </c>
      <c r="AF172" s="1773">
        <f t="shared" si="70"/>
        <v>0</v>
      </c>
      <c r="AG172" s="1773">
        <f t="shared" si="71"/>
        <v>0</v>
      </c>
      <c r="AH172" s="1773">
        <f t="shared" si="72"/>
        <v>0</v>
      </c>
      <c r="AI172" s="1773">
        <f t="shared" si="73"/>
        <v>0</v>
      </c>
      <c r="AJ172" s="1773">
        <f t="shared" si="74"/>
        <v>0</v>
      </c>
      <c r="AK172" s="1773">
        <f t="shared" si="75"/>
        <v>0</v>
      </c>
      <c r="AL172" s="1773">
        <f t="shared" si="52"/>
        <v>4699.3957919999993</v>
      </c>
      <c r="AN172" s="1776"/>
      <c r="AO172" s="1776"/>
      <c r="AP172" s="1776"/>
      <c r="AQ172" s="1776"/>
      <c r="AR172" s="1776"/>
      <c r="AS172" s="1776"/>
      <c r="AT172" s="1776"/>
      <c r="AU172" s="1776"/>
      <c r="AV172" s="1776"/>
      <c r="AW172" s="1776"/>
      <c r="AX172" s="1776"/>
      <c r="AY172" s="1776"/>
      <c r="AZ172" s="1776">
        <v>1</v>
      </c>
    </row>
    <row r="173" spans="1:52" ht="13.5">
      <c r="A173" t="s">
        <v>2496</v>
      </c>
      <c r="B173" t="s">
        <v>2271</v>
      </c>
      <c r="C173" s="1741" t="s">
        <v>2108</v>
      </c>
      <c r="D173" s="1741">
        <v>1060</v>
      </c>
      <c r="E173" s="1741">
        <v>100</v>
      </c>
      <c r="F173" s="1741" t="s">
        <v>2211</v>
      </c>
      <c r="G173" s="1741" t="s">
        <v>2209</v>
      </c>
      <c r="H173" s="1741" t="s">
        <v>1658</v>
      </c>
      <c r="I173" s="1753" t="s">
        <v>3003</v>
      </c>
      <c r="J173" s="1754" t="s">
        <v>2145</v>
      </c>
      <c r="K173" s="1753" t="s">
        <v>497</v>
      </c>
      <c r="L173" s="1754" t="s">
        <v>1778</v>
      </c>
      <c r="M173" s="1755"/>
      <c r="N173" s="1756"/>
      <c r="O173" s="1757"/>
      <c r="P173" s="1758"/>
      <c r="Q173" s="1759">
        <v>7000</v>
      </c>
      <c r="R173" s="1760">
        <v>7000</v>
      </c>
      <c r="S173" s="1760">
        <v>5559</v>
      </c>
      <c r="T173" s="1760">
        <v>5559</v>
      </c>
      <c r="U173" s="1761">
        <v>7000</v>
      </c>
      <c r="V173" s="1762">
        <v>7000</v>
      </c>
      <c r="W173" s="1757">
        <v>7000</v>
      </c>
      <c r="Z173" s="1773">
        <f t="shared" si="64"/>
        <v>0</v>
      </c>
      <c r="AA173" s="1773">
        <f t="shared" si="65"/>
        <v>0</v>
      </c>
      <c r="AB173" s="1773">
        <f t="shared" si="66"/>
        <v>0</v>
      </c>
      <c r="AC173" s="1773">
        <f t="shared" si="67"/>
        <v>0</v>
      </c>
      <c r="AD173" s="1773">
        <f t="shared" si="68"/>
        <v>0</v>
      </c>
      <c r="AE173" s="1773">
        <f t="shared" si="69"/>
        <v>0</v>
      </c>
      <c r="AF173" s="1773">
        <f t="shared" si="70"/>
        <v>0</v>
      </c>
      <c r="AG173" s="1773">
        <f t="shared" si="71"/>
        <v>0</v>
      </c>
      <c r="AH173" s="1773">
        <f t="shared" si="72"/>
        <v>0</v>
      </c>
      <c r="AI173" s="1773">
        <f t="shared" si="73"/>
        <v>0</v>
      </c>
      <c r="AJ173" s="1773">
        <f t="shared" si="74"/>
        <v>0</v>
      </c>
      <c r="AK173" s="1773">
        <f t="shared" si="75"/>
        <v>0</v>
      </c>
      <c r="AL173" s="1773">
        <f t="shared" si="52"/>
        <v>7000</v>
      </c>
      <c r="AN173" s="1776"/>
      <c r="AO173" s="1776"/>
      <c r="AP173" s="1776"/>
      <c r="AQ173" s="1776"/>
      <c r="AR173" s="1776"/>
      <c r="AS173" s="1776"/>
      <c r="AT173" s="1776"/>
      <c r="AU173" s="1776"/>
      <c r="AV173" s="1776"/>
      <c r="AW173" s="1776"/>
      <c r="AX173" s="1776"/>
      <c r="AY173" s="1776"/>
      <c r="AZ173" s="1776">
        <v>1</v>
      </c>
    </row>
    <row r="174" spans="1:52" ht="13.5">
      <c r="A174" s="1479" t="s">
        <v>2497</v>
      </c>
      <c r="B174" s="1479" t="s">
        <v>2241</v>
      </c>
      <c r="C174" s="1741" t="s">
        <v>2108</v>
      </c>
      <c r="D174" s="1741">
        <v>1060</v>
      </c>
      <c r="E174" s="1741">
        <v>140</v>
      </c>
      <c r="F174" s="1741" t="s">
        <v>2211</v>
      </c>
      <c r="G174" s="1741" t="s">
        <v>2209</v>
      </c>
      <c r="H174" s="1741" t="s">
        <v>1658</v>
      </c>
      <c r="I174" s="1753" t="s">
        <v>3003</v>
      </c>
      <c r="J174" s="1754" t="s">
        <v>3005</v>
      </c>
      <c r="K174" s="1753" t="s">
        <v>497</v>
      </c>
      <c r="L174" s="1754" t="s">
        <v>1163</v>
      </c>
      <c r="M174" s="1755"/>
      <c r="N174" s="1756">
        <v>13142.5</v>
      </c>
      <c r="O174" s="1757">
        <v>14234</v>
      </c>
      <c r="P174" s="1758">
        <v>16084.42</v>
      </c>
      <c r="Q174" s="1759">
        <v>32835</v>
      </c>
      <c r="R174" s="1760">
        <v>32835</v>
      </c>
      <c r="S174" s="1760">
        <v>13609</v>
      </c>
      <c r="T174" s="1760">
        <v>13609</v>
      </c>
      <c r="U174" s="1761">
        <v>36149.198400000001</v>
      </c>
      <c r="V174" s="1762">
        <f>U174*108%</f>
        <v>39041.134272000003</v>
      </c>
      <c r="W174" s="1757">
        <f>V174*108%</f>
        <v>42164.425013760003</v>
      </c>
      <c r="Z174" s="1773">
        <f t="shared" si="64"/>
        <v>0</v>
      </c>
      <c r="AA174" s="1773">
        <f t="shared" si="65"/>
        <v>0</v>
      </c>
      <c r="AB174" s="1773">
        <f t="shared" si="66"/>
        <v>0</v>
      </c>
      <c r="AC174" s="1773">
        <f t="shared" si="67"/>
        <v>0</v>
      </c>
      <c r="AD174" s="1773">
        <f t="shared" si="68"/>
        <v>0</v>
      </c>
      <c r="AE174" s="1773">
        <f t="shared" si="69"/>
        <v>0</v>
      </c>
      <c r="AF174" s="1773">
        <f t="shared" si="70"/>
        <v>0</v>
      </c>
      <c r="AG174" s="1773">
        <f t="shared" si="71"/>
        <v>0</v>
      </c>
      <c r="AH174" s="1773">
        <f t="shared" si="72"/>
        <v>0</v>
      </c>
      <c r="AI174" s="1773">
        <f t="shared" si="73"/>
        <v>0</v>
      </c>
      <c r="AJ174" s="1773">
        <f t="shared" si="74"/>
        <v>0</v>
      </c>
      <c r="AK174" s="1773">
        <f t="shared" si="75"/>
        <v>0</v>
      </c>
      <c r="AL174" s="1773">
        <f t="shared" si="52"/>
        <v>36149.198400000001</v>
      </c>
      <c r="AN174" s="1776"/>
      <c r="AO174" s="1776"/>
      <c r="AP174" s="1776"/>
      <c r="AQ174" s="1776"/>
      <c r="AR174" s="1776"/>
      <c r="AS174" s="1776"/>
      <c r="AT174" s="1776"/>
      <c r="AU174" s="1776"/>
      <c r="AV174" s="1776"/>
      <c r="AW174" s="1776"/>
      <c r="AX174" s="1776"/>
      <c r="AY174" s="1776"/>
      <c r="AZ174" s="1776">
        <v>1</v>
      </c>
    </row>
    <row r="175" spans="1:52">
      <c r="A175" s="1479" t="s">
        <v>2498</v>
      </c>
      <c r="B175" s="1479" t="s">
        <v>2276</v>
      </c>
      <c r="C175" s="1741" t="s">
        <v>2108</v>
      </c>
      <c r="D175" s="1741">
        <v>1060</v>
      </c>
      <c r="E175" s="1741">
        <v>170</v>
      </c>
      <c r="F175" s="1741" t="s">
        <v>2211</v>
      </c>
      <c r="G175" s="1741" t="s">
        <v>2209</v>
      </c>
      <c r="H175" s="1741" t="s">
        <v>1658</v>
      </c>
      <c r="I175" s="1753" t="s">
        <v>3003</v>
      </c>
      <c r="J175" s="1754" t="s">
        <v>1161</v>
      </c>
      <c r="K175" s="1753" t="s">
        <v>497</v>
      </c>
      <c r="L175" s="1754" t="s">
        <v>1161</v>
      </c>
      <c r="M175" s="1754"/>
      <c r="N175" s="1756">
        <v>12588.51</v>
      </c>
      <c r="O175" s="1757">
        <v>20620</v>
      </c>
      <c r="P175" s="1758">
        <v>13530.32</v>
      </c>
      <c r="Q175" s="1759">
        <v>13000</v>
      </c>
      <c r="R175" s="1760">
        <v>13000</v>
      </c>
      <c r="S175" s="1760">
        <v>8909</v>
      </c>
      <c r="T175" s="1760">
        <v>8909</v>
      </c>
      <c r="U175" s="1761">
        <v>50000</v>
      </c>
      <c r="V175" s="1762">
        <v>50000</v>
      </c>
      <c r="W175" s="1757">
        <v>50000</v>
      </c>
      <c r="Z175" s="1773">
        <f t="shared" si="64"/>
        <v>0</v>
      </c>
      <c r="AA175" s="1773">
        <f t="shared" si="65"/>
        <v>0</v>
      </c>
      <c r="AB175" s="1773">
        <f t="shared" si="66"/>
        <v>0</v>
      </c>
      <c r="AC175" s="1773">
        <f t="shared" si="67"/>
        <v>0</v>
      </c>
      <c r="AD175" s="1773">
        <f t="shared" si="68"/>
        <v>0</v>
      </c>
      <c r="AE175" s="1773">
        <f t="shared" si="69"/>
        <v>0</v>
      </c>
      <c r="AF175" s="1773">
        <f t="shared" si="70"/>
        <v>0</v>
      </c>
      <c r="AG175" s="1773">
        <f t="shared" si="71"/>
        <v>0</v>
      </c>
      <c r="AH175" s="1773">
        <f t="shared" si="72"/>
        <v>0</v>
      </c>
      <c r="AI175" s="1773">
        <f t="shared" si="73"/>
        <v>0</v>
      </c>
      <c r="AJ175" s="1773">
        <f t="shared" si="74"/>
        <v>0</v>
      </c>
      <c r="AK175" s="1773">
        <f t="shared" si="75"/>
        <v>0</v>
      </c>
      <c r="AL175" s="1773">
        <f t="shared" si="52"/>
        <v>50000</v>
      </c>
      <c r="AN175" s="1776"/>
      <c r="AO175" s="1776"/>
      <c r="AP175" s="1776"/>
      <c r="AQ175" s="1776"/>
      <c r="AR175" s="1776"/>
      <c r="AS175" s="1776"/>
      <c r="AT175" s="1776"/>
      <c r="AU175" s="1776"/>
      <c r="AV175" s="1776"/>
      <c r="AW175" s="1776"/>
      <c r="AX175" s="1776"/>
      <c r="AY175" s="1776"/>
      <c r="AZ175" s="1776">
        <v>1</v>
      </c>
    </row>
    <row r="176" spans="1:52">
      <c r="A176" s="1479" t="s">
        <v>2499</v>
      </c>
      <c r="B176" s="1479" t="s">
        <v>2280</v>
      </c>
      <c r="C176" s="1741" t="s">
        <v>2108</v>
      </c>
      <c r="D176" s="1741">
        <v>1060</v>
      </c>
      <c r="E176" s="1741">
        <v>210</v>
      </c>
      <c r="F176" s="1741" t="s">
        <v>2211</v>
      </c>
      <c r="G176" s="1741" t="s">
        <v>2209</v>
      </c>
      <c r="H176" s="1741" t="s">
        <v>1658</v>
      </c>
      <c r="I176" s="1753" t="s">
        <v>3003</v>
      </c>
      <c r="J176" s="1754" t="s">
        <v>2113</v>
      </c>
      <c r="K176" s="1753" t="s">
        <v>497</v>
      </c>
      <c r="L176" s="1754" t="s">
        <v>1160</v>
      </c>
      <c r="M176" s="1754"/>
      <c r="N176" s="1756">
        <v>1238.2</v>
      </c>
      <c r="O176" s="1757">
        <v>1232.55</v>
      </c>
      <c r="P176" s="1758">
        <v>988.8</v>
      </c>
      <c r="Q176" s="1759">
        <v>1550</v>
      </c>
      <c r="R176" s="1760">
        <v>1550</v>
      </c>
      <c r="S176" s="1760">
        <v>833</v>
      </c>
      <c r="T176" s="1760">
        <v>833</v>
      </c>
      <c r="U176" s="1761">
        <v>10000</v>
      </c>
      <c r="V176" s="1762">
        <v>12000</v>
      </c>
      <c r="W176" s="1757">
        <v>15000</v>
      </c>
      <c r="Z176" s="1773">
        <f t="shared" si="64"/>
        <v>0</v>
      </c>
      <c r="AA176" s="1773">
        <f t="shared" si="65"/>
        <v>0</v>
      </c>
      <c r="AB176" s="1773">
        <f t="shared" si="66"/>
        <v>0</v>
      </c>
      <c r="AC176" s="1773">
        <f t="shared" si="67"/>
        <v>0</v>
      </c>
      <c r="AD176" s="1773">
        <f t="shared" si="68"/>
        <v>0</v>
      </c>
      <c r="AE176" s="1773">
        <f t="shared" si="69"/>
        <v>0</v>
      </c>
      <c r="AF176" s="1773">
        <f t="shared" si="70"/>
        <v>0</v>
      </c>
      <c r="AG176" s="1773">
        <f t="shared" si="71"/>
        <v>0</v>
      </c>
      <c r="AH176" s="1773">
        <f t="shared" si="72"/>
        <v>0</v>
      </c>
      <c r="AI176" s="1773">
        <f t="shared" si="73"/>
        <v>0</v>
      </c>
      <c r="AJ176" s="1773">
        <f t="shared" si="74"/>
        <v>0</v>
      </c>
      <c r="AK176" s="1773">
        <f t="shared" si="75"/>
        <v>0</v>
      </c>
      <c r="AL176" s="1773">
        <f t="shared" si="52"/>
        <v>10000</v>
      </c>
      <c r="AN176" s="1776"/>
      <c r="AO176" s="1776"/>
      <c r="AP176" s="1776"/>
      <c r="AQ176" s="1776"/>
      <c r="AR176" s="1776"/>
      <c r="AS176" s="1776"/>
      <c r="AT176" s="1776"/>
      <c r="AU176" s="1776"/>
      <c r="AV176" s="1776"/>
      <c r="AW176" s="1776"/>
      <c r="AX176" s="1776"/>
      <c r="AY176" s="1776"/>
      <c r="AZ176" s="1776">
        <v>1</v>
      </c>
    </row>
    <row r="177" spans="1:52">
      <c r="A177" s="1479" t="s">
        <v>2500</v>
      </c>
      <c r="B177" s="1479" t="s">
        <v>2288</v>
      </c>
      <c r="C177" s="1741" t="s">
        <v>2108</v>
      </c>
      <c r="D177" s="1741">
        <v>1060</v>
      </c>
      <c r="E177" s="1741">
        <v>690</v>
      </c>
      <c r="F177" s="1741" t="s">
        <v>2211</v>
      </c>
      <c r="G177" s="1741" t="s">
        <v>2209</v>
      </c>
      <c r="H177" s="1741" t="s">
        <v>1658</v>
      </c>
      <c r="I177" s="1753" t="s">
        <v>2114</v>
      </c>
      <c r="J177" s="1754" t="s">
        <v>2124</v>
      </c>
      <c r="K177" s="1753" t="s">
        <v>2114</v>
      </c>
      <c r="L177" s="1754" t="s">
        <v>2124</v>
      </c>
      <c r="M177" s="1754"/>
      <c r="N177" s="1756">
        <v>0</v>
      </c>
      <c r="O177" s="1757">
        <v>0</v>
      </c>
      <c r="P177" s="1758">
        <v>30395.040000000001</v>
      </c>
      <c r="Q177" s="1759">
        <v>120000</v>
      </c>
      <c r="R177" s="1760">
        <v>60000</v>
      </c>
      <c r="S177" s="1760">
        <v>56457</v>
      </c>
      <c r="T177" s="1760">
        <v>56457</v>
      </c>
      <c r="U177" s="1761">
        <v>130000</v>
      </c>
      <c r="V177" s="1762">
        <v>130000</v>
      </c>
      <c r="W177" s="1757">
        <v>140000</v>
      </c>
      <c r="Z177" s="1773">
        <f t="shared" si="64"/>
        <v>0</v>
      </c>
      <c r="AA177" s="1773">
        <f t="shared" si="65"/>
        <v>0</v>
      </c>
      <c r="AB177" s="1773">
        <f t="shared" si="66"/>
        <v>0</v>
      </c>
      <c r="AC177" s="1773">
        <f t="shared" si="67"/>
        <v>0</v>
      </c>
      <c r="AD177" s="1773">
        <f t="shared" si="68"/>
        <v>0</v>
      </c>
      <c r="AE177" s="1773">
        <f t="shared" si="69"/>
        <v>0</v>
      </c>
      <c r="AF177" s="1773">
        <f t="shared" si="70"/>
        <v>0</v>
      </c>
      <c r="AG177" s="1773">
        <f t="shared" si="71"/>
        <v>0</v>
      </c>
      <c r="AH177" s="1773">
        <f t="shared" si="72"/>
        <v>0</v>
      </c>
      <c r="AI177" s="1773">
        <f t="shared" si="73"/>
        <v>0</v>
      </c>
      <c r="AJ177" s="1773">
        <f t="shared" si="74"/>
        <v>0</v>
      </c>
      <c r="AK177" s="1773">
        <f t="shared" si="75"/>
        <v>0</v>
      </c>
      <c r="AL177" s="1773">
        <f t="shared" si="52"/>
        <v>130000</v>
      </c>
      <c r="AN177" s="1776"/>
      <c r="AO177" s="1776"/>
      <c r="AP177" s="1776"/>
      <c r="AQ177" s="1776"/>
      <c r="AR177" s="1776"/>
      <c r="AS177" s="1776"/>
      <c r="AT177" s="1776"/>
      <c r="AU177" s="1776"/>
      <c r="AV177" s="1776"/>
      <c r="AW177" s="1776"/>
      <c r="AX177" s="1776"/>
      <c r="AY177" s="1776"/>
      <c r="AZ177" s="1776">
        <v>1</v>
      </c>
    </row>
    <row r="178" spans="1:52">
      <c r="A178" s="1479" t="s">
        <v>2501</v>
      </c>
      <c r="B178" s="1479" t="s">
        <v>2502</v>
      </c>
      <c r="C178" s="1741" t="s">
        <v>2108</v>
      </c>
      <c r="D178" s="1741">
        <v>1060</v>
      </c>
      <c r="E178" s="1741">
        <v>780</v>
      </c>
      <c r="F178" s="1741" t="s">
        <v>2211</v>
      </c>
      <c r="G178" s="1741" t="s">
        <v>2209</v>
      </c>
      <c r="H178" s="1741" t="s">
        <v>1658</v>
      </c>
      <c r="I178" s="1753" t="s">
        <v>2114</v>
      </c>
      <c r="J178" s="1754"/>
      <c r="K178" s="1753" t="s">
        <v>2114</v>
      </c>
      <c r="L178" s="1754" t="s">
        <v>502</v>
      </c>
      <c r="M178" s="1754"/>
      <c r="N178" s="1756"/>
      <c r="O178" s="1757"/>
      <c r="P178" s="1758"/>
      <c r="Q178" s="1759"/>
      <c r="R178" s="1760">
        <v>0</v>
      </c>
      <c r="S178" s="1760">
        <v>0</v>
      </c>
      <c r="T178" s="1760">
        <v>0</v>
      </c>
      <c r="U178" s="1761">
        <v>0</v>
      </c>
      <c r="V178" s="1762">
        <v>0</v>
      </c>
      <c r="W178" s="1757">
        <v>0</v>
      </c>
      <c r="Z178" s="1773">
        <f t="shared" si="64"/>
        <v>0</v>
      </c>
      <c r="AA178" s="1773">
        <f t="shared" si="65"/>
        <v>0</v>
      </c>
      <c r="AB178" s="1773">
        <f t="shared" si="66"/>
        <v>0</v>
      </c>
      <c r="AC178" s="1773">
        <f t="shared" si="67"/>
        <v>0</v>
      </c>
      <c r="AD178" s="1773">
        <f t="shared" si="68"/>
        <v>0</v>
      </c>
      <c r="AE178" s="1773">
        <f t="shared" si="69"/>
        <v>0</v>
      </c>
      <c r="AF178" s="1773">
        <f t="shared" si="70"/>
        <v>0</v>
      </c>
      <c r="AG178" s="1773">
        <f t="shared" si="71"/>
        <v>0</v>
      </c>
      <c r="AH178" s="1773">
        <f t="shared" si="72"/>
        <v>0</v>
      </c>
      <c r="AI178" s="1773">
        <f t="shared" si="73"/>
        <v>0</v>
      </c>
      <c r="AJ178" s="1773">
        <f t="shared" si="74"/>
        <v>0</v>
      </c>
      <c r="AK178" s="1773">
        <f t="shared" si="75"/>
        <v>0</v>
      </c>
      <c r="AL178" s="1773">
        <f t="shared" si="52"/>
        <v>0</v>
      </c>
      <c r="AN178" s="1776"/>
      <c r="AO178" s="1776"/>
      <c r="AP178" s="1776"/>
      <c r="AQ178" s="1776"/>
      <c r="AR178" s="1776"/>
      <c r="AS178" s="1776"/>
      <c r="AT178" s="1776"/>
      <c r="AU178" s="1776"/>
      <c r="AV178" s="1776"/>
      <c r="AW178" s="1776"/>
      <c r="AX178" s="1776"/>
      <c r="AY178" s="1776"/>
      <c r="AZ178" s="1776">
        <v>1</v>
      </c>
    </row>
    <row r="179" spans="1:52">
      <c r="A179" s="1479" t="s">
        <v>2503</v>
      </c>
      <c r="B179" s="1479" t="s">
        <v>2249</v>
      </c>
      <c r="C179" s="1741" t="s">
        <v>2108</v>
      </c>
      <c r="D179" s="1741">
        <v>1060</v>
      </c>
      <c r="E179" s="1741">
        <v>1410</v>
      </c>
      <c r="F179" s="1741" t="s">
        <v>2211</v>
      </c>
      <c r="G179" s="1741" t="s">
        <v>2209</v>
      </c>
      <c r="H179" s="1741" t="s">
        <v>1658</v>
      </c>
      <c r="I179" s="1753" t="s">
        <v>2114</v>
      </c>
      <c r="J179" s="1754" t="s">
        <v>3008</v>
      </c>
      <c r="K179" s="1753" t="s">
        <v>2114</v>
      </c>
      <c r="L179" s="1754" t="s">
        <v>3008</v>
      </c>
      <c r="M179" s="1754"/>
      <c r="N179" s="1756">
        <v>0</v>
      </c>
      <c r="O179" s="1757">
        <v>0</v>
      </c>
      <c r="P179" s="1758">
        <v>9519.9599999999991</v>
      </c>
      <c r="Q179" s="1759">
        <v>0</v>
      </c>
      <c r="R179" s="1760">
        <v>0</v>
      </c>
      <c r="S179" s="1760">
        <v>0</v>
      </c>
      <c r="T179" s="1760">
        <v>0</v>
      </c>
      <c r="U179" s="1761">
        <v>0</v>
      </c>
      <c r="V179" s="1762">
        <v>0</v>
      </c>
      <c r="W179" s="1757">
        <v>0</v>
      </c>
      <c r="Z179" s="1773">
        <f t="shared" si="64"/>
        <v>0</v>
      </c>
      <c r="AA179" s="1773">
        <f t="shared" si="65"/>
        <v>0</v>
      </c>
      <c r="AB179" s="1773">
        <f t="shared" si="66"/>
        <v>0</v>
      </c>
      <c r="AC179" s="1773">
        <f t="shared" si="67"/>
        <v>0</v>
      </c>
      <c r="AD179" s="1773">
        <f t="shared" si="68"/>
        <v>0</v>
      </c>
      <c r="AE179" s="1773">
        <f t="shared" si="69"/>
        <v>0</v>
      </c>
      <c r="AF179" s="1773">
        <f t="shared" si="70"/>
        <v>0</v>
      </c>
      <c r="AG179" s="1773">
        <f t="shared" si="71"/>
        <v>0</v>
      </c>
      <c r="AH179" s="1773">
        <f t="shared" si="72"/>
        <v>0</v>
      </c>
      <c r="AI179" s="1773">
        <f t="shared" si="73"/>
        <v>0</v>
      </c>
      <c r="AJ179" s="1773">
        <f t="shared" si="74"/>
        <v>0</v>
      </c>
      <c r="AK179" s="1773">
        <f t="shared" si="75"/>
        <v>0</v>
      </c>
      <c r="AL179" s="1773">
        <f t="shared" si="52"/>
        <v>0</v>
      </c>
      <c r="AN179" s="1776"/>
      <c r="AO179" s="1776"/>
      <c r="AP179" s="1776"/>
      <c r="AQ179" s="1776"/>
      <c r="AR179" s="1776"/>
      <c r="AS179" s="1776"/>
      <c r="AT179" s="1776"/>
      <c r="AU179" s="1776"/>
      <c r="AV179" s="1776"/>
      <c r="AW179" s="1776"/>
      <c r="AX179" s="1776"/>
      <c r="AY179" s="1776"/>
      <c r="AZ179" s="1776">
        <v>1</v>
      </c>
    </row>
    <row r="180" spans="1:52">
      <c r="A180" s="1479" t="s">
        <v>2504</v>
      </c>
      <c r="B180" s="1479" t="s">
        <v>2251</v>
      </c>
      <c r="C180" s="1741" t="s">
        <v>2108</v>
      </c>
      <c r="D180" s="1741">
        <v>1060</v>
      </c>
      <c r="E180" s="1741">
        <v>1440</v>
      </c>
      <c r="F180" s="1741" t="s">
        <v>2211</v>
      </c>
      <c r="G180" s="1741" t="s">
        <v>2209</v>
      </c>
      <c r="H180" s="1741" t="s">
        <v>1658</v>
      </c>
      <c r="I180" s="1753" t="s">
        <v>2115</v>
      </c>
      <c r="J180" s="1754"/>
      <c r="K180" s="1753" t="s">
        <v>1596</v>
      </c>
      <c r="L180" s="1754" t="s">
        <v>1696</v>
      </c>
      <c r="M180" s="1754"/>
      <c r="N180" s="1756">
        <v>0</v>
      </c>
      <c r="O180" s="1757">
        <v>480623.11936204019</v>
      </c>
      <c r="P180" s="1758">
        <v>486197.19999999978</v>
      </c>
      <c r="Q180" s="1759">
        <v>0</v>
      </c>
      <c r="R180" s="1760">
        <v>0</v>
      </c>
      <c r="S180" s="1760">
        <v>0</v>
      </c>
      <c r="T180" s="1760">
        <v>0</v>
      </c>
      <c r="U180" s="1761">
        <v>0</v>
      </c>
      <c r="V180" s="1762">
        <v>0</v>
      </c>
      <c r="W180" s="1757">
        <v>0</v>
      </c>
      <c r="Z180" s="1773">
        <f t="shared" si="64"/>
        <v>0</v>
      </c>
      <c r="AA180" s="1773">
        <f t="shared" si="65"/>
        <v>0</v>
      </c>
      <c r="AB180" s="1773">
        <f t="shared" si="66"/>
        <v>0</v>
      </c>
      <c r="AC180" s="1773">
        <f t="shared" si="67"/>
        <v>0</v>
      </c>
      <c r="AD180" s="1773">
        <f t="shared" si="68"/>
        <v>0</v>
      </c>
      <c r="AE180" s="1773">
        <f t="shared" si="69"/>
        <v>0</v>
      </c>
      <c r="AF180" s="1773">
        <f t="shared" si="70"/>
        <v>0</v>
      </c>
      <c r="AG180" s="1773">
        <f t="shared" si="71"/>
        <v>0</v>
      </c>
      <c r="AH180" s="1773">
        <f t="shared" si="72"/>
        <v>0</v>
      </c>
      <c r="AI180" s="1773">
        <f t="shared" si="73"/>
        <v>0</v>
      </c>
      <c r="AJ180" s="1773">
        <f t="shared" si="74"/>
        <v>0</v>
      </c>
      <c r="AK180" s="1773">
        <f t="shared" si="75"/>
        <v>0</v>
      </c>
      <c r="AL180" s="1773">
        <f t="shared" si="52"/>
        <v>0</v>
      </c>
      <c r="AN180" s="1776"/>
      <c r="AO180" s="1776"/>
      <c r="AP180" s="1776"/>
      <c r="AQ180" s="1776"/>
      <c r="AR180" s="1776"/>
      <c r="AS180" s="1776"/>
      <c r="AT180" s="1776"/>
      <c r="AU180" s="1776"/>
      <c r="AV180" s="1776"/>
      <c r="AW180" s="1776"/>
      <c r="AX180" s="1776"/>
      <c r="AY180" s="1776"/>
      <c r="AZ180" s="1776">
        <v>1</v>
      </c>
    </row>
    <row r="181" spans="1:52">
      <c r="A181" s="1479" t="s">
        <v>2505</v>
      </c>
      <c r="B181" s="1479" t="s">
        <v>2253</v>
      </c>
      <c r="C181" s="1741" t="s">
        <v>2108</v>
      </c>
      <c r="D181" s="1741">
        <v>1060</v>
      </c>
      <c r="E181" s="1741">
        <v>3510</v>
      </c>
      <c r="F181" s="1741" t="s">
        <v>2211</v>
      </c>
      <c r="G181" s="1741" t="s">
        <v>2209</v>
      </c>
      <c r="H181" s="1741" t="s">
        <v>1658</v>
      </c>
      <c r="I181" s="1753" t="s">
        <v>464</v>
      </c>
      <c r="J181" s="1754"/>
      <c r="K181" s="1753" t="s">
        <v>2114</v>
      </c>
      <c r="L181" s="1754" t="s">
        <v>3029</v>
      </c>
      <c r="M181" s="1754"/>
      <c r="N181" s="1756">
        <v>526.9</v>
      </c>
      <c r="O181" s="1757">
        <v>8772.5300000000007</v>
      </c>
      <c r="P181" s="1758">
        <v>245729.55</v>
      </c>
      <c r="Q181" s="1759">
        <v>2700000</v>
      </c>
      <c r="R181" s="1760">
        <v>1000000</v>
      </c>
      <c r="S181" s="1760">
        <v>485236</v>
      </c>
      <c r="T181" s="1760">
        <v>485236</v>
      </c>
      <c r="U181" s="1761">
        <v>1000000</v>
      </c>
      <c r="V181" s="1762">
        <v>2700000</v>
      </c>
      <c r="W181" s="1757">
        <v>2200000</v>
      </c>
      <c r="Z181" s="1773">
        <f t="shared" si="64"/>
        <v>0</v>
      </c>
      <c r="AA181" s="1773">
        <f t="shared" si="65"/>
        <v>0</v>
      </c>
      <c r="AB181" s="1773">
        <f t="shared" si="66"/>
        <v>0</v>
      </c>
      <c r="AC181" s="1773">
        <f t="shared" si="67"/>
        <v>0</v>
      </c>
      <c r="AD181" s="1773">
        <f t="shared" si="68"/>
        <v>0</v>
      </c>
      <c r="AE181" s="1773">
        <f t="shared" si="69"/>
        <v>0</v>
      </c>
      <c r="AF181" s="1773">
        <f t="shared" si="70"/>
        <v>0</v>
      </c>
      <c r="AG181" s="1773">
        <f t="shared" si="71"/>
        <v>0</v>
      </c>
      <c r="AH181" s="1773">
        <f t="shared" si="72"/>
        <v>0</v>
      </c>
      <c r="AI181" s="1773">
        <f t="shared" si="73"/>
        <v>0</v>
      </c>
      <c r="AJ181" s="1773">
        <f t="shared" si="74"/>
        <v>0</v>
      </c>
      <c r="AK181" s="1773">
        <f t="shared" si="75"/>
        <v>0</v>
      </c>
      <c r="AL181" s="1773">
        <f t="shared" si="52"/>
        <v>1000000</v>
      </c>
      <c r="AN181" s="1776"/>
      <c r="AO181" s="1776"/>
      <c r="AP181" s="1776"/>
      <c r="AQ181" s="1776"/>
      <c r="AR181" s="1776"/>
      <c r="AS181" s="1776"/>
      <c r="AT181" s="1776"/>
      <c r="AU181" s="1776"/>
      <c r="AV181" s="1776"/>
      <c r="AW181" s="1776"/>
      <c r="AX181" s="1776"/>
      <c r="AY181" s="1776"/>
      <c r="AZ181" s="1776">
        <v>1</v>
      </c>
    </row>
    <row r="182" spans="1:52">
      <c r="A182" s="1479" t="s">
        <v>2506</v>
      </c>
      <c r="B182" s="1479" t="s">
        <v>2310</v>
      </c>
      <c r="C182" s="1741" t="s">
        <v>2108</v>
      </c>
      <c r="D182" s="1741">
        <v>1060</v>
      </c>
      <c r="E182" s="1741">
        <v>3520</v>
      </c>
      <c r="F182" s="1741" t="s">
        <v>2211</v>
      </c>
      <c r="G182" s="1741" t="s">
        <v>2209</v>
      </c>
      <c r="H182" s="1741" t="s">
        <v>1658</v>
      </c>
      <c r="I182" s="1753" t="s">
        <v>464</v>
      </c>
      <c r="J182" s="1754"/>
      <c r="K182" s="1753" t="s">
        <v>2114</v>
      </c>
      <c r="L182" s="1754" t="s">
        <v>3029</v>
      </c>
      <c r="M182" s="1754"/>
      <c r="N182" s="1756">
        <v>0</v>
      </c>
      <c r="O182" s="1757">
        <v>0</v>
      </c>
      <c r="P182" s="1758">
        <v>1282.32</v>
      </c>
      <c r="Q182" s="1759">
        <v>36000</v>
      </c>
      <c r="R182" s="1760">
        <v>120000</v>
      </c>
      <c r="S182" s="1760">
        <v>62055</v>
      </c>
      <c r="T182" s="1760">
        <v>62055</v>
      </c>
      <c r="U182" s="1761">
        <v>120000</v>
      </c>
      <c r="V182" s="1762">
        <v>150000</v>
      </c>
      <c r="W182" s="1757">
        <v>200000</v>
      </c>
      <c r="Z182" s="1773">
        <f t="shared" si="64"/>
        <v>0</v>
      </c>
      <c r="AA182" s="1773">
        <f t="shared" si="65"/>
        <v>0</v>
      </c>
      <c r="AB182" s="1773">
        <f t="shared" si="66"/>
        <v>0</v>
      </c>
      <c r="AC182" s="1773">
        <f t="shared" si="67"/>
        <v>0</v>
      </c>
      <c r="AD182" s="1773">
        <f t="shared" si="68"/>
        <v>0</v>
      </c>
      <c r="AE182" s="1773">
        <f t="shared" si="69"/>
        <v>0</v>
      </c>
      <c r="AF182" s="1773">
        <f t="shared" si="70"/>
        <v>0</v>
      </c>
      <c r="AG182" s="1773">
        <f t="shared" si="71"/>
        <v>0</v>
      </c>
      <c r="AH182" s="1773">
        <f t="shared" si="72"/>
        <v>0</v>
      </c>
      <c r="AI182" s="1773">
        <f t="shared" si="73"/>
        <v>0</v>
      </c>
      <c r="AJ182" s="1773">
        <f t="shared" si="74"/>
        <v>0</v>
      </c>
      <c r="AK182" s="1773">
        <f t="shared" si="75"/>
        <v>0</v>
      </c>
      <c r="AL182" s="1773">
        <f t="shared" si="52"/>
        <v>120000</v>
      </c>
      <c r="AN182" s="1776"/>
      <c r="AO182" s="1776"/>
      <c r="AP182" s="1776"/>
      <c r="AQ182" s="1776"/>
      <c r="AR182" s="1776"/>
      <c r="AS182" s="1776"/>
      <c r="AT182" s="1776"/>
      <c r="AU182" s="1776"/>
      <c r="AV182" s="1776"/>
      <c r="AW182" s="1776"/>
      <c r="AX182" s="1776"/>
      <c r="AY182" s="1776"/>
      <c r="AZ182" s="1776">
        <v>1</v>
      </c>
    </row>
    <row r="183" spans="1:52">
      <c r="A183" t="s">
        <v>2507</v>
      </c>
      <c r="B183" t="s">
        <v>2328</v>
      </c>
      <c r="C183" s="1741" t="s">
        <v>2108</v>
      </c>
      <c r="D183" s="1741">
        <v>1060</v>
      </c>
      <c r="E183" s="1741">
        <v>5430</v>
      </c>
      <c r="F183" s="1741" t="s">
        <v>2211</v>
      </c>
      <c r="G183" s="1741" t="s">
        <v>2209</v>
      </c>
      <c r="H183" s="1741" t="s">
        <v>586</v>
      </c>
      <c r="I183" s="1753" t="s">
        <v>2131</v>
      </c>
      <c r="J183" s="1754"/>
      <c r="K183" s="1754" t="s">
        <v>1723</v>
      </c>
      <c r="L183" s="1754" t="s">
        <v>1723</v>
      </c>
      <c r="M183" s="1754"/>
      <c r="N183" s="1756"/>
      <c r="O183" s="1757"/>
      <c r="P183" s="1758"/>
      <c r="Q183" s="1759">
        <v>-2500</v>
      </c>
      <c r="R183" s="1760">
        <v>-2500</v>
      </c>
      <c r="S183" s="1760">
        <v>-836</v>
      </c>
      <c r="T183" s="1760">
        <v>-836</v>
      </c>
      <c r="U183" s="1761">
        <v>-2500</v>
      </c>
      <c r="V183" s="1762">
        <v>-2500</v>
      </c>
      <c r="W183" s="1757">
        <v>-2500</v>
      </c>
      <c r="Z183" s="1773">
        <f t="shared" si="64"/>
        <v>0</v>
      </c>
      <c r="AA183" s="1773">
        <f t="shared" si="65"/>
        <v>0</v>
      </c>
      <c r="AB183" s="1773">
        <f t="shared" si="66"/>
        <v>0</v>
      </c>
      <c r="AC183" s="1773">
        <f t="shared" si="67"/>
        <v>0</v>
      </c>
      <c r="AD183" s="1773">
        <f t="shared" si="68"/>
        <v>0</v>
      </c>
      <c r="AE183" s="1773">
        <f t="shared" si="69"/>
        <v>0</v>
      </c>
      <c r="AF183" s="1773">
        <f t="shared" si="70"/>
        <v>0</v>
      </c>
      <c r="AG183" s="1773">
        <f t="shared" si="71"/>
        <v>0</v>
      </c>
      <c r="AH183" s="1773">
        <f t="shared" si="72"/>
        <v>0</v>
      </c>
      <c r="AI183" s="1773">
        <f t="shared" si="73"/>
        <v>0</v>
      </c>
      <c r="AJ183" s="1773">
        <f t="shared" si="74"/>
        <v>0</v>
      </c>
      <c r="AK183" s="1773">
        <f t="shared" si="75"/>
        <v>0</v>
      </c>
      <c r="AL183" s="1773">
        <f t="shared" si="52"/>
        <v>-2500</v>
      </c>
      <c r="AN183" s="1776"/>
      <c r="AO183" s="1776"/>
      <c r="AP183" s="1776"/>
      <c r="AQ183" s="1776"/>
      <c r="AR183" s="1776"/>
      <c r="AS183" s="1776"/>
      <c r="AT183" s="1776"/>
      <c r="AU183" s="1776"/>
      <c r="AV183" s="1776"/>
      <c r="AW183" s="1776"/>
      <c r="AX183" s="1776"/>
      <c r="AY183" s="1776"/>
      <c r="AZ183" s="1776">
        <v>1</v>
      </c>
    </row>
    <row r="184" spans="1:52">
      <c r="A184" t="s">
        <v>2508</v>
      </c>
      <c r="B184" t="s">
        <v>2509</v>
      </c>
      <c r="C184" s="1741" t="s">
        <v>2108</v>
      </c>
      <c r="D184" s="1741">
        <v>1070</v>
      </c>
      <c r="E184" s="1741">
        <v>10</v>
      </c>
      <c r="F184" s="1741" t="s">
        <v>2155</v>
      </c>
      <c r="G184" s="1741" t="s">
        <v>2214</v>
      </c>
      <c r="H184" s="1741" t="s">
        <v>1658</v>
      </c>
      <c r="I184" s="1753" t="s">
        <v>3003</v>
      </c>
      <c r="J184" s="1754" t="s">
        <v>2109</v>
      </c>
      <c r="K184" s="1753" t="s">
        <v>497</v>
      </c>
      <c r="L184" s="1754" t="s">
        <v>1158</v>
      </c>
      <c r="M184" s="1754"/>
      <c r="N184" s="1756"/>
      <c r="O184" s="1757"/>
      <c r="P184" s="1758"/>
      <c r="Q184" s="1759"/>
      <c r="R184" s="1760">
        <v>0</v>
      </c>
      <c r="S184" s="1760">
        <v>0</v>
      </c>
      <c r="T184" s="1760">
        <v>0</v>
      </c>
      <c r="U184" s="1761">
        <v>0</v>
      </c>
      <c r="V184" s="1762">
        <v>0</v>
      </c>
      <c r="W184" s="1757">
        <v>0</v>
      </c>
      <c r="Z184" s="1773">
        <f t="shared" si="64"/>
        <v>0</v>
      </c>
      <c r="AA184" s="1773">
        <f t="shared" si="65"/>
        <v>0</v>
      </c>
      <c r="AB184" s="1773">
        <f t="shared" si="66"/>
        <v>0</v>
      </c>
      <c r="AC184" s="1773">
        <f t="shared" si="67"/>
        <v>0</v>
      </c>
      <c r="AD184" s="1773">
        <f t="shared" si="68"/>
        <v>0</v>
      </c>
      <c r="AE184" s="1773">
        <f t="shared" si="69"/>
        <v>0</v>
      </c>
      <c r="AF184" s="1773">
        <f t="shared" si="70"/>
        <v>0</v>
      </c>
      <c r="AG184" s="1773">
        <f t="shared" si="71"/>
        <v>0</v>
      </c>
      <c r="AH184" s="1773">
        <f t="shared" si="72"/>
        <v>0</v>
      </c>
      <c r="AI184" s="1773">
        <f t="shared" si="73"/>
        <v>0</v>
      </c>
      <c r="AJ184" s="1773">
        <f t="shared" si="74"/>
        <v>0</v>
      </c>
      <c r="AK184" s="1773">
        <f t="shared" si="75"/>
        <v>0</v>
      </c>
      <c r="AL184" s="1773">
        <f t="shared" si="52"/>
        <v>0</v>
      </c>
      <c r="AN184" s="1776"/>
      <c r="AO184" s="1776"/>
      <c r="AP184" s="1776"/>
      <c r="AQ184" s="1776"/>
      <c r="AR184" s="1776"/>
      <c r="AS184" s="1776"/>
      <c r="AT184" s="1776"/>
      <c r="AU184" s="1776"/>
      <c r="AV184" s="1776"/>
      <c r="AW184" s="1776"/>
      <c r="AX184" s="1776"/>
      <c r="AY184" s="1776"/>
      <c r="AZ184" s="1776">
        <v>1</v>
      </c>
    </row>
    <row r="185" spans="1:52">
      <c r="A185" t="s">
        <v>2510</v>
      </c>
      <c r="B185" t="s">
        <v>2511</v>
      </c>
      <c r="C185" s="1741" t="s">
        <v>2108</v>
      </c>
      <c r="D185" s="1741">
        <v>1070</v>
      </c>
      <c r="E185" s="1741">
        <v>750</v>
      </c>
      <c r="F185" s="1741" t="s">
        <v>2155</v>
      </c>
      <c r="G185" s="1741" t="s">
        <v>2214</v>
      </c>
      <c r="H185" s="1741" t="s">
        <v>1658</v>
      </c>
      <c r="I185" s="1753" t="s">
        <v>2114</v>
      </c>
      <c r="J185" s="1754"/>
      <c r="K185" s="1753" t="s">
        <v>2114</v>
      </c>
      <c r="L185" s="1754" t="s">
        <v>502</v>
      </c>
      <c r="M185" s="1754"/>
      <c r="N185" s="1756"/>
      <c r="O185" s="1757"/>
      <c r="P185" s="1758"/>
      <c r="Q185" s="1759"/>
      <c r="R185" s="1760">
        <v>1000</v>
      </c>
      <c r="S185" s="1760">
        <v>0</v>
      </c>
      <c r="T185" s="1760">
        <v>0</v>
      </c>
      <c r="U185" s="1761">
        <v>0</v>
      </c>
      <c r="V185" s="1762">
        <v>0</v>
      </c>
      <c r="W185" s="1757">
        <v>0</v>
      </c>
      <c r="Z185" s="1773">
        <f t="shared" si="64"/>
        <v>0</v>
      </c>
      <c r="AA185" s="1773">
        <f t="shared" si="65"/>
        <v>0</v>
      </c>
      <c r="AB185" s="1773">
        <f t="shared" si="66"/>
        <v>0</v>
      </c>
      <c r="AC185" s="1773">
        <f t="shared" si="67"/>
        <v>0</v>
      </c>
      <c r="AD185" s="1773">
        <f t="shared" si="68"/>
        <v>0</v>
      </c>
      <c r="AE185" s="1773">
        <f t="shared" si="69"/>
        <v>0</v>
      </c>
      <c r="AF185" s="1773">
        <f t="shared" si="70"/>
        <v>0</v>
      </c>
      <c r="AG185" s="1773">
        <f t="shared" si="71"/>
        <v>0</v>
      </c>
      <c r="AH185" s="1773">
        <f t="shared" si="72"/>
        <v>0</v>
      </c>
      <c r="AI185" s="1773">
        <f t="shared" si="73"/>
        <v>0</v>
      </c>
      <c r="AJ185" s="1773">
        <f t="shared" si="74"/>
        <v>0</v>
      </c>
      <c r="AK185" s="1773">
        <f t="shared" si="75"/>
        <v>0</v>
      </c>
      <c r="AL185" s="1773">
        <f t="shared" si="52"/>
        <v>0</v>
      </c>
      <c r="AN185" s="1776"/>
      <c r="AO185" s="1776"/>
      <c r="AP185" s="1776"/>
      <c r="AQ185" s="1776"/>
      <c r="AR185" s="1776"/>
      <c r="AS185" s="1776"/>
      <c r="AT185" s="1776"/>
      <c r="AU185" s="1776"/>
      <c r="AV185" s="1776"/>
      <c r="AW185" s="1776"/>
      <c r="AX185" s="1776"/>
      <c r="AY185" s="1776"/>
      <c r="AZ185" s="1776">
        <v>1</v>
      </c>
    </row>
    <row r="186" spans="1:52">
      <c r="A186" s="1479" t="s">
        <v>2512</v>
      </c>
      <c r="B186" s="1479" t="s">
        <v>2253</v>
      </c>
      <c r="C186" s="1741" t="s">
        <v>2108</v>
      </c>
      <c r="D186" s="1741">
        <v>1070</v>
      </c>
      <c r="E186" s="1741">
        <v>3510</v>
      </c>
      <c r="F186" s="1741" t="s">
        <v>2155</v>
      </c>
      <c r="G186" s="1741" t="s">
        <v>2214</v>
      </c>
      <c r="H186" s="1741" t="s">
        <v>1658</v>
      </c>
      <c r="I186" s="1753" t="s">
        <v>464</v>
      </c>
      <c r="J186" s="1754"/>
      <c r="K186" s="1753" t="s">
        <v>2114</v>
      </c>
      <c r="L186" s="1754" t="s">
        <v>3029</v>
      </c>
      <c r="M186" s="1754"/>
      <c r="N186" s="1756">
        <v>0</v>
      </c>
      <c r="O186" s="1757">
        <v>0</v>
      </c>
      <c r="P186" s="1758">
        <v>73944.06</v>
      </c>
      <c r="Q186" s="1759">
        <v>55000</v>
      </c>
      <c r="R186" s="1760">
        <v>30000</v>
      </c>
      <c r="S186" s="1760">
        <v>7957</v>
      </c>
      <c r="T186" s="1760">
        <v>7957</v>
      </c>
      <c r="U186" s="1761">
        <v>30000</v>
      </c>
      <c r="V186" s="1762">
        <v>53000</v>
      </c>
      <c r="W186" s="1757">
        <v>54000</v>
      </c>
      <c r="Z186" s="1773">
        <f t="shared" si="64"/>
        <v>0</v>
      </c>
      <c r="AA186" s="1773">
        <f t="shared" si="65"/>
        <v>0</v>
      </c>
      <c r="AB186" s="1773">
        <f t="shared" si="66"/>
        <v>0</v>
      </c>
      <c r="AC186" s="1773">
        <f t="shared" si="67"/>
        <v>0</v>
      </c>
      <c r="AD186" s="1773">
        <f t="shared" si="68"/>
        <v>0</v>
      </c>
      <c r="AE186" s="1773">
        <f t="shared" si="69"/>
        <v>0</v>
      </c>
      <c r="AF186" s="1773">
        <f t="shared" si="70"/>
        <v>0</v>
      </c>
      <c r="AG186" s="1773">
        <f t="shared" si="71"/>
        <v>0</v>
      </c>
      <c r="AH186" s="1773">
        <f t="shared" si="72"/>
        <v>0</v>
      </c>
      <c r="AI186" s="1773">
        <f t="shared" si="73"/>
        <v>0</v>
      </c>
      <c r="AJ186" s="1773">
        <f t="shared" si="74"/>
        <v>0</v>
      </c>
      <c r="AK186" s="1773">
        <f t="shared" si="75"/>
        <v>0</v>
      </c>
      <c r="AL186" s="1773">
        <f t="shared" si="52"/>
        <v>30000</v>
      </c>
      <c r="AN186" s="1776"/>
      <c r="AO186" s="1776"/>
      <c r="AP186" s="1776"/>
      <c r="AQ186" s="1776"/>
      <c r="AR186" s="1776"/>
      <c r="AS186" s="1776"/>
      <c r="AT186" s="1776"/>
      <c r="AU186" s="1776"/>
      <c r="AV186" s="1776"/>
      <c r="AW186" s="1776"/>
      <c r="AX186" s="1776"/>
      <c r="AY186" s="1776"/>
      <c r="AZ186" s="1776">
        <v>1</v>
      </c>
    </row>
    <row r="187" spans="1:52">
      <c r="A187" s="1479" t="s">
        <v>2513</v>
      </c>
      <c r="B187" s="1479" t="s">
        <v>2514</v>
      </c>
      <c r="C187" s="1741" t="s">
        <v>2108</v>
      </c>
      <c r="D187" s="1741">
        <v>1070</v>
      </c>
      <c r="E187" s="1741">
        <v>5200</v>
      </c>
      <c r="F187" s="1741" t="s">
        <v>2155</v>
      </c>
      <c r="G187" s="1741" t="s">
        <v>2214</v>
      </c>
      <c r="H187" s="1741" t="s">
        <v>586</v>
      </c>
      <c r="I187" s="1753" t="s">
        <v>3020</v>
      </c>
      <c r="J187" s="1754"/>
      <c r="K187" s="1753" t="s">
        <v>1666</v>
      </c>
      <c r="L187" s="1754" t="s">
        <v>1666</v>
      </c>
      <c r="M187" s="1754"/>
      <c r="N187" s="1756">
        <v>0</v>
      </c>
      <c r="O187" s="1757">
        <v>-38850</v>
      </c>
      <c r="P187" s="1758">
        <v>0</v>
      </c>
      <c r="Q187" s="1759">
        <v>0</v>
      </c>
      <c r="R187" s="1760">
        <v>0</v>
      </c>
      <c r="S187" s="1760">
        <v>0</v>
      </c>
      <c r="T187" s="1760">
        <v>0</v>
      </c>
      <c r="U187" s="1761">
        <v>0</v>
      </c>
      <c r="V187" s="1762">
        <v>0</v>
      </c>
      <c r="W187" s="1757">
        <v>0</v>
      </c>
      <c r="Z187" s="1773">
        <f t="shared" si="64"/>
        <v>0</v>
      </c>
      <c r="AA187" s="1773">
        <f t="shared" si="65"/>
        <v>0</v>
      </c>
      <c r="AB187" s="1773">
        <f t="shared" si="66"/>
        <v>0</v>
      </c>
      <c r="AC187" s="1773">
        <f t="shared" si="67"/>
        <v>0</v>
      </c>
      <c r="AD187" s="1773">
        <f t="shared" si="68"/>
        <v>0</v>
      </c>
      <c r="AE187" s="1773">
        <f t="shared" si="69"/>
        <v>0</v>
      </c>
      <c r="AF187" s="1773">
        <f t="shared" si="70"/>
        <v>0</v>
      </c>
      <c r="AG187" s="1773">
        <f t="shared" si="71"/>
        <v>0</v>
      </c>
      <c r="AH187" s="1773">
        <f t="shared" si="72"/>
        <v>0</v>
      </c>
      <c r="AI187" s="1773">
        <f t="shared" si="73"/>
        <v>0</v>
      </c>
      <c r="AJ187" s="1773">
        <f t="shared" si="74"/>
        <v>0</v>
      </c>
      <c r="AK187" s="1773">
        <f t="shared" si="75"/>
        <v>0</v>
      </c>
      <c r="AL187" s="1773">
        <f t="shared" si="52"/>
        <v>0</v>
      </c>
      <c r="AN187" s="1776"/>
      <c r="AO187" s="1776"/>
      <c r="AP187" s="1776"/>
      <c r="AQ187" s="1776"/>
      <c r="AR187" s="1776"/>
      <c r="AS187" s="1776"/>
      <c r="AT187" s="1776"/>
      <c r="AU187" s="1776"/>
      <c r="AV187" s="1776"/>
      <c r="AW187" s="1776"/>
      <c r="AX187" s="1776"/>
      <c r="AY187" s="1776"/>
      <c r="AZ187" s="1776">
        <v>1</v>
      </c>
    </row>
    <row r="188" spans="1:52">
      <c r="A188" s="1479"/>
      <c r="B188" s="1479"/>
      <c r="C188" s="1741" t="s">
        <v>2108</v>
      </c>
      <c r="D188" s="1741">
        <v>1070</v>
      </c>
      <c r="E188" s="1741">
        <v>5200</v>
      </c>
      <c r="F188" s="1741" t="s">
        <v>2155</v>
      </c>
      <c r="G188" s="1741" t="s">
        <v>2214</v>
      </c>
      <c r="H188" s="1741" t="s">
        <v>1658</v>
      </c>
      <c r="I188" s="1753" t="s">
        <v>3020</v>
      </c>
      <c r="J188" s="1754"/>
      <c r="K188" s="1753" t="s">
        <v>2114</v>
      </c>
      <c r="L188" s="1754" t="s">
        <v>502</v>
      </c>
      <c r="M188" s="1754"/>
      <c r="N188" s="1756"/>
      <c r="O188" s="1757"/>
      <c r="P188" s="1758">
        <v>37500</v>
      </c>
      <c r="Q188" s="1759">
        <v>0</v>
      </c>
      <c r="R188" s="1760">
        <v>0</v>
      </c>
      <c r="S188" s="1760">
        <v>0</v>
      </c>
      <c r="T188" s="1760">
        <v>0</v>
      </c>
      <c r="U188" s="1761">
        <v>0</v>
      </c>
      <c r="V188" s="1762">
        <v>0</v>
      </c>
      <c r="W188" s="1757">
        <v>0</v>
      </c>
      <c r="Z188" s="1773"/>
      <c r="AA188" s="1773"/>
      <c r="AB188" s="1773"/>
      <c r="AC188" s="1773"/>
      <c r="AD188" s="1773"/>
      <c r="AE188" s="1773"/>
      <c r="AF188" s="1773"/>
      <c r="AG188" s="1773"/>
      <c r="AH188" s="1773"/>
      <c r="AI188" s="1773"/>
      <c r="AJ188" s="1773"/>
      <c r="AK188" s="1773"/>
      <c r="AL188" s="1773">
        <f t="shared" si="52"/>
        <v>0</v>
      </c>
      <c r="AN188" s="1776"/>
      <c r="AO188" s="1776"/>
      <c r="AP188" s="1776"/>
      <c r="AQ188" s="1776"/>
      <c r="AR188" s="1776"/>
      <c r="AS188" s="1776"/>
      <c r="AT188" s="1776"/>
      <c r="AU188" s="1776"/>
      <c r="AV188" s="1776"/>
      <c r="AW188" s="1776"/>
      <c r="AX188" s="1776"/>
      <c r="AY188" s="1776"/>
      <c r="AZ188" s="1776"/>
    </row>
    <row r="189" spans="1:52">
      <c r="A189" s="1479" t="s">
        <v>2515</v>
      </c>
      <c r="B189" s="1479" t="s">
        <v>2516</v>
      </c>
      <c r="C189" s="1741" t="s">
        <v>2108</v>
      </c>
      <c r="D189" s="1741">
        <v>1070</v>
      </c>
      <c r="E189" s="1741">
        <v>5480</v>
      </c>
      <c r="F189" s="1741" t="s">
        <v>2155</v>
      </c>
      <c r="G189" s="1741" t="s">
        <v>2214</v>
      </c>
      <c r="H189" s="1741" t="s">
        <v>586</v>
      </c>
      <c r="I189" s="1753" t="s">
        <v>2131</v>
      </c>
      <c r="J189" s="1754"/>
      <c r="K189" s="1754" t="s">
        <v>1723</v>
      </c>
      <c r="L189" s="1754" t="s">
        <v>1723</v>
      </c>
      <c r="M189" s="1754"/>
      <c r="N189" s="1756">
        <v>0</v>
      </c>
      <c r="O189" s="1757">
        <v>0</v>
      </c>
      <c r="P189" s="1758">
        <v>-475</v>
      </c>
      <c r="Q189" s="1759">
        <v>-1000</v>
      </c>
      <c r="R189" s="1760">
        <v>-1000</v>
      </c>
      <c r="S189" s="1760">
        <v>-336</v>
      </c>
      <c r="T189" s="1760">
        <v>-336</v>
      </c>
      <c r="U189" s="1761">
        <v>-1000</v>
      </c>
      <c r="V189" s="1762">
        <v>-500</v>
      </c>
      <c r="W189" s="1757">
        <v>-500</v>
      </c>
      <c r="Z189" s="1773">
        <f t="shared" ref="Z189:Z252" si="76">$AL189*AN189</f>
        <v>0</v>
      </c>
      <c r="AA189" s="1773">
        <f t="shared" ref="AA189:AA252" si="77">$AL189*AO189</f>
        <v>0</v>
      </c>
      <c r="AB189" s="1773">
        <f t="shared" ref="AB189:AB252" si="78">$AL189*AP189</f>
        <v>0</v>
      </c>
      <c r="AC189" s="1773">
        <f t="shared" ref="AC189:AC252" si="79">$AL189*AQ189</f>
        <v>0</v>
      </c>
      <c r="AD189" s="1773">
        <f t="shared" ref="AD189:AD252" si="80">$AL189*AR189</f>
        <v>0</v>
      </c>
      <c r="AE189" s="1773">
        <f t="shared" ref="AE189:AE252" si="81">$AL189*AS189</f>
        <v>0</v>
      </c>
      <c r="AF189" s="1773">
        <f t="shared" ref="AF189:AF252" si="82">$AL189*AT189</f>
        <v>0</v>
      </c>
      <c r="AG189" s="1773">
        <f t="shared" ref="AG189:AG252" si="83">$AL189*AU189</f>
        <v>0</v>
      </c>
      <c r="AH189" s="1773">
        <f t="shared" ref="AH189:AH252" si="84">$AL189*AV189</f>
        <v>0</v>
      </c>
      <c r="AI189" s="1773">
        <f t="shared" ref="AI189:AI252" si="85">$AL189*AW189</f>
        <v>0</v>
      </c>
      <c r="AJ189" s="1773">
        <f t="shared" ref="AJ189:AJ252" si="86">$AL189*AX189</f>
        <v>0</v>
      </c>
      <c r="AK189" s="1773">
        <f t="shared" ref="AK189:AK252" si="87">$AL189*AY189</f>
        <v>0</v>
      </c>
      <c r="AL189" s="1773">
        <f t="shared" si="52"/>
        <v>-1000</v>
      </c>
      <c r="AN189" s="1776"/>
      <c r="AO189" s="1776"/>
      <c r="AP189" s="1776"/>
      <c r="AQ189" s="1776"/>
      <c r="AR189" s="1776"/>
      <c r="AS189" s="1776"/>
      <c r="AT189" s="1776"/>
      <c r="AU189" s="1776"/>
      <c r="AV189" s="1776"/>
      <c r="AW189" s="1776"/>
      <c r="AX189" s="1776"/>
      <c r="AY189" s="1776"/>
      <c r="AZ189" s="1776">
        <v>1</v>
      </c>
    </row>
    <row r="190" spans="1:52">
      <c r="A190" s="1479" t="s">
        <v>2517</v>
      </c>
      <c r="B190" s="1479" t="s">
        <v>2518</v>
      </c>
      <c r="C190" s="1741" t="s">
        <v>2108</v>
      </c>
      <c r="D190" s="1741">
        <v>1070</v>
      </c>
      <c r="E190" s="1741">
        <v>5480</v>
      </c>
      <c r="F190" s="1741" t="s">
        <v>2155</v>
      </c>
      <c r="G190" s="1741" t="s">
        <v>2214</v>
      </c>
      <c r="H190" s="1741" t="s">
        <v>586</v>
      </c>
      <c r="I190" s="1753" t="s">
        <v>2120</v>
      </c>
      <c r="J190" s="1754"/>
      <c r="K190" s="1754" t="s">
        <v>1666</v>
      </c>
      <c r="L190" s="1754" t="s">
        <v>1666</v>
      </c>
      <c r="M190" s="1754"/>
      <c r="N190" s="1756">
        <v>0</v>
      </c>
      <c r="O190" s="1757">
        <v>0</v>
      </c>
      <c r="P190" s="1758">
        <v>-700</v>
      </c>
      <c r="Q190" s="1759">
        <v>0</v>
      </c>
      <c r="R190" s="1760">
        <v>0</v>
      </c>
      <c r="S190" s="1760">
        <v>0</v>
      </c>
      <c r="T190" s="1760">
        <v>0</v>
      </c>
      <c r="U190" s="1761">
        <v>0</v>
      </c>
      <c r="V190" s="1762">
        <v>0</v>
      </c>
      <c r="W190" s="1757">
        <v>0</v>
      </c>
      <c r="Z190" s="1773">
        <f t="shared" si="76"/>
        <v>0</v>
      </c>
      <c r="AA190" s="1773">
        <f t="shared" si="77"/>
        <v>0</v>
      </c>
      <c r="AB190" s="1773">
        <f t="shared" si="78"/>
        <v>0</v>
      </c>
      <c r="AC190" s="1773">
        <f t="shared" si="79"/>
        <v>0</v>
      </c>
      <c r="AD190" s="1773">
        <f t="shared" si="80"/>
        <v>0</v>
      </c>
      <c r="AE190" s="1773">
        <f t="shared" si="81"/>
        <v>0</v>
      </c>
      <c r="AF190" s="1773">
        <f t="shared" si="82"/>
        <v>0</v>
      </c>
      <c r="AG190" s="1773">
        <f t="shared" si="83"/>
        <v>0</v>
      </c>
      <c r="AH190" s="1773">
        <f t="shared" si="84"/>
        <v>0</v>
      </c>
      <c r="AI190" s="1773">
        <f t="shared" si="85"/>
        <v>0</v>
      </c>
      <c r="AJ190" s="1773">
        <f t="shared" si="86"/>
        <v>0</v>
      </c>
      <c r="AK190" s="1773">
        <f t="shared" si="87"/>
        <v>0</v>
      </c>
      <c r="AL190" s="1773">
        <f t="shared" si="52"/>
        <v>0</v>
      </c>
      <c r="AN190" s="1776"/>
      <c r="AO190" s="1776"/>
      <c r="AP190" s="1776"/>
      <c r="AQ190" s="1776"/>
      <c r="AR190" s="1776"/>
      <c r="AS190" s="1776"/>
      <c r="AT190" s="1776"/>
      <c r="AU190" s="1776"/>
      <c r="AV190" s="1776"/>
      <c r="AW190" s="1776"/>
      <c r="AX190" s="1776"/>
      <c r="AY190" s="1776"/>
      <c r="AZ190" s="1776">
        <v>1</v>
      </c>
    </row>
    <row r="191" spans="1:52" ht="13.5">
      <c r="A191" s="1479" t="s">
        <v>2519</v>
      </c>
      <c r="B191" s="1479" t="s">
        <v>2520</v>
      </c>
      <c r="C191" s="1741" t="s">
        <v>2108</v>
      </c>
      <c r="D191" s="1741">
        <v>1070</v>
      </c>
      <c r="E191" s="1741">
        <v>6330</v>
      </c>
      <c r="F191" s="1741" t="s">
        <v>2155</v>
      </c>
      <c r="G191" s="1741" t="s">
        <v>2214</v>
      </c>
      <c r="H191" s="1741" t="s">
        <v>586</v>
      </c>
      <c r="I191" s="1753" t="s">
        <v>2120</v>
      </c>
      <c r="J191" s="1754"/>
      <c r="K191" s="1754" t="s">
        <v>1666</v>
      </c>
      <c r="L191" s="1754" t="s">
        <v>1666</v>
      </c>
      <c r="M191" s="1763"/>
      <c r="N191" s="1756">
        <v>0</v>
      </c>
      <c r="O191" s="1757">
        <v>0</v>
      </c>
      <c r="P191" s="1758">
        <v>-34426.86</v>
      </c>
      <c r="Q191" s="1759">
        <v>-35000</v>
      </c>
      <c r="R191" s="1760">
        <v>-35000</v>
      </c>
      <c r="S191" s="1760">
        <v>-11760</v>
      </c>
      <c r="T191" s="1760">
        <v>-11760</v>
      </c>
      <c r="U191" s="1761">
        <v>-35000</v>
      </c>
      <c r="V191" s="1762">
        <v>-35000</v>
      </c>
      <c r="W191" s="1757">
        <v>-35000</v>
      </c>
      <c r="Z191" s="1773">
        <f t="shared" si="76"/>
        <v>0</v>
      </c>
      <c r="AA191" s="1773">
        <f t="shared" si="77"/>
        <v>0</v>
      </c>
      <c r="AB191" s="1773">
        <f t="shared" si="78"/>
        <v>0</v>
      </c>
      <c r="AC191" s="1773">
        <f t="shared" si="79"/>
        <v>0</v>
      </c>
      <c r="AD191" s="1773">
        <f t="shared" si="80"/>
        <v>0</v>
      </c>
      <c r="AE191" s="1773">
        <f t="shared" si="81"/>
        <v>0</v>
      </c>
      <c r="AF191" s="1773">
        <f t="shared" si="82"/>
        <v>0</v>
      </c>
      <c r="AG191" s="1773">
        <f t="shared" si="83"/>
        <v>0</v>
      </c>
      <c r="AH191" s="1773">
        <f t="shared" si="84"/>
        <v>0</v>
      </c>
      <c r="AI191" s="1773">
        <f t="shared" si="85"/>
        <v>0</v>
      </c>
      <c r="AJ191" s="1773">
        <f t="shared" si="86"/>
        <v>0</v>
      </c>
      <c r="AK191" s="1773">
        <f t="shared" si="87"/>
        <v>0</v>
      </c>
      <c r="AL191" s="1773">
        <f t="shared" si="52"/>
        <v>-35000</v>
      </c>
      <c r="AN191" s="1776"/>
      <c r="AO191" s="1776"/>
      <c r="AP191" s="1776"/>
      <c r="AQ191" s="1776"/>
      <c r="AR191" s="1776"/>
      <c r="AS191" s="1776"/>
      <c r="AT191" s="1776"/>
      <c r="AU191" s="1776"/>
      <c r="AV191" s="1776"/>
      <c r="AW191" s="1776"/>
      <c r="AX191" s="1776"/>
      <c r="AY191" s="1776"/>
      <c r="AZ191" s="1776">
        <v>1</v>
      </c>
    </row>
    <row r="192" spans="1:52" ht="13.5">
      <c r="A192" s="1479" t="s">
        <v>2521</v>
      </c>
      <c r="B192" s="1479" t="s">
        <v>2243</v>
      </c>
      <c r="C192" s="1741" t="s">
        <v>2108</v>
      </c>
      <c r="D192" s="1741">
        <v>1080</v>
      </c>
      <c r="E192" s="1741">
        <v>520</v>
      </c>
      <c r="F192" s="1741" t="s">
        <v>2222</v>
      </c>
      <c r="G192" s="1741" t="s">
        <v>2220</v>
      </c>
      <c r="H192" s="1741" t="s">
        <v>1658</v>
      </c>
      <c r="I192" s="1753" t="s">
        <v>2114</v>
      </c>
      <c r="J192" s="1754" t="s">
        <v>2138</v>
      </c>
      <c r="K192" s="1753" t="s">
        <v>2114</v>
      </c>
      <c r="L192" s="1754" t="s">
        <v>2138</v>
      </c>
      <c r="M192" s="1763"/>
      <c r="N192" s="1756">
        <v>7498.57</v>
      </c>
      <c r="O192" s="1757">
        <v>9551.9599999999991</v>
      </c>
      <c r="P192" s="1758">
        <v>10420.32</v>
      </c>
      <c r="Q192" s="1759">
        <v>14030</v>
      </c>
      <c r="R192" s="1760">
        <v>0</v>
      </c>
      <c r="S192" s="1760">
        <v>0</v>
      </c>
      <c r="T192" s="1760">
        <v>0</v>
      </c>
      <c r="U192" s="1761">
        <v>0</v>
      </c>
      <c r="V192" s="1762">
        <v>0</v>
      </c>
      <c r="W192" s="1757">
        <v>0</v>
      </c>
      <c r="Z192" s="1773">
        <f t="shared" si="76"/>
        <v>0</v>
      </c>
      <c r="AA192" s="1773">
        <f t="shared" si="77"/>
        <v>0</v>
      </c>
      <c r="AB192" s="1773">
        <f t="shared" si="78"/>
        <v>0</v>
      </c>
      <c r="AC192" s="1773">
        <f t="shared" si="79"/>
        <v>0</v>
      </c>
      <c r="AD192" s="1773">
        <f t="shared" si="80"/>
        <v>0</v>
      </c>
      <c r="AE192" s="1773">
        <f t="shared" si="81"/>
        <v>0</v>
      </c>
      <c r="AF192" s="1773">
        <f t="shared" si="82"/>
        <v>0</v>
      </c>
      <c r="AG192" s="1773">
        <f t="shared" si="83"/>
        <v>0</v>
      </c>
      <c r="AH192" s="1773">
        <f t="shared" si="84"/>
        <v>0</v>
      </c>
      <c r="AI192" s="1773">
        <f t="shared" si="85"/>
        <v>0</v>
      </c>
      <c r="AJ192" s="1773">
        <f t="shared" si="86"/>
        <v>0</v>
      </c>
      <c r="AK192" s="1773">
        <f t="shared" si="87"/>
        <v>0</v>
      </c>
      <c r="AL192" s="1773">
        <f t="shared" si="52"/>
        <v>0</v>
      </c>
      <c r="AN192" s="1776"/>
      <c r="AO192" s="1776"/>
      <c r="AP192" s="1776"/>
      <c r="AQ192" s="1776"/>
      <c r="AR192" s="1776"/>
      <c r="AS192" s="1776"/>
      <c r="AT192" s="1776"/>
      <c r="AU192" s="1776"/>
      <c r="AV192" s="1776"/>
      <c r="AW192" s="1776"/>
      <c r="AX192" s="1776"/>
      <c r="AY192" s="1776"/>
      <c r="AZ192" s="1776">
        <v>1</v>
      </c>
    </row>
    <row r="193" spans="1:52" ht="13.5">
      <c r="A193" s="1479" t="s">
        <v>2522</v>
      </c>
      <c r="B193" s="1479" t="s">
        <v>2523</v>
      </c>
      <c r="C193" s="1741" t="s">
        <v>2108</v>
      </c>
      <c r="D193" s="1741">
        <v>1080</v>
      </c>
      <c r="E193" s="1741">
        <v>680</v>
      </c>
      <c r="F193" s="1741" t="s">
        <v>2222</v>
      </c>
      <c r="G193" s="1741" t="s">
        <v>2220</v>
      </c>
      <c r="H193" s="1741" t="s">
        <v>1658</v>
      </c>
      <c r="I193" s="1753" t="s">
        <v>2114</v>
      </c>
      <c r="J193" s="1754" t="s">
        <v>3021</v>
      </c>
      <c r="K193" s="1753" t="s">
        <v>2114</v>
      </c>
      <c r="L193" s="1754" t="s">
        <v>3021</v>
      </c>
      <c r="M193" s="1763"/>
      <c r="N193" s="1756">
        <v>0</v>
      </c>
      <c r="O193" s="1757">
        <v>4187.1000000000004</v>
      </c>
      <c r="P193" s="1758">
        <v>4187.1000000000004</v>
      </c>
      <c r="Q193" s="1759">
        <v>4500</v>
      </c>
      <c r="R193" s="1760">
        <v>4500</v>
      </c>
      <c r="S193" s="1760">
        <v>6097</v>
      </c>
      <c r="T193" s="1760">
        <v>6097</v>
      </c>
      <c r="U193" s="1761">
        <v>4500</v>
      </c>
      <c r="V193" s="1762">
        <v>4500</v>
      </c>
      <c r="W193" s="1757">
        <v>4500</v>
      </c>
      <c r="Z193" s="1773">
        <f t="shared" si="76"/>
        <v>0</v>
      </c>
      <c r="AA193" s="1773">
        <f t="shared" si="77"/>
        <v>0</v>
      </c>
      <c r="AB193" s="1773">
        <f t="shared" si="78"/>
        <v>0</v>
      </c>
      <c r="AC193" s="1773">
        <f t="shared" si="79"/>
        <v>0</v>
      </c>
      <c r="AD193" s="1773">
        <f t="shared" si="80"/>
        <v>0</v>
      </c>
      <c r="AE193" s="1773">
        <f t="shared" si="81"/>
        <v>0</v>
      </c>
      <c r="AF193" s="1773">
        <f t="shared" si="82"/>
        <v>0</v>
      </c>
      <c r="AG193" s="1773">
        <f t="shared" si="83"/>
        <v>0</v>
      </c>
      <c r="AH193" s="1773">
        <f t="shared" si="84"/>
        <v>0</v>
      </c>
      <c r="AI193" s="1773">
        <f t="shared" si="85"/>
        <v>0</v>
      </c>
      <c r="AJ193" s="1773">
        <f t="shared" si="86"/>
        <v>0</v>
      </c>
      <c r="AK193" s="1773">
        <f t="shared" si="87"/>
        <v>0</v>
      </c>
      <c r="AL193" s="1773">
        <f t="shared" si="52"/>
        <v>4500</v>
      </c>
      <c r="AN193" s="1776"/>
      <c r="AO193" s="1776"/>
      <c r="AP193" s="1776"/>
      <c r="AQ193" s="1776"/>
      <c r="AR193" s="1776"/>
      <c r="AS193" s="1776"/>
      <c r="AT193" s="1776"/>
      <c r="AU193" s="1776"/>
      <c r="AV193" s="1776"/>
      <c r="AW193" s="1776"/>
      <c r="AX193" s="1776"/>
      <c r="AY193" s="1776"/>
      <c r="AZ193" s="1776">
        <v>1</v>
      </c>
    </row>
    <row r="194" spans="1:52">
      <c r="A194" t="s">
        <v>2524</v>
      </c>
      <c r="B194" t="s">
        <v>2251</v>
      </c>
      <c r="C194" s="1741" t="s">
        <v>2108</v>
      </c>
      <c r="D194" s="1741">
        <v>1080</v>
      </c>
      <c r="E194" s="1741">
        <v>1440</v>
      </c>
      <c r="F194" s="1741" t="s">
        <v>2222</v>
      </c>
      <c r="G194" s="1741" t="s">
        <v>2220</v>
      </c>
      <c r="H194" s="1741" t="s">
        <v>1658</v>
      </c>
      <c r="I194" s="1753" t="s">
        <v>2115</v>
      </c>
      <c r="J194" s="1754"/>
      <c r="K194" s="1753" t="s">
        <v>1596</v>
      </c>
      <c r="L194" s="1754" t="s">
        <v>1696</v>
      </c>
      <c r="M194" s="1754"/>
      <c r="N194" s="1756"/>
      <c r="O194" s="1757"/>
      <c r="P194" s="1758"/>
      <c r="Q194" s="1759">
        <v>600</v>
      </c>
      <c r="R194" s="1760">
        <v>600</v>
      </c>
      <c r="S194" s="1760">
        <v>67</v>
      </c>
      <c r="T194" s="1760">
        <v>67</v>
      </c>
      <c r="U194" s="1761">
        <v>600</v>
      </c>
      <c r="V194" s="1762">
        <v>600</v>
      </c>
      <c r="W194" s="1757">
        <v>600</v>
      </c>
      <c r="Z194" s="1773">
        <f t="shared" si="76"/>
        <v>0</v>
      </c>
      <c r="AA194" s="1773">
        <f t="shared" si="77"/>
        <v>0</v>
      </c>
      <c r="AB194" s="1773">
        <f t="shared" si="78"/>
        <v>0</v>
      </c>
      <c r="AC194" s="1773">
        <f t="shared" si="79"/>
        <v>0</v>
      </c>
      <c r="AD194" s="1773">
        <f t="shared" si="80"/>
        <v>0</v>
      </c>
      <c r="AE194" s="1773">
        <f t="shared" si="81"/>
        <v>0</v>
      </c>
      <c r="AF194" s="1773">
        <f t="shared" si="82"/>
        <v>0</v>
      </c>
      <c r="AG194" s="1773">
        <f t="shared" si="83"/>
        <v>0</v>
      </c>
      <c r="AH194" s="1773">
        <f t="shared" si="84"/>
        <v>0</v>
      </c>
      <c r="AI194" s="1773">
        <f t="shared" si="85"/>
        <v>0</v>
      </c>
      <c r="AJ194" s="1773">
        <f t="shared" si="86"/>
        <v>0</v>
      </c>
      <c r="AK194" s="1773">
        <f t="shared" si="87"/>
        <v>0</v>
      </c>
      <c r="AL194" s="1773">
        <f t="shared" ref="AL194:AL257" si="88">U194</f>
        <v>600</v>
      </c>
      <c r="AN194" s="1776"/>
      <c r="AO194" s="1776"/>
      <c r="AP194" s="1776"/>
      <c r="AQ194" s="1776"/>
      <c r="AR194" s="1776"/>
      <c r="AS194" s="1776"/>
      <c r="AT194" s="1776"/>
      <c r="AU194" s="1776"/>
      <c r="AV194" s="1776"/>
      <c r="AW194" s="1776"/>
      <c r="AX194" s="1776"/>
      <c r="AY194" s="1776"/>
      <c r="AZ194" s="1776">
        <v>1</v>
      </c>
    </row>
    <row r="195" spans="1:52">
      <c r="A195" s="1479" t="s">
        <v>2525</v>
      </c>
      <c r="B195" s="1479" t="s">
        <v>2253</v>
      </c>
      <c r="C195" s="1741" t="s">
        <v>2108</v>
      </c>
      <c r="D195" s="1741">
        <v>1080</v>
      </c>
      <c r="E195" s="1741">
        <v>3510</v>
      </c>
      <c r="F195" s="1741" t="s">
        <v>2222</v>
      </c>
      <c r="G195" s="1741" t="s">
        <v>2220</v>
      </c>
      <c r="H195" s="1741" t="s">
        <v>1658</v>
      </c>
      <c r="I195" s="1753" t="s">
        <v>464</v>
      </c>
      <c r="J195" s="1754"/>
      <c r="K195" s="1753" t="s">
        <v>2114</v>
      </c>
      <c r="L195" s="1754" t="s">
        <v>3029</v>
      </c>
      <c r="M195" s="1754"/>
      <c r="N195" s="1756">
        <v>1261.01</v>
      </c>
      <c r="O195" s="1757">
        <v>25342</v>
      </c>
      <c r="P195" s="1758">
        <v>2069.62</v>
      </c>
      <c r="Q195" s="1759">
        <v>50000</v>
      </c>
      <c r="R195" s="1760">
        <v>30000</v>
      </c>
      <c r="S195" s="1760">
        <v>5600</v>
      </c>
      <c r="T195" s="1760">
        <v>5600</v>
      </c>
      <c r="U195" s="1761">
        <v>30000</v>
      </c>
      <c r="V195" s="1762">
        <v>50000</v>
      </c>
      <c r="W195" s="1757">
        <v>50000</v>
      </c>
      <c r="Z195" s="1773">
        <f t="shared" si="76"/>
        <v>0</v>
      </c>
      <c r="AA195" s="1773">
        <f t="shared" si="77"/>
        <v>0</v>
      </c>
      <c r="AB195" s="1773">
        <f t="shared" si="78"/>
        <v>0</v>
      </c>
      <c r="AC195" s="1773">
        <f t="shared" si="79"/>
        <v>0</v>
      </c>
      <c r="AD195" s="1773">
        <f t="shared" si="80"/>
        <v>0</v>
      </c>
      <c r="AE195" s="1773">
        <f t="shared" si="81"/>
        <v>0</v>
      </c>
      <c r="AF195" s="1773">
        <f t="shared" si="82"/>
        <v>0</v>
      </c>
      <c r="AG195" s="1773">
        <f t="shared" si="83"/>
        <v>0</v>
      </c>
      <c r="AH195" s="1773">
        <f t="shared" si="84"/>
        <v>0</v>
      </c>
      <c r="AI195" s="1773">
        <f t="shared" si="85"/>
        <v>0</v>
      </c>
      <c r="AJ195" s="1773">
        <f t="shared" si="86"/>
        <v>0</v>
      </c>
      <c r="AK195" s="1773">
        <f t="shared" si="87"/>
        <v>0</v>
      </c>
      <c r="AL195" s="1773">
        <f t="shared" si="88"/>
        <v>30000</v>
      </c>
      <c r="AN195" s="1776"/>
      <c r="AO195" s="1776"/>
      <c r="AP195" s="1776"/>
      <c r="AQ195" s="1776"/>
      <c r="AR195" s="1776"/>
      <c r="AS195" s="1776"/>
      <c r="AT195" s="1776"/>
      <c r="AU195" s="1776"/>
      <c r="AV195" s="1776"/>
      <c r="AW195" s="1776"/>
      <c r="AX195" s="1776"/>
      <c r="AY195" s="1776"/>
      <c r="AZ195" s="1776">
        <v>1</v>
      </c>
    </row>
    <row r="196" spans="1:52" ht="13.5">
      <c r="A196" t="s">
        <v>2526</v>
      </c>
      <c r="B196" t="s">
        <v>2527</v>
      </c>
      <c r="C196" s="1741" t="s">
        <v>2108</v>
      </c>
      <c r="D196" s="1741">
        <v>1080</v>
      </c>
      <c r="E196" s="1741">
        <v>5410</v>
      </c>
      <c r="F196" s="1741" t="s">
        <v>2222</v>
      </c>
      <c r="G196" s="1741" t="s">
        <v>2220</v>
      </c>
      <c r="H196" s="1741" t="s">
        <v>586</v>
      </c>
      <c r="I196" s="1753" t="s">
        <v>2131</v>
      </c>
      <c r="J196" s="1754"/>
      <c r="K196" s="1754" t="s">
        <v>1723</v>
      </c>
      <c r="L196" s="1754" t="s">
        <v>1723</v>
      </c>
      <c r="M196" s="1439"/>
      <c r="N196" s="1756"/>
      <c r="O196" s="1757"/>
      <c r="P196" s="1758"/>
      <c r="Q196" s="1759">
        <v>-10000</v>
      </c>
      <c r="R196" s="1760">
        <v>-10000</v>
      </c>
      <c r="S196" s="1760">
        <v>-3360</v>
      </c>
      <c r="T196" s="1760">
        <v>-3360</v>
      </c>
      <c r="U196" s="1761">
        <v>-118000</v>
      </c>
      <c r="V196" s="1762">
        <f>U196*106%</f>
        <v>-125080</v>
      </c>
      <c r="W196" s="1757">
        <f>V196*106%</f>
        <v>-132584.80000000002</v>
      </c>
      <c r="Z196" s="1773">
        <f t="shared" si="76"/>
        <v>0</v>
      </c>
      <c r="AA196" s="1773">
        <f t="shared" si="77"/>
        <v>0</v>
      </c>
      <c r="AB196" s="1773">
        <f t="shared" si="78"/>
        <v>0</v>
      </c>
      <c r="AC196" s="1773">
        <f t="shared" si="79"/>
        <v>0</v>
      </c>
      <c r="AD196" s="1773">
        <f t="shared" si="80"/>
        <v>0</v>
      </c>
      <c r="AE196" s="1773">
        <f t="shared" si="81"/>
        <v>0</v>
      </c>
      <c r="AF196" s="1773">
        <f t="shared" si="82"/>
        <v>0</v>
      </c>
      <c r="AG196" s="1773">
        <f t="shared" si="83"/>
        <v>0</v>
      </c>
      <c r="AH196" s="1773">
        <f t="shared" si="84"/>
        <v>0</v>
      </c>
      <c r="AI196" s="1773">
        <f t="shared" si="85"/>
        <v>0</v>
      </c>
      <c r="AJ196" s="1773">
        <f t="shared" si="86"/>
        <v>0</v>
      </c>
      <c r="AK196" s="1773">
        <f t="shared" si="87"/>
        <v>0</v>
      </c>
      <c r="AL196" s="1773">
        <f t="shared" si="88"/>
        <v>-118000</v>
      </c>
      <c r="AN196" s="1776"/>
      <c r="AO196" s="1776"/>
      <c r="AP196" s="1776"/>
      <c r="AQ196" s="1776"/>
      <c r="AR196" s="1776"/>
      <c r="AS196" s="1776"/>
      <c r="AT196" s="1776"/>
      <c r="AU196" s="1776"/>
      <c r="AV196" s="1776"/>
      <c r="AW196" s="1776"/>
      <c r="AX196" s="1776"/>
      <c r="AY196" s="1776"/>
      <c r="AZ196" s="1776">
        <v>1</v>
      </c>
    </row>
    <row r="197" spans="1:52">
      <c r="A197" s="1479" t="s">
        <v>2528</v>
      </c>
      <c r="B197" s="1479" t="s">
        <v>2529</v>
      </c>
      <c r="C197" s="1741" t="s">
        <v>2108</v>
      </c>
      <c r="D197" s="1741">
        <v>1080</v>
      </c>
      <c r="E197" s="1741">
        <v>6260</v>
      </c>
      <c r="F197" s="1741" t="s">
        <v>2222</v>
      </c>
      <c r="G197" s="1741" t="s">
        <v>2220</v>
      </c>
      <c r="H197" s="1741" t="s">
        <v>586</v>
      </c>
      <c r="I197" s="1753" t="s">
        <v>2120</v>
      </c>
      <c r="J197" s="1754"/>
      <c r="K197" s="1754" t="s">
        <v>1666</v>
      </c>
      <c r="L197" s="1754" t="s">
        <v>1666</v>
      </c>
      <c r="M197" s="1754"/>
      <c r="N197" s="1756">
        <v>-26200</v>
      </c>
      <c r="O197" s="1757">
        <v>-8800</v>
      </c>
      <c r="P197" s="1758">
        <v>0</v>
      </c>
      <c r="Q197" s="1759">
        <v>-10000</v>
      </c>
      <c r="R197" s="1760">
        <v>-10000</v>
      </c>
      <c r="S197" s="1760">
        <v>-3360</v>
      </c>
      <c r="T197" s="1760">
        <v>-3360</v>
      </c>
      <c r="U197" s="1761">
        <v>-10000</v>
      </c>
      <c r="V197" s="1762">
        <v>-10000</v>
      </c>
      <c r="W197" s="1757">
        <v>-10000</v>
      </c>
      <c r="Z197" s="1773">
        <f t="shared" si="76"/>
        <v>0</v>
      </c>
      <c r="AA197" s="1773">
        <f t="shared" si="77"/>
        <v>0</v>
      </c>
      <c r="AB197" s="1773">
        <f t="shared" si="78"/>
        <v>0</v>
      </c>
      <c r="AC197" s="1773">
        <f t="shared" si="79"/>
        <v>0</v>
      </c>
      <c r="AD197" s="1773">
        <f t="shared" si="80"/>
        <v>0</v>
      </c>
      <c r="AE197" s="1773">
        <f t="shared" si="81"/>
        <v>0</v>
      </c>
      <c r="AF197" s="1773">
        <f t="shared" si="82"/>
        <v>0</v>
      </c>
      <c r="AG197" s="1773">
        <f t="shared" si="83"/>
        <v>0</v>
      </c>
      <c r="AH197" s="1773">
        <f t="shared" si="84"/>
        <v>0</v>
      </c>
      <c r="AI197" s="1773">
        <f t="shared" si="85"/>
        <v>0</v>
      </c>
      <c r="AJ197" s="1773">
        <f t="shared" si="86"/>
        <v>0</v>
      </c>
      <c r="AK197" s="1773">
        <f t="shared" si="87"/>
        <v>0</v>
      </c>
      <c r="AL197" s="1773">
        <f t="shared" si="88"/>
        <v>-10000</v>
      </c>
      <c r="AN197" s="1776"/>
      <c r="AO197" s="1776"/>
      <c r="AP197" s="1776"/>
      <c r="AQ197" s="1776"/>
      <c r="AR197" s="1776"/>
      <c r="AS197" s="1776"/>
      <c r="AT197" s="1776"/>
      <c r="AU197" s="1776"/>
      <c r="AV197" s="1776"/>
      <c r="AW197" s="1776"/>
      <c r="AX197" s="1776"/>
      <c r="AY197" s="1776"/>
      <c r="AZ197" s="1776">
        <v>1</v>
      </c>
    </row>
    <row r="198" spans="1:52">
      <c r="A198" s="1479" t="s">
        <v>2530</v>
      </c>
      <c r="B198" s="1479" t="s">
        <v>2243</v>
      </c>
      <c r="C198" s="1741" t="s">
        <v>2108</v>
      </c>
      <c r="D198" s="1741">
        <v>1090</v>
      </c>
      <c r="E198" s="1741">
        <v>520</v>
      </c>
      <c r="F198" s="1741" t="s">
        <v>2123</v>
      </c>
      <c r="G198" s="1741" t="s">
        <v>2224</v>
      </c>
      <c r="H198" s="1741" t="s">
        <v>1658</v>
      </c>
      <c r="I198" s="1753" t="s">
        <v>2114</v>
      </c>
      <c r="J198" s="1754" t="s">
        <v>2138</v>
      </c>
      <c r="K198" s="1753" t="s">
        <v>2114</v>
      </c>
      <c r="L198" s="1754" t="s">
        <v>2138</v>
      </c>
      <c r="M198" s="1754"/>
      <c r="N198" s="1756">
        <v>6883.32</v>
      </c>
      <c r="O198" s="1757">
        <v>8768.2000000000007</v>
      </c>
      <c r="P198" s="1758">
        <v>9565.2000000000007</v>
      </c>
      <c r="Q198" s="1759">
        <v>13800</v>
      </c>
      <c r="R198" s="1760">
        <v>0</v>
      </c>
      <c r="S198" s="1760">
        <v>0</v>
      </c>
      <c r="T198" s="1760">
        <v>0</v>
      </c>
      <c r="U198" s="1761">
        <v>0</v>
      </c>
      <c r="V198" s="1762">
        <v>0</v>
      </c>
      <c r="W198" s="1757">
        <v>0</v>
      </c>
      <c r="Z198" s="1773">
        <f t="shared" si="76"/>
        <v>0</v>
      </c>
      <c r="AA198" s="1773">
        <f t="shared" si="77"/>
        <v>0</v>
      </c>
      <c r="AB198" s="1773">
        <f t="shared" si="78"/>
        <v>0</v>
      </c>
      <c r="AC198" s="1773">
        <f t="shared" si="79"/>
        <v>0</v>
      </c>
      <c r="AD198" s="1773">
        <f t="shared" si="80"/>
        <v>0</v>
      </c>
      <c r="AE198" s="1773">
        <f t="shared" si="81"/>
        <v>0</v>
      </c>
      <c r="AF198" s="1773">
        <f t="shared" si="82"/>
        <v>0</v>
      </c>
      <c r="AG198" s="1773">
        <f t="shared" si="83"/>
        <v>0</v>
      </c>
      <c r="AH198" s="1773">
        <f t="shared" si="84"/>
        <v>0</v>
      </c>
      <c r="AI198" s="1773">
        <f t="shared" si="85"/>
        <v>0</v>
      </c>
      <c r="AJ198" s="1773">
        <f t="shared" si="86"/>
        <v>0</v>
      </c>
      <c r="AK198" s="1773">
        <f t="shared" si="87"/>
        <v>0</v>
      </c>
      <c r="AL198" s="1773">
        <f t="shared" si="88"/>
        <v>0</v>
      </c>
      <c r="AN198" s="1776"/>
      <c r="AO198" s="1776"/>
      <c r="AP198" s="1776"/>
      <c r="AQ198" s="1776"/>
      <c r="AR198" s="1776"/>
      <c r="AS198" s="1776"/>
      <c r="AT198" s="1776"/>
      <c r="AU198" s="1776"/>
      <c r="AV198" s="1776"/>
      <c r="AW198" s="1776"/>
      <c r="AX198" s="1776"/>
      <c r="AY198" s="1776"/>
      <c r="AZ198" s="1776">
        <v>1</v>
      </c>
    </row>
    <row r="199" spans="1:52">
      <c r="A199" s="1479" t="s">
        <v>2531</v>
      </c>
      <c r="B199" s="1479" t="s">
        <v>2239</v>
      </c>
      <c r="C199" s="1741" t="s">
        <v>2108</v>
      </c>
      <c r="D199" s="1741">
        <v>1090</v>
      </c>
      <c r="E199" s="1741">
        <v>540</v>
      </c>
      <c r="F199" s="1741" t="s">
        <v>2123</v>
      </c>
      <c r="G199" s="1741" t="s">
        <v>2224</v>
      </c>
      <c r="H199" s="1741" t="s">
        <v>1658</v>
      </c>
      <c r="I199" s="1753" t="s">
        <v>3003</v>
      </c>
      <c r="J199" s="1754" t="s">
        <v>2111</v>
      </c>
      <c r="K199" s="1753" t="s">
        <v>497</v>
      </c>
      <c r="L199" s="1754" t="s">
        <v>1159</v>
      </c>
      <c r="M199" s="1754"/>
      <c r="N199" s="1756">
        <v>0</v>
      </c>
      <c r="O199" s="1757">
        <v>0</v>
      </c>
      <c r="P199" s="1758">
        <v>105000</v>
      </c>
      <c r="Q199" s="1759">
        <v>0</v>
      </c>
      <c r="R199" s="1760">
        <v>0</v>
      </c>
      <c r="S199" s="1760">
        <v>0</v>
      </c>
      <c r="T199" s="1760">
        <v>0</v>
      </c>
      <c r="U199" s="1761">
        <v>0</v>
      </c>
      <c r="V199" s="1762">
        <v>0</v>
      </c>
      <c r="W199" s="1757">
        <v>0</v>
      </c>
      <c r="Z199" s="1773">
        <f t="shared" si="76"/>
        <v>0</v>
      </c>
      <c r="AA199" s="1773">
        <f t="shared" si="77"/>
        <v>0</v>
      </c>
      <c r="AB199" s="1773">
        <f t="shared" si="78"/>
        <v>0</v>
      </c>
      <c r="AC199" s="1773">
        <f t="shared" si="79"/>
        <v>0</v>
      </c>
      <c r="AD199" s="1773">
        <f t="shared" si="80"/>
        <v>0</v>
      </c>
      <c r="AE199" s="1773">
        <f t="shared" si="81"/>
        <v>0</v>
      </c>
      <c r="AF199" s="1773">
        <f t="shared" si="82"/>
        <v>0</v>
      </c>
      <c r="AG199" s="1773">
        <f t="shared" si="83"/>
        <v>0</v>
      </c>
      <c r="AH199" s="1773">
        <f t="shared" si="84"/>
        <v>0</v>
      </c>
      <c r="AI199" s="1773">
        <f t="shared" si="85"/>
        <v>0</v>
      </c>
      <c r="AJ199" s="1773">
        <f t="shared" si="86"/>
        <v>0</v>
      </c>
      <c r="AK199" s="1773">
        <f t="shared" si="87"/>
        <v>0</v>
      </c>
      <c r="AL199" s="1773">
        <f t="shared" si="88"/>
        <v>0</v>
      </c>
      <c r="AN199" s="1776"/>
      <c r="AO199" s="1776"/>
      <c r="AP199" s="1776"/>
      <c r="AQ199" s="1776"/>
      <c r="AR199" s="1776"/>
      <c r="AS199" s="1776"/>
      <c r="AT199" s="1776"/>
      <c r="AU199" s="1776"/>
      <c r="AV199" s="1776"/>
      <c r="AW199" s="1776"/>
      <c r="AX199" s="1776"/>
      <c r="AY199" s="1776"/>
      <c r="AZ199" s="1776">
        <v>1</v>
      </c>
    </row>
    <row r="200" spans="1:52">
      <c r="A200" s="1479" t="s">
        <v>2532</v>
      </c>
      <c r="B200" s="1479" t="s">
        <v>2283</v>
      </c>
      <c r="C200" s="1741" t="s">
        <v>2108</v>
      </c>
      <c r="D200" s="1741">
        <v>1090</v>
      </c>
      <c r="E200" s="1741">
        <v>570</v>
      </c>
      <c r="F200" s="1741" t="s">
        <v>2123</v>
      </c>
      <c r="G200" s="1741" t="s">
        <v>2224</v>
      </c>
      <c r="H200" s="1741" t="s">
        <v>1658</v>
      </c>
      <c r="I200" s="1753" t="s">
        <v>2114</v>
      </c>
      <c r="J200" s="1754" t="s">
        <v>3010</v>
      </c>
      <c r="K200" s="1753" t="s">
        <v>2114</v>
      </c>
      <c r="L200" s="1753" t="s">
        <v>3010</v>
      </c>
      <c r="M200" s="1754"/>
      <c r="N200" s="1756">
        <v>7880.78</v>
      </c>
      <c r="O200" s="1757">
        <v>4973.66</v>
      </c>
      <c r="P200" s="1758">
        <v>2493.58</v>
      </c>
      <c r="Q200" s="1759">
        <v>5100</v>
      </c>
      <c r="R200" s="1760">
        <v>2000</v>
      </c>
      <c r="S200" s="1760">
        <v>1088</v>
      </c>
      <c r="T200" s="1760">
        <v>1088</v>
      </c>
      <c r="U200" s="1761">
        <v>2000</v>
      </c>
      <c r="V200" s="1762">
        <v>2000</v>
      </c>
      <c r="W200" s="1757">
        <v>2000</v>
      </c>
      <c r="Z200" s="1773">
        <f t="shared" si="76"/>
        <v>0</v>
      </c>
      <c r="AA200" s="1773">
        <f t="shared" si="77"/>
        <v>0</v>
      </c>
      <c r="AB200" s="1773">
        <f t="shared" si="78"/>
        <v>0</v>
      </c>
      <c r="AC200" s="1773">
        <f t="shared" si="79"/>
        <v>0</v>
      </c>
      <c r="AD200" s="1773">
        <f t="shared" si="80"/>
        <v>0</v>
      </c>
      <c r="AE200" s="1773">
        <f t="shared" si="81"/>
        <v>0</v>
      </c>
      <c r="AF200" s="1773">
        <f t="shared" si="82"/>
        <v>0</v>
      </c>
      <c r="AG200" s="1773">
        <f t="shared" si="83"/>
        <v>0</v>
      </c>
      <c r="AH200" s="1773">
        <f t="shared" si="84"/>
        <v>0</v>
      </c>
      <c r="AI200" s="1773">
        <f t="shared" si="85"/>
        <v>0</v>
      </c>
      <c r="AJ200" s="1773">
        <f t="shared" si="86"/>
        <v>0</v>
      </c>
      <c r="AK200" s="1773">
        <f t="shared" si="87"/>
        <v>0</v>
      </c>
      <c r="AL200" s="1773">
        <f t="shared" si="88"/>
        <v>2000</v>
      </c>
      <c r="AN200" s="1776"/>
      <c r="AO200" s="1776"/>
      <c r="AP200" s="1776"/>
      <c r="AQ200" s="1776"/>
      <c r="AR200" s="1776"/>
      <c r="AS200" s="1776"/>
      <c r="AT200" s="1776"/>
      <c r="AU200" s="1776"/>
      <c r="AV200" s="1776"/>
      <c r="AW200" s="1776"/>
      <c r="AX200" s="1776"/>
      <c r="AY200" s="1776"/>
      <c r="AZ200" s="1776">
        <v>1</v>
      </c>
    </row>
    <row r="201" spans="1:52">
      <c r="A201" t="s">
        <v>2533</v>
      </c>
      <c r="B201" t="s">
        <v>2245</v>
      </c>
      <c r="C201" s="1741" t="s">
        <v>2108</v>
      </c>
      <c r="D201" s="1741">
        <v>1090</v>
      </c>
      <c r="E201" s="1741">
        <v>650</v>
      </c>
      <c r="F201" s="1741" t="s">
        <v>2123</v>
      </c>
      <c r="G201" s="1741" t="s">
        <v>2224</v>
      </c>
      <c r="H201" s="1741" t="s">
        <v>1658</v>
      </c>
      <c r="I201" s="1753" t="s">
        <v>2114</v>
      </c>
      <c r="J201" s="1754" t="s">
        <v>3006</v>
      </c>
      <c r="K201" s="1753" t="s">
        <v>2114</v>
      </c>
      <c r="L201" s="1753" t="s">
        <v>3006</v>
      </c>
      <c r="M201" s="1754"/>
      <c r="N201" s="1756"/>
      <c r="O201" s="1757"/>
      <c r="P201" s="1758"/>
      <c r="Q201" s="1759">
        <v>10000</v>
      </c>
      <c r="R201" s="1760">
        <v>10000</v>
      </c>
      <c r="S201" s="1760">
        <v>3795</v>
      </c>
      <c r="T201" s="1760">
        <v>3795</v>
      </c>
      <c r="U201" s="1761">
        <v>30000</v>
      </c>
      <c r="V201" s="1762">
        <v>30000</v>
      </c>
      <c r="W201" s="1757">
        <v>30000</v>
      </c>
      <c r="Z201" s="1773">
        <f t="shared" si="76"/>
        <v>0</v>
      </c>
      <c r="AA201" s="1773">
        <f t="shared" si="77"/>
        <v>0</v>
      </c>
      <c r="AB201" s="1773">
        <f t="shared" si="78"/>
        <v>0</v>
      </c>
      <c r="AC201" s="1773">
        <f t="shared" si="79"/>
        <v>0</v>
      </c>
      <c r="AD201" s="1773">
        <f t="shared" si="80"/>
        <v>0</v>
      </c>
      <c r="AE201" s="1773">
        <f t="shared" si="81"/>
        <v>0</v>
      </c>
      <c r="AF201" s="1773">
        <f t="shared" si="82"/>
        <v>0</v>
      </c>
      <c r="AG201" s="1773">
        <f t="shared" si="83"/>
        <v>0</v>
      </c>
      <c r="AH201" s="1773">
        <f t="shared" si="84"/>
        <v>0</v>
      </c>
      <c r="AI201" s="1773">
        <f t="shared" si="85"/>
        <v>0</v>
      </c>
      <c r="AJ201" s="1773">
        <f t="shared" si="86"/>
        <v>0</v>
      </c>
      <c r="AK201" s="1773">
        <f t="shared" si="87"/>
        <v>0</v>
      </c>
      <c r="AL201" s="1773">
        <f t="shared" si="88"/>
        <v>30000</v>
      </c>
      <c r="AN201" s="1776"/>
      <c r="AO201" s="1776"/>
      <c r="AP201" s="1776"/>
      <c r="AQ201" s="1776"/>
      <c r="AR201" s="1776"/>
      <c r="AS201" s="1776"/>
      <c r="AT201" s="1776"/>
      <c r="AU201" s="1776"/>
      <c r="AV201" s="1776"/>
      <c r="AW201" s="1776"/>
      <c r="AX201" s="1776"/>
      <c r="AY201" s="1776"/>
      <c r="AZ201" s="1776">
        <v>1</v>
      </c>
    </row>
    <row r="202" spans="1:52">
      <c r="A202" s="1479" t="s">
        <v>2534</v>
      </c>
      <c r="B202" s="1479" t="s">
        <v>2523</v>
      </c>
      <c r="C202" s="1741" t="s">
        <v>2108</v>
      </c>
      <c r="D202" s="1741">
        <v>1090</v>
      </c>
      <c r="E202" s="1741">
        <v>680</v>
      </c>
      <c r="F202" s="1741" t="s">
        <v>2123</v>
      </c>
      <c r="G202" s="1741" t="s">
        <v>2224</v>
      </c>
      <c r="H202" s="1741" t="s">
        <v>1658</v>
      </c>
      <c r="I202" s="1753" t="s">
        <v>2114</v>
      </c>
      <c r="J202" s="1754" t="s">
        <v>3021</v>
      </c>
      <c r="K202" s="1753" t="s">
        <v>2114</v>
      </c>
      <c r="L202" s="1754" t="s">
        <v>3021</v>
      </c>
      <c r="M202" s="1754"/>
      <c r="N202" s="1756">
        <v>39607.72</v>
      </c>
      <c r="O202" s="1757">
        <v>258945.83</v>
      </c>
      <c r="P202" s="1758">
        <v>116143.57</v>
      </c>
      <c r="Q202" s="1759">
        <v>110000</v>
      </c>
      <c r="R202" s="1760">
        <v>110000</v>
      </c>
      <c r="S202" s="1760">
        <v>169094</v>
      </c>
      <c r="T202" s="1760">
        <v>169094</v>
      </c>
      <c r="U202" s="1761">
        <v>140000</v>
      </c>
      <c r="V202" s="1762">
        <f>U202*106%</f>
        <v>148400</v>
      </c>
      <c r="W202" s="1757">
        <f>V202*106%</f>
        <v>157304</v>
      </c>
      <c r="Z202" s="1773">
        <f t="shared" si="76"/>
        <v>0</v>
      </c>
      <c r="AA202" s="1773">
        <f t="shared" si="77"/>
        <v>0</v>
      </c>
      <c r="AB202" s="1773">
        <f t="shared" si="78"/>
        <v>0</v>
      </c>
      <c r="AC202" s="1773">
        <f t="shared" si="79"/>
        <v>0</v>
      </c>
      <c r="AD202" s="1773">
        <f t="shared" si="80"/>
        <v>0</v>
      </c>
      <c r="AE202" s="1773">
        <f t="shared" si="81"/>
        <v>0</v>
      </c>
      <c r="AF202" s="1773">
        <f t="shared" si="82"/>
        <v>0</v>
      </c>
      <c r="AG202" s="1773">
        <f t="shared" si="83"/>
        <v>0</v>
      </c>
      <c r="AH202" s="1773">
        <f t="shared" si="84"/>
        <v>0</v>
      </c>
      <c r="AI202" s="1773">
        <f t="shared" si="85"/>
        <v>0</v>
      </c>
      <c r="AJ202" s="1773">
        <f t="shared" si="86"/>
        <v>0</v>
      </c>
      <c r="AK202" s="1773">
        <f t="shared" si="87"/>
        <v>0</v>
      </c>
      <c r="AL202" s="1773">
        <f t="shared" si="88"/>
        <v>140000</v>
      </c>
      <c r="AN202" s="1776"/>
      <c r="AO202" s="1776"/>
      <c r="AP202" s="1776"/>
      <c r="AQ202" s="1776"/>
      <c r="AR202" s="1776"/>
      <c r="AS202" s="1776"/>
      <c r="AT202" s="1776"/>
      <c r="AU202" s="1776"/>
      <c r="AV202" s="1776"/>
      <c r="AW202" s="1776"/>
      <c r="AX202" s="1776"/>
      <c r="AY202" s="1776"/>
      <c r="AZ202" s="1776">
        <v>1</v>
      </c>
    </row>
    <row r="203" spans="1:52">
      <c r="A203" s="1479" t="s">
        <v>2535</v>
      </c>
      <c r="B203" s="1479" t="s">
        <v>2288</v>
      </c>
      <c r="C203" s="1741" t="s">
        <v>2108</v>
      </c>
      <c r="D203" s="1741">
        <v>1090</v>
      </c>
      <c r="E203" s="1741">
        <v>690</v>
      </c>
      <c r="F203" s="1741" t="s">
        <v>2123</v>
      </c>
      <c r="G203" s="1741" t="s">
        <v>2224</v>
      </c>
      <c r="H203" s="1741" t="s">
        <v>1658</v>
      </c>
      <c r="I203" s="1753" t="s">
        <v>2114</v>
      </c>
      <c r="J203" s="1754" t="s">
        <v>2124</v>
      </c>
      <c r="K203" s="1753" t="s">
        <v>2114</v>
      </c>
      <c r="L203" s="1754" t="s">
        <v>2124</v>
      </c>
      <c r="M203" s="1754"/>
      <c r="N203" s="1756">
        <v>558.26</v>
      </c>
      <c r="O203" s="1757">
        <v>0</v>
      </c>
      <c r="P203" s="1758">
        <v>0</v>
      </c>
      <c r="Q203" s="1759">
        <v>0</v>
      </c>
      <c r="R203" s="1760">
        <v>0</v>
      </c>
      <c r="S203" s="1760">
        <v>0</v>
      </c>
      <c r="T203" s="1760">
        <v>0</v>
      </c>
      <c r="U203" s="1761">
        <v>0</v>
      </c>
      <c r="V203" s="1762">
        <v>0</v>
      </c>
      <c r="W203" s="1757">
        <v>0</v>
      </c>
      <c r="Z203" s="1773">
        <f t="shared" si="76"/>
        <v>0</v>
      </c>
      <c r="AA203" s="1773">
        <f t="shared" si="77"/>
        <v>0</v>
      </c>
      <c r="AB203" s="1773">
        <f t="shared" si="78"/>
        <v>0</v>
      </c>
      <c r="AC203" s="1773">
        <f t="shared" si="79"/>
        <v>0</v>
      </c>
      <c r="AD203" s="1773">
        <f t="shared" si="80"/>
        <v>0</v>
      </c>
      <c r="AE203" s="1773">
        <f t="shared" si="81"/>
        <v>0</v>
      </c>
      <c r="AF203" s="1773">
        <f t="shared" si="82"/>
        <v>0</v>
      </c>
      <c r="AG203" s="1773">
        <f t="shared" si="83"/>
        <v>0</v>
      </c>
      <c r="AH203" s="1773">
        <f t="shared" si="84"/>
        <v>0</v>
      </c>
      <c r="AI203" s="1773">
        <f t="shared" si="85"/>
        <v>0</v>
      </c>
      <c r="AJ203" s="1773">
        <f t="shared" si="86"/>
        <v>0</v>
      </c>
      <c r="AK203" s="1773">
        <f t="shared" si="87"/>
        <v>0</v>
      </c>
      <c r="AL203" s="1773">
        <f t="shared" si="88"/>
        <v>0</v>
      </c>
      <c r="AN203" s="1776"/>
      <c r="AO203" s="1776"/>
      <c r="AP203" s="1776"/>
      <c r="AQ203" s="1776"/>
      <c r="AR203" s="1776"/>
      <c r="AS203" s="1776"/>
      <c r="AT203" s="1776"/>
      <c r="AU203" s="1776"/>
      <c r="AV203" s="1776"/>
      <c r="AW203" s="1776"/>
      <c r="AX203" s="1776"/>
      <c r="AY203" s="1776"/>
      <c r="AZ203" s="1776">
        <v>1</v>
      </c>
    </row>
    <row r="204" spans="1:52">
      <c r="A204" s="1479" t="s">
        <v>2536</v>
      </c>
      <c r="B204" s="1479" t="s">
        <v>2247</v>
      </c>
      <c r="C204" s="1741" t="s">
        <v>2108</v>
      </c>
      <c r="D204" s="1741">
        <v>1090</v>
      </c>
      <c r="E204" s="1741">
        <v>790</v>
      </c>
      <c r="F204" s="1741" t="s">
        <v>2123</v>
      </c>
      <c r="G204" s="1741" t="s">
        <v>2224</v>
      </c>
      <c r="H204" s="1741" t="s">
        <v>1658</v>
      </c>
      <c r="I204" s="1753" t="s">
        <v>2114</v>
      </c>
      <c r="J204" s="1754" t="s">
        <v>3007</v>
      </c>
      <c r="K204" s="1753" t="s">
        <v>2114</v>
      </c>
      <c r="L204" s="1754" t="s">
        <v>3007</v>
      </c>
      <c r="M204" s="1754"/>
      <c r="N204" s="1760">
        <v>267134.03000000003</v>
      </c>
      <c r="O204" s="1757">
        <v>299840.71000000002</v>
      </c>
      <c r="P204" s="1758">
        <v>368333.37</v>
      </c>
      <c r="Q204" s="1759">
        <v>445000</v>
      </c>
      <c r="R204" s="1760">
        <v>345000</v>
      </c>
      <c r="S204" s="1760">
        <v>390507</v>
      </c>
      <c r="T204" s="1760">
        <v>390507</v>
      </c>
      <c r="U204" s="1761">
        <v>360000</v>
      </c>
      <c r="V204" s="1762">
        <v>450000</v>
      </c>
      <c r="W204" s="1757">
        <v>460000</v>
      </c>
      <c r="Z204" s="1773">
        <f t="shared" si="76"/>
        <v>0</v>
      </c>
      <c r="AA204" s="1773">
        <f t="shared" si="77"/>
        <v>0</v>
      </c>
      <c r="AB204" s="1773">
        <f t="shared" si="78"/>
        <v>0</v>
      </c>
      <c r="AC204" s="1773">
        <f t="shared" si="79"/>
        <v>0</v>
      </c>
      <c r="AD204" s="1773">
        <f t="shared" si="80"/>
        <v>0</v>
      </c>
      <c r="AE204" s="1773">
        <f t="shared" si="81"/>
        <v>0</v>
      </c>
      <c r="AF204" s="1773">
        <f t="shared" si="82"/>
        <v>0</v>
      </c>
      <c r="AG204" s="1773">
        <f t="shared" si="83"/>
        <v>0</v>
      </c>
      <c r="AH204" s="1773">
        <f t="shared" si="84"/>
        <v>0</v>
      </c>
      <c r="AI204" s="1773">
        <f t="shared" si="85"/>
        <v>0</v>
      </c>
      <c r="AJ204" s="1773">
        <f t="shared" si="86"/>
        <v>0</v>
      </c>
      <c r="AK204" s="1773">
        <f t="shared" si="87"/>
        <v>0</v>
      </c>
      <c r="AL204" s="1773">
        <f t="shared" si="88"/>
        <v>360000</v>
      </c>
      <c r="AN204" s="1776"/>
      <c r="AO204" s="1776"/>
      <c r="AP204" s="1776"/>
      <c r="AQ204" s="1776"/>
      <c r="AR204" s="1776"/>
      <c r="AS204" s="1776"/>
      <c r="AT204" s="1776"/>
      <c r="AU204" s="1776"/>
      <c r="AV204" s="1776"/>
      <c r="AW204" s="1776"/>
      <c r="AX204" s="1776"/>
      <c r="AY204" s="1776"/>
      <c r="AZ204" s="1776">
        <v>1</v>
      </c>
    </row>
    <row r="205" spans="1:52">
      <c r="A205" s="1479" t="s">
        <v>2537</v>
      </c>
      <c r="B205" s="1479" t="s">
        <v>2538</v>
      </c>
      <c r="C205" s="1741" t="s">
        <v>2108</v>
      </c>
      <c r="D205" s="1741">
        <v>1090</v>
      </c>
      <c r="E205" s="1741">
        <v>810</v>
      </c>
      <c r="F205" s="1741" t="s">
        <v>2123</v>
      </c>
      <c r="G205" s="1741" t="s">
        <v>2224</v>
      </c>
      <c r="H205" s="1741" t="s">
        <v>1658</v>
      </c>
      <c r="I205" s="1753" t="s">
        <v>2114</v>
      </c>
      <c r="J205" s="1754"/>
      <c r="K205" s="1753" t="s">
        <v>2114</v>
      </c>
      <c r="L205" s="1754" t="s">
        <v>502</v>
      </c>
      <c r="M205" s="1754"/>
      <c r="N205" s="1756">
        <v>80847.05</v>
      </c>
      <c r="O205" s="1757">
        <v>101185.42</v>
      </c>
      <c r="P205" s="1758">
        <v>82751.77</v>
      </c>
      <c r="Q205" s="1759">
        <v>102500</v>
      </c>
      <c r="R205" s="1760">
        <v>102500</v>
      </c>
      <c r="S205" s="1760">
        <v>64232</v>
      </c>
      <c r="T205" s="1760">
        <v>64232</v>
      </c>
      <c r="U205" s="1761">
        <v>90000</v>
      </c>
      <c r="V205" s="1762">
        <v>102600</v>
      </c>
      <c r="W205" s="1757">
        <v>102700</v>
      </c>
      <c r="Z205" s="1773">
        <f t="shared" si="76"/>
        <v>0</v>
      </c>
      <c r="AA205" s="1773">
        <f t="shared" si="77"/>
        <v>0</v>
      </c>
      <c r="AB205" s="1773">
        <f t="shared" si="78"/>
        <v>0</v>
      </c>
      <c r="AC205" s="1773">
        <f t="shared" si="79"/>
        <v>0</v>
      </c>
      <c r="AD205" s="1773">
        <f t="shared" si="80"/>
        <v>0</v>
      </c>
      <c r="AE205" s="1773">
        <f t="shared" si="81"/>
        <v>0</v>
      </c>
      <c r="AF205" s="1773">
        <f t="shared" si="82"/>
        <v>0</v>
      </c>
      <c r="AG205" s="1773">
        <f t="shared" si="83"/>
        <v>0</v>
      </c>
      <c r="AH205" s="1773">
        <f t="shared" si="84"/>
        <v>0</v>
      </c>
      <c r="AI205" s="1773">
        <f t="shared" si="85"/>
        <v>0</v>
      </c>
      <c r="AJ205" s="1773">
        <f t="shared" si="86"/>
        <v>0</v>
      </c>
      <c r="AK205" s="1773">
        <f t="shared" si="87"/>
        <v>0</v>
      </c>
      <c r="AL205" s="1773">
        <f t="shared" si="88"/>
        <v>90000</v>
      </c>
      <c r="AN205" s="1776"/>
      <c r="AO205" s="1776"/>
      <c r="AP205" s="1776"/>
      <c r="AQ205" s="1776"/>
      <c r="AR205" s="1776"/>
      <c r="AS205" s="1776"/>
      <c r="AT205" s="1776"/>
      <c r="AU205" s="1776"/>
      <c r="AV205" s="1776"/>
      <c r="AW205" s="1776"/>
      <c r="AX205" s="1776"/>
      <c r="AY205" s="1776"/>
      <c r="AZ205" s="1776">
        <v>1</v>
      </c>
    </row>
    <row r="206" spans="1:52">
      <c r="A206" s="1479" t="s">
        <v>2539</v>
      </c>
      <c r="B206" s="1479" t="s">
        <v>2540</v>
      </c>
      <c r="C206" s="1741" t="s">
        <v>2108</v>
      </c>
      <c r="D206" s="1741">
        <v>1090</v>
      </c>
      <c r="E206" s="1741">
        <v>820</v>
      </c>
      <c r="F206" s="1741" t="s">
        <v>2123</v>
      </c>
      <c r="G206" s="1741" t="s">
        <v>2224</v>
      </c>
      <c r="H206" s="1741" t="s">
        <v>1658</v>
      </c>
      <c r="I206" s="1753" t="s">
        <v>2114</v>
      </c>
      <c r="J206" s="1754"/>
      <c r="K206" s="1753" t="s">
        <v>2114</v>
      </c>
      <c r="L206" s="1754" t="s">
        <v>502</v>
      </c>
      <c r="M206" s="1754"/>
      <c r="N206" s="1756">
        <v>0</v>
      </c>
      <c r="O206" s="1757">
        <v>69768.820000000007</v>
      </c>
      <c r="P206" s="1758">
        <v>0</v>
      </c>
      <c r="Q206" s="1759">
        <v>140000</v>
      </c>
      <c r="R206" s="1760">
        <v>140000</v>
      </c>
      <c r="S206" s="1760">
        <v>15680</v>
      </c>
      <c r="T206" s="1760">
        <v>15680</v>
      </c>
      <c r="U206" s="1761">
        <v>85000</v>
      </c>
      <c r="V206" s="1762">
        <v>140000</v>
      </c>
      <c r="W206" s="1757">
        <v>140000</v>
      </c>
      <c r="Z206" s="1773">
        <f t="shared" si="76"/>
        <v>0</v>
      </c>
      <c r="AA206" s="1773">
        <f t="shared" si="77"/>
        <v>0</v>
      </c>
      <c r="AB206" s="1773">
        <f t="shared" si="78"/>
        <v>0</v>
      </c>
      <c r="AC206" s="1773">
        <f t="shared" si="79"/>
        <v>0</v>
      </c>
      <c r="AD206" s="1773">
        <f t="shared" si="80"/>
        <v>0</v>
      </c>
      <c r="AE206" s="1773">
        <f t="shared" si="81"/>
        <v>0</v>
      </c>
      <c r="AF206" s="1773">
        <f t="shared" si="82"/>
        <v>0</v>
      </c>
      <c r="AG206" s="1773">
        <f t="shared" si="83"/>
        <v>0</v>
      </c>
      <c r="AH206" s="1773">
        <f t="shared" si="84"/>
        <v>0</v>
      </c>
      <c r="AI206" s="1773">
        <f t="shared" si="85"/>
        <v>0</v>
      </c>
      <c r="AJ206" s="1773">
        <f t="shared" si="86"/>
        <v>0</v>
      </c>
      <c r="AK206" s="1773">
        <f t="shared" si="87"/>
        <v>0</v>
      </c>
      <c r="AL206" s="1773">
        <f t="shared" si="88"/>
        <v>85000</v>
      </c>
      <c r="AN206" s="1776"/>
      <c r="AO206" s="1776"/>
      <c r="AP206" s="1776"/>
      <c r="AQ206" s="1776"/>
      <c r="AR206" s="1776"/>
      <c r="AS206" s="1776"/>
      <c r="AT206" s="1776"/>
      <c r="AU206" s="1776"/>
      <c r="AV206" s="1776"/>
      <c r="AW206" s="1776"/>
      <c r="AX206" s="1776"/>
      <c r="AY206" s="1776"/>
      <c r="AZ206" s="1776">
        <v>1</v>
      </c>
    </row>
    <row r="207" spans="1:52">
      <c r="A207" s="1479" t="s">
        <v>2541</v>
      </c>
      <c r="B207" s="1479" t="s">
        <v>2542</v>
      </c>
      <c r="C207" s="1741" t="s">
        <v>2108</v>
      </c>
      <c r="D207" s="1741">
        <v>1090</v>
      </c>
      <c r="E207" s="1741">
        <v>830</v>
      </c>
      <c r="F207" s="1741" t="s">
        <v>2123</v>
      </c>
      <c r="G207" s="1741" t="s">
        <v>2224</v>
      </c>
      <c r="H207" s="1741" t="s">
        <v>1658</v>
      </c>
      <c r="I207" s="1753" t="s">
        <v>2114</v>
      </c>
      <c r="J207" s="1754" t="s">
        <v>3022</v>
      </c>
      <c r="K207" s="1753" t="s">
        <v>2114</v>
      </c>
      <c r="L207" s="1754" t="s">
        <v>3022</v>
      </c>
      <c r="M207" s="1754"/>
      <c r="N207" s="1756">
        <v>8715.91</v>
      </c>
      <c r="O207" s="1757">
        <v>30269.599999999999</v>
      </c>
      <c r="P207" s="1758">
        <v>19588.91</v>
      </c>
      <c r="Q207" s="1759">
        <v>100000</v>
      </c>
      <c r="R207" s="1760">
        <v>100000</v>
      </c>
      <c r="S207" s="1760">
        <v>19702</v>
      </c>
      <c r="T207" s="1760">
        <v>19702</v>
      </c>
      <c r="U207" s="1761">
        <v>90000</v>
      </c>
      <c r="V207" s="1762">
        <v>120000</v>
      </c>
      <c r="W207" s="1757">
        <v>150000</v>
      </c>
      <c r="Z207" s="1773">
        <f t="shared" si="76"/>
        <v>0</v>
      </c>
      <c r="AA207" s="1773">
        <f t="shared" si="77"/>
        <v>0</v>
      </c>
      <c r="AB207" s="1773">
        <f t="shared" si="78"/>
        <v>0</v>
      </c>
      <c r="AC207" s="1773">
        <f t="shared" si="79"/>
        <v>0</v>
      </c>
      <c r="AD207" s="1773">
        <f t="shared" si="80"/>
        <v>0</v>
      </c>
      <c r="AE207" s="1773">
        <f t="shared" si="81"/>
        <v>0</v>
      </c>
      <c r="AF207" s="1773">
        <f t="shared" si="82"/>
        <v>0</v>
      </c>
      <c r="AG207" s="1773">
        <f t="shared" si="83"/>
        <v>0</v>
      </c>
      <c r="AH207" s="1773">
        <f t="shared" si="84"/>
        <v>0</v>
      </c>
      <c r="AI207" s="1773">
        <f t="shared" si="85"/>
        <v>0</v>
      </c>
      <c r="AJ207" s="1773">
        <f t="shared" si="86"/>
        <v>0</v>
      </c>
      <c r="AK207" s="1773">
        <f t="shared" si="87"/>
        <v>0</v>
      </c>
      <c r="AL207" s="1773">
        <f t="shared" si="88"/>
        <v>90000</v>
      </c>
      <c r="AN207" s="1776"/>
      <c r="AO207" s="1776"/>
      <c r="AP207" s="1776"/>
      <c r="AQ207" s="1776"/>
      <c r="AR207" s="1776"/>
      <c r="AS207" s="1776"/>
      <c r="AT207" s="1776"/>
      <c r="AU207" s="1776"/>
      <c r="AV207" s="1776"/>
      <c r="AW207" s="1776"/>
      <c r="AX207" s="1776"/>
      <c r="AY207" s="1776"/>
      <c r="AZ207" s="1776">
        <v>1</v>
      </c>
    </row>
    <row r="208" spans="1:52">
      <c r="A208" s="1479" t="s">
        <v>2543</v>
      </c>
      <c r="B208" s="1479" t="s">
        <v>2544</v>
      </c>
      <c r="C208" s="1741" t="s">
        <v>2108</v>
      </c>
      <c r="D208" s="1741">
        <v>1090</v>
      </c>
      <c r="E208" s="1741">
        <v>980</v>
      </c>
      <c r="F208" s="1741" t="s">
        <v>2123</v>
      </c>
      <c r="G208" s="1741" t="s">
        <v>2224</v>
      </c>
      <c r="H208" s="1741" t="s">
        <v>1658</v>
      </c>
      <c r="I208" s="1753" t="s">
        <v>2114</v>
      </c>
      <c r="J208" s="1754" t="s">
        <v>3023</v>
      </c>
      <c r="K208" s="1753" t="s">
        <v>2114</v>
      </c>
      <c r="L208" s="1754" t="s">
        <v>3023</v>
      </c>
      <c r="M208" s="1754"/>
      <c r="N208" s="1756">
        <v>78487.39</v>
      </c>
      <c r="O208" s="1757">
        <v>97846.22</v>
      </c>
      <c r="P208" s="1758">
        <v>64779.42</v>
      </c>
      <c r="Q208" s="1759">
        <v>280275</v>
      </c>
      <c r="R208" s="1760">
        <v>280275</v>
      </c>
      <c r="S208" s="1760">
        <v>154444</v>
      </c>
      <c r="T208" s="1760">
        <v>154444</v>
      </c>
      <c r="U208" s="1761">
        <v>310883.54938799993</v>
      </c>
      <c r="V208" s="1762">
        <f>U208*108%</f>
        <v>335754.23333903996</v>
      </c>
      <c r="W208" s="1757">
        <f>V208*108%</f>
        <v>362614.57200616319</v>
      </c>
      <c r="Z208" s="1773">
        <f t="shared" si="76"/>
        <v>0</v>
      </c>
      <c r="AA208" s="1773">
        <f t="shared" si="77"/>
        <v>0</v>
      </c>
      <c r="AB208" s="1773">
        <f t="shared" si="78"/>
        <v>0</v>
      </c>
      <c r="AC208" s="1773">
        <f t="shared" si="79"/>
        <v>0</v>
      </c>
      <c r="AD208" s="1773">
        <f t="shared" si="80"/>
        <v>0</v>
      </c>
      <c r="AE208" s="1773">
        <f t="shared" si="81"/>
        <v>0</v>
      </c>
      <c r="AF208" s="1773">
        <f t="shared" si="82"/>
        <v>0</v>
      </c>
      <c r="AG208" s="1773">
        <f t="shared" si="83"/>
        <v>0</v>
      </c>
      <c r="AH208" s="1773">
        <f t="shared" si="84"/>
        <v>0</v>
      </c>
      <c r="AI208" s="1773">
        <f t="shared" si="85"/>
        <v>0</v>
      </c>
      <c r="AJ208" s="1773">
        <f t="shared" si="86"/>
        <v>0</v>
      </c>
      <c r="AK208" s="1773">
        <f t="shared" si="87"/>
        <v>0</v>
      </c>
      <c r="AL208" s="1773">
        <f t="shared" si="88"/>
        <v>310883.54938799993</v>
      </c>
      <c r="AN208" s="1776"/>
      <c r="AO208" s="1776"/>
      <c r="AP208" s="1776"/>
      <c r="AQ208" s="1776"/>
      <c r="AR208" s="1776"/>
      <c r="AS208" s="1776"/>
      <c r="AT208" s="1776"/>
      <c r="AU208" s="1776"/>
      <c r="AV208" s="1776"/>
      <c r="AW208" s="1776"/>
      <c r="AX208" s="1776"/>
      <c r="AY208" s="1776"/>
      <c r="AZ208" s="1776">
        <v>1</v>
      </c>
    </row>
    <row r="209" spans="1:52">
      <c r="A209" s="1479" t="s">
        <v>2545</v>
      </c>
      <c r="B209" s="1479" t="s">
        <v>2546</v>
      </c>
      <c r="C209" s="1741" t="s">
        <v>2108</v>
      </c>
      <c r="D209" s="1741">
        <v>1090</v>
      </c>
      <c r="E209" s="1741">
        <v>1000</v>
      </c>
      <c r="F209" s="1741" t="s">
        <v>2123</v>
      </c>
      <c r="G209" s="1741" t="s">
        <v>2224</v>
      </c>
      <c r="H209" s="1741" t="s">
        <v>1658</v>
      </c>
      <c r="I209" s="1753" t="s">
        <v>2114</v>
      </c>
      <c r="J209" s="1754" t="s">
        <v>2546</v>
      </c>
      <c r="K209" s="1753" t="s">
        <v>2114</v>
      </c>
      <c r="L209" s="1754" t="s">
        <v>3015</v>
      </c>
      <c r="M209" s="1754"/>
      <c r="N209" s="1756">
        <v>0</v>
      </c>
      <c r="O209" s="1757">
        <v>0</v>
      </c>
      <c r="P209" s="1758">
        <v>137000</v>
      </c>
      <c r="Q209" s="1759">
        <v>0</v>
      </c>
      <c r="R209" s="1760">
        <v>0</v>
      </c>
      <c r="S209" s="1760">
        <v>0</v>
      </c>
      <c r="T209" s="1760">
        <v>0</v>
      </c>
      <c r="U209" s="1761">
        <v>0</v>
      </c>
      <c r="V209" s="1762">
        <v>0</v>
      </c>
      <c r="W209" s="1757">
        <v>0</v>
      </c>
      <c r="Z209" s="1773">
        <f t="shared" si="76"/>
        <v>0</v>
      </c>
      <c r="AA209" s="1773">
        <f t="shared" si="77"/>
        <v>0</v>
      </c>
      <c r="AB209" s="1773">
        <f t="shared" si="78"/>
        <v>0</v>
      </c>
      <c r="AC209" s="1773">
        <f t="shared" si="79"/>
        <v>0</v>
      </c>
      <c r="AD209" s="1773">
        <f t="shared" si="80"/>
        <v>0</v>
      </c>
      <c r="AE209" s="1773">
        <f t="shared" si="81"/>
        <v>0</v>
      </c>
      <c r="AF209" s="1773">
        <f t="shared" si="82"/>
        <v>0</v>
      </c>
      <c r="AG209" s="1773">
        <f t="shared" si="83"/>
        <v>0</v>
      </c>
      <c r="AH209" s="1773">
        <f t="shared" si="84"/>
        <v>0</v>
      </c>
      <c r="AI209" s="1773">
        <f t="shared" si="85"/>
        <v>0</v>
      </c>
      <c r="AJ209" s="1773">
        <f t="shared" si="86"/>
        <v>0</v>
      </c>
      <c r="AK209" s="1773">
        <f t="shared" si="87"/>
        <v>0</v>
      </c>
      <c r="AL209" s="1773">
        <f t="shared" si="88"/>
        <v>0</v>
      </c>
      <c r="AN209" s="1776"/>
      <c r="AO209" s="1776"/>
      <c r="AP209" s="1776"/>
      <c r="AQ209" s="1776"/>
      <c r="AR209" s="1776"/>
      <c r="AS209" s="1776"/>
      <c r="AT209" s="1776"/>
      <c r="AU209" s="1776"/>
      <c r="AV209" s="1776"/>
      <c r="AW209" s="1776"/>
      <c r="AX209" s="1776"/>
      <c r="AY209" s="1776"/>
      <c r="AZ209" s="1776">
        <v>1</v>
      </c>
    </row>
    <row r="210" spans="1:52" ht="13.5">
      <c r="A210" s="1479" t="s">
        <v>2547</v>
      </c>
      <c r="B210" s="1479" t="s">
        <v>2548</v>
      </c>
      <c r="C210" s="1741" t="s">
        <v>2108</v>
      </c>
      <c r="D210" s="1741">
        <v>1090</v>
      </c>
      <c r="E210" s="1741">
        <v>1010</v>
      </c>
      <c r="F210" s="1741" t="s">
        <v>2123</v>
      </c>
      <c r="G210" s="1741" t="s">
        <v>2224</v>
      </c>
      <c r="H210" s="1741" t="s">
        <v>1658</v>
      </c>
      <c r="I210" s="1753" t="s">
        <v>2114</v>
      </c>
      <c r="J210" s="1754"/>
      <c r="K210" s="1753" t="s">
        <v>2114</v>
      </c>
      <c r="L210" s="1754" t="s">
        <v>502</v>
      </c>
      <c r="M210" s="1755"/>
      <c r="N210" s="1756">
        <v>32870.160000000003</v>
      </c>
      <c r="O210" s="1757">
        <v>32030</v>
      </c>
      <c r="P210" s="1758">
        <v>43560.71</v>
      </c>
      <c r="Q210" s="1759">
        <v>55000</v>
      </c>
      <c r="R210" s="1760">
        <v>55000</v>
      </c>
      <c r="S210" s="1760">
        <v>40797</v>
      </c>
      <c r="T210" s="1760">
        <v>40797</v>
      </c>
      <c r="U210" s="1761">
        <v>60000</v>
      </c>
      <c r="V210" s="1762">
        <v>65000</v>
      </c>
      <c r="W210" s="1757">
        <v>70000</v>
      </c>
      <c r="Z210" s="1773">
        <f t="shared" si="76"/>
        <v>0</v>
      </c>
      <c r="AA210" s="1773">
        <f t="shared" si="77"/>
        <v>0</v>
      </c>
      <c r="AB210" s="1773">
        <f t="shared" si="78"/>
        <v>0</v>
      </c>
      <c r="AC210" s="1773">
        <f t="shared" si="79"/>
        <v>0</v>
      </c>
      <c r="AD210" s="1773">
        <f t="shared" si="80"/>
        <v>0</v>
      </c>
      <c r="AE210" s="1773">
        <f t="shared" si="81"/>
        <v>0</v>
      </c>
      <c r="AF210" s="1773">
        <f t="shared" si="82"/>
        <v>0</v>
      </c>
      <c r="AG210" s="1773">
        <f t="shared" si="83"/>
        <v>0</v>
      </c>
      <c r="AH210" s="1773">
        <f t="shared" si="84"/>
        <v>0</v>
      </c>
      <c r="AI210" s="1773">
        <f t="shared" si="85"/>
        <v>0</v>
      </c>
      <c r="AJ210" s="1773">
        <f t="shared" si="86"/>
        <v>0</v>
      </c>
      <c r="AK210" s="1773">
        <f t="shared" si="87"/>
        <v>0</v>
      </c>
      <c r="AL210" s="1773">
        <f t="shared" si="88"/>
        <v>60000</v>
      </c>
      <c r="AN210" s="1776"/>
      <c r="AO210" s="1776"/>
      <c r="AP210" s="1776"/>
      <c r="AQ210" s="1776"/>
      <c r="AR210" s="1776"/>
      <c r="AS210" s="1776"/>
      <c r="AT210" s="1776"/>
      <c r="AU210" s="1776"/>
      <c r="AV210" s="1776"/>
      <c r="AW210" s="1776"/>
      <c r="AX210" s="1776"/>
      <c r="AY210" s="1776"/>
      <c r="AZ210" s="1776">
        <v>1</v>
      </c>
    </row>
    <row r="211" spans="1:52" ht="13.5">
      <c r="A211" t="s">
        <v>2549</v>
      </c>
      <c r="B211" t="s">
        <v>2550</v>
      </c>
      <c r="C211" s="1741" t="s">
        <v>2108</v>
      </c>
      <c r="D211" s="1741">
        <v>1090</v>
      </c>
      <c r="E211" s="1741">
        <v>1011</v>
      </c>
      <c r="F211" s="1741" t="s">
        <v>2123</v>
      </c>
      <c r="G211" s="1741" t="s">
        <v>2224</v>
      </c>
      <c r="H211" s="1741" t="s">
        <v>1658</v>
      </c>
      <c r="I211" s="1753" t="s">
        <v>2114</v>
      </c>
      <c r="J211" s="1754"/>
      <c r="K211" s="1753" t="s">
        <v>2114</v>
      </c>
      <c r="L211" s="1754" t="s">
        <v>502</v>
      </c>
      <c r="M211" s="1755"/>
      <c r="N211" s="1756"/>
      <c r="O211" s="1757"/>
      <c r="P211" s="1758"/>
      <c r="Q211" s="1759">
        <v>0</v>
      </c>
      <c r="R211" s="1760">
        <v>0</v>
      </c>
      <c r="S211" s="1760">
        <v>350305</v>
      </c>
      <c r="T211" s="1760">
        <v>350305</v>
      </c>
      <c r="U211" s="1761">
        <v>200000</v>
      </c>
      <c r="V211" s="1762">
        <v>0</v>
      </c>
      <c r="W211" s="1757">
        <v>0</v>
      </c>
      <c r="Z211" s="1773">
        <f t="shared" si="76"/>
        <v>0</v>
      </c>
      <c r="AA211" s="1773">
        <f t="shared" si="77"/>
        <v>0</v>
      </c>
      <c r="AB211" s="1773">
        <f t="shared" si="78"/>
        <v>0</v>
      </c>
      <c r="AC211" s="1773">
        <f t="shared" si="79"/>
        <v>0</v>
      </c>
      <c r="AD211" s="1773">
        <f t="shared" si="80"/>
        <v>0</v>
      </c>
      <c r="AE211" s="1773">
        <f t="shared" si="81"/>
        <v>0</v>
      </c>
      <c r="AF211" s="1773">
        <f t="shared" si="82"/>
        <v>0</v>
      </c>
      <c r="AG211" s="1773">
        <f t="shared" si="83"/>
        <v>0</v>
      </c>
      <c r="AH211" s="1773">
        <f t="shared" si="84"/>
        <v>0</v>
      </c>
      <c r="AI211" s="1773">
        <f t="shared" si="85"/>
        <v>0</v>
      </c>
      <c r="AJ211" s="1773">
        <f t="shared" si="86"/>
        <v>0</v>
      </c>
      <c r="AK211" s="1773">
        <f t="shared" si="87"/>
        <v>0</v>
      </c>
      <c r="AL211" s="1773">
        <f t="shared" si="88"/>
        <v>200000</v>
      </c>
      <c r="AN211" s="1776"/>
      <c r="AO211" s="1776"/>
      <c r="AP211" s="1776"/>
      <c r="AQ211" s="1776"/>
      <c r="AR211" s="1776"/>
      <c r="AS211" s="1776"/>
      <c r="AT211" s="1776"/>
      <c r="AU211" s="1776"/>
      <c r="AV211" s="1776"/>
      <c r="AW211" s="1776"/>
      <c r="AX211" s="1776"/>
      <c r="AY211" s="1776"/>
      <c r="AZ211" s="1776">
        <v>1</v>
      </c>
    </row>
    <row r="212" spans="1:52" ht="13.5">
      <c r="A212" t="s">
        <v>2551</v>
      </c>
      <c r="B212" t="s">
        <v>2552</v>
      </c>
      <c r="C212" s="1741" t="s">
        <v>2108</v>
      </c>
      <c r="D212" s="1741">
        <v>1090</v>
      </c>
      <c r="E212" s="1741">
        <v>1040</v>
      </c>
      <c r="F212" s="1741" t="s">
        <v>2123</v>
      </c>
      <c r="G212" s="1741" t="s">
        <v>2224</v>
      </c>
      <c r="H212" s="1741" t="s">
        <v>1658</v>
      </c>
      <c r="I212" s="1753" t="s">
        <v>2114</v>
      </c>
      <c r="J212" s="1754"/>
      <c r="K212" s="1753" t="s">
        <v>2114</v>
      </c>
      <c r="L212" s="1754" t="s">
        <v>502</v>
      </c>
      <c r="M212" s="1755"/>
      <c r="N212" s="1756"/>
      <c r="O212" s="1757"/>
      <c r="P212" s="1758"/>
      <c r="Q212" s="1759">
        <v>100000</v>
      </c>
      <c r="R212" s="1760">
        <v>100000</v>
      </c>
      <c r="S212" s="1760">
        <v>11200</v>
      </c>
      <c r="T212" s="1760">
        <v>11200</v>
      </c>
      <c r="U212" s="1761">
        <v>100000</v>
      </c>
      <c r="V212" s="1762">
        <v>100000</v>
      </c>
      <c r="W212" s="1757">
        <v>100000</v>
      </c>
      <c r="Z212" s="1773">
        <f t="shared" si="76"/>
        <v>0</v>
      </c>
      <c r="AA212" s="1773">
        <f t="shared" si="77"/>
        <v>0</v>
      </c>
      <c r="AB212" s="1773">
        <f t="shared" si="78"/>
        <v>0</v>
      </c>
      <c r="AC212" s="1773">
        <f t="shared" si="79"/>
        <v>0</v>
      </c>
      <c r="AD212" s="1773">
        <f t="shared" si="80"/>
        <v>0</v>
      </c>
      <c r="AE212" s="1773">
        <f t="shared" si="81"/>
        <v>0</v>
      </c>
      <c r="AF212" s="1773">
        <f t="shared" si="82"/>
        <v>0</v>
      </c>
      <c r="AG212" s="1773">
        <f t="shared" si="83"/>
        <v>0</v>
      </c>
      <c r="AH212" s="1773">
        <f t="shared" si="84"/>
        <v>0</v>
      </c>
      <c r="AI212" s="1773">
        <f t="shared" si="85"/>
        <v>0</v>
      </c>
      <c r="AJ212" s="1773">
        <f t="shared" si="86"/>
        <v>0</v>
      </c>
      <c r="AK212" s="1773">
        <f t="shared" si="87"/>
        <v>0</v>
      </c>
      <c r="AL212" s="1773">
        <f t="shared" si="88"/>
        <v>100000</v>
      </c>
      <c r="AN212" s="1776"/>
      <c r="AO212" s="1776"/>
      <c r="AP212" s="1776"/>
      <c r="AQ212" s="1776"/>
      <c r="AR212" s="1776"/>
      <c r="AS212" s="1776"/>
      <c r="AT212" s="1776"/>
      <c r="AU212" s="1776"/>
      <c r="AV212" s="1776"/>
      <c r="AW212" s="1776"/>
      <c r="AX212" s="1776"/>
      <c r="AY212" s="1776"/>
      <c r="AZ212" s="1776">
        <v>1</v>
      </c>
    </row>
    <row r="213" spans="1:52" ht="13.5">
      <c r="A213" s="1479" t="s">
        <v>2553</v>
      </c>
      <c r="B213" s="1479" t="s">
        <v>2554</v>
      </c>
      <c r="C213" s="1741" t="s">
        <v>2108</v>
      </c>
      <c r="D213" s="1741">
        <v>1090</v>
      </c>
      <c r="E213" s="1741">
        <v>1050</v>
      </c>
      <c r="F213" s="1741" t="s">
        <v>2123</v>
      </c>
      <c r="G213" s="1741" t="s">
        <v>2224</v>
      </c>
      <c r="H213" s="1741" t="s">
        <v>1658</v>
      </c>
      <c r="I213" s="1753" t="s">
        <v>2127</v>
      </c>
      <c r="J213" s="1754"/>
      <c r="K213" s="1754" t="s">
        <v>555</v>
      </c>
      <c r="L213" s="1754" t="s">
        <v>555</v>
      </c>
      <c r="M213" s="1755"/>
      <c r="N213" s="1756">
        <v>1271785.81</v>
      </c>
      <c r="O213" s="1757">
        <v>1422017.14</v>
      </c>
      <c r="P213" s="1758">
        <v>1513951.65</v>
      </c>
      <c r="Q213" s="1759">
        <v>1600000</v>
      </c>
      <c r="R213" s="1760">
        <v>1600000</v>
      </c>
      <c r="S213" s="1760">
        <v>1602145</v>
      </c>
      <c r="T213" s="1760">
        <v>1602145</v>
      </c>
      <c r="U213" s="1761">
        <v>1650000</v>
      </c>
      <c r="V213" s="1762">
        <v>1700000</v>
      </c>
      <c r="W213" s="1757">
        <v>1800000</v>
      </c>
      <c r="Z213" s="1773">
        <f t="shared" si="76"/>
        <v>0</v>
      </c>
      <c r="AA213" s="1773">
        <f t="shared" si="77"/>
        <v>0</v>
      </c>
      <c r="AB213" s="1773">
        <f t="shared" si="78"/>
        <v>0</v>
      </c>
      <c r="AC213" s="1773">
        <f t="shared" si="79"/>
        <v>0</v>
      </c>
      <c r="AD213" s="1773">
        <f t="shared" si="80"/>
        <v>0</v>
      </c>
      <c r="AE213" s="1773">
        <f t="shared" si="81"/>
        <v>0</v>
      </c>
      <c r="AF213" s="1773">
        <f t="shared" si="82"/>
        <v>0</v>
      </c>
      <c r="AG213" s="1773">
        <f t="shared" si="83"/>
        <v>0</v>
      </c>
      <c r="AH213" s="1773">
        <f t="shared" si="84"/>
        <v>0</v>
      </c>
      <c r="AI213" s="1773">
        <f t="shared" si="85"/>
        <v>0</v>
      </c>
      <c r="AJ213" s="1773">
        <f t="shared" si="86"/>
        <v>0</v>
      </c>
      <c r="AK213" s="1773">
        <f t="shared" si="87"/>
        <v>0</v>
      </c>
      <c r="AL213" s="1773">
        <f t="shared" si="88"/>
        <v>1650000</v>
      </c>
      <c r="AN213" s="1776"/>
      <c r="AO213" s="1776"/>
      <c r="AP213" s="1776"/>
      <c r="AQ213" s="1776"/>
      <c r="AR213" s="1776"/>
      <c r="AS213" s="1776"/>
      <c r="AT213" s="1776"/>
      <c r="AU213" s="1776"/>
      <c r="AV213" s="1776"/>
      <c r="AW213" s="1776"/>
      <c r="AX213" s="1776"/>
      <c r="AY213" s="1776"/>
      <c r="AZ213" s="1776">
        <v>1</v>
      </c>
    </row>
    <row r="214" spans="1:52" ht="13.5">
      <c r="A214" s="1479" t="s">
        <v>2555</v>
      </c>
      <c r="B214" s="1479" t="s">
        <v>2556</v>
      </c>
      <c r="C214" s="1741" t="s">
        <v>2108</v>
      </c>
      <c r="D214" s="1741">
        <v>1090</v>
      </c>
      <c r="E214" s="1741">
        <v>1070</v>
      </c>
      <c r="F214" s="1741" t="s">
        <v>2123</v>
      </c>
      <c r="G214" s="1741" t="s">
        <v>2224</v>
      </c>
      <c r="H214" s="1741" t="s">
        <v>1658</v>
      </c>
      <c r="I214" s="1753" t="s">
        <v>3003</v>
      </c>
      <c r="J214" s="1754" t="s">
        <v>2110</v>
      </c>
      <c r="K214" s="1753" t="s">
        <v>497</v>
      </c>
      <c r="L214" s="1754" t="s">
        <v>1159</v>
      </c>
      <c r="M214" s="1755"/>
      <c r="N214" s="1756">
        <v>205388</v>
      </c>
      <c r="O214" s="1757">
        <v>233857.6</v>
      </c>
      <c r="P214" s="1758">
        <v>262582.55</v>
      </c>
      <c r="Q214" s="1759">
        <v>312425</v>
      </c>
      <c r="R214" s="1760">
        <v>595000</v>
      </c>
      <c r="S214" s="1760">
        <v>341687</v>
      </c>
      <c r="T214" s="1760">
        <v>341687</v>
      </c>
      <c r="U214" s="1761">
        <v>600000</v>
      </c>
      <c r="V214" s="1762">
        <v>334295</v>
      </c>
      <c r="W214" s="1757">
        <v>357695</v>
      </c>
      <c r="Z214" s="1773">
        <f t="shared" si="76"/>
        <v>0</v>
      </c>
      <c r="AA214" s="1773">
        <f t="shared" si="77"/>
        <v>0</v>
      </c>
      <c r="AB214" s="1773">
        <f t="shared" si="78"/>
        <v>0</v>
      </c>
      <c r="AC214" s="1773">
        <f t="shared" si="79"/>
        <v>0</v>
      </c>
      <c r="AD214" s="1773">
        <f t="shared" si="80"/>
        <v>0</v>
      </c>
      <c r="AE214" s="1773">
        <f t="shared" si="81"/>
        <v>0</v>
      </c>
      <c r="AF214" s="1773">
        <f t="shared" si="82"/>
        <v>0</v>
      </c>
      <c r="AG214" s="1773">
        <f t="shared" si="83"/>
        <v>0</v>
      </c>
      <c r="AH214" s="1773">
        <f t="shared" si="84"/>
        <v>0</v>
      </c>
      <c r="AI214" s="1773">
        <f t="shared" si="85"/>
        <v>0</v>
      </c>
      <c r="AJ214" s="1773">
        <f t="shared" si="86"/>
        <v>0</v>
      </c>
      <c r="AK214" s="1773">
        <f t="shared" si="87"/>
        <v>0</v>
      </c>
      <c r="AL214" s="1773">
        <f t="shared" si="88"/>
        <v>600000</v>
      </c>
      <c r="AN214" s="1776"/>
      <c r="AO214" s="1776"/>
      <c r="AP214" s="1776"/>
      <c r="AQ214" s="1776"/>
      <c r="AR214" s="1776"/>
      <c r="AS214" s="1776"/>
      <c r="AT214" s="1776"/>
      <c r="AU214" s="1776"/>
      <c r="AV214" s="1776"/>
      <c r="AW214" s="1776"/>
      <c r="AX214" s="1776"/>
      <c r="AY214" s="1776"/>
      <c r="AZ214" s="1776">
        <v>1</v>
      </c>
    </row>
    <row r="215" spans="1:52" ht="13.5">
      <c r="A215" s="1479" t="s">
        <v>2557</v>
      </c>
      <c r="B215" s="1479" t="s">
        <v>2558</v>
      </c>
      <c r="C215" s="1741" t="s">
        <v>2108</v>
      </c>
      <c r="D215" s="1741">
        <v>1090</v>
      </c>
      <c r="E215" s="1741">
        <v>1130</v>
      </c>
      <c r="F215" s="1741" t="s">
        <v>2123</v>
      </c>
      <c r="G215" s="1741" t="s">
        <v>2224</v>
      </c>
      <c r="H215" s="1741" t="s">
        <v>1658</v>
      </c>
      <c r="I215" s="1753" t="s">
        <v>2127</v>
      </c>
      <c r="J215" s="1754"/>
      <c r="K215" s="1754" t="s">
        <v>555</v>
      </c>
      <c r="L215" s="1754" t="s">
        <v>555</v>
      </c>
      <c r="M215" s="1755"/>
      <c r="N215" s="1756">
        <v>151654.35</v>
      </c>
      <c r="O215" s="1757">
        <v>169380.83</v>
      </c>
      <c r="P215" s="1758">
        <v>179436.21</v>
      </c>
      <c r="Q215" s="1759">
        <v>180000</v>
      </c>
      <c r="R215" s="1760">
        <v>180000</v>
      </c>
      <c r="S215" s="1760">
        <v>181745</v>
      </c>
      <c r="T215" s="1760">
        <v>181745</v>
      </c>
      <c r="U215" s="1761">
        <v>200000</v>
      </c>
      <c r="V215" s="1762">
        <f>U215*108%</f>
        <v>216000</v>
      </c>
      <c r="W215" s="1757">
        <f>V215*108%</f>
        <v>233280.00000000003</v>
      </c>
      <c r="Z215" s="1773">
        <f t="shared" si="76"/>
        <v>0</v>
      </c>
      <c r="AA215" s="1773">
        <f t="shared" si="77"/>
        <v>0</v>
      </c>
      <c r="AB215" s="1773">
        <f t="shared" si="78"/>
        <v>0</v>
      </c>
      <c r="AC215" s="1773">
        <f t="shared" si="79"/>
        <v>0</v>
      </c>
      <c r="AD215" s="1773">
        <f t="shared" si="80"/>
        <v>0</v>
      </c>
      <c r="AE215" s="1773">
        <f t="shared" si="81"/>
        <v>0</v>
      </c>
      <c r="AF215" s="1773">
        <f t="shared" si="82"/>
        <v>0</v>
      </c>
      <c r="AG215" s="1773">
        <f t="shared" si="83"/>
        <v>0</v>
      </c>
      <c r="AH215" s="1773">
        <f t="shared" si="84"/>
        <v>0</v>
      </c>
      <c r="AI215" s="1773">
        <f t="shared" si="85"/>
        <v>0</v>
      </c>
      <c r="AJ215" s="1773">
        <f t="shared" si="86"/>
        <v>0</v>
      </c>
      <c r="AK215" s="1773">
        <f t="shared" si="87"/>
        <v>0</v>
      </c>
      <c r="AL215" s="1773">
        <f t="shared" si="88"/>
        <v>200000</v>
      </c>
      <c r="AN215" s="1776"/>
      <c r="AO215" s="1776"/>
      <c r="AP215" s="1776"/>
      <c r="AQ215" s="1776"/>
      <c r="AR215" s="1776"/>
      <c r="AS215" s="1776"/>
      <c r="AT215" s="1776"/>
      <c r="AU215" s="1776"/>
      <c r="AV215" s="1776"/>
      <c r="AW215" s="1776"/>
      <c r="AX215" s="1776"/>
      <c r="AY215" s="1776"/>
      <c r="AZ215" s="1776">
        <v>1</v>
      </c>
    </row>
    <row r="216" spans="1:52" ht="13.5">
      <c r="A216" s="1479" t="s">
        <v>2559</v>
      </c>
      <c r="B216" s="1479" t="s">
        <v>2443</v>
      </c>
      <c r="C216" s="1741" t="s">
        <v>2108</v>
      </c>
      <c r="D216" s="1741">
        <v>1090</v>
      </c>
      <c r="E216" s="1741">
        <v>1180</v>
      </c>
      <c r="F216" s="1741" t="s">
        <v>2123</v>
      </c>
      <c r="G216" s="1741" t="s">
        <v>2224</v>
      </c>
      <c r="H216" s="1741" t="s">
        <v>1658</v>
      </c>
      <c r="I216" s="1753" t="s">
        <v>2114</v>
      </c>
      <c r="J216" s="1754"/>
      <c r="K216" s="1753" t="s">
        <v>2114</v>
      </c>
      <c r="L216" s="1754" t="s">
        <v>502</v>
      </c>
      <c r="M216" s="1755"/>
      <c r="N216" s="1756"/>
      <c r="O216" s="1757"/>
      <c r="P216" s="1758"/>
      <c r="Q216" s="1759"/>
      <c r="R216" s="1760">
        <v>1000</v>
      </c>
      <c r="S216" s="1760">
        <v>0</v>
      </c>
      <c r="T216" s="1760">
        <v>0</v>
      </c>
      <c r="U216" s="1761">
        <v>5000</v>
      </c>
      <c r="V216" s="1762">
        <v>0</v>
      </c>
      <c r="W216" s="1757">
        <v>0</v>
      </c>
      <c r="Z216" s="1773">
        <f t="shared" si="76"/>
        <v>0</v>
      </c>
      <c r="AA216" s="1773">
        <f t="shared" si="77"/>
        <v>0</v>
      </c>
      <c r="AB216" s="1773">
        <f t="shared" si="78"/>
        <v>0</v>
      </c>
      <c r="AC216" s="1773">
        <f t="shared" si="79"/>
        <v>0</v>
      </c>
      <c r="AD216" s="1773">
        <f t="shared" si="80"/>
        <v>0</v>
      </c>
      <c r="AE216" s="1773">
        <f t="shared" si="81"/>
        <v>0</v>
      </c>
      <c r="AF216" s="1773">
        <f t="shared" si="82"/>
        <v>0</v>
      </c>
      <c r="AG216" s="1773">
        <f t="shared" si="83"/>
        <v>0</v>
      </c>
      <c r="AH216" s="1773">
        <f t="shared" si="84"/>
        <v>0</v>
      </c>
      <c r="AI216" s="1773">
        <f t="shared" si="85"/>
        <v>0</v>
      </c>
      <c r="AJ216" s="1773">
        <f t="shared" si="86"/>
        <v>0</v>
      </c>
      <c r="AK216" s="1773">
        <f t="shared" si="87"/>
        <v>0</v>
      </c>
      <c r="AL216" s="1773">
        <f t="shared" si="88"/>
        <v>5000</v>
      </c>
      <c r="AN216" s="1776"/>
      <c r="AO216" s="1776"/>
      <c r="AP216" s="1776"/>
      <c r="AQ216" s="1776"/>
      <c r="AR216" s="1776"/>
      <c r="AS216" s="1776"/>
      <c r="AT216" s="1776"/>
      <c r="AU216" s="1776"/>
      <c r="AV216" s="1776"/>
      <c r="AW216" s="1776"/>
      <c r="AX216" s="1776"/>
      <c r="AY216" s="1776"/>
      <c r="AZ216" s="1776">
        <v>1</v>
      </c>
    </row>
    <row r="217" spans="1:52" ht="13.5">
      <c r="A217" t="s">
        <v>2560</v>
      </c>
      <c r="B217" t="s">
        <v>2251</v>
      </c>
      <c r="C217" s="1741" t="s">
        <v>2108</v>
      </c>
      <c r="D217" s="1741">
        <v>1090</v>
      </c>
      <c r="E217" s="1741">
        <v>1440</v>
      </c>
      <c r="F217" s="1741" t="s">
        <v>2123</v>
      </c>
      <c r="G217" s="1741" t="s">
        <v>2224</v>
      </c>
      <c r="H217" s="1741" t="s">
        <v>1658</v>
      </c>
      <c r="I217" s="1753" t="s">
        <v>2115</v>
      </c>
      <c r="J217" s="1754"/>
      <c r="K217" s="1753" t="s">
        <v>1596</v>
      </c>
      <c r="L217" s="1754" t="s">
        <v>1696</v>
      </c>
      <c r="M217" s="1755"/>
      <c r="N217" s="1756"/>
      <c r="O217" s="1757"/>
      <c r="P217" s="1758"/>
      <c r="Q217" s="1759">
        <v>3000</v>
      </c>
      <c r="R217" s="1760">
        <v>3000</v>
      </c>
      <c r="S217" s="1760">
        <v>336</v>
      </c>
      <c r="T217" s="1760">
        <v>336</v>
      </c>
      <c r="U217" s="1761">
        <v>5000</v>
      </c>
      <c r="V217" s="1762">
        <v>3000</v>
      </c>
      <c r="W217" s="1757">
        <v>3000</v>
      </c>
      <c r="Z217" s="1773">
        <f t="shared" si="76"/>
        <v>0</v>
      </c>
      <c r="AA217" s="1773">
        <f t="shared" si="77"/>
        <v>0</v>
      </c>
      <c r="AB217" s="1773">
        <f t="shared" si="78"/>
        <v>0</v>
      </c>
      <c r="AC217" s="1773">
        <f t="shared" si="79"/>
        <v>0</v>
      </c>
      <c r="AD217" s="1773">
        <f t="shared" si="80"/>
        <v>0</v>
      </c>
      <c r="AE217" s="1773">
        <f t="shared" si="81"/>
        <v>0</v>
      </c>
      <c r="AF217" s="1773">
        <f t="shared" si="82"/>
        <v>0</v>
      </c>
      <c r="AG217" s="1773">
        <f t="shared" si="83"/>
        <v>0</v>
      </c>
      <c r="AH217" s="1773">
        <f t="shared" si="84"/>
        <v>0</v>
      </c>
      <c r="AI217" s="1773">
        <f t="shared" si="85"/>
        <v>0</v>
      </c>
      <c r="AJ217" s="1773">
        <f t="shared" si="86"/>
        <v>0</v>
      </c>
      <c r="AK217" s="1773">
        <f t="shared" si="87"/>
        <v>0</v>
      </c>
      <c r="AL217" s="1773">
        <f t="shared" si="88"/>
        <v>5000</v>
      </c>
      <c r="AN217" s="1776"/>
      <c r="AO217" s="1776"/>
      <c r="AP217" s="1776"/>
      <c r="AQ217" s="1776"/>
      <c r="AR217" s="1776"/>
      <c r="AS217" s="1776"/>
      <c r="AT217" s="1776"/>
      <c r="AU217" s="1776"/>
      <c r="AV217" s="1776"/>
      <c r="AW217" s="1776"/>
      <c r="AX217" s="1776"/>
      <c r="AY217" s="1776"/>
      <c r="AZ217" s="1776">
        <v>1</v>
      </c>
    </row>
    <row r="218" spans="1:52" ht="13.5">
      <c r="A218" s="1479" t="s">
        <v>2561</v>
      </c>
      <c r="B218" s="1479" t="s">
        <v>2562</v>
      </c>
      <c r="C218" s="1741" t="s">
        <v>2108</v>
      </c>
      <c r="D218" s="1741">
        <v>1090</v>
      </c>
      <c r="E218" s="1741">
        <v>1463</v>
      </c>
      <c r="F218" s="1741" t="s">
        <v>2123</v>
      </c>
      <c r="G218" s="1741" t="s">
        <v>2224</v>
      </c>
      <c r="H218" s="1741" t="s">
        <v>1658</v>
      </c>
      <c r="I218" s="1753" t="s">
        <v>2114</v>
      </c>
      <c r="J218" s="1754"/>
      <c r="K218" s="1753" t="s">
        <v>2114</v>
      </c>
      <c r="L218" s="1754" t="s">
        <v>502</v>
      </c>
      <c r="M218" s="1755"/>
      <c r="N218" s="1756">
        <v>440</v>
      </c>
      <c r="O218" s="1757">
        <v>0</v>
      </c>
      <c r="P218" s="1758">
        <v>11121.21</v>
      </c>
      <c r="Q218" s="1759">
        <v>80000</v>
      </c>
      <c r="R218" s="1760">
        <v>120000</v>
      </c>
      <c r="S218" s="1760">
        <v>141504</v>
      </c>
      <c r="T218" s="1760">
        <v>141504</v>
      </c>
      <c r="U218" s="1761">
        <v>120000</v>
      </c>
      <c r="V218" s="1762">
        <v>80000</v>
      </c>
      <c r="W218" s="1757">
        <v>80000</v>
      </c>
      <c r="Z218" s="1773">
        <f t="shared" si="76"/>
        <v>0</v>
      </c>
      <c r="AA218" s="1773">
        <f t="shared" si="77"/>
        <v>0</v>
      </c>
      <c r="AB218" s="1773">
        <f t="shared" si="78"/>
        <v>0</v>
      </c>
      <c r="AC218" s="1773">
        <f t="shared" si="79"/>
        <v>0</v>
      </c>
      <c r="AD218" s="1773">
        <f t="shared" si="80"/>
        <v>0</v>
      </c>
      <c r="AE218" s="1773">
        <f t="shared" si="81"/>
        <v>0</v>
      </c>
      <c r="AF218" s="1773">
        <f t="shared" si="82"/>
        <v>0</v>
      </c>
      <c r="AG218" s="1773">
        <f t="shared" si="83"/>
        <v>0</v>
      </c>
      <c r="AH218" s="1773">
        <f t="shared" si="84"/>
        <v>0</v>
      </c>
      <c r="AI218" s="1773">
        <f t="shared" si="85"/>
        <v>0</v>
      </c>
      <c r="AJ218" s="1773">
        <f t="shared" si="86"/>
        <v>0</v>
      </c>
      <c r="AK218" s="1773">
        <f t="shared" si="87"/>
        <v>0</v>
      </c>
      <c r="AL218" s="1773">
        <f t="shared" si="88"/>
        <v>120000</v>
      </c>
      <c r="AN218" s="1776"/>
      <c r="AO218" s="1776"/>
      <c r="AP218" s="1776"/>
      <c r="AQ218" s="1776"/>
      <c r="AR218" s="1776"/>
      <c r="AS218" s="1776"/>
      <c r="AT218" s="1776"/>
      <c r="AU218" s="1776"/>
      <c r="AV218" s="1776"/>
      <c r="AW218" s="1776"/>
      <c r="AX218" s="1776"/>
      <c r="AY218" s="1776"/>
      <c r="AZ218" s="1776">
        <v>1</v>
      </c>
    </row>
    <row r="219" spans="1:52">
      <c r="A219" s="1479" t="s">
        <v>2563</v>
      </c>
      <c r="B219" s="1479" t="s">
        <v>2564</v>
      </c>
      <c r="C219" s="1741" t="s">
        <v>2108</v>
      </c>
      <c r="D219" s="1741">
        <v>1090</v>
      </c>
      <c r="E219" s="1741">
        <v>1464</v>
      </c>
      <c r="F219" s="1741" t="s">
        <v>2123</v>
      </c>
      <c r="G219" s="1741" t="s">
        <v>2224</v>
      </c>
      <c r="H219" s="1741" t="s">
        <v>1658</v>
      </c>
      <c r="I219" s="1753" t="s">
        <v>2114</v>
      </c>
      <c r="J219" s="1754"/>
      <c r="K219" s="1753" t="s">
        <v>2114</v>
      </c>
      <c r="L219" s="1754" t="s">
        <v>502</v>
      </c>
      <c r="M219" s="1754"/>
      <c r="N219" s="1756">
        <v>40737.599999999999</v>
      </c>
      <c r="O219" s="1757">
        <v>22767.06</v>
      </c>
      <c r="P219" s="1758">
        <v>64381.69</v>
      </c>
      <c r="Q219" s="1759">
        <v>80000</v>
      </c>
      <c r="R219" s="1760">
        <v>80000</v>
      </c>
      <c r="S219" s="1760">
        <v>8960</v>
      </c>
      <c r="T219" s="1760">
        <v>8960</v>
      </c>
      <c r="U219" s="1761">
        <v>90000</v>
      </c>
      <c r="V219" s="1762">
        <v>80000</v>
      </c>
      <c r="W219" s="1757">
        <v>80000</v>
      </c>
      <c r="Z219" s="1773">
        <f t="shared" si="76"/>
        <v>0</v>
      </c>
      <c r="AA219" s="1773">
        <f t="shared" si="77"/>
        <v>0</v>
      </c>
      <c r="AB219" s="1773">
        <f t="shared" si="78"/>
        <v>0</v>
      </c>
      <c r="AC219" s="1773">
        <f t="shared" si="79"/>
        <v>0</v>
      </c>
      <c r="AD219" s="1773">
        <f t="shared" si="80"/>
        <v>0</v>
      </c>
      <c r="AE219" s="1773">
        <f t="shared" si="81"/>
        <v>0</v>
      </c>
      <c r="AF219" s="1773">
        <f t="shared" si="82"/>
        <v>0</v>
      </c>
      <c r="AG219" s="1773">
        <f t="shared" si="83"/>
        <v>0</v>
      </c>
      <c r="AH219" s="1773">
        <f t="shared" si="84"/>
        <v>0</v>
      </c>
      <c r="AI219" s="1773">
        <f t="shared" si="85"/>
        <v>0</v>
      </c>
      <c r="AJ219" s="1773">
        <f t="shared" si="86"/>
        <v>0</v>
      </c>
      <c r="AK219" s="1773">
        <f t="shared" si="87"/>
        <v>0</v>
      </c>
      <c r="AL219" s="1773">
        <f t="shared" si="88"/>
        <v>90000</v>
      </c>
      <c r="AN219" s="1776"/>
      <c r="AO219" s="1776"/>
      <c r="AP219" s="1776"/>
      <c r="AQ219" s="1776"/>
      <c r="AR219" s="1776"/>
      <c r="AS219" s="1776"/>
      <c r="AT219" s="1776"/>
      <c r="AU219" s="1776"/>
      <c r="AV219" s="1776"/>
      <c r="AW219" s="1776"/>
      <c r="AX219" s="1776"/>
      <c r="AY219" s="1776"/>
      <c r="AZ219" s="1776">
        <v>1</v>
      </c>
    </row>
    <row r="220" spans="1:52">
      <c r="A220" t="s">
        <v>2565</v>
      </c>
      <c r="B220" t="s">
        <v>2566</v>
      </c>
      <c r="C220" s="1741" t="s">
        <v>2108</v>
      </c>
      <c r="D220" s="1741">
        <v>1090</v>
      </c>
      <c r="E220" s="1741">
        <v>1476</v>
      </c>
      <c r="F220" s="1741" t="s">
        <v>2123</v>
      </c>
      <c r="G220" s="1741" t="s">
        <v>2224</v>
      </c>
      <c r="H220" s="1741" t="s">
        <v>1658</v>
      </c>
      <c r="I220" s="1753" t="s">
        <v>2114</v>
      </c>
      <c r="J220" s="1754"/>
      <c r="K220" s="1753" t="s">
        <v>2114</v>
      </c>
      <c r="L220" s="1754" t="s">
        <v>502</v>
      </c>
      <c r="M220" s="1754"/>
      <c r="N220" s="1756"/>
      <c r="O220" s="1757"/>
      <c r="P220" s="1758"/>
      <c r="Q220" s="1759">
        <v>100000</v>
      </c>
      <c r="R220" s="1760">
        <v>100000</v>
      </c>
      <c r="S220" s="1760">
        <v>11200</v>
      </c>
      <c r="T220" s="1760">
        <v>11200</v>
      </c>
      <c r="U220" s="1761">
        <v>100000</v>
      </c>
      <c r="V220" s="1762">
        <v>100000</v>
      </c>
      <c r="W220" s="1757">
        <v>100000</v>
      </c>
      <c r="Z220" s="1773">
        <f t="shared" si="76"/>
        <v>0</v>
      </c>
      <c r="AA220" s="1773">
        <f t="shared" si="77"/>
        <v>0</v>
      </c>
      <c r="AB220" s="1773">
        <f t="shared" si="78"/>
        <v>0</v>
      </c>
      <c r="AC220" s="1773">
        <f t="shared" si="79"/>
        <v>0</v>
      </c>
      <c r="AD220" s="1773">
        <f t="shared" si="80"/>
        <v>0</v>
      </c>
      <c r="AE220" s="1773">
        <f t="shared" si="81"/>
        <v>0</v>
      </c>
      <c r="AF220" s="1773">
        <f t="shared" si="82"/>
        <v>0</v>
      </c>
      <c r="AG220" s="1773">
        <f t="shared" si="83"/>
        <v>0</v>
      </c>
      <c r="AH220" s="1773">
        <f t="shared" si="84"/>
        <v>0</v>
      </c>
      <c r="AI220" s="1773">
        <f t="shared" si="85"/>
        <v>0</v>
      </c>
      <c r="AJ220" s="1773">
        <f t="shared" si="86"/>
        <v>0</v>
      </c>
      <c r="AK220" s="1773">
        <f t="shared" si="87"/>
        <v>0</v>
      </c>
      <c r="AL220" s="1773">
        <f t="shared" si="88"/>
        <v>100000</v>
      </c>
      <c r="AN220" s="1776"/>
      <c r="AO220" s="1776"/>
      <c r="AP220" s="1776"/>
      <c r="AQ220" s="1776"/>
      <c r="AR220" s="1776"/>
      <c r="AS220" s="1776"/>
      <c r="AT220" s="1776"/>
      <c r="AU220" s="1776"/>
      <c r="AV220" s="1776"/>
      <c r="AW220" s="1776"/>
      <c r="AX220" s="1776"/>
      <c r="AY220" s="1776"/>
      <c r="AZ220" s="1776">
        <v>1</v>
      </c>
    </row>
    <row r="221" spans="1:52">
      <c r="A221" t="s">
        <v>2567</v>
      </c>
      <c r="B221" t="s">
        <v>2314</v>
      </c>
      <c r="C221" s="1741" t="s">
        <v>2108</v>
      </c>
      <c r="D221" s="1741">
        <v>1090</v>
      </c>
      <c r="E221" s="1741">
        <v>4120</v>
      </c>
      <c r="F221" s="1741" t="s">
        <v>2123</v>
      </c>
      <c r="G221" s="1741" t="s">
        <v>2224</v>
      </c>
      <c r="H221" s="1741" t="s">
        <v>1658</v>
      </c>
      <c r="I221" s="1753" t="s">
        <v>464</v>
      </c>
      <c r="J221" s="1754"/>
      <c r="K221" s="1753" t="s">
        <v>2114</v>
      </c>
      <c r="L221" s="1754" t="s">
        <v>3029</v>
      </c>
      <c r="M221" s="1754"/>
      <c r="N221" s="1756"/>
      <c r="O221" s="1757"/>
      <c r="P221" s="1758"/>
      <c r="Q221" s="1759">
        <v>0</v>
      </c>
      <c r="R221" s="1760">
        <v>30000</v>
      </c>
      <c r="S221" s="1760">
        <v>27690</v>
      </c>
      <c r="T221" s="1760">
        <v>27690</v>
      </c>
      <c r="U221" s="1761">
        <v>40000</v>
      </c>
      <c r="V221" s="1762">
        <v>0</v>
      </c>
      <c r="W221" s="1757">
        <v>0</v>
      </c>
      <c r="Z221" s="1773">
        <f t="shared" si="76"/>
        <v>0</v>
      </c>
      <c r="AA221" s="1773">
        <f t="shared" si="77"/>
        <v>0</v>
      </c>
      <c r="AB221" s="1773">
        <f t="shared" si="78"/>
        <v>0</v>
      </c>
      <c r="AC221" s="1773">
        <f t="shared" si="79"/>
        <v>0</v>
      </c>
      <c r="AD221" s="1773">
        <f t="shared" si="80"/>
        <v>0</v>
      </c>
      <c r="AE221" s="1773">
        <f t="shared" si="81"/>
        <v>0</v>
      </c>
      <c r="AF221" s="1773">
        <f t="shared" si="82"/>
        <v>0</v>
      </c>
      <c r="AG221" s="1773">
        <f t="shared" si="83"/>
        <v>0</v>
      </c>
      <c r="AH221" s="1773">
        <f t="shared" si="84"/>
        <v>0</v>
      </c>
      <c r="AI221" s="1773">
        <f t="shared" si="85"/>
        <v>0</v>
      </c>
      <c r="AJ221" s="1773">
        <f t="shared" si="86"/>
        <v>0</v>
      </c>
      <c r="AK221" s="1773">
        <f t="shared" si="87"/>
        <v>0</v>
      </c>
      <c r="AL221" s="1773">
        <f t="shared" si="88"/>
        <v>40000</v>
      </c>
      <c r="AN221" s="1776"/>
      <c r="AO221" s="1776"/>
      <c r="AP221" s="1776"/>
      <c r="AQ221" s="1776"/>
      <c r="AR221" s="1776"/>
      <c r="AS221" s="1776"/>
      <c r="AT221" s="1776"/>
      <c r="AU221" s="1776"/>
      <c r="AV221" s="1776"/>
      <c r="AW221" s="1776"/>
      <c r="AX221" s="1776"/>
      <c r="AY221" s="1776"/>
      <c r="AZ221" s="1776">
        <v>1</v>
      </c>
    </row>
    <row r="222" spans="1:52">
      <c r="A222" s="1479" t="s">
        <v>2568</v>
      </c>
      <c r="B222" s="1479" t="s">
        <v>2569</v>
      </c>
      <c r="C222" s="1741" t="s">
        <v>2108</v>
      </c>
      <c r="D222" s="1741">
        <v>1090</v>
      </c>
      <c r="E222" s="1741">
        <v>4390</v>
      </c>
      <c r="F222" s="1741" t="s">
        <v>2123</v>
      </c>
      <c r="G222" s="1741" t="s">
        <v>2224</v>
      </c>
      <c r="H222" s="1741" t="s">
        <v>1658</v>
      </c>
      <c r="I222" s="1753" t="s">
        <v>2146</v>
      </c>
      <c r="J222" s="1754"/>
      <c r="K222" s="1754" t="s">
        <v>1563</v>
      </c>
      <c r="L222" s="1754" t="s">
        <v>1563</v>
      </c>
      <c r="M222" s="1754"/>
      <c r="N222" s="1756">
        <v>63650</v>
      </c>
      <c r="O222" s="1757">
        <v>0</v>
      </c>
      <c r="P222" s="1758">
        <v>250572.35142594937</v>
      </c>
      <c r="Q222" s="1759">
        <v>0</v>
      </c>
      <c r="R222" s="1760">
        <v>0</v>
      </c>
      <c r="S222" s="1760">
        <v>0</v>
      </c>
      <c r="T222" s="1760">
        <v>0</v>
      </c>
      <c r="U222" s="1761">
        <v>0</v>
      </c>
      <c r="V222" s="1762">
        <v>0</v>
      </c>
      <c r="W222" s="1757">
        <v>0</v>
      </c>
      <c r="Z222" s="1773">
        <f t="shared" si="76"/>
        <v>0</v>
      </c>
      <c r="AA222" s="1773">
        <f t="shared" si="77"/>
        <v>0</v>
      </c>
      <c r="AB222" s="1773">
        <f t="shared" si="78"/>
        <v>0</v>
      </c>
      <c r="AC222" s="1773">
        <f t="shared" si="79"/>
        <v>0</v>
      </c>
      <c r="AD222" s="1773">
        <f t="shared" si="80"/>
        <v>0</v>
      </c>
      <c r="AE222" s="1773">
        <f t="shared" si="81"/>
        <v>0</v>
      </c>
      <c r="AF222" s="1773">
        <f t="shared" si="82"/>
        <v>0</v>
      </c>
      <c r="AG222" s="1773">
        <f t="shared" si="83"/>
        <v>0</v>
      </c>
      <c r="AH222" s="1773">
        <f t="shared" si="84"/>
        <v>0</v>
      </c>
      <c r="AI222" s="1773">
        <f t="shared" si="85"/>
        <v>0</v>
      </c>
      <c r="AJ222" s="1773">
        <f t="shared" si="86"/>
        <v>0</v>
      </c>
      <c r="AK222" s="1773">
        <f t="shared" si="87"/>
        <v>0</v>
      </c>
      <c r="AL222" s="1773">
        <f t="shared" si="88"/>
        <v>0</v>
      </c>
      <c r="AN222" s="1776"/>
      <c r="AO222" s="1776"/>
      <c r="AP222" s="1776"/>
      <c r="AQ222" s="1776"/>
      <c r="AR222" s="1776"/>
      <c r="AS222" s="1776"/>
      <c r="AT222" s="1776"/>
      <c r="AU222" s="1776"/>
      <c r="AV222" s="1776"/>
      <c r="AW222" s="1776"/>
      <c r="AX222" s="1776"/>
      <c r="AY222" s="1776"/>
      <c r="AZ222" s="1776">
        <v>1</v>
      </c>
    </row>
    <row r="223" spans="1:52">
      <c r="A223" s="1479" t="s">
        <v>2570</v>
      </c>
      <c r="B223" s="1479" t="s">
        <v>2571</v>
      </c>
      <c r="C223" s="1741" t="s">
        <v>2108</v>
      </c>
      <c r="D223" s="1741">
        <v>1090</v>
      </c>
      <c r="E223" s="1741">
        <v>5680</v>
      </c>
      <c r="F223" s="1741" t="s">
        <v>2123</v>
      </c>
      <c r="G223" s="1741" t="s">
        <v>2224</v>
      </c>
      <c r="H223" s="1741" t="s">
        <v>586</v>
      </c>
      <c r="I223" s="1753" t="s">
        <v>2122</v>
      </c>
      <c r="J223" s="1754"/>
      <c r="K223" s="1754" t="s">
        <v>1666</v>
      </c>
      <c r="L223" s="1754" t="s">
        <v>1666</v>
      </c>
      <c r="M223" s="1754"/>
      <c r="N223" s="1756">
        <v>0</v>
      </c>
      <c r="O223" s="1757">
        <v>-13070</v>
      </c>
      <c r="P223" s="1758">
        <v>-900</v>
      </c>
      <c r="Q223" s="1759">
        <v>0</v>
      </c>
      <c r="R223" s="1760">
        <v>-308880</v>
      </c>
      <c r="S223" s="1760">
        <v>-308880</v>
      </c>
      <c r="T223" s="1760">
        <v>-308880</v>
      </c>
      <c r="U223" s="1761">
        <v>-310000</v>
      </c>
      <c r="V223" s="1762">
        <v>0</v>
      </c>
      <c r="W223" s="1757">
        <v>0</v>
      </c>
      <c r="Z223" s="1773">
        <f t="shared" si="76"/>
        <v>0</v>
      </c>
      <c r="AA223" s="1773">
        <f t="shared" si="77"/>
        <v>0</v>
      </c>
      <c r="AB223" s="1773">
        <f t="shared" si="78"/>
        <v>0</v>
      </c>
      <c r="AC223" s="1773">
        <f t="shared" si="79"/>
        <v>0</v>
      </c>
      <c r="AD223" s="1773">
        <f t="shared" si="80"/>
        <v>0</v>
      </c>
      <c r="AE223" s="1773">
        <f t="shared" si="81"/>
        <v>0</v>
      </c>
      <c r="AF223" s="1773">
        <f t="shared" si="82"/>
        <v>0</v>
      </c>
      <c r="AG223" s="1773">
        <f t="shared" si="83"/>
        <v>0</v>
      </c>
      <c r="AH223" s="1773">
        <f t="shared" si="84"/>
        <v>0</v>
      </c>
      <c r="AI223" s="1773">
        <f t="shared" si="85"/>
        <v>0</v>
      </c>
      <c r="AJ223" s="1773">
        <f t="shared" si="86"/>
        <v>0</v>
      </c>
      <c r="AK223" s="1773">
        <f t="shared" si="87"/>
        <v>0</v>
      </c>
      <c r="AL223" s="1773">
        <f t="shared" si="88"/>
        <v>-310000</v>
      </c>
      <c r="AN223" s="1776"/>
      <c r="AO223" s="1776"/>
      <c r="AP223" s="1776"/>
      <c r="AQ223" s="1776"/>
      <c r="AR223" s="1776"/>
      <c r="AS223" s="1776"/>
      <c r="AT223" s="1776"/>
      <c r="AU223" s="1776"/>
      <c r="AV223" s="1776"/>
      <c r="AW223" s="1776"/>
      <c r="AX223" s="1776"/>
      <c r="AY223" s="1776"/>
      <c r="AZ223" s="1776">
        <v>1</v>
      </c>
    </row>
    <row r="224" spans="1:52" ht="13.5">
      <c r="A224" t="s">
        <v>2572</v>
      </c>
      <c r="B224" t="s">
        <v>2257</v>
      </c>
      <c r="C224" s="1741" t="s">
        <v>2108</v>
      </c>
      <c r="D224" s="1741">
        <v>1090</v>
      </c>
      <c r="E224" s="1741">
        <v>5820</v>
      </c>
      <c r="F224" s="1741" t="s">
        <v>2123</v>
      </c>
      <c r="G224" s="1741" t="s">
        <v>2224</v>
      </c>
      <c r="H224" s="1741" t="s">
        <v>586</v>
      </c>
      <c r="I224" s="1753" t="s">
        <v>2121</v>
      </c>
      <c r="J224" s="1754" t="s">
        <v>3009</v>
      </c>
      <c r="K224" s="236" t="s">
        <v>35</v>
      </c>
      <c r="L224" s="1754" t="s">
        <v>2128</v>
      </c>
      <c r="M224" s="1754"/>
      <c r="N224" s="1756"/>
      <c r="O224" s="1757"/>
      <c r="P224" s="1758"/>
      <c r="Q224" s="1759">
        <v>-523000</v>
      </c>
      <c r="R224" s="1760">
        <v>-523000</v>
      </c>
      <c r="S224" s="1760">
        <v>-175728</v>
      </c>
      <c r="T224" s="1760">
        <v>-175728</v>
      </c>
      <c r="U224" s="1761">
        <v>-563000</v>
      </c>
      <c r="V224" s="1762">
        <v>-595000</v>
      </c>
      <c r="W224" s="1757">
        <v>-629000</v>
      </c>
      <c r="Z224" s="1773">
        <f t="shared" si="76"/>
        <v>0</v>
      </c>
      <c r="AA224" s="1773">
        <f t="shared" si="77"/>
        <v>0</v>
      </c>
      <c r="AB224" s="1773">
        <f t="shared" si="78"/>
        <v>0</v>
      </c>
      <c r="AC224" s="1773">
        <f t="shared" si="79"/>
        <v>0</v>
      </c>
      <c r="AD224" s="1773">
        <f t="shared" si="80"/>
        <v>0</v>
      </c>
      <c r="AE224" s="1773">
        <f t="shared" si="81"/>
        <v>0</v>
      </c>
      <c r="AF224" s="1773">
        <f t="shared" si="82"/>
        <v>0</v>
      </c>
      <c r="AG224" s="1773">
        <f t="shared" si="83"/>
        <v>0</v>
      </c>
      <c r="AH224" s="1773">
        <f t="shared" si="84"/>
        <v>0</v>
      </c>
      <c r="AI224" s="1773">
        <f t="shared" si="85"/>
        <v>0</v>
      </c>
      <c r="AJ224" s="1773">
        <f t="shared" si="86"/>
        <v>0</v>
      </c>
      <c r="AK224" s="1773">
        <f t="shared" si="87"/>
        <v>0</v>
      </c>
      <c r="AL224" s="1773">
        <f t="shared" si="88"/>
        <v>-563000</v>
      </c>
      <c r="AN224" s="1776"/>
      <c r="AO224" s="1776"/>
      <c r="AP224" s="1776"/>
      <c r="AQ224" s="1776"/>
      <c r="AR224" s="1776"/>
      <c r="AS224" s="1776"/>
      <c r="AT224" s="1776"/>
      <c r="AU224" s="1776"/>
      <c r="AV224" s="1776"/>
      <c r="AW224" s="1776"/>
      <c r="AX224" s="1776"/>
      <c r="AY224" s="1776"/>
      <c r="AZ224" s="1776">
        <v>1</v>
      </c>
    </row>
    <row r="225" spans="1:52">
      <c r="A225" s="1479" t="s">
        <v>2573</v>
      </c>
      <c r="B225" s="1479" t="s">
        <v>2231</v>
      </c>
      <c r="C225" s="1741" t="s">
        <v>2108</v>
      </c>
      <c r="D225" s="1741">
        <v>1100</v>
      </c>
      <c r="E225" s="1741">
        <v>10</v>
      </c>
      <c r="F225" s="1741" t="s">
        <v>2223</v>
      </c>
      <c r="G225" s="1741" t="s">
        <v>2220</v>
      </c>
      <c r="H225" s="1741" t="s">
        <v>1658</v>
      </c>
      <c r="I225" s="1753" t="s">
        <v>3003</v>
      </c>
      <c r="J225" s="1754" t="s">
        <v>2109</v>
      </c>
      <c r="K225" s="1753" t="s">
        <v>497</v>
      </c>
      <c r="L225" s="1754" t="s">
        <v>1158</v>
      </c>
      <c r="M225" s="1754"/>
      <c r="N225" s="1756">
        <v>617.66999999999996</v>
      </c>
      <c r="O225" s="1757">
        <v>0</v>
      </c>
      <c r="P225" s="1758">
        <v>0</v>
      </c>
      <c r="Q225" s="1759">
        <v>0</v>
      </c>
      <c r="R225" s="1760">
        <v>0</v>
      </c>
      <c r="S225" s="1760">
        <v>0</v>
      </c>
      <c r="T225" s="1760">
        <v>0</v>
      </c>
      <c r="U225" s="1761">
        <v>0</v>
      </c>
      <c r="V225" s="1762">
        <v>0</v>
      </c>
      <c r="W225" s="1757">
        <v>0</v>
      </c>
      <c r="Z225" s="1773">
        <f t="shared" si="76"/>
        <v>0</v>
      </c>
      <c r="AA225" s="1773">
        <f t="shared" si="77"/>
        <v>0</v>
      </c>
      <c r="AB225" s="1773">
        <f t="shared" si="78"/>
        <v>0</v>
      </c>
      <c r="AC225" s="1773">
        <f t="shared" si="79"/>
        <v>0</v>
      </c>
      <c r="AD225" s="1773">
        <f t="shared" si="80"/>
        <v>0</v>
      </c>
      <c r="AE225" s="1773">
        <f t="shared" si="81"/>
        <v>0</v>
      </c>
      <c r="AF225" s="1773">
        <f t="shared" si="82"/>
        <v>0</v>
      </c>
      <c r="AG225" s="1773">
        <f t="shared" si="83"/>
        <v>0</v>
      </c>
      <c r="AH225" s="1773">
        <f t="shared" si="84"/>
        <v>0</v>
      </c>
      <c r="AI225" s="1773">
        <f t="shared" si="85"/>
        <v>0</v>
      </c>
      <c r="AJ225" s="1773">
        <f t="shared" si="86"/>
        <v>0</v>
      </c>
      <c r="AK225" s="1773">
        <f t="shared" si="87"/>
        <v>0</v>
      </c>
      <c r="AL225" s="1773">
        <f t="shared" si="88"/>
        <v>0</v>
      </c>
      <c r="AN225" s="1776"/>
      <c r="AO225" s="1776"/>
      <c r="AP225" s="1776"/>
      <c r="AQ225" s="1776"/>
      <c r="AR225" s="1776"/>
      <c r="AS225" s="1776"/>
      <c r="AT225" s="1776"/>
      <c r="AU225" s="1776"/>
      <c r="AV225" s="1776"/>
      <c r="AW225" s="1776"/>
      <c r="AX225" s="1776"/>
      <c r="AY225" s="1776"/>
      <c r="AZ225" s="1776">
        <v>1</v>
      </c>
    </row>
    <row r="226" spans="1:52">
      <c r="A226" s="1479" t="s">
        <v>2574</v>
      </c>
      <c r="B226" s="1479" t="s">
        <v>2243</v>
      </c>
      <c r="C226" s="1741" t="s">
        <v>2108</v>
      </c>
      <c r="D226" s="1741">
        <v>1100</v>
      </c>
      <c r="E226" s="1741">
        <v>520</v>
      </c>
      <c r="F226" s="1741" t="s">
        <v>2223</v>
      </c>
      <c r="G226" s="1741" t="s">
        <v>2220</v>
      </c>
      <c r="H226" s="1741" t="s">
        <v>1658</v>
      </c>
      <c r="I226" s="1753" t="s">
        <v>2114</v>
      </c>
      <c r="J226" s="1754" t="s">
        <v>2138</v>
      </c>
      <c r="K226" s="1753" t="s">
        <v>2114</v>
      </c>
      <c r="L226" s="1754" t="s">
        <v>2138</v>
      </c>
      <c r="M226" s="1754"/>
      <c r="N226" s="1756">
        <v>6794.36</v>
      </c>
      <c r="O226" s="1757">
        <v>11158.31</v>
      </c>
      <c r="P226" s="1758">
        <v>10299.959999999999</v>
      </c>
      <c r="Q226" s="1759">
        <v>13855</v>
      </c>
      <c r="R226" s="1760">
        <v>0</v>
      </c>
      <c r="S226" s="1760">
        <v>0</v>
      </c>
      <c r="T226" s="1760">
        <v>0</v>
      </c>
      <c r="U226" s="1761">
        <v>0</v>
      </c>
      <c r="V226" s="1762">
        <v>0</v>
      </c>
      <c r="W226" s="1757">
        <v>0</v>
      </c>
      <c r="Z226" s="1773">
        <f t="shared" si="76"/>
        <v>0</v>
      </c>
      <c r="AA226" s="1773">
        <f t="shared" si="77"/>
        <v>0</v>
      </c>
      <c r="AB226" s="1773">
        <f t="shared" si="78"/>
        <v>0</v>
      </c>
      <c r="AC226" s="1773">
        <f t="shared" si="79"/>
        <v>0</v>
      </c>
      <c r="AD226" s="1773">
        <f t="shared" si="80"/>
        <v>0</v>
      </c>
      <c r="AE226" s="1773">
        <f t="shared" si="81"/>
        <v>0</v>
      </c>
      <c r="AF226" s="1773">
        <f t="shared" si="82"/>
        <v>0</v>
      </c>
      <c r="AG226" s="1773">
        <f t="shared" si="83"/>
        <v>0</v>
      </c>
      <c r="AH226" s="1773">
        <f t="shared" si="84"/>
        <v>0</v>
      </c>
      <c r="AI226" s="1773">
        <f t="shared" si="85"/>
        <v>0</v>
      </c>
      <c r="AJ226" s="1773">
        <f t="shared" si="86"/>
        <v>0</v>
      </c>
      <c r="AK226" s="1773">
        <f t="shared" si="87"/>
        <v>0</v>
      </c>
      <c r="AL226" s="1773">
        <f t="shared" si="88"/>
        <v>0</v>
      </c>
      <c r="AN226" s="1776"/>
      <c r="AO226" s="1776"/>
      <c r="AP226" s="1776"/>
      <c r="AQ226" s="1776"/>
      <c r="AR226" s="1776"/>
      <c r="AS226" s="1776"/>
      <c r="AT226" s="1776"/>
      <c r="AU226" s="1776"/>
      <c r="AV226" s="1776"/>
      <c r="AW226" s="1776"/>
      <c r="AX226" s="1776"/>
      <c r="AY226" s="1776"/>
      <c r="AZ226" s="1776">
        <v>1</v>
      </c>
    </row>
    <row r="227" spans="1:52">
      <c r="A227" s="1479" t="s">
        <v>2575</v>
      </c>
      <c r="B227" s="1479" t="s">
        <v>2295</v>
      </c>
      <c r="C227" s="1741" t="s">
        <v>2108</v>
      </c>
      <c r="D227" s="1741">
        <v>1100</v>
      </c>
      <c r="E227" s="1741">
        <v>1090</v>
      </c>
      <c r="F227" s="1741" t="s">
        <v>2223</v>
      </c>
      <c r="G227" s="1741" t="s">
        <v>2220</v>
      </c>
      <c r="H227" s="1741" t="s">
        <v>1658</v>
      </c>
      <c r="I227" s="1753" t="s">
        <v>2114</v>
      </c>
      <c r="J227" s="1754" t="s">
        <v>3012</v>
      </c>
      <c r="K227" s="1753" t="s">
        <v>2114</v>
      </c>
      <c r="L227" s="1754" t="s">
        <v>3012</v>
      </c>
      <c r="M227" s="1754"/>
      <c r="N227" s="1756">
        <v>249</v>
      </c>
      <c r="O227" s="1757">
        <v>0</v>
      </c>
      <c r="P227" s="1758">
        <v>0</v>
      </c>
      <c r="Q227" s="1759">
        <v>0</v>
      </c>
      <c r="R227" s="1760">
        <v>0</v>
      </c>
      <c r="S227" s="1760">
        <v>0</v>
      </c>
      <c r="T227" s="1760">
        <v>0</v>
      </c>
      <c r="U227" s="1761">
        <v>0</v>
      </c>
      <c r="V227" s="1762">
        <v>0</v>
      </c>
      <c r="W227" s="1757">
        <v>0</v>
      </c>
      <c r="Z227" s="1773">
        <f t="shared" si="76"/>
        <v>0</v>
      </c>
      <c r="AA227" s="1773">
        <f t="shared" si="77"/>
        <v>0</v>
      </c>
      <c r="AB227" s="1773">
        <f t="shared" si="78"/>
        <v>0</v>
      </c>
      <c r="AC227" s="1773">
        <f t="shared" si="79"/>
        <v>0</v>
      </c>
      <c r="AD227" s="1773">
        <f t="shared" si="80"/>
        <v>0</v>
      </c>
      <c r="AE227" s="1773">
        <f t="shared" si="81"/>
        <v>0</v>
      </c>
      <c r="AF227" s="1773">
        <f t="shared" si="82"/>
        <v>0</v>
      </c>
      <c r="AG227" s="1773">
        <f t="shared" si="83"/>
        <v>0</v>
      </c>
      <c r="AH227" s="1773">
        <f t="shared" si="84"/>
        <v>0</v>
      </c>
      <c r="AI227" s="1773">
        <f t="shared" si="85"/>
        <v>0</v>
      </c>
      <c r="AJ227" s="1773">
        <f t="shared" si="86"/>
        <v>0</v>
      </c>
      <c r="AK227" s="1773">
        <f t="shared" si="87"/>
        <v>0</v>
      </c>
      <c r="AL227" s="1773">
        <f t="shared" si="88"/>
        <v>0</v>
      </c>
      <c r="AN227" s="1776"/>
      <c r="AO227" s="1776"/>
      <c r="AP227" s="1776"/>
      <c r="AQ227" s="1776"/>
      <c r="AR227" s="1776"/>
      <c r="AS227" s="1776"/>
      <c r="AT227" s="1776"/>
      <c r="AU227" s="1776"/>
      <c r="AV227" s="1776"/>
      <c r="AW227" s="1776"/>
      <c r="AX227" s="1776"/>
      <c r="AY227" s="1776"/>
      <c r="AZ227" s="1776">
        <v>1</v>
      </c>
    </row>
    <row r="228" spans="1:52">
      <c r="A228" t="s">
        <v>2576</v>
      </c>
      <c r="B228" t="s">
        <v>2251</v>
      </c>
      <c r="C228" s="1741" t="s">
        <v>2108</v>
      </c>
      <c r="D228" s="1741">
        <v>1100</v>
      </c>
      <c r="E228" s="1741">
        <v>1440</v>
      </c>
      <c r="F228" s="1741" t="s">
        <v>2223</v>
      </c>
      <c r="G228" s="1741" t="s">
        <v>2220</v>
      </c>
      <c r="H228" s="1741" t="s">
        <v>1658</v>
      </c>
      <c r="I228" s="1753" t="s">
        <v>2115</v>
      </c>
      <c r="J228" s="1754"/>
      <c r="K228" s="1753" t="s">
        <v>1596</v>
      </c>
      <c r="L228" s="1754" t="s">
        <v>1696</v>
      </c>
      <c r="M228" s="1754"/>
      <c r="N228" s="1756"/>
      <c r="O228" s="1757"/>
      <c r="P228" s="1758"/>
      <c r="Q228" s="1759">
        <v>3000</v>
      </c>
      <c r="R228" s="1760">
        <v>3000</v>
      </c>
      <c r="S228" s="1760">
        <v>336</v>
      </c>
      <c r="T228" s="1760">
        <v>336</v>
      </c>
      <c r="U228" s="1761">
        <v>0</v>
      </c>
      <c r="V228" s="1762">
        <v>3000</v>
      </c>
      <c r="W228" s="1757">
        <v>3000</v>
      </c>
      <c r="Z228" s="1773">
        <f t="shared" si="76"/>
        <v>0</v>
      </c>
      <c r="AA228" s="1773">
        <f t="shared" si="77"/>
        <v>0</v>
      </c>
      <c r="AB228" s="1773">
        <f t="shared" si="78"/>
        <v>0</v>
      </c>
      <c r="AC228" s="1773">
        <f t="shared" si="79"/>
        <v>0</v>
      </c>
      <c r="AD228" s="1773">
        <f t="shared" si="80"/>
        <v>0</v>
      </c>
      <c r="AE228" s="1773">
        <f t="shared" si="81"/>
        <v>0</v>
      </c>
      <c r="AF228" s="1773">
        <f t="shared" si="82"/>
        <v>0</v>
      </c>
      <c r="AG228" s="1773">
        <f t="shared" si="83"/>
        <v>0</v>
      </c>
      <c r="AH228" s="1773">
        <f t="shared" si="84"/>
        <v>0</v>
      </c>
      <c r="AI228" s="1773">
        <f t="shared" si="85"/>
        <v>0</v>
      </c>
      <c r="AJ228" s="1773">
        <f t="shared" si="86"/>
        <v>0</v>
      </c>
      <c r="AK228" s="1773">
        <f t="shared" si="87"/>
        <v>0</v>
      </c>
      <c r="AL228" s="1773">
        <f t="shared" si="88"/>
        <v>0</v>
      </c>
      <c r="AN228" s="1776"/>
      <c r="AO228" s="1776"/>
      <c r="AP228" s="1776"/>
      <c r="AQ228" s="1776"/>
      <c r="AR228" s="1776"/>
      <c r="AS228" s="1776"/>
      <c r="AT228" s="1776"/>
      <c r="AU228" s="1776"/>
      <c r="AV228" s="1776"/>
      <c r="AW228" s="1776"/>
      <c r="AX228" s="1776"/>
      <c r="AY228" s="1776"/>
      <c r="AZ228" s="1776">
        <v>1</v>
      </c>
    </row>
    <row r="229" spans="1:52">
      <c r="A229" s="1479" t="s">
        <v>2577</v>
      </c>
      <c r="B229" s="1479" t="s">
        <v>2253</v>
      </c>
      <c r="C229" s="1741" t="s">
        <v>2108</v>
      </c>
      <c r="D229" s="1741">
        <v>1100</v>
      </c>
      <c r="E229" s="1741">
        <v>3510</v>
      </c>
      <c r="F229" s="1741" t="s">
        <v>2223</v>
      </c>
      <c r="G229" s="1741" t="s">
        <v>2220</v>
      </c>
      <c r="H229" s="1741" t="s">
        <v>1658</v>
      </c>
      <c r="I229" s="1753" t="s">
        <v>464</v>
      </c>
      <c r="J229" s="1754"/>
      <c r="K229" s="1753" t="s">
        <v>2114</v>
      </c>
      <c r="L229" s="1754" t="s">
        <v>3029</v>
      </c>
      <c r="M229" s="1754"/>
      <c r="N229" s="1756">
        <v>0</v>
      </c>
      <c r="O229" s="1757">
        <v>0</v>
      </c>
      <c r="P229" s="1758">
        <v>459.03</v>
      </c>
      <c r="Q229" s="1759">
        <v>250</v>
      </c>
      <c r="R229" s="1760">
        <v>250</v>
      </c>
      <c r="S229" s="1760">
        <v>27</v>
      </c>
      <c r="T229" s="1760">
        <v>27</v>
      </c>
      <c r="U229" s="1761">
        <v>250</v>
      </c>
      <c r="V229" s="1762">
        <v>250</v>
      </c>
      <c r="W229" s="1757">
        <v>250</v>
      </c>
      <c r="Z229" s="1773">
        <f t="shared" si="76"/>
        <v>0</v>
      </c>
      <c r="AA229" s="1773">
        <f t="shared" si="77"/>
        <v>0</v>
      </c>
      <c r="AB229" s="1773">
        <f t="shared" si="78"/>
        <v>0</v>
      </c>
      <c r="AC229" s="1773">
        <f t="shared" si="79"/>
        <v>0</v>
      </c>
      <c r="AD229" s="1773">
        <f t="shared" si="80"/>
        <v>0</v>
      </c>
      <c r="AE229" s="1773">
        <f t="shared" si="81"/>
        <v>0</v>
      </c>
      <c r="AF229" s="1773">
        <f t="shared" si="82"/>
        <v>0</v>
      </c>
      <c r="AG229" s="1773">
        <f t="shared" si="83"/>
        <v>0</v>
      </c>
      <c r="AH229" s="1773">
        <f t="shared" si="84"/>
        <v>0</v>
      </c>
      <c r="AI229" s="1773">
        <f t="shared" si="85"/>
        <v>0</v>
      </c>
      <c r="AJ229" s="1773">
        <f t="shared" si="86"/>
        <v>0</v>
      </c>
      <c r="AK229" s="1773">
        <f t="shared" si="87"/>
        <v>0</v>
      </c>
      <c r="AL229" s="1773">
        <f t="shared" si="88"/>
        <v>250</v>
      </c>
      <c r="AN229" s="1776"/>
      <c r="AO229" s="1776"/>
      <c r="AP229" s="1776"/>
      <c r="AQ229" s="1776"/>
      <c r="AR229" s="1776"/>
      <c r="AS229" s="1776"/>
      <c r="AT229" s="1776"/>
      <c r="AU229" s="1776"/>
      <c r="AV229" s="1776"/>
      <c r="AW229" s="1776"/>
      <c r="AX229" s="1776"/>
      <c r="AY229" s="1776"/>
      <c r="AZ229" s="1776">
        <v>1</v>
      </c>
    </row>
    <row r="230" spans="1:52">
      <c r="A230" s="1479" t="s">
        <v>2578</v>
      </c>
      <c r="B230" s="1479" t="s">
        <v>2579</v>
      </c>
      <c r="C230" s="1741" t="s">
        <v>2108</v>
      </c>
      <c r="D230" s="1741">
        <v>1100</v>
      </c>
      <c r="E230" s="1741">
        <v>6360</v>
      </c>
      <c r="F230" s="1741" t="s">
        <v>2223</v>
      </c>
      <c r="G230" s="1741" t="s">
        <v>2220</v>
      </c>
      <c r="H230" s="1741" t="s">
        <v>586</v>
      </c>
      <c r="I230" s="1753" t="s">
        <v>2131</v>
      </c>
      <c r="J230" s="1754"/>
      <c r="K230" s="1754" t="s">
        <v>1723</v>
      </c>
      <c r="L230" s="1754" t="s">
        <v>1723</v>
      </c>
      <c r="M230" s="1754"/>
      <c r="N230" s="1756">
        <v>-24000</v>
      </c>
      <c r="O230" s="1757">
        <v>-24103.16</v>
      </c>
      <c r="P230" s="1758">
        <v>-25790.38</v>
      </c>
      <c r="Q230" s="1759">
        <v>-34000</v>
      </c>
      <c r="R230" s="1760">
        <v>-34000</v>
      </c>
      <c r="S230" s="1760">
        <v>-29742</v>
      </c>
      <c r="T230" s="1760">
        <v>-29742</v>
      </c>
      <c r="U230" s="1761">
        <v>-34000</v>
      </c>
      <c r="V230" s="1762">
        <v>-34000</v>
      </c>
      <c r="W230" s="1757">
        <v>-34000</v>
      </c>
      <c r="Z230" s="1773">
        <f t="shared" si="76"/>
        <v>0</v>
      </c>
      <c r="AA230" s="1773">
        <f t="shared" si="77"/>
        <v>0</v>
      </c>
      <c r="AB230" s="1773">
        <f t="shared" si="78"/>
        <v>0</v>
      </c>
      <c r="AC230" s="1773">
        <f t="shared" si="79"/>
        <v>0</v>
      </c>
      <c r="AD230" s="1773">
        <f t="shared" si="80"/>
        <v>0</v>
      </c>
      <c r="AE230" s="1773">
        <f t="shared" si="81"/>
        <v>0</v>
      </c>
      <c r="AF230" s="1773">
        <f t="shared" si="82"/>
        <v>0</v>
      </c>
      <c r="AG230" s="1773">
        <f t="shared" si="83"/>
        <v>0</v>
      </c>
      <c r="AH230" s="1773">
        <f t="shared" si="84"/>
        <v>0</v>
      </c>
      <c r="AI230" s="1773">
        <f t="shared" si="85"/>
        <v>0</v>
      </c>
      <c r="AJ230" s="1773">
        <f t="shared" si="86"/>
        <v>0</v>
      </c>
      <c r="AK230" s="1773">
        <f t="shared" si="87"/>
        <v>0</v>
      </c>
      <c r="AL230" s="1773">
        <f t="shared" si="88"/>
        <v>-34000</v>
      </c>
      <c r="AN230" s="1776"/>
      <c r="AO230" s="1776"/>
      <c r="AP230" s="1776"/>
      <c r="AQ230" s="1776"/>
      <c r="AR230" s="1776"/>
      <c r="AS230" s="1776"/>
      <c r="AT230" s="1776"/>
      <c r="AU230" s="1776"/>
      <c r="AV230" s="1776"/>
      <c r="AW230" s="1776"/>
      <c r="AX230" s="1776"/>
      <c r="AY230" s="1776"/>
      <c r="AZ230" s="1776">
        <v>1</v>
      </c>
    </row>
    <row r="231" spans="1:52">
      <c r="A231" s="1479" t="s">
        <v>2580</v>
      </c>
      <c r="B231" s="1479" t="s">
        <v>2581</v>
      </c>
      <c r="C231" s="1741" t="s">
        <v>2108</v>
      </c>
      <c r="D231" s="1741">
        <v>1110</v>
      </c>
      <c r="E231" s="1741">
        <v>1220</v>
      </c>
      <c r="F231" s="1741" t="s">
        <v>2142</v>
      </c>
      <c r="G231" s="1741" t="s">
        <v>2214</v>
      </c>
      <c r="H231" s="1741" t="s">
        <v>1658</v>
      </c>
      <c r="I231" s="1753" t="s">
        <v>2143</v>
      </c>
      <c r="J231" s="1754"/>
      <c r="K231" s="1753" t="s">
        <v>566</v>
      </c>
      <c r="L231" s="1754" t="s">
        <v>460</v>
      </c>
      <c r="M231" s="1754"/>
      <c r="N231" s="1756">
        <v>0</v>
      </c>
      <c r="O231" s="1757">
        <v>0</v>
      </c>
      <c r="P231" s="1758">
        <v>918502.65</v>
      </c>
      <c r="Q231" s="1759">
        <v>930000</v>
      </c>
      <c r="R231" s="1760">
        <v>930000</v>
      </c>
      <c r="S231" s="1760">
        <v>35454423</v>
      </c>
      <c r="T231" s="1760">
        <v>35454423</v>
      </c>
      <c r="U231" s="1761">
        <v>1195373.78</v>
      </c>
      <c r="V231" s="1762">
        <f>U231*106%</f>
        <v>1267096.2068</v>
      </c>
      <c r="W231" s="1757">
        <f>V231*106%</f>
        <v>1343121.979208</v>
      </c>
      <c r="Z231" s="1773">
        <f t="shared" si="76"/>
        <v>0</v>
      </c>
      <c r="AA231" s="1773">
        <f t="shared" si="77"/>
        <v>0</v>
      </c>
      <c r="AB231" s="1773">
        <f t="shared" si="78"/>
        <v>0</v>
      </c>
      <c r="AC231" s="1773">
        <f t="shared" si="79"/>
        <v>0</v>
      </c>
      <c r="AD231" s="1773">
        <f t="shared" si="80"/>
        <v>0</v>
      </c>
      <c r="AE231" s="1773">
        <f t="shared" si="81"/>
        <v>0</v>
      </c>
      <c r="AF231" s="1773">
        <f t="shared" si="82"/>
        <v>0</v>
      </c>
      <c r="AG231" s="1773">
        <f t="shared" si="83"/>
        <v>0</v>
      </c>
      <c r="AH231" s="1773">
        <f t="shared" si="84"/>
        <v>0</v>
      </c>
      <c r="AI231" s="1773">
        <f t="shared" si="85"/>
        <v>0</v>
      </c>
      <c r="AJ231" s="1773">
        <f t="shared" si="86"/>
        <v>0</v>
      </c>
      <c r="AK231" s="1773">
        <f t="shared" si="87"/>
        <v>0</v>
      </c>
      <c r="AL231" s="1773">
        <f t="shared" si="88"/>
        <v>1195373.78</v>
      </c>
      <c r="AN231" s="1776"/>
      <c r="AO231" s="1776"/>
      <c r="AP231" s="1776"/>
      <c r="AQ231" s="1776"/>
      <c r="AR231" s="1776"/>
      <c r="AS231" s="1776"/>
      <c r="AT231" s="1776"/>
      <c r="AU231" s="1776"/>
      <c r="AV231" s="1776"/>
      <c r="AW231" s="1776"/>
      <c r="AX231" s="1776"/>
      <c r="AY231" s="1776"/>
      <c r="AZ231" s="1776">
        <v>1</v>
      </c>
    </row>
    <row r="232" spans="1:52">
      <c r="A232" t="s">
        <v>2582</v>
      </c>
      <c r="B232" t="s">
        <v>2583</v>
      </c>
      <c r="C232" s="1741" t="s">
        <v>2108</v>
      </c>
      <c r="D232" s="1741">
        <v>1110</v>
      </c>
      <c r="E232" s="1741">
        <v>1474</v>
      </c>
      <c r="F232" s="1741" t="s">
        <v>2142</v>
      </c>
      <c r="G232" s="1741" t="s">
        <v>2214</v>
      </c>
      <c r="H232" s="1741" t="s">
        <v>1658</v>
      </c>
      <c r="I232" s="1753" t="s">
        <v>2114</v>
      </c>
      <c r="J232" s="1754"/>
      <c r="K232" s="1753" t="s">
        <v>2114</v>
      </c>
      <c r="L232" s="1754" t="s">
        <v>502</v>
      </c>
      <c r="M232" s="1754"/>
      <c r="N232" s="1756"/>
      <c r="O232" s="1757"/>
      <c r="P232" s="1758"/>
      <c r="Q232" s="1759">
        <v>200000</v>
      </c>
      <c r="R232" s="1760">
        <v>200000</v>
      </c>
      <c r="S232" s="1760">
        <v>22400</v>
      </c>
      <c r="T232" s="1760">
        <v>22400</v>
      </c>
      <c r="U232" s="1761">
        <v>0</v>
      </c>
      <c r="V232" s="1762">
        <v>250000</v>
      </c>
      <c r="W232" s="1757">
        <v>300000</v>
      </c>
      <c r="Z232" s="1773">
        <f t="shared" si="76"/>
        <v>0</v>
      </c>
      <c r="AA232" s="1773">
        <f t="shared" si="77"/>
        <v>0</v>
      </c>
      <c r="AB232" s="1773">
        <f t="shared" si="78"/>
        <v>0</v>
      </c>
      <c r="AC232" s="1773">
        <f t="shared" si="79"/>
        <v>0</v>
      </c>
      <c r="AD232" s="1773">
        <f t="shared" si="80"/>
        <v>0</v>
      </c>
      <c r="AE232" s="1773">
        <f t="shared" si="81"/>
        <v>0</v>
      </c>
      <c r="AF232" s="1773">
        <f t="shared" si="82"/>
        <v>0</v>
      </c>
      <c r="AG232" s="1773">
        <f t="shared" si="83"/>
        <v>0</v>
      </c>
      <c r="AH232" s="1773">
        <f t="shared" si="84"/>
        <v>0</v>
      </c>
      <c r="AI232" s="1773">
        <f t="shared" si="85"/>
        <v>0</v>
      </c>
      <c r="AJ232" s="1773">
        <f t="shared" si="86"/>
        <v>0</v>
      </c>
      <c r="AK232" s="1773">
        <f t="shared" si="87"/>
        <v>0</v>
      </c>
      <c r="AL232" s="1773">
        <f t="shared" si="88"/>
        <v>0</v>
      </c>
      <c r="AN232" s="1776"/>
      <c r="AO232" s="1776"/>
      <c r="AP232" s="1776"/>
      <c r="AQ232" s="1776"/>
      <c r="AR232" s="1776"/>
      <c r="AS232" s="1776"/>
      <c r="AT232" s="1776"/>
      <c r="AU232" s="1776"/>
      <c r="AV232" s="1776"/>
      <c r="AW232" s="1776"/>
      <c r="AX232" s="1776"/>
      <c r="AY232" s="1776"/>
      <c r="AZ232" s="1776">
        <v>1</v>
      </c>
    </row>
    <row r="233" spans="1:52">
      <c r="A233" s="1479" t="s">
        <v>2584</v>
      </c>
      <c r="B233" s="1479" t="s">
        <v>2585</v>
      </c>
      <c r="C233" s="1741" t="s">
        <v>2108</v>
      </c>
      <c r="D233" s="1741">
        <v>1110</v>
      </c>
      <c r="E233" s="1741">
        <v>4350</v>
      </c>
      <c r="F233" s="1741" t="s">
        <v>2142</v>
      </c>
      <c r="G233" s="1741" t="s">
        <v>2214</v>
      </c>
      <c r="H233" s="1741" t="s">
        <v>1658</v>
      </c>
      <c r="I233" s="1753" t="s">
        <v>2146</v>
      </c>
      <c r="J233" s="1754"/>
      <c r="K233" s="1754" t="s">
        <v>1563</v>
      </c>
      <c r="L233" s="1754" t="s">
        <v>1563</v>
      </c>
      <c r="M233" s="1754"/>
      <c r="N233" s="1756">
        <v>41130</v>
      </c>
      <c r="O233" s="1757">
        <v>-123184.92999135191</v>
      </c>
      <c r="P233" s="1758">
        <v>1191345.641702154</v>
      </c>
      <c r="Q233" s="1759">
        <v>100000</v>
      </c>
      <c r="R233" s="1760">
        <v>100000</v>
      </c>
      <c r="S233" s="1760">
        <v>11200</v>
      </c>
      <c r="T233" s="1760">
        <v>11200</v>
      </c>
      <c r="U233" s="1761">
        <v>8899166.4600000437</v>
      </c>
      <c r="V233" s="1762">
        <v>100000</v>
      </c>
      <c r="W233" s="1757">
        <v>100000</v>
      </c>
      <c r="Z233" s="1773">
        <f t="shared" si="76"/>
        <v>0</v>
      </c>
      <c r="AA233" s="1773">
        <f t="shared" si="77"/>
        <v>0</v>
      </c>
      <c r="AB233" s="1773">
        <f t="shared" si="78"/>
        <v>0</v>
      </c>
      <c r="AC233" s="1773">
        <f t="shared" si="79"/>
        <v>0</v>
      </c>
      <c r="AD233" s="1773">
        <f t="shared" si="80"/>
        <v>0</v>
      </c>
      <c r="AE233" s="1773">
        <f t="shared" si="81"/>
        <v>0</v>
      </c>
      <c r="AF233" s="1773">
        <f t="shared" si="82"/>
        <v>0</v>
      </c>
      <c r="AG233" s="1773">
        <f t="shared" si="83"/>
        <v>0</v>
      </c>
      <c r="AH233" s="1773">
        <f t="shared" si="84"/>
        <v>0</v>
      </c>
      <c r="AI233" s="1773">
        <f t="shared" si="85"/>
        <v>0</v>
      </c>
      <c r="AJ233" s="1773">
        <f t="shared" si="86"/>
        <v>0</v>
      </c>
      <c r="AK233" s="1773">
        <f t="shared" si="87"/>
        <v>0</v>
      </c>
      <c r="AL233" s="1773">
        <f t="shared" si="88"/>
        <v>8899166.4600000437</v>
      </c>
      <c r="AN233" s="1776"/>
      <c r="AO233" s="1776"/>
      <c r="AP233" s="1776"/>
      <c r="AQ233" s="1776"/>
      <c r="AR233" s="1776"/>
      <c r="AS233" s="1776"/>
      <c r="AT233" s="1776"/>
      <c r="AU233" s="1776"/>
      <c r="AV233" s="1776"/>
      <c r="AW233" s="1776"/>
      <c r="AX233" s="1776"/>
      <c r="AY233" s="1776"/>
      <c r="AZ233" s="1776">
        <v>1</v>
      </c>
    </row>
    <row r="234" spans="1:52">
      <c r="A234" s="1479" t="s">
        <v>2586</v>
      </c>
      <c r="B234" s="1479" t="s">
        <v>2587</v>
      </c>
      <c r="C234" s="1741" t="s">
        <v>2108</v>
      </c>
      <c r="D234" s="1741">
        <v>1110</v>
      </c>
      <c r="E234" s="1741">
        <v>5670</v>
      </c>
      <c r="F234" s="1741" t="s">
        <v>2142</v>
      </c>
      <c r="G234" s="1741" t="s">
        <v>2214</v>
      </c>
      <c r="H234" s="1741" t="s">
        <v>586</v>
      </c>
      <c r="I234" s="1753" t="s">
        <v>2144</v>
      </c>
      <c r="J234" s="1754"/>
      <c r="K234" s="1753" t="s">
        <v>566</v>
      </c>
      <c r="L234" s="1754" t="s">
        <v>459</v>
      </c>
      <c r="M234" s="1754"/>
      <c r="N234" s="1756">
        <v>-2640135.62</v>
      </c>
      <c r="O234" s="1757">
        <v>-2889951.94</v>
      </c>
      <c r="P234" s="1758">
        <v>-5062761.71</v>
      </c>
      <c r="Q234" s="1759">
        <v>-4500000</v>
      </c>
      <c r="R234" s="1760">
        <v>-4500000</v>
      </c>
      <c r="S234" s="1760">
        <v>-31215897</v>
      </c>
      <c r="T234" s="1760">
        <v>-31215897</v>
      </c>
      <c r="U234" s="1761">
        <v>-5075538.83</v>
      </c>
      <c r="V234" s="1762">
        <f>U234*106%</f>
        <v>-5380071.1598000005</v>
      </c>
      <c r="W234" s="1757">
        <f>V234*106%</f>
        <v>-5702875.4293880006</v>
      </c>
      <c r="Z234" s="1773">
        <f t="shared" si="76"/>
        <v>0</v>
      </c>
      <c r="AA234" s="1773">
        <f t="shared" si="77"/>
        <v>0</v>
      </c>
      <c r="AB234" s="1773">
        <f t="shared" si="78"/>
        <v>0</v>
      </c>
      <c r="AC234" s="1773">
        <f t="shared" si="79"/>
        <v>0</v>
      </c>
      <c r="AD234" s="1773">
        <f t="shared" si="80"/>
        <v>0</v>
      </c>
      <c r="AE234" s="1773">
        <f t="shared" si="81"/>
        <v>0</v>
      </c>
      <c r="AF234" s="1773">
        <f t="shared" si="82"/>
        <v>0</v>
      </c>
      <c r="AG234" s="1773">
        <f t="shared" si="83"/>
        <v>0</v>
      </c>
      <c r="AH234" s="1773">
        <f t="shared" si="84"/>
        <v>0</v>
      </c>
      <c r="AI234" s="1773">
        <f t="shared" si="85"/>
        <v>0</v>
      </c>
      <c r="AJ234" s="1773">
        <f t="shared" si="86"/>
        <v>0</v>
      </c>
      <c r="AK234" s="1773">
        <f t="shared" si="87"/>
        <v>0</v>
      </c>
      <c r="AL234" s="1773">
        <f t="shared" si="88"/>
        <v>-5075538.83</v>
      </c>
      <c r="AN234" s="1776"/>
      <c r="AO234" s="1776"/>
      <c r="AP234" s="1776"/>
      <c r="AQ234" s="1776"/>
      <c r="AR234" s="1776"/>
      <c r="AS234" s="1776"/>
      <c r="AT234" s="1776"/>
      <c r="AU234" s="1776"/>
      <c r="AV234" s="1776"/>
      <c r="AW234" s="1776"/>
      <c r="AX234" s="1776"/>
      <c r="AY234" s="1776"/>
      <c r="AZ234" s="1776">
        <v>1</v>
      </c>
    </row>
    <row r="235" spans="1:52">
      <c r="A235" s="1479" t="s">
        <v>2588</v>
      </c>
      <c r="B235" s="1479" t="s">
        <v>2231</v>
      </c>
      <c r="C235" s="1741" t="s">
        <v>2108</v>
      </c>
      <c r="D235" s="1741">
        <v>1120</v>
      </c>
      <c r="E235" s="1741">
        <v>10</v>
      </c>
      <c r="F235" s="1741" t="s">
        <v>2217</v>
      </c>
      <c r="G235" s="1741" t="s">
        <v>2214</v>
      </c>
      <c r="H235" s="1741" t="s">
        <v>1658</v>
      </c>
      <c r="I235" s="1753" t="s">
        <v>3003</v>
      </c>
      <c r="J235" s="1754" t="s">
        <v>2109</v>
      </c>
      <c r="K235" s="1753" t="s">
        <v>497</v>
      </c>
      <c r="L235" s="1754" t="s">
        <v>1158</v>
      </c>
      <c r="M235" s="1754"/>
      <c r="N235" s="1756">
        <v>416452.61</v>
      </c>
      <c r="O235" s="1757">
        <v>613473.16</v>
      </c>
      <c r="P235" s="1758">
        <v>613076.04</v>
      </c>
      <c r="Q235" s="1759">
        <v>557775</v>
      </c>
      <c r="R235" s="1760">
        <v>557775</v>
      </c>
      <c r="S235" s="1760">
        <v>755926</v>
      </c>
      <c r="T235" s="1760">
        <v>755926</v>
      </c>
      <c r="U235" s="1761">
        <v>665687.93759999995</v>
      </c>
      <c r="V235" s="1762">
        <f>U235*108%</f>
        <v>718942.97260800004</v>
      </c>
      <c r="W235" s="1757">
        <f>V235*108%</f>
        <v>776458.41041664011</v>
      </c>
      <c r="Z235" s="1773">
        <f t="shared" si="76"/>
        <v>0</v>
      </c>
      <c r="AA235" s="1773">
        <f t="shared" si="77"/>
        <v>0</v>
      </c>
      <c r="AB235" s="1773">
        <f t="shared" si="78"/>
        <v>0</v>
      </c>
      <c r="AC235" s="1773">
        <f t="shared" si="79"/>
        <v>0</v>
      </c>
      <c r="AD235" s="1773">
        <f t="shared" si="80"/>
        <v>0</v>
      </c>
      <c r="AE235" s="1773">
        <f t="shared" si="81"/>
        <v>0</v>
      </c>
      <c r="AF235" s="1773">
        <f t="shared" si="82"/>
        <v>0</v>
      </c>
      <c r="AG235" s="1773">
        <f t="shared" si="83"/>
        <v>0</v>
      </c>
      <c r="AH235" s="1773">
        <f t="shared" si="84"/>
        <v>0</v>
      </c>
      <c r="AI235" s="1773">
        <f t="shared" si="85"/>
        <v>0</v>
      </c>
      <c r="AJ235" s="1773">
        <f t="shared" si="86"/>
        <v>0</v>
      </c>
      <c r="AK235" s="1773">
        <f t="shared" si="87"/>
        <v>0</v>
      </c>
      <c r="AL235" s="1773">
        <f t="shared" si="88"/>
        <v>665687.93759999995</v>
      </c>
      <c r="AN235" s="1776"/>
      <c r="AO235" s="1776"/>
      <c r="AP235" s="1776"/>
      <c r="AQ235" s="1776"/>
      <c r="AR235" s="1776"/>
      <c r="AS235" s="1776"/>
      <c r="AT235" s="1776"/>
      <c r="AU235" s="1776"/>
      <c r="AV235" s="1776"/>
      <c r="AW235" s="1776"/>
      <c r="AX235" s="1776"/>
      <c r="AY235" s="1776"/>
      <c r="AZ235" s="1776">
        <v>1</v>
      </c>
    </row>
    <row r="236" spans="1:52">
      <c r="A236" t="s">
        <v>2589</v>
      </c>
      <c r="B236" t="s">
        <v>2590</v>
      </c>
      <c r="C236" s="1741" t="s">
        <v>2108</v>
      </c>
      <c r="D236" s="1741">
        <v>1120</v>
      </c>
      <c r="E236" s="1741">
        <v>20</v>
      </c>
      <c r="F236" s="1741" t="s">
        <v>2217</v>
      </c>
      <c r="G236" s="1741" t="s">
        <v>2214</v>
      </c>
      <c r="H236" s="1741" t="s">
        <v>1658</v>
      </c>
      <c r="I236" s="1753" t="s">
        <v>3003</v>
      </c>
      <c r="J236" s="1754" t="s">
        <v>2109</v>
      </c>
      <c r="K236" s="1753" t="s">
        <v>497</v>
      </c>
      <c r="L236" s="1754" t="s">
        <v>1158</v>
      </c>
      <c r="M236" s="1754"/>
      <c r="N236" s="1756"/>
      <c r="O236" s="1757"/>
      <c r="P236" s="1758"/>
      <c r="Q236" s="1759">
        <v>0</v>
      </c>
      <c r="R236" s="1760">
        <v>5000</v>
      </c>
      <c r="S236" s="1760">
        <v>2250</v>
      </c>
      <c r="T236" s="1760">
        <v>2250</v>
      </c>
      <c r="U236" s="1761">
        <v>6500</v>
      </c>
      <c r="V236" s="1762">
        <v>7000</v>
      </c>
      <c r="W236" s="1757">
        <v>7000</v>
      </c>
      <c r="Z236" s="1773">
        <f t="shared" si="76"/>
        <v>0</v>
      </c>
      <c r="AA236" s="1773">
        <f t="shared" si="77"/>
        <v>0</v>
      </c>
      <c r="AB236" s="1773">
        <f t="shared" si="78"/>
        <v>0</v>
      </c>
      <c r="AC236" s="1773">
        <f t="shared" si="79"/>
        <v>0</v>
      </c>
      <c r="AD236" s="1773">
        <f t="shared" si="80"/>
        <v>0</v>
      </c>
      <c r="AE236" s="1773">
        <f t="shared" si="81"/>
        <v>0</v>
      </c>
      <c r="AF236" s="1773">
        <f t="shared" si="82"/>
        <v>0</v>
      </c>
      <c r="AG236" s="1773">
        <f t="shared" si="83"/>
        <v>0</v>
      </c>
      <c r="AH236" s="1773">
        <f t="shared" si="84"/>
        <v>0</v>
      </c>
      <c r="AI236" s="1773">
        <f t="shared" si="85"/>
        <v>0</v>
      </c>
      <c r="AJ236" s="1773">
        <f t="shared" si="86"/>
        <v>0</v>
      </c>
      <c r="AK236" s="1773">
        <f t="shared" si="87"/>
        <v>0</v>
      </c>
      <c r="AL236" s="1773">
        <f t="shared" si="88"/>
        <v>6500</v>
      </c>
      <c r="AN236" s="1776"/>
      <c r="AO236" s="1776"/>
      <c r="AP236" s="1776"/>
      <c r="AQ236" s="1776"/>
      <c r="AR236" s="1776"/>
      <c r="AS236" s="1776"/>
      <c r="AT236" s="1776"/>
      <c r="AU236" s="1776"/>
      <c r="AV236" s="1776"/>
      <c r="AW236" s="1776"/>
      <c r="AX236" s="1776"/>
      <c r="AY236" s="1776"/>
      <c r="AZ236" s="1776">
        <v>1</v>
      </c>
    </row>
    <row r="237" spans="1:52">
      <c r="A237" s="1479" t="s">
        <v>2591</v>
      </c>
      <c r="B237" s="1479" t="s">
        <v>2233</v>
      </c>
      <c r="C237" s="1741" t="s">
        <v>2108</v>
      </c>
      <c r="D237" s="1741">
        <v>1120</v>
      </c>
      <c r="E237" s="1741">
        <v>30</v>
      </c>
      <c r="F237" s="1741" t="s">
        <v>2217</v>
      </c>
      <c r="G237" s="1741" t="s">
        <v>2214</v>
      </c>
      <c r="H237" s="1741" t="s">
        <v>1658</v>
      </c>
      <c r="I237" s="1753" t="s">
        <v>3003</v>
      </c>
      <c r="J237" s="1754" t="s">
        <v>3004</v>
      </c>
      <c r="K237" s="1753" t="s">
        <v>497</v>
      </c>
      <c r="L237" s="1754" t="s">
        <v>1159</v>
      </c>
      <c r="M237" s="1754"/>
      <c r="N237" s="1756">
        <v>76.8</v>
      </c>
      <c r="O237" s="1757">
        <v>82.8</v>
      </c>
      <c r="P237" s="1758">
        <v>90</v>
      </c>
      <c r="Q237" s="1759">
        <v>535</v>
      </c>
      <c r="R237" s="1760">
        <v>535</v>
      </c>
      <c r="S237" s="1760">
        <v>149</v>
      </c>
      <c r="T237" s="1760">
        <v>149</v>
      </c>
      <c r="U237" s="1761">
        <v>647.75487974399994</v>
      </c>
      <c r="V237" s="1762">
        <f t="shared" ref="V237:W239" si="89">U237*108%</f>
        <v>699.57527012352</v>
      </c>
      <c r="W237" s="1757">
        <f t="shared" si="89"/>
        <v>755.54129173340164</v>
      </c>
      <c r="Z237" s="1773">
        <f t="shared" si="76"/>
        <v>0</v>
      </c>
      <c r="AA237" s="1773">
        <f t="shared" si="77"/>
        <v>0</v>
      </c>
      <c r="AB237" s="1773">
        <f t="shared" si="78"/>
        <v>0</v>
      </c>
      <c r="AC237" s="1773">
        <f t="shared" si="79"/>
        <v>0</v>
      </c>
      <c r="AD237" s="1773">
        <f t="shared" si="80"/>
        <v>0</v>
      </c>
      <c r="AE237" s="1773">
        <f t="shared" si="81"/>
        <v>0</v>
      </c>
      <c r="AF237" s="1773">
        <f t="shared" si="82"/>
        <v>0</v>
      </c>
      <c r="AG237" s="1773">
        <f t="shared" si="83"/>
        <v>0</v>
      </c>
      <c r="AH237" s="1773">
        <f t="shared" si="84"/>
        <v>0</v>
      </c>
      <c r="AI237" s="1773">
        <f t="shared" si="85"/>
        <v>0</v>
      </c>
      <c r="AJ237" s="1773">
        <f t="shared" si="86"/>
        <v>0</v>
      </c>
      <c r="AK237" s="1773">
        <f t="shared" si="87"/>
        <v>0</v>
      </c>
      <c r="AL237" s="1773">
        <f t="shared" si="88"/>
        <v>647.75487974399994</v>
      </c>
      <c r="AN237" s="1776"/>
      <c r="AO237" s="1776"/>
      <c r="AP237" s="1776"/>
      <c r="AQ237" s="1776"/>
      <c r="AR237" s="1776"/>
      <c r="AS237" s="1776"/>
      <c r="AT237" s="1776"/>
      <c r="AU237" s="1776"/>
      <c r="AV237" s="1776"/>
      <c r="AW237" s="1776"/>
      <c r="AX237" s="1776"/>
      <c r="AY237" s="1776"/>
      <c r="AZ237" s="1776">
        <v>1</v>
      </c>
    </row>
    <row r="238" spans="1:52">
      <c r="A238" s="1479" t="s">
        <v>2592</v>
      </c>
      <c r="B238" s="1479" t="s">
        <v>2265</v>
      </c>
      <c r="C238" s="1741" t="s">
        <v>2108</v>
      </c>
      <c r="D238" s="1741">
        <v>1120</v>
      </c>
      <c r="E238" s="1741">
        <v>40</v>
      </c>
      <c r="F238" s="1741" t="s">
        <v>2217</v>
      </c>
      <c r="G238" s="1741" t="s">
        <v>2214</v>
      </c>
      <c r="H238" s="1741" t="s">
        <v>1658</v>
      </c>
      <c r="I238" s="1753" t="s">
        <v>3003</v>
      </c>
      <c r="J238" s="1754" t="s">
        <v>2110</v>
      </c>
      <c r="K238" s="1753" t="s">
        <v>497</v>
      </c>
      <c r="L238" s="1754" t="s">
        <v>1159</v>
      </c>
      <c r="M238" s="1754"/>
      <c r="N238" s="1756">
        <v>26035.200000000001</v>
      </c>
      <c r="O238" s="1757">
        <v>30480</v>
      </c>
      <c r="P238" s="1758">
        <v>32001.599999999999</v>
      </c>
      <c r="Q238" s="1759">
        <v>27160</v>
      </c>
      <c r="R238" s="1760">
        <v>27160</v>
      </c>
      <c r="S238" s="1760">
        <v>28626</v>
      </c>
      <c r="T238" s="1760">
        <v>28626</v>
      </c>
      <c r="U238" s="1761">
        <v>69136.844735999999</v>
      </c>
      <c r="V238" s="1762">
        <f t="shared" si="89"/>
        <v>74667.792314880004</v>
      </c>
      <c r="W238" s="1757">
        <f t="shared" si="89"/>
        <v>80641.215700070403</v>
      </c>
      <c r="Z238" s="1773">
        <f t="shared" si="76"/>
        <v>0</v>
      </c>
      <c r="AA238" s="1773">
        <f t="shared" si="77"/>
        <v>0</v>
      </c>
      <c r="AB238" s="1773">
        <f t="shared" si="78"/>
        <v>0</v>
      </c>
      <c r="AC238" s="1773">
        <f t="shared" si="79"/>
        <v>0</v>
      </c>
      <c r="AD238" s="1773">
        <f t="shared" si="80"/>
        <v>0</v>
      </c>
      <c r="AE238" s="1773">
        <f t="shared" si="81"/>
        <v>0</v>
      </c>
      <c r="AF238" s="1773">
        <f t="shared" si="82"/>
        <v>0</v>
      </c>
      <c r="AG238" s="1773">
        <f t="shared" si="83"/>
        <v>0</v>
      </c>
      <c r="AH238" s="1773">
        <f t="shared" si="84"/>
        <v>0</v>
      </c>
      <c r="AI238" s="1773">
        <f t="shared" si="85"/>
        <v>0</v>
      </c>
      <c r="AJ238" s="1773">
        <f t="shared" si="86"/>
        <v>0</v>
      </c>
      <c r="AK238" s="1773">
        <f t="shared" si="87"/>
        <v>0</v>
      </c>
      <c r="AL238" s="1773">
        <f t="shared" si="88"/>
        <v>69136.844735999999</v>
      </c>
      <c r="AN238" s="1776"/>
      <c r="AO238" s="1776"/>
      <c r="AP238" s="1776"/>
      <c r="AQ238" s="1776"/>
      <c r="AR238" s="1776"/>
      <c r="AS238" s="1776"/>
      <c r="AT238" s="1776"/>
      <c r="AU238" s="1776"/>
      <c r="AV238" s="1776"/>
      <c r="AW238" s="1776"/>
      <c r="AX238" s="1776"/>
      <c r="AY238" s="1776"/>
      <c r="AZ238" s="1776">
        <v>1</v>
      </c>
    </row>
    <row r="239" spans="1:52">
      <c r="A239" s="1479" t="s">
        <v>2593</v>
      </c>
      <c r="B239" s="1479" t="s">
        <v>2235</v>
      </c>
      <c r="C239" s="1741" t="s">
        <v>2108</v>
      </c>
      <c r="D239" s="1741">
        <v>1120</v>
      </c>
      <c r="E239" s="1741">
        <v>50</v>
      </c>
      <c r="F239" s="1741" t="s">
        <v>2217</v>
      </c>
      <c r="G239" s="1741" t="s">
        <v>2214</v>
      </c>
      <c r="H239" s="1741" t="s">
        <v>1658</v>
      </c>
      <c r="I239" s="1753" t="s">
        <v>3003</v>
      </c>
      <c r="J239" s="1754" t="s">
        <v>2110</v>
      </c>
      <c r="K239" s="1753" t="s">
        <v>497</v>
      </c>
      <c r="L239" s="1754" t="s">
        <v>1159</v>
      </c>
      <c r="M239" s="1754"/>
      <c r="N239" s="1756">
        <v>86538.79</v>
      </c>
      <c r="O239" s="1757">
        <v>111569.52</v>
      </c>
      <c r="P239" s="1758">
        <v>124309.03</v>
      </c>
      <c r="Q239" s="1759">
        <v>48025</v>
      </c>
      <c r="R239" s="1760">
        <v>135000</v>
      </c>
      <c r="S239" s="1760">
        <v>121057</v>
      </c>
      <c r="T239" s="1760">
        <v>121057</v>
      </c>
      <c r="U239" s="1761">
        <v>176174.46962399996</v>
      </c>
      <c r="V239" s="1762">
        <f t="shared" si="89"/>
        <v>190268.42719391998</v>
      </c>
      <c r="W239" s="1757">
        <f t="shared" si="89"/>
        <v>205489.90136943359</v>
      </c>
      <c r="Z239" s="1773">
        <f t="shared" si="76"/>
        <v>0</v>
      </c>
      <c r="AA239" s="1773">
        <f t="shared" si="77"/>
        <v>0</v>
      </c>
      <c r="AB239" s="1773">
        <f t="shared" si="78"/>
        <v>0</v>
      </c>
      <c r="AC239" s="1773">
        <f t="shared" si="79"/>
        <v>0</v>
      </c>
      <c r="AD239" s="1773">
        <f t="shared" si="80"/>
        <v>0</v>
      </c>
      <c r="AE239" s="1773">
        <f t="shared" si="81"/>
        <v>0</v>
      </c>
      <c r="AF239" s="1773">
        <f t="shared" si="82"/>
        <v>0</v>
      </c>
      <c r="AG239" s="1773">
        <f t="shared" si="83"/>
        <v>0</v>
      </c>
      <c r="AH239" s="1773">
        <f t="shared" si="84"/>
        <v>0</v>
      </c>
      <c r="AI239" s="1773">
        <f t="shared" si="85"/>
        <v>0</v>
      </c>
      <c r="AJ239" s="1773">
        <f t="shared" si="86"/>
        <v>0</v>
      </c>
      <c r="AK239" s="1773">
        <f t="shared" si="87"/>
        <v>0</v>
      </c>
      <c r="AL239" s="1773">
        <f t="shared" si="88"/>
        <v>176174.46962399996</v>
      </c>
      <c r="AN239" s="1776"/>
      <c r="AO239" s="1776"/>
      <c r="AP239" s="1776"/>
      <c r="AQ239" s="1776"/>
      <c r="AR239" s="1776"/>
      <c r="AS239" s="1776"/>
      <c r="AT239" s="1776"/>
      <c r="AU239" s="1776"/>
      <c r="AV239" s="1776"/>
      <c r="AW239" s="1776"/>
      <c r="AX239" s="1776"/>
      <c r="AY239" s="1776"/>
      <c r="AZ239" s="1776">
        <v>1</v>
      </c>
    </row>
    <row r="240" spans="1:52" ht="13.5">
      <c r="A240" s="1479" t="s">
        <v>2594</v>
      </c>
      <c r="B240" s="1479" t="s">
        <v>2237</v>
      </c>
      <c r="C240" s="1741" t="s">
        <v>2108</v>
      </c>
      <c r="D240" s="1741">
        <v>1120</v>
      </c>
      <c r="E240" s="1741">
        <v>60</v>
      </c>
      <c r="F240" s="1741" t="s">
        <v>2217</v>
      </c>
      <c r="G240" s="1741" t="s">
        <v>2214</v>
      </c>
      <c r="H240" s="1741" t="s">
        <v>1658</v>
      </c>
      <c r="I240" s="1753" t="s">
        <v>3003</v>
      </c>
      <c r="J240" s="1754" t="s">
        <v>2110</v>
      </c>
      <c r="K240" s="1753" t="s">
        <v>497</v>
      </c>
      <c r="L240" s="1754" t="s">
        <v>1159</v>
      </c>
      <c r="M240" s="1763"/>
      <c r="N240" s="1756">
        <v>2355.92</v>
      </c>
      <c r="O240" s="1757">
        <v>2455.08</v>
      </c>
      <c r="P240" s="1758">
        <v>2578.15</v>
      </c>
      <c r="Q240" s="1759">
        <v>2760</v>
      </c>
      <c r="R240" s="1760">
        <v>2760</v>
      </c>
      <c r="S240" s="1760">
        <v>2692</v>
      </c>
      <c r="T240" s="1760">
        <v>2692</v>
      </c>
      <c r="U240" s="1761">
        <v>2994.72</v>
      </c>
      <c r="V240" s="1762">
        <v>3200</v>
      </c>
      <c r="W240" s="1757">
        <v>3320</v>
      </c>
      <c r="Z240" s="1773">
        <f t="shared" si="76"/>
        <v>0</v>
      </c>
      <c r="AA240" s="1773">
        <f t="shared" si="77"/>
        <v>0</v>
      </c>
      <c r="AB240" s="1773">
        <f t="shared" si="78"/>
        <v>0</v>
      </c>
      <c r="AC240" s="1773">
        <f t="shared" si="79"/>
        <v>0</v>
      </c>
      <c r="AD240" s="1773">
        <f t="shared" si="80"/>
        <v>0</v>
      </c>
      <c r="AE240" s="1773">
        <f t="shared" si="81"/>
        <v>0</v>
      </c>
      <c r="AF240" s="1773">
        <f t="shared" si="82"/>
        <v>0</v>
      </c>
      <c r="AG240" s="1773">
        <f t="shared" si="83"/>
        <v>0</v>
      </c>
      <c r="AH240" s="1773">
        <f t="shared" si="84"/>
        <v>0</v>
      </c>
      <c r="AI240" s="1773">
        <f t="shared" si="85"/>
        <v>0</v>
      </c>
      <c r="AJ240" s="1773">
        <f t="shared" si="86"/>
        <v>0</v>
      </c>
      <c r="AK240" s="1773">
        <f t="shared" si="87"/>
        <v>0</v>
      </c>
      <c r="AL240" s="1773">
        <f t="shared" si="88"/>
        <v>2994.72</v>
      </c>
      <c r="AN240" s="1776"/>
      <c r="AO240" s="1776"/>
      <c r="AP240" s="1776"/>
      <c r="AQ240" s="1776"/>
      <c r="AR240" s="1776"/>
      <c r="AS240" s="1776"/>
      <c r="AT240" s="1776"/>
      <c r="AU240" s="1776"/>
      <c r="AV240" s="1776"/>
      <c r="AW240" s="1776"/>
      <c r="AX240" s="1776"/>
      <c r="AY240" s="1776"/>
      <c r="AZ240" s="1776">
        <v>1</v>
      </c>
    </row>
    <row r="241" spans="1:52" ht="13.5">
      <c r="A241" s="1479" t="s">
        <v>2595</v>
      </c>
      <c r="B241" s="1479" t="s">
        <v>2269</v>
      </c>
      <c r="C241" s="1741" t="s">
        <v>2108</v>
      </c>
      <c r="D241" s="1741">
        <v>1120</v>
      </c>
      <c r="E241" s="1741">
        <v>80</v>
      </c>
      <c r="F241" s="1741" t="s">
        <v>2217</v>
      </c>
      <c r="G241" s="1741" t="s">
        <v>2214</v>
      </c>
      <c r="H241" s="1741" t="s">
        <v>1658</v>
      </c>
      <c r="I241" s="1753" t="s">
        <v>3003</v>
      </c>
      <c r="J241" s="1754" t="s">
        <v>2112</v>
      </c>
      <c r="K241" s="1753" t="s">
        <v>497</v>
      </c>
      <c r="L241" s="1754" t="s">
        <v>807</v>
      </c>
      <c r="M241" s="1763"/>
      <c r="N241" s="1756">
        <v>7200</v>
      </c>
      <c r="O241" s="1757">
        <v>0</v>
      </c>
      <c r="P241" s="1758">
        <v>0</v>
      </c>
      <c r="Q241" s="1759">
        <v>0</v>
      </c>
      <c r="R241" s="1760">
        <v>0</v>
      </c>
      <c r="S241" s="1760">
        <v>0</v>
      </c>
      <c r="T241" s="1760">
        <v>0</v>
      </c>
      <c r="U241" s="1761">
        <v>0</v>
      </c>
      <c r="V241" s="1762">
        <v>0</v>
      </c>
      <c r="W241" s="1757">
        <v>0</v>
      </c>
      <c r="Z241" s="1773">
        <f t="shared" si="76"/>
        <v>0</v>
      </c>
      <c r="AA241" s="1773">
        <f t="shared" si="77"/>
        <v>0</v>
      </c>
      <c r="AB241" s="1773">
        <f t="shared" si="78"/>
        <v>0</v>
      </c>
      <c r="AC241" s="1773">
        <f t="shared" si="79"/>
        <v>0</v>
      </c>
      <c r="AD241" s="1773">
        <f t="shared" si="80"/>
        <v>0</v>
      </c>
      <c r="AE241" s="1773">
        <f t="shared" si="81"/>
        <v>0</v>
      </c>
      <c r="AF241" s="1773">
        <f t="shared" si="82"/>
        <v>0</v>
      </c>
      <c r="AG241" s="1773">
        <f t="shared" si="83"/>
        <v>0</v>
      </c>
      <c r="AH241" s="1773">
        <f t="shared" si="84"/>
        <v>0</v>
      </c>
      <c r="AI241" s="1773">
        <f t="shared" si="85"/>
        <v>0</v>
      </c>
      <c r="AJ241" s="1773">
        <f t="shared" si="86"/>
        <v>0</v>
      </c>
      <c r="AK241" s="1773">
        <f t="shared" si="87"/>
        <v>0</v>
      </c>
      <c r="AL241" s="1773">
        <f t="shared" si="88"/>
        <v>0</v>
      </c>
      <c r="AN241" s="1776"/>
      <c r="AO241" s="1776"/>
      <c r="AP241" s="1776"/>
      <c r="AQ241" s="1776"/>
      <c r="AR241" s="1776"/>
      <c r="AS241" s="1776"/>
      <c r="AT241" s="1776"/>
      <c r="AU241" s="1776"/>
      <c r="AV241" s="1776"/>
      <c r="AW241" s="1776"/>
      <c r="AX241" s="1776"/>
      <c r="AY241" s="1776"/>
      <c r="AZ241" s="1776">
        <v>1</v>
      </c>
    </row>
    <row r="242" spans="1:52" ht="13.5">
      <c r="A242" s="1479" t="s">
        <v>2596</v>
      </c>
      <c r="B242" s="1479" t="s">
        <v>2271</v>
      </c>
      <c r="C242" s="1741" t="s">
        <v>2108</v>
      </c>
      <c r="D242" s="1741">
        <v>1120</v>
      </c>
      <c r="E242" s="1741">
        <v>100</v>
      </c>
      <c r="F242" s="1741" t="s">
        <v>2217</v>
      </c>
      <c r="G242" s="1741" t="s">
        <v>2214</v>
      </c>
      <c r="H242" s="1741" t="s">
        <v>1658</v>
      </c>
      <c r="I242" s="1753" t="s">
        <v>3003</v>
      </c>
      <c r="J242" s="1754" t="s">
        <v>2145</v>
      </c>
      <c r="K242" s="1753" t="s">
        <v>497</v>
      </c>
      <c r="L242" s="1754" t="s">
        <v>1778</v>
      </c>
      <c r="M242" s="1439"/>
      <c r="N242" s="1756">
        <v>34095.96</v>
      </c>
      <c r="O242" s="1757">
        <v>0</v>
      </c>
      <c r="P242" s="1758">
        <v>0</v>
      </c>
      <c r="Q242" s="1759">
        <v>0</v>
      </c>
      <c r="R242" s="1760">
        <v>0</v>
      </c>
      <c r="S242" s="1760">
        <v>0</v>
      </c>
      <c r="T242" s="1760">
        <v>0</v>
      </c>
      <c r="U242" s="1761">
        <v>0</v>
      </c>
      <c r="V242" s="1762">
        <v>0</v>
      </c>
      <c r="W242" s="1757">
        <v>0</v>
      </c>
      <c r="Z242" s="1773">
        <f t="shared" si="76"/>
        <v>0</v>
      </c>
      <c r="AA242" s="1773">
        <f t="shared" si="77"/>
        <v>0</v>
      </c>
      <c r="AB242" s="1773">
        <f t="shared" si="78"/>
        <v>0</v>
      </c>
      <c r="AC242" s="1773">
        <f t="shared" si="79"/>
        <v>0</v>
      </c>
      <c r="AD242" s="1773">
        <f t="shared" si="80"/>
        <v>0</v>
      </c>
      <c r="AE242" s="1773">
        <f t="shared" si="81"/>
        <v>0</v>
      </c>
      <c r="AF242" s="1773">
        <f t="shared" si="82"/>
        <v>0</v>
      </c>
      <c r="AG242" s="1773">
        <f t="shared" si="83"/>
        <v>0</v>
      </c>
      <c r="AH242" s="1773">
        <f t="shared" si="84"/>
        <v>0</v>
      </c>
      <c r="AI242" s="1773">
        <f t="shared" si="85"/>
        <v>0</v>
      </c>
      <c r="AJ242" s="1773">
        <f t="shared" si="86"/>
        <v>0</v>
      </c>
      <c r="AK242" s="1773">
        <f t="shared" si="87"/>
        <v>0</v>
      </c>
      <c r="AL242" s="1773">
        <f t="shared" si="88"/>
        <v>0</v>
      </c>
      <c r="AN242" s="1776"/>
      <c r="AO242" s="1776"/>
      <c r="AP242" s="1776"/>
      <c r="AQ242" s="1776"/>
      <c r="AR242" s="1776"/>
      <c r="AS242" s="1776"/>
      <c r="AT242" s="1776"/>
      <c r="AU242" s="1776"/>
      <c r="AV242" s="1776"/>
      <c r="AW242" s="1776"/>
      <c r="AX242" s="1776"/>
      <c r="AY242" s="1776"/>
      <c r="AZ242" s="1776">
        <v>1</v>
      </c>
    </row>
    <row r="243" spans="1:52">
      <c r="A243" s="1479" t="s">
        <v>2597</v>
      </c>
      <c r="B243" s="1479" t="s">
        <v>2241</v>
      </c>
      <c r="C243" s="1741" t="s">
        <v>2108</v>
      </c>
      <c r="D243" s="1741">
        <v>1120</v>
      </c>
      <c r="E243" s="1741">
        <v>140</v>
      </c>
      <c r="F243" s="1741" t="s">
        <v>2217</v>
      </c>
      <c r="G243" s="1741" t="s">
        <v>2214</v>
      </c>
      <c r="H243" s="1741" t="s">
        <v>1658</v>
      </c>
      <c r="I243" s="1753" t="s">
        <v>3003</v>
      </c>
      <c r="J243" s="1754" t="s">
        <v>3005</v>
      </c>
      <c r="K243" s="1753" t="s">
        <v>497</v>
      </c>
      <c r="L243" s="1754" t="s">
        <v>1163</v>
      </c>
      <c r="M243" s="1754"/>
      <c r="N243" s="1756">
        <v>6316</v>
      </c>
      <c r="O243" s="1757">
        <v>6841</v>
      </c>
      <c r="P243" s="1758">
        <v>7730.33</v>
      </c>
      <c r="Q243" s="1759">
        <v>0</v>
      </c>
      <c r="R243" s="1760">
        <v>15000</v>
      </c>
      <c r="S243" s="1760">
        <v>8386</v>
      </c>
      <c r="T243" s="1760">
        <v>8386</v>
      </c>
      <c r="U243" s="1761">
        <v>9056.7288000000008</v>
      </c>
      <c r="V243" s="1762">
        <f>U243*108%</f>
        <v>9781.2671040000023</v>
      </c>
      <c r="W243" s="1757">
        <f>V243*108%</f>
        <v>10563.768472320004</v>
      </c>
      <c r="Z243" s="1773">
        <f t="shared" si="76"/>
        <v>0</v>
      </c>
      <c r="AA243" s="1773">
        <f t="shared" si="77"/>
        <v>0</v>
      </c>
      <c r="AB243" s="1773">
        <f t="shared" si="78"/>
        <v>0</v>
      </c>
      <c r="AC243" s="1773">
        <f t="shared" si="79"/>
        <v>0</v>
      </c>
      <c r="AD243" s="1773">
        <f t="shared" si="80"/>
        <v>0</v>
      </c>
      <c r="AE243" s="1773">
        <f t="shared" si="81"/>
        <v>0</v>
      </c>
      <c r="AF243" s="1773">
        <f t="shared" si="82"/>
        <v>0</v>
      </c>
      <c r="AG243" s="1773">
        <f t="shared" si="83"/>
        <v>0</v>
      </c>
      <c r="AH243" s="1773">
        <f t="shared" si="84"/>
        <v>0</v>
      </c>
      <c r="AI243" s="1773">
        <f t="shared" si="85"/>
        <v>0</v>
      </c>
      <c r="AJ243" s="1773">
        <f t="shared" si="86"/>
        <v>0</v>
      </c>
      <c r="AK243" s="1773">
        <f t="shared" si="87"/>
        <v>0</v>
      </c>
      <c r="AL243" s="1773">
        <f t="shared" si="88"/>
        <v>9056.7288000000008</v>
      </c>
      <c r="AN243" s="1776"/>
      <c r="AO243" s="1776"/>
      <c r="AP243" s="1776"/>
      <c r="AQ243" s="1776"/>
      <c r="AR243" s="1776"/>
      <c r="AS243" s="1776"/>
      <c r="AT243" s="1776"/>
      <c r="AU243" s="1776"/>
      <c r="AV243" s="1776"/>
      <c r="AW243" s="1776"/>
      <c r="AX243" s="1776"/>
      <c r="AY243" s="1776"/>
      <c r="AZ243" s="1776">
        <v>1</v>
      </c>
    </row>
    <row r="244" spans="1:52">
      <c r="A244" s="1479" t="s">
        <v>2598</v>
      </c>
      <c r="B244" s="1479" t="s">
        <v>2274</v>
      </c>
      <c r="C244" s="1741" t="s">
        <v>2108</v>
      </c>
      <c r="D244" s="1741">
        <v>1120</v>
      </c>
      <c r="E244" s="1741">
        <v>150</v>
      </c>
      <c r="F244" s="1741" t="s">
        <v>2217</v>
      </c>
      <c r="G244" s="1741" t="s">
        <v>2214</v>
      </c>
      <c r="H244" s="1741" t="s">
        <v>1658</v>
      </c>
      <c r="I244" s="1753" t="s">
        <v>3003</v>
      </c>
      <c r="J244" s="1754" t="s">
        <v>2113</v>
      </c>
      <c r="K244" s="1753" t="s">
        <v>497</v>
      </c>
      <c r="L244" s="1754" t="s">
        <v>1160</v>
      </c>
      <c r="M244" s="1754"/>
      <c r="N244" s="1756">
        <v>104000</v>
      </c>
      <c r="O244" s="1757">
        <v>129960</v>
      </c>
      <c r="P244" s="1758">
        <v>129960</v>
      </c>
      <c r="Q244" s="1759">
        <v>129960</v>
      </c>
      <c r="R244" s="1760">
        <v>129960</v>
      </c>
      <c r="S244" s="1760">
        <v>140559</v>
      </c>
      <c r="T244" s="1760">
        <v>140559</v>
      </c>
      <c r="U244" s="1761">
        <v>145123.79999999999</v>
      </c>
      <c r="V244" s="1762">
        <f>U244*108%</f>
        <v>156733.704</v>
      </c>
      <c r="W244" s="1757">
        <f>V244*108%</f>
        <v>169272.40032000002</v>
      </c>
      <c r="Z244" s="1773">
        <f t="shared" si="76"/>
        <v>0</v>
      </c>
      <c r="AA244" s="1773">
        <f t="shared" si="77"/>
        <v>0</v>
      </c>
      <c r="AB244" s="1773">
        <f t="shared" si="78"/>
        <v>0</v>
      </c>
      <c r="AC244" s="1773">
        <f t="shared" si="79"/>
        <v>0</v>
      </c>
      <c r="AD244" s="1773">
        <f t="shared" si="80"/>
        <v>0</v>
      </c>
      <c r="AE244" s="1773">
        <f t="shared" si="81"/>
        <v>0</v>
      </c>
      <c r="AF244" s="1773">
        <f t="shared" si="82"/>
        <v>0</v>
      </c>
      <c r="AG244" s="1773">
        <f t="shared" si="83"/>
        <v>0</v>
      </c>
      <c r="AH244" s="1773">
        <f t="shared" si="84"/>
        <v>0</v>
      </c>
      <c r="AI244" s="1773">
        <f t="shared" si="85"/>
        <v>0</v>
      </c>
      <c r="AJ244" s="1773">
        <f t="shared" si="86"/>
        <v>0</v>
      </c>
      <c r="AK244" s="1773">
        <f t="shared" si="87"/>
        <v>0</v>
      </c>
      <c r="AL244" s="1773">
        <f t="shared" si="88"/>
        <v>145123.79999999999</v>
      </c>
      <c r="AN244" s="1776"/>
      <c r="AO244" s="1776"/>
      <c r="AP244" s="1776"/>
      <c r="AQ244" s="1776"/>
      <c r="AR244" s="1776"/>
      <c r="AS244" s="1776"/>
      <c r="AT244" s="1776"/>
      <c r="AU244" s="1776"/>
      <c r="AV244" s="1776"/>
      <c r="AW244" s="1776"/>
      <c r="AX244" s="1776"/>
      <c r="AY244" s="1776"/>
      <c r="AZ244" s="1776">
        <v>1</v>
      </c>
    </row>
    <row r="245" spans="1:52">
      <c r="A245" s="1479" t="s">
        <v>2599</v>
      </c>
      <c r="B245" s="1479" t="s">
        <v>2276</v>
      </c>
      <c r="C245" s="1741" t="s">
        <v>2108</v>
      </c>
      <c r="D245" s="1741">
        <v>1120</v>
      </c>
      <c r="E245" s="1741">
        <v>170</v>
      </c>
      <c r="F245" s="1741" t="s">
        <v>2217</v>
      </c>
      <c r="G245" s="1741" t="s">
        <v>2214</v>
      </c>
      <c r="H245" s="1741" t="s">
        <v>1658</v>
      </c>
      <c r="I245" s="1753" t="s">
        <v>3003</v>
      </c>
      <c r="J245" s="1754" t="s">
        <v>1161</v>
      </c>
      <c r="K245" s="1753" t="s">
        <v>497</v>
      </c>
      <c r="L245" s="1754" t="s">
        <v>1161</v>
      </c>
      <c r="M245" s="1754"/>
      <c r="N245" s="1756">
        <v>572.36</v>
      </c>
      <c r="O245" s="1757">
        <v>0</v>
      </c>
      <c r="P245" s="1758">
        <v>0</v>
      </c>
      <c r="Q245" s="1759">
        <v>0</v>
      </c>
      <c r="R245" s="1760">
        <v>0</v>
      </c>
      <c r="S245" s="1760">
        <v>0</v>
      </c>
      <c r="T245" s="1760">
        <v>0</v>
      </c>
      <c r="U245" s="1761">
        <v>0</v>
      </c>
      <c r="V245" s="1762">
        <v>0</v>
      </c>
      <c r="W245" s="1757">
        <v>0</v>
      </c>
      <c r="Z245" s="1773">
        <f t="shared" si="76"/>
        <v>0</v>
      </c>
      <c r="AA245" s="1773">
        <f t="shared" si="77"/>
        <v>0</v>
      </c>
      <c r="AB245" s="1773">
        <f t="shared" si="78"/>
        <v>0</v>
      </c>
      <c r="AC245" s="1773">
        <f t="shared" si="79"/>
        <v>0</v>
      </c>
      <c r="AD245" s="1773">
        <f t="shared" si="80"/>
        <v>0</v>
      </c>
      <c r="AE245" s="1773">
        <f t="shared" si="81"/>
        <v>0</v>
      </c>
      <c r="AF245" s="1773">
        <f t="shared" si="82"/>
        <v>0</v>
      </c>
      <c r="AG245" s="1773">
        <f t="shared" si="83"/>
        <v>0</v>
      </c>
      <c r="AH245" s="1773">
        <f t="shared" si="84"/>
        <v>0</v>
      </c>
      <c r="AI245" s="1773">
        <f t="shared" si="85"/>
        <v>0</v>
      </c>
      <c r="AJ245" s="1773">
        <f t="shared" si="86"/>
        <v>0</v>
      </c>
      <c r="AK245" s="1773">
        <f t="shared" si="87"/>
        <v>0</v>
      </c>
      <c r="AL245" s="1773">
        <f t="shared" si="88"/>
        <v>0</v>
      </c>
      <c r="AN245" s="1776"/>
      <c r="AO245" s="1776"/>
      <c r="AP245" s="1776"/>
      <c r="AQ245" s="1776"/>
      <c r="AR245" s="1776"/>
      <c r="AS245" s="1776"/>
      <c r="AT245" s="1776"/>
      <c r="AU245" s="1776"/>
      <c r="AV245" s="1776"/>
      <c r="AW245" s="1776"/>
      <c r="AX245" s="1776"/>
      <c r="AY245" s="1776"/>
      <c r="AZ245" s="1776">
        <v>1</v>
      </c>
    </row>
    <row r="246" spans="1:52">
      <c r="A246" s="1479" t="s">
        <v>2600</v>
      </c>
      <c r="B246" s="1479" t="s">
        <v>2278</v>
      </c>
      <c r="C246" s="1741" t="s">
        <v>2108</v>
      </c>
      <c r="D246" s="1741">
        <v>1120</v>
      </c>
      <c r="E246" s="1741">
        <v>200</v>
      </c>
      <c r="F246" s="1741" t="s">
        <v>2217</v>
      </c>
      <c r="G246" s="1741" t="s">
        <v>2214</v>
      </c>
      <c r="H246" s="1741" t="s">
        <v>1658</v>
      </c>
      <c r="I246" s="1753" t="s">
        <v>3003</v>
      </c>
      <c r="J246" s="1754" t="s">
        <v>2113</v>
      </c>
      <c r="K246" s="1753" t="s">
        <v>497</v>
      </c>
      <c r="L246" s="1753" t="s">
        <v>1160</v>
      </c>
      <c r="M246" s="1754"/>
      <c r="N246" s="1756">
        <v>4200</v>
      </c>
      <c r="O246" s="1757">
        <v>4620.24</v>
      </c>
      <c r="P246" s="1758">
        <v>4620.24</v>
      </c>
      <c r="Q246" s="1759">
        <v>4800</v>
      </c>
      <c r="R246" s="1760">
        <v>4800</v>
      </c>
      <c r="S246" s="1760">
        <v>4661</v>
      </c>
      <c r="T246" s="1760">
        <v>4661</v>
      </c>
      <c r="U246" s="1761">
        <v>4620</v>
      </c>
      <c r="V246" s="1762">
        <v>5140</v>
      </c>
      <c r="W246" s="1757">
        <v>5495</v>
      </c>
      <c r="Z246" s="1773">
        <f t="shared" si="76"/>
        <v>0</v>
      </c>
      <c r="AA246" s="1773">
        <f t="shared" si="77"/>
        <v>0</v>
      </c>
      <c r="AB246" s="1773">
        <f t="shared" si="78"/>
        <v>0</v>
      </c>
      <c r="AC246" s="1773">
        <f t="shared" si="79"/>
        <v>0</v>
      </c>
      <c r="AD246" s="1773">
        <f t="shared" si="80"/>
        <v>0</v>
      </c>
      <c r="AE246" s="1773">
        <f t="shared" si="81"/>
        <v>0</v>
      </c>
      <c r="AF246" s="1773">
        <f t="shared" si="82"/>
        <v>0</v>
      </c>
      <c r="AG246" s="1773">
        <f t="shared" si="83"/>
        <v>0</v>
      </c>
      <c r="AH246" s="1773">
        <f t="shared" si="84"/>
        <v>0</v>
      </c>
      <c r="AI246" s="1773">
        <f t="shared" si="85"/>
        <v>0</v>
      </c>
      <c r="AJ246" s="1773">
        <f t="shared" si="86"/>
        <v>0</v>
      </c>
      <c r="AK246" s="1773">
        <f t="shared" si="87"/>
        <v>0</v>
      </c>
      <c r="AL246" s="1773">
        <f t="shared" si="88"/>
        <v>4620</v>
      </c>
      <c r="AN246" s="1776"/>
      <c r="AO246" s="1776"/>
      <c r="AP246" s="1776"/>
      <c r="AQ246" s="1776"/>
      <c r="AR246" s="1776"/>
      <c r="AS246" s="1776"/>
      <c r="AT246" s="1776"/>
      <c r="AU246" s="1776"/>
      <c r="AV246" s="1776"/>
      <c r="AW246" s="1776"/>
      <c r="AX246" s="1776"/>
      <c r="AY246" s="1776"/>
      <c r="AZ246" s="1776">
        <v>1</v>
      </c>
    </row>
    <row r="247" spans="1:52">
      <c r="A247" s="1479" t="s">
        <v>2601</v>
      </c>
      <c r="B247" s="1479" t="s">
        <v>2349</v>
      </c>
      <c r="C247" s="1741" t="s">
        <v>2108</v>
      </c>
      <c r="D247" s="1741">
        <v>1120</v>
      </c>
      <c r="E247" s="1741">
        <v>510</v>
      </c>
      <c r="F247" s="1741" t="s">
        <v>2217</v>
      </c>
      <c r="G247" s="1741" t="s">
        <v>2214</v>
      </c>
      <c r="H247" s="1741" t="s">
        <v>1658</v>
      </c>
      <c r="I247" s="1753" t="s">
        <v>2114</v>
      </c>
      <c r="J247" s="1754" t="s">
        <v>3018</v>
      </c>
      <c r="K247" s="1753" t="s">
        <v>2114</v>
      </c>
      <c r="L247" s="1754" t="s">
        <v>3018</v>
      </c>
      <c r="M247" s="1754"/>
      <c r="N247" s="1760">
        <v>795.56</v>
      </c>
      <c r="O247" s="1757">
        <v>0</v>
      </c>
      <c r="P247" s="1758">
        <v>0</v>
      </c>
      <c r="Q247" s="1759">
        <v>800</v>
      </c>
      <c r="R247" s="1760">
        <v>800</v>
      </c>
      <c r="S247" s="1760">
        <v>91</v>
      </c>
      <c r="T247" s="1760">
        <v>91</v>
      </c>
      <c r="U247" s="1761">
        <v>1000</v>
      </c>
      <c r="V247" s="1762">
        <v>1200</v>
      </c>
      <c r="W247" s="1757">
        <v>1500</v>
      </c>
      <c r="Z247" s="1773">
        <f t="shared" si="76"/>
        <v>0</v>
      </c>
      <c r="AA247" s="1773">
        <f t="shared" si="77"/>
        <v>0</v>
      </c>
      <c r="AB247" s="1773">
        <f t="shared" si="78"/>
        <v>0</v>
      </c>
      <c r="AC247" s="1773">
        <f t="shared" si="79"/>
        <v>0</v>
      </c>
      <c r="AD247" s="1773">
        <f t="shared" si="80"/>
        <v>0</v>
      </c>
      <c r="AE247" s="1773">
        <f t="shared" si="81"/>
        <v>0</v>
      </c>
      <c r="AF247" s="1773">
        <f t="shared" si="82"/>
        <v>0</v>
      </c>
      <c r="AG247" s="1773">
        <f t="shared" si="83"/>
        <v>0</v>
      </c>
      <c r="AH247" s="1773">
        <f t="shared" si="84"/>
        <v>0</v>
      </c>
      <c r="AI247" s="1773">
        <f t="shared" si="85"/>
        <v>0</v>
      </c>
      <c r="AJ247" s="1773">
        <f t="shared" si="86"/>
        <v>0</v>
      </c>
      <c r="AK247" s="1773">
        <f t="shared" si="87"/>
        <v>0</v>
      </c>
      <c r="AL247" s="1773">
        <f t="shared" si="88"/>
        <v>1000</v>
      </c>
      <c r="AN247" s="1776"/>
      <c r="AO247" s="1776"/>
      <c r="AP247" s="1776"/>
      <c r="AQ247" s="1776"/>
      <c r="AR247" s="1776"/>
      <c r="AS247" s="1776"/>
      <c r="AT247" s="1776"/>
      <c r="AU247" s="1776"/>
      <c r="AV247" s="1776"/>
      <c r="AW247" s="1776"/>
      <c r="AX247" s="1776"/>
      <c r="AY247" s="1776"/>
      <c r="AZ247" s="1776">
        <v>1</v>
      </c>
    </row>
    <row r="248" spans="1:52">
      <c r="A248" s="1479" t="s">
        <v>2602</v>
      </c>
      <c r="B248" s="1479" t="s">
        <v>2243</v>
      </c>
      <c r="C248" s="1741" t="s">
        <v>2108</v>
      </c>
      <c r="D248" s="1741">
        <v>1120</v>
      </c>
      <c r="E248" s="1741">
        <v>520</v>
      </c>
      <c r="F248" s="1741" t="s">
        <v>2217</v>
      </c>
      <c r="G248" s="1741" t="s">
        <v>2214</v>
      </c>
      <c r="H248" s="1741" t="s">
        <v>1658</v>
      </c>
      <c r="I248" s="1753" t="s">
        <v>2114</v>
      </c>
      <c r="J248" s="1754" t="s">
        <v>2138</v>
      </c>
      <c r="K248" s="1753" t="s">
        <v>2114</v>
      </c>
      <c r="L248" s="1754" t="s">
        <v>2138</v>
      </c>
      <c r="M248" s="1754"/>
      <c r="N248" s="1756">
        <v>39911.64</v>
      </c>
      <c r="O248" s="1757">
        <v>26350.9</v>
      </c>
      <c r="P248" s="1758">
        <v>25590.720000000001</v>
      </c>
      <c r="Q248" s="1759">
        <v>31425</v>
      </c>
      <c r="R248" s="1760">
        <v>0</v>
      </c>
      <c r="S248" s="1760">
        <v>0</v>
      </c>
      <c r="T248" s="1760">
        <v>0</v>
      </c>
      <c r="U248" s="1761">
        <v>0</v>
      </c>
      <c r="V248" s="1762">
        <v>0</v>
      </c>
      <c r="W248" s="1757">
        <v>0</v>
      </c>
      <c r="Z248" s="1773">
        <f t="shared" si="76"/>
        <v>0</v>
      </c>
      <c r="AA248" s="1773">
        <f t="shared" si="77"/>
        <v>0</v>
      </c>
      <c r="AB248" s="1773">
        <f t="shared" si="78"/>
        <v>0</v>
      </c>
      <c r="AC248" s="1773">
        <f t="shared" si="79"/>
        <v>0</v>
      </c>
      <c r="AD248" s="1773">
        <f t="shared" si="80"/>
        <v>0</v>
      </c>
      <c r="AE248" s="1773">
        <f t="shared" si="81"/>
        <v>0</v>
      </c>
      <c r="AF248" s="1773">
        <f t="shared" si="82"/>
        <v>0</v>
      </c>
      <c r="AG248" s="1773">
        <f t="shared" si="83"/>
        <v>0</v>
      </c>
      <c r="AH248" s="1773">
        <f t="shared" si="84"/>
        <v>0</v>
      </c>
      <c r="AI248" s="1773">
        <f t="shared" si="85"/>
        <v>0</v>
      </c>
      <c r="AJ248" s="1773">
        <f t="shared" si="86"/>
        <v>0</v>
      </c>
      <c r="AK248" s="1773">
        <f t="shared" si="87"/>
        <v>0</v>
      </c>
      <c r="AL248" s="1773">
        <f t="shared" si="88"/>
        <v>0</v>
      </c>
      <c r="AN248" s="1776"/>
      <c r="AO248" s="1776"/>
      <c r="AP248" s="1776"/>
      <c r="AQ248" s="1776"/>
      <c r="AR248" s="1776"/>
      <c r="AS248" s="1776"/>
      <c r="AT248" s="1776"/>
      <c r="AU248" s="1776"/>
      <c r="AV248" s="1776"/>
      <c r="AW248" s="1776"/>
      <c r="AX248" s="1776"/>
      <c r="AY248" s="1776"/>
      <c r="AZ248" s="1776">
        <v>1</v>
      </c>
    </row>
    <row r="249" spans="1:52">
      <c r="A249" s="1479" t="s">
        <v>2603</v>
      </c>
      <c r="B249" s="1479" t="s">
        <v>2283</v>
      </c>
      <c r="C249" s="1741" t="s">
        <v>2108</v>
      </c>
      <c r="D249" s="1741">
        <v>1120</v>
      </c>
      <c r="E249" s="1741">
        <v>570</v>
      </c>
      <c r="F249" s="1741" t="s">
        <v>2217</v>
      </c>
      <c r="G249" s="1741" t="s">
        <v>2214</v>
      </c>
      <c r="H249" s="1741" t="s">
        <v>1658</v>
      </c>
      <c r="I249" s="1753" t="s">
        <v>2114</v>
      </c>
      <c r="J249" s="1754" t="s">
        <v>3010</v>
      </c>
      <c r="K249" s="1753" t="s">
        <v>2114</v>
      </c>
      <c r="L249" s="1754" t="s">
        <v>3010</v>
      </c>
      <c r="M249" s="1754"/>
      <c r="N249" s="1756">
        <v>37031.31</v>
      </c>
      <c r="O249" s="1757">
        <v>24531.62</v>
      </c>
      <c r="P249" s="1758">
        <v>31393.29</v>
      </c>
      <c r="Q249" s="1759">
        <v>31000</v>
      </c>
      <c r="R249" s="1760">
        <v>31000</v>
      </c>
      <c r="S249" s="1760">
        <v>41390</v>
      </c>
      <c r="T249" s="1760">
        <v>41390</v>
      </c>
      <c r="U249" s="1761">
        <v>35000</v>
      </c>
      <c r="V249" s="1762">
        <v>32000</v>
      </c>
      <c r="W249" s="1757">
        <v>33000</v>
      </c>
      <c r="Z249" s="1773">
        <f t="shared" si="76"/>
        <v>0</v>
      </c>
      <c r="AA249" s="1773">
        <f t="shared" si="77"/>
        <v>0</v>
      </c>
      <c r="AB249" s="1773">
        <f t="shared" si="78"/>
        <v>0</v>
      </c>
      <c r="AC249" s="1773">
        <f t="shared" si="79"/>
        <v>0</v>
      </c>
      <c r="AD249" s="1773">
        <f t="shared" si="80"/>
        <v>0</v>
      </c>
      <c r="AE249" s="1773">
        <f t="shared" si="81"/>
        <v>0</v>
      </c>
      <c r="AF249" s="1773">
        <f t="shared" si="82"/>
        <v>0</v>
      </c>
      <c r="AG249" s="1773">
        <f t="shared" si="83"/>
        <v>0</v>
      </c>
      <c r="AH249" s="1773">
        <f t="shared" si="84"/>
        <v>0</v>
      </c>
      <c r="AI249" s="1773">
        <f t="shared" si="85"/>
        <v>0</v>
      </c>
      <c r="AJ249" s="1773">
        <f t="shared" si="86"/>
        <v>0</v>
      </c>
      <c r="AK249" s="1773">
        <f t="shared" si="87"/>
        <v>0</v>
      </c>
      <c r="AL249" s="1773">
        <f t="shared" si="88"/>
        <v>35000</v>
      </c>
      <c r="AN249" s="1776"/>
      <c r="AO249" s="1776"/>
      <c r="AP249" s="1776"/>
      <c r="AQ249" s="1776"/>
      <c r="AR249" s="1776"/>
      <c r="AS249" s="1776"/>
      <c r="AT249" s="1776"/>
      <c r="AU249" s="1776"/>
      <c r="AV249" s="1776"/>
      <c r="AW249" s="1776"/>
      <c r="AX249" s="1776"/>
      <c r="AY249" s="1776"/>
      <c r="AZ249" s="1776">
        <v>1</v>
      </c>
    </row>
    <row r="250" spans="1:52">
      <c r="A250" s="1479" t="s">
        <v>2604</v>
      </c>
      <c r="B250" s="1479" t="s">
        <v>2245</v>
      </c>
      <c r="C250" s="1741" t="s">
        <v>2108</v>
      </c>
      <c r="D250" s="1741">
        <v>1120</v>
      </c>
      <c r="E250" s="1741">
        <v>650</v>
      </c>
      <c r="F250" s="1741" t="s">
        <v>2217</v>
      </c>
      <c r="G250" s="1741" t="s">
        <v>2214</v>
      </c>
      <c r="H250" s="1741" t="s">
        <v>1658</v>
      </c>
      <c r="I250" s="1753" t="s">
        <v>2114</v>
      </c>
      <c r="J250" s="1754" t="s">
        <v>3006</v>
      </c>
      <c r="K250" s="1753" t="s">
        <v>2114</v>
      </c>
      <c r="L250" s="1754" t="s">
        <v>3006</v>
      </c>
      <c r="M250" s="1754"/>
      <c r="N250" s="1756">
        <v>15000</v>
      </c>
      <c r="O250" s="1757">
        <v>6438</v>
      </c>
      <c r="P250" s="1758">
        <v>70500</v>
      </c>
      <c r="Q250" s="1759">
        <v>10000</v>
      </c>
      <c r="R250" s="1760">
        <v>5000</v>
      </c>
      <c r="S250" s="1760">
        <v>1120</v>
      </c>
      <c r="T250" s="1760">
        <v>1120</v>
      </c>
      <c r="U250" s="1761">
        <v>5000</v>
      </c>
      <c r="V250" s="1762">
        <v>10000</v>
      </c>
      <c r="W250" s="1757">
        <v>10000</v>
      </c>
      <c r="Z250" s="1773">
        <f t="shared" si="76"/>
        <v>0</v>
      </c>
      <c r="AA250" s="1773">
        <f t="shared" si="77"/>
        <v>0</v>
      </c>
      <c r="AB250" s="1773">
        <f t="shared" si="78"/>
        <v>0</v>
      </c>
      <c r="AC250" s="1773">
        <f t="shared" si="79"/>
        <v>0</v>
      </c>
      <c r="AD250" s="1773">
        <f t="shared" si="80"/>
        <v>0</v>
      </c>
      <c r="AE250" s="1773">
        <f t="shared" si="81"/>
        <v>0</v>
      </c>
      <c r="AF250" s="1773">
        <f t="shared" si="82"/>
        <v>0</v>
      </c>
      <c r="AG250" s="1773">
        <f t="shared" si="83"/>
        <v>0</v>
      </c>
      <c r="AH250" s="1773">
        <f t="shared" si="84"/>
        <v>0</v>
      </c>
      <c r="AI250" s="1773">
        <f t="shared" si="85"/>
        <v>0</v>
      </c>
      <c r="AJ250" s="1773">
        <f t="shared" si="86"/>
        <v>0</v>
      </c>
      <c r="AK250" s="1773">
        <f t="shared" si="87"/>
        <v>0</v>
      </c>
      <c r="AL250" s="1773">
        <f t="shared" si="88"/>
        <v>5000</v>
      </c>
      <c r="AN250" s="1776"/>
      <c r="AO250" s="1776"/>
      <c r="AP250" s="1776"/>
      <c r="AQ250" s="1776"/>
      <c r="AR250" s="1776"/>
      <c r="AS250" s="1776"/>
      <c r="AT250" s="1776"/>
      <c r="AU250" s="1776"/>
      <c r="AV250" s="1776"/>
      <c r="AW250" s="1776"/>
      <c r="AX250" s="1776"/>
      <c r="AY250" s="1776"/>
      <c r="AZ250" s="1776">
        <v>1</v>
      </c>
    </row>
    <row r="251" spans="1:52">
      <c r="A251" s="1479" t="s">
        <v>2605</v>
      </c>
      <c r="B251" s="1479" t="s">
        <v>2247</v>
      </c>
      <c r="C251" s="1741" t="s">
        <v>2108</v>
      </c>
      <c r="D251" s="1741">
        <v>1120</v>
      </c>
      <c r="E251" s="1741">
        <v>790</v>
      </c>
      <c r="F251" s="1741" t="s">
        <v>2217</v>
      </c>
      <c r="G251" s="1741" t="s">
        <v>2214</v>
      </c>
      <c r="H251" s="1741" t="s">
        <v>1658</v>
      </c>
      <c r="I251" s="1753" t="s">
        <v>2114</v>
      </c>
      <c r="J251" s="1754" t="s">
        <v>3007</v>
      </c>
      <c r="K251" s="1753" t="s">
        <v>2114</v>
      </c>
      <c r="L251" s="1754" t="s">
        <v>3007</v>
      </c>
      <c r="M251" s="1754"/>
      <c r="N251" s="1756">
        <v>95536.8</v>
      </c>
      <c r="O251" s="1757">
        <v>147474.51</v>
      </c>
      <c r="P251" s="1758">
        <v>191078.96</v>
      </c>
      <c r="Q251" s="1759">
        <v>250000</v>
      </c>
      <c r="R251" s="1760">
        <v>250000</v>
      </c>
      <c r="S251" s="1760">
        <v>197621</v>
      </c>
      <c r="T251" s="1760">
        <v>197621</v>
      </c>
      <c r="U251" s="1761">
        <v>270000</v>
      </c>
      <c r="V251" s="1762">
        <v>280000</v>
      </c>
      <c r="W251" s="1757">
        <v>290000</v>
      </c>
      <c r="Z251" s="1773">
        <f t="shared" si="76"/>
        <v>0</v>
      </c>
      <c r="AA251" s="1773">
        <f t="shared" si="77"/>
        <v>0</v>
      </c>
      <c r="AB251" s="1773">
        <f t="shared" si="78"/>
        <v>0</v>
      </c>
      <c r="AC251" s="1773">
        <f t="shared" si="79"/>
        <v>0</v>
      </c>
      <c r="AD251" s="1773">
        <f t="shared" si="80"/>
        <v>0</v>
      </c>
      <c r="AE251" s="1773">
        <f t="shared" si="81"/>
        <v>0</v>
      </c>
      <c r="AF251" s="1773">
        <f t="shared" si="82"/>
        <v>0</v>
      </c>
      <c r="AG251" s="1773">
        <f t="shared" si="83"/>
        <v>0</v>
      </c>
      <c r="AH251" s="1773">
        <f t="shared" si="84"/>
        <v>0</v>
      </c>
      <c r="AI251" s="1773">
        <f t="shared" si="85"/>
        <v>0</v>
      </c>
      <c r="AJ251" s="1773">
        <f t="shared" si="86"/>
        <v>0</v>
      </c>
      <c r="AK251" s="1773">
        <f t="shared" si="87"/>
        <v>0</v>
      </c>
      <c r="AL251" s="1773">
        <f t="shared" si="88"/>
        <v>270000</v>
      </c>
      <c r="AN251" s="1776"/>
      <c r="AO251" s="1776"/>
      <c r="AP251" s="1776"/>
      <c r="AQ251" s="1776"/>
      <c r="AR251" s="1776"/>
      <c r="AS251" s="1776"/>
      <c r="AT251" s="1776"/>
      <c r="AU251" s="1776"/>
      <c r="AV251" s="1776"/>
      <c r="AW251" s="1776"/>
      <c r="AX251" s="1776"/>
      <c r="AY251" s="1776"/>
      <c r="AZ251" s="1776">
        <v>1</v>
      </c>
    </row>
    <row r="252" spans="1:52">
      <c r="A252" s="1479" t="s">
        <v>2606</v>
      </c>
      <c r="B252" s="1479" t="s">
        <v>2443</v>
      </c>
      <c r="C252" s="1741" t="s">
        <v>2108</v>
      </c>
      <c r="D252" s="1741">
        <v>1120</v>
      </c>
      <c r="E252" s="1741">
        <v>1180</v>
      </c>
      <c r="F252" s="1741" t="s">
        <v>2217</v>
      </c>
      <c r="G252" s="1741" t="s">
        <v>2214</v>
      </c>
      <c r="H252" s="1741" t="s">
        <v>1658</v>
      </c>
      <c r="I252" s="1753" t="s">
        <v>2114</v>
      </c>
      <c r="J252" s="1754"/>
      <c r="K252" s="1753" t="s">
        <v>2114</v>
      </c>
      <c r="L252" s="1754" t="s">
        <v>502</v>
      </c>
      <c r="M252" s="1754"/>
      <c r="N252" s="1756"/>
      <c r="O252" s="1757"/>
      <c r="P252" s="1758"/>
      <c r="Q252" s="1759"/>
      <c r="R252" s="1760">
        <v>1000</v>
      </c>
      <c r="S252" s="1760">
        <v>0</v>
      </c>
      <c r="T252" s="1760">
        <v>0</v>
      </c>
      <c r="U252" s="1761">
        <v>1500</v>
      </c>
      <c r="V252" s="1762">
        <v>0</v>
      </c>
      <c r="W252" s="1757">
        <v>0</v>
      </c>
      <c r="Z252" s="1773">
        <f t="shared" si="76"/>
        <v>0</v>
      </c>
      <c r="AA252" s="1773">
        <f t="shared" si="77"/>
        <v>0</v>
      </c>
      <c r="AB252" s="1773">
        <f t="shared" si="78"/>
        <v>0</v>
      </c>
      <c r="AC252" s="1773">
        <f t="shared" si="79"/>
        <v>0</v>
      </c>
      <c r="AD252" s="1773">
        <f t="shared" si="80"/>
        <v>0</v>
      </c>
      <c r="AE252" s="1773">
        <f t="shared" si="81"/>
        <v>0</v>
      </c>
      <c r="AF252" s="1773">
        <f t="shared" si="82"/>
        <v>0</v>
      </c>
      <c r="AG252" s="1773">
        <f t="shared" si="83"/>
        <v>0</v>
      </c>
      <c r="AH252" s="1773">
        <f t="shared" si="84"/>
        <v>0</v>
      </c>
      <c r="AI252" s="1773">
        <f t="shared" si="85"/>
        <v>0</v>
      </c>
      <c r="AJ252" s="1773">
        <f t="shared" si="86"/>
        <v>0</v>
      </c>
      <c r="AK252" s="1773">
        <f t="shared" si="87"/>
        <v>0</v>
      </c>
      <c r="AL252" s="1773">
        <f t="shared" si="88"/>
        <v>1500</v>
      </c>
      <c r="AN252" s="1776"/>
      <c r="AO252" s="1776"/>
      <c r="AP252" s="1776"/>
      <c r="AQ252" s="1776"/>
      <c r="AR252" s="1776"/>
      <c r="AS252" s="1776"/>
      <c r="AT252" s="1776"/>
      <c r="AU252" s="1776"/>
      <c r="AV252" s="1776"/>
      <c r="AW252" s="1776"/>
      <c r="AX252" s="1776"/>
      <c r="AY252" s="1776"/>
      <c r="AZ252" s="1776">
        <v>1</v>
      </c>
    </row>
    <row r="253" spans="1:52" ht="13.5">
      <c r="A253" t="s">
        <v>2607</v>
      </c>
      <c r="B253" t="s">
        <v>2251</v>
      </c>
      <c r="C253" s="1741" t="s">
        <v>2108</v>
      </c>
      <c r="D253" s="1741">
        <v>1120</v>
      </c>
      <c r="E253" s="1741">
        <v>1440</v>
      </c>
      <c r="F253" s="1741" t="s">
        <v>2217</v>
      </c>
      <c r="G253" s="1741" t="s">
        <v>2214</v>
      </c>
      <c r="H253" s="1741" t="s">
        <v>1658</v>
      </c>
      <c r="I253" s="1753" t="s">
        <v>2115</v>
      </c>
      <c r="J253" s="1754"/>
      <c r="K253" s="1753" t="s">
        <v>1596</v>
      </c>
      <c r="L253" s="1754" t="s">
        <v>1696</v>
      </c>
      <c r="M253" s="1755"/>
      <c r="N253" s="1756"/>
      <c r="O253" s="1757"/>
      <c r="P253" s="1758"/>
      <c r="Q253" s="1759">
        <v>800</v>
      </c>
      <c r="R253" s="1760">
        <v>800</v>
      </c>
      <c r="S253" s="1760">
        <v>91</v>
      </c>
      <c r="T253" s="1760">
        <v>91</v>
      </c>
      <c r="U253" s="1761">
        <v>1200</v>
      </c>
      <c r="V253" s="1762">
        <v>800</v>
      </c>
      <c r="W253" s="1757">
        <v>800</v>
      </c>
      <c r="Z253" s="1773">
        <f t="shared" ref="Z253:Z316" si="90">$AL253*AN253</f>
        <v>0</v>
      </c>
      <c r="AA253" s="1773">
        <f t="shared" ref="AA253:AA316" si="91">$AL253*AO253</f>
        <v>0</v>
      </c>
      <c r="AB253" s="1773">
        <f t="shared" ref="AB253:AB316" si="92">$AL253*AP253</f>
        <v>0</v>
      </c>
      <c r="AC253" s="1773">
        <f t="shared" ref="AC253:AC316" si="93">$AL253*AQ253</f>
        <v>0</v>
      </c>
      <c r="AD253" s="1773">
        <f t="shared" ref="AD253:AD316" si="94">$AL253*AR253</f>
        <v>0</v>
      </c>
      <c r="AE253" s="1773">
        <f t="shared" ref="AE253:AE316" si="95">$AL253*AS253</f>
        <v>0</v>
      </c>
      <c r="AF253" s="1773">
        <f t="shared" ref="AF253:AF316" si="96">$AL253*AT253</f>
        <v>0</v>
      </c>
      <c r="AG253" s="1773">
        <f t="shared" ref="AG253:AG316" si="97">$AL253*AU253</f>
        <v>0</v>
      </c>
      <c r="AH253" s="1773">
        <f t="shared" ref="AH253:AH316" si="98">$AL253*AV253</f>
        <v>0</v>
      </c>
      <c r="AI253" s="1773">
        <f t="shared" ref="AI253:AI316" si="99">$AL253*AW253</f>
        <v>0</v>
      </c>
      <c r="AJ253" s="1773">
        <f t="shared" ref="AJ253:AJ316" si="100">$AL253*AX253</f>
        <v>0</v>
      </c>
      <c r="AK253" s="1773">
        <f t="shared" ref="AK253:AK316" si="101">$AL253*AY253</f>
        <v>0</v>
      </c>
      <c r="AL253" s="1773">
        <f t="shared" si="88"/>
        <v>1200</v>
      </c>
      <c r="AN253" s="1776"/>
      <c r="AO253" s="1776"/>
      <c r="AP253" s="1776"/>
      <c r="AQ253" s="1776"/>
      <c r="AR253" s="1776"/>
      <c r="AS253" s="1776"/>
      <c r="AT253" s="1776"/>
      <c r="AU253" s="1776"/>
      <c r="AV253" s="1776"/>
      <c r="AW253" s="1776"/>
      <c r="AX253" s="1776"/>
      <c r="AY253" s="1776"/>
      <c r="AZ253" s="1776">
        <v>1</v>
      </c>
    </row>
    <row r="254" spans="1:52" ht="13.5">
      <c r="A254" t="s">
        <v>2608</v>
      </c>
      <c r="B254" t="s">
        <v>2609</v>
      </c>
      <c r="C254" s="1741" t="s">
        <v>2108</v>
      </c>
      <c r="D254" s="1741">
        <v>1120</v>
      </c>
      <c r="E254" s="1741">
        <v>1470</v>
      </c>
      <c r="F254" s="1741" t="s">
        <v>2217</v>
      </c>
      <c r="G254" s="1741" t="s">
        <v>2214</v>
      </c>
      <c r="H254" s="1741" t="s">
        <v>1658</v>
      </c>
      <c r="I254" s="1753" t="s">
        <v>2114</v>
      </c>
      <c r="J254" s="1754"/>
      <c r="K254" s="1753" t="s">
        <v>2114</v>
      </c>
      <c r="L254" s="1754" t="s">
        <v>502</v>
      </c>
      <c r="M254" s="1755"/>
      <c r="N254" s="1756"/>
      <c r="O254" s="1757"/>
      <c r="P254" s="1758"/>
      <c r="Q254" s="1759">
        <v>20000</v>
      </c>
      <c r="R254" s="1760">
        <v>20000</v>
      </c>
      <c r="S254" s="1760">
        <v>2240</v>
      </c>
      <c r="T254" s="1760">
        <v>2240</v>
      </c>
      <c r="U254" s="1761">
        <v>20000</v>
      </c>
      <c r="V254" s="1762">
        <v>20000</v>
      </c>
      <c r="W254" s="1757">
        <v>20000</v>
      </c>
      <c r="Z254" s="1773">
        <f t="shared" si="90"/>
        <v>0</v>
      </c>
      <c r="AA254" s="1773">
        <f t="shared" si="91"/>
        <v>0</v>
      </c>
      <c r="AB254" s="1773">
        <f t="shared" si="92"/>
        <v>0</v>
      </c>
      <c r="AC254" s="1773">
        <f t="shared" si="93"/>
        <v>0</v>
      </c>
      <c r="AD254" s="1773">
        <f t="shared" si="94"/>
        <v>0</v>
      </c>
      <c r="AE254" s="1773">
        <f t="shared" si="95"/>
        <v>0</v>
      </c>
      <c r="AF254" s="1773">
        <f t="shared" si="96"/>
        <v>0</v>
      </c>
      <c r="AG254" s="1773">
        <f t="shared" si="97"/>
        <v>0</v>
      </c>
      <c r="AH254" s="1773">
        <f t="shared" si="98"/>
        <v>0</v>
      </c>
      <c r="AI254" s="1773">
        <f t="shared" si="99"/>
        <v>0</v>
      </c>
      <c r="AJ254" s="1773">
        <f t="shared" si="100"/>
        <v>0</v>
      </c>
      <c r="AK254" s="1773">
        <f t="shared" si="101"/>
        <v>0</v>
      </c>
      <c r="AL254" s="1773">
        <f t="shared" si="88"/>
        <v>20000</v>
      </c>
      <c r="AN254" s="1776"/>
      <c r="AO254" s="1776"/>
      <c r="AP254" s="1776"/>
      <c r="AQ254" s="1776"/>
      <c r="AR254" s="1776"/>
      <c r="AS254" s="1776"/>
      <c r="AT254" s="1776"/>
      <c r="AU254" s="1776"/>
      <c r="AV254" s="1776"/>
      <c r="AW254" s="1776"/>
      <c r="AX254" s="1776"/>
      <c r="AY254" s="1776"/>
      <c r="AZ254" s="1776">
        <v>1</v>
      </c>
    </row>
    <row r="255" spans="1:52" ht="13.5">
      <c r="A255" s="1479" t="s">
        <v>2610</v>
      </c>
      <c r="B255" s="1479" t="s">
        <v>2316</v>
      </c>
      <c r="C255" s="1741" t="s">
        <v>2108</v>
      </c>
      <c r="D255" s="1741">
        <v>1120</v>
      </c>
      <c r="E255" s="1741">
        <v>5000</v>
      </c>
      <c r="F255" s="1741" t="s">
        <v>2217</v>
      </c>
      <c r="G255" s="1741" t="s">
        <v>2214</v>
      </c>
      <c r="H255" s="1741" t="s">
        <v>1658</v>
      </c>
      <c r="I255" s="1753" t="s">
        <v>3015</v>
      </c>
      <c r="J255" s="1754"/>
      <c r="K255" s="1753" t="s">
        <v>2114</v>
      </c>
      <c r="L255" s="1754" t="s">
        <v>3015</v>
      </c>
      <c r="M255" s="1755"/>
      <c r="N255" s="1756">
        <v>0</v>
      </c>
      <c r="O255" s="1757">
        <v>15064315.640000001</v>
      </c>
      <c r="P255" s="1758">
        <v>55952.520000000004</v>
      </c>
      <c r="Q255" s="1759">
        <v>0</v>
      </c>
      <c r="R255" s="1760">
        <v>0</v>
      </c>
      <c r="S255" s="1760">
        <v>0</v>
      </c>
      <c r="T255" s="1760">
        <v>0</v>
      </c>
      <c r="U255" s="1761">
        <v>0</v>
      </c>
      <c r="V255" s="1762">
        <v>0</v>
      </c>
      <c r="W255" s="1757">
        <v>0</v>
      </c>
      <c r="Z255" s="1773">
        <f t="shared" si="90"/>
        <v>0</v>
      </c>
      <c r="AA255" s="1773">
        <f t="shared" si="91"/>
        <v>0</v>
      </c>
      <c r="AB255" s="1773">
        <f t="shared" si="92"/>
        <v>0</v>
      </c>
      <c r="AC255" s="1773">
        <f t="shared" si="93"/>
        <v>0</v>
      </c>
      <c r="AD255" s="1773">
        <f t="shared" si="94"/>
        <v>0</v>
      </c>
      <c r="AE255" s="1773">
        <f t="shared" si="95"/>
        <v>0</v>
      </c>
      <c r="AF255" s="1773">
        <f t="shared" si="96"/>
        <v>0</v>
      </c>
      <c r="AG255" s="1773">
        <f t="shared" si="97"/>
        <v>0</v>
      </c>
      <c r="AH255" s="1773">
        <f t="shared" si="98"/>
        <v>0</v>
      </c>
      <c r="AI255" s="1773">
        <f t="shared" si="99"/>
        <v>0</v>
      </c>
      <c r="AJ255" s="1773">
        <f t="shared" si="100"/>
        <v>0</v>
      </c>
      <c r="AK255" s="1773">
        <f t="shared" si="101"/>
        <v>0</v>
      </c>
      <c r="AL255" s="1773">
        <f t="shared" si="88"/>
        <v>0</v>
      </c>
      <c r="AN255" s="1776"/>
      <c r="AO255" s="1776"/>
      <c r="AP255" s="1776"/>
      <c r="AQ255" s="1776"/>
      <c r="AR255" s="1776"/>
      <c r="AS255" s="1776"/>
      <c r="AT255" s="1776"/>
      <c r="AU255" s="1776"/>
      <c r="AV255" s="1776"/>
      <c r="AW255" s="1776"/>
      <c r="AX255" s="1776"/>
      <c r="AY255" s="1776"/>
      <c r="AZ255" s="1776">
        <v>1</v>
      </c>
    </row>
    <row r="256" spans="1:52" ht="13.5">
      <c r="A256" s="1479" t="s">
        <v>2611</v>
      </c>
      <c r="B256" s="1479" t="s">
        <v>2318</v>
      </c>
      <c r="C256" s="1741" t="s">
        <v>2108</v>
      </c>
      <c r="D256" s="1741">
        <v>1120</v>
      </c>
      <c r="E256" s="1741">
        <v>5020</v>
      </c>
      <c r="F256" s="1741" t="s">
        <v>2217</v>
      </c>
      <c r="G256" s="1741" t="s">
        <v>2214</v>
      </c>
      <c r="H256" s="1741" t="s">
        <v>586</v>
      </c>
      <c r="I256" s="1753" t="s">
        <v>2121</v>
      </c>
      <c r="J256" s="1754" t="s">
        <v>3016</v>
      </c>
      <c r="K256" s="236" t="s">
        <v>35</v>
      </c>
      <c r="L256" s="1754" t="s">
        <v>2128</v>
      </c>
      <c r="M256" s="1755"/>
      <c r="N256" s="1756">
        <v>0</v>
      </c>
      <c r="O256" s="1757">
        <v>-16760640.469999999</v>
      </c>
      <c r="P256" s="1758">
        <v>-61666.709999999992</v>
      </c>
      <c r="Q256" s="1759">
        <v>0</v>
      </c>
      <c r="R256" s="1760">
        <v>0</v>
      </c>
      <c r="S256" s="1760">
        <v>0</v>
      </c>
      <c r="T256" s="1760">
        <v>0</v>
      </c>
      <c r="U256" s="1761">
        <v>0</v>
      </c>
      <c r="V256" s="1762">
        <v>0</v>
      </c>
      <c r="W256" s="1757">
        <v>0</v>
      </c>
      <c r="Z256" s="1773">
        <f t="shared" si="90"/>
        <v>0</v>
      </c>
      <c r="AA256" s="1773">
        <f t="shared" si="91"/>
        <v>0</v>
      </c>
      <c r="AB256" s="1773">
        <f t="shared" si="92"/>
        <v>0</v>
      </c>
      <c r="AC256" s="1773">
        <f t="shared" si="93"/>
        <v>0</v>
      </c>
      <c r="AD256" s="1773">
        <f t="shared" si="94"/>
        <v>0</v>
      </c>
      <c r="AE256" s="1773">
        <f t="shared" si="95"/>
        <v>0</v>
      </c>
      <c r="AF256" s="1773">
        <f t="shared" si="96"/>
        <v>0</v>
      </c>
      <c r="AG256" s="1773">
        <f t="shared" si="97"/>
        <v>0</v>
      </c>
      <c r="AH256" s="1773">
        <f t="shared" si="98"/>
        <v>0</v>
      </c>
      <c r="AI256" s="1773">
        <f t="shared" si="99"/>
        <v>0</v>
      </c>
      <c r="AJ256" s="1773">
        <f t="shared" si="100"/>
        <v>0</v>
      </c>
      <c r="AK256" s="1773">
        <f t="shared" si="101"/>
        <v>0</v>
      </c>
      <c r="AL256" s="1773">
        <f t="shared" si="88"/>
        <v>0</v>
      </c>
      <c r="AN256" s="1776"/>
      <c r="AO256" s="1776"/>
      <c r="AP256" s="1776"/>
      <c r="AQ256" s="1776"/>
      <c r="AR256" s="1776"/>
      <c r="AS256" s="1776"/>
      <c r="AT256" s="1776"/>
      <c r="AU256" s="1776"/>
      <c r="AV256" s="1776"/>
      <c r="AW256" s="1776"/>
      <c r="AX256" s="1776"/>
      <c r="AY256" s="1776"/>
      <c r="AZ256" s="1776">
        <v>1</v>
      </c>
    </row>
    <row r="257" spans="1:52" ht="13.5">
      <c r="A257" s="1479" t="s">
        <v>2612</v>
      </c>
      <c r="B257" s="1479" t="s">
        <v>2231</v>
      </c>
      <c r="C257" s="1741" t="s">
        <v>2108</v>
      </c>
      <c r="D257" s="1741">
        <v>1130</v>
      </c>
      <c r="E257" s="1741">
        <v>10</v>
      </c>
      <c r="F257" s="1741" t="s">
        <v>1945</v>
      </c>
      <c r="G257" s="1741" t="s">
        <v>2214</v>
      </c>
      <c r="H257" s="1741" t="s">
        <v>1658</v>
      </c>
      <c r="I257" s="1753" t="s">
        <v>3003</v>
      </c>
      <c r="J257" s="1754" t="s">
        <v>2109</v>
      </c>
      <c r="K257" s="1753" t="s">
        <v>497</v>
      </c>
      <c r="L257" s="1754" t="s">
        <v>1158</v>
      </c>
      <c r="M257" s="1755"/>
      <c r="N257" s="1756">
        <v>1151102.04</v>
      </c>
      <c r="O257" s="1757">
        <v>1226359.94</v>
      </c>
      <c r="P257" s="1758">
        <v>1512659.64</v>
      </c>
      <c r="Q257" s="1759">
        <v>2220200</v>
      </c>
      <c r="R257" s="1760">
        <v>2220200</v>
      </c>
      <c r="S257" s="1760">
        <v>1799586</v>
      </c>
      <c r="T257" s="1760">
        <v>1799586</v>
      </c>
      <c r="U257" s="1761">
        <v>2995867.3776000002</v>
      </c>
      <c r="V257" s="1762">
        <f>U257*108%</f>
        <v>3235536.7678080006</v>
      </c>
      <c r="W257" s="1757">
        <f>V257*108%</f>
        <v>3494379.7092326409</v>
      </c>
      <c r="Z257" s="1773">
        <f t="shared" si="90"/>
        <v>0</v>
      </c>
      <c r="AA257" s="1773">
        <f t="shared" si="91"/>
        <v>0</v>
      </c>
      <c r="AB257" s="1773">
        <f t="shared" si="92"/>
        <v>0</v>
      </c>
      <c r="AC257" s="1773">
        <f t="shared" si="93"/>
        <v>0</v>
      </c>
      <c r="AD257" s="1773">
        <f t="shared" si="94"/>
        <v>0</v>
      </c>
      <c r="AE257" s="1773">
        <f t="shared" si="95"/>
        <v>0</v>
      </c>
      <c r="AF257" s="1773">
        <f t="shared" si="96"/>
        <v>0</v>
      </c>
      <c r="AG257" s="1773">
        <f t="shared" si="97"/>
        <v>0</v>
      </c>
      <c r="AH257" s="1773">
        <f t="shared" si="98"/>
        <v>0</v>
      </c>
      <c r="AI257" s="1773">
        <f t="shared" si="99"/>
        <v>0</v>
      </c>
      <c r="AJ257" s="1773">
        <f t="shared" si="100"/>
        <v>0</v>
      </c>
      <c r="AK257" s="1773">
        <f t="shared" si="101"/>
        <v>0</v>
      </c>
      <c r="AL257" s="1773">
        <f t="shared" si="88"/>
        <v>2995867.3776000002</v>
      </c>
      <c r="AN257" s="1776"/>
      <c r="AO257" s="1776"/>
      <c r="AP257" s="1776"/>
      <c r="AQ257" s="1776"/>
      <c r="AR257" s="1776"/>
      <c r="AS257" s="1776"/>
      <c r="AT257" s="1776"/>
      <c r="AU257" s="1776"/>
      <c r="AV257" s="1776"/>
      <c r="AW257" s="1776"/>
      <c r="AX257" s="1776"/>
      <c r="AY257" s="1776"/>
      <c r="AZ257" s="1776">
        <v>1</v>
      </c>
    </row>
    <row r="258" spans="1:52" ht="13.5">
      <c r="A258" s="1479" t="s">
        <v>2613</v>
      </c>
      <c r="B258" s="1479" t="s">
        <v>2262</v>
      </c>
      <c r="C258" s="1741" t="s">
        <v>2108</v>
      </c>
      <c r="D258" s="1741">
        <v>1130</v>
      </c>
      <c r="E258" s="1741">
        <v>20</v>
      </c>
      <c r="F258" s="1741" t="s">
        <v>1945</v>
      </c>
      <c r="G258" s="1741" t="s">
        <v>2214</v>
      </c>
      <c r="H258" s="1741" t="s">
        <v>1658</v>
      </c>
      <c r="I258" s="1753" t="s">
        <v>3003</v>
      </c>
      <c r="J258" s="1754" t="s">
        <v>2109</v>
      </c>
      <c r="K258" s="1753" t="s">
        <v>497</v>
      </c>
      <c r="L258" s="1754" t="s">
        <v>1158</v>
      </c>
      <c r="M258" s="1755"/>
      <c r="N258" s="1756">
        <v>72372.42</v>
      </c>
      <c r="O258" s="1757">
        <v>22700</v>
      </c>
      <c r="P258" s="1758">
        <v>145500</v>
      </c>
      <c r="Q258" s="1759">
        <v>30000</v>
      </c>
      <c r="R258" s="1760">
        <v>30000</v>
      </c>
      <c r="S258" s="1760">
        <v>319930</v>
      </c>
      <c r="T258" s="1760">
        <v>319930</v>
      </c>
      <c r="U258" s="1761">
        <v>480000</v>
      </c>
      <c r="V258" s="1762">
        <v>480000</v>
      </c>
      <c r="W258" s="1757">
        <v>480000</v>
      </c>
      <c r="Z258" s="1773">
        <f t="shared" si="90"/>
        <v>0</v>
      </c>
      <c r="AA258" s="1773">
        <f t="shared" si="91"/>
        <v>0</v>
      </c>
      <c r="AB258" s="1773">
        <f t="shared" si="92"/>
        <v>0</v>
      </c>
      <c r="AC258" s="1773">
        <f t="shared" si="93"/>
        <v>0</v>
      </c>
      <c r="AD258" s="1773">
        <f t="shared" si="94"/>
        <v>0</v>
      </c>
      <c r="AE258" s="1773">
        <f t="shared" si="95"/>
        <v>0</v>
      </c>
      <c r="AF258" s="1773">
        <f t="shared" si="96"/>
        <v>0</v>
      </c>
      <c r="AG258" s="1773">
        <f t="shared" si="97"/>
        <v>0</v>
      </c>
      <c r="AH258" s="1773">
        <f t="shared" si="98"/>
        <v>0</v>
      </c>
      <c r="AI258" s="1773">
        <f t="shared" si="99"/>
        <v>0</v>
      </c>
      <c r="AJ258" s="1773">
        <f t="shared" si="100"/>
        <v>0</v>
      </c>
      <c r="AK258" s="1773">
        <f t="shared" si="101"/>
        <v>0</v>
      </c>
      <c r="AL258" s="1773">
        <f t="shared" ref="AL258:AL321" si="102">U258</f>
        <v>480000</v>
      </c>
      <c r="AN258" s="1776"/>
      <c r="AO258" s="1776"/>
      <c r="AP258" s="1776"/>
      <c r="AQ258" s="1776"/>
      <c r="AR258" s="1776"/>
      <c r="AS258" s="1776"/>
      <c r="AT258" s="1776"/>
      <c r="AU258" s="1776"/>
      <c r="AV258" s="1776"/>
      <c r="AW258" s="1776"/>
      <c r="AX258" s="1776"/>
      <c r="AY258" s="1776"/>
      <c r="AZ258" s="1776">
        <v>1</v>
      </c>
    </row>
    <row r="259" spans="1:52" ht="13.5">
      <c r="A259" s="1479" t="s">
        <v>2614</v>
      </c>
      <c r="B259" s="1479" t="s">
        <v>2233</v>
      </c>
      <c r="C259" s="1741" t="s">
        <v>2108</v>
      </c>
      <c r="D259" s="1741">
        <v>1130</v>
      </c>
      <c r="E259" s="1741">
        <v>30</v>
      </c>
      <c r="F259" s="1741" t="s">
        <v>1945</v>
      </c>
      <c r="G259" s="1741" t="s">
        <v>2214</v>
      </c>
      <c r="H259" s="1741" t="s">
        <v>1658</v>
      </c>
      <c r="I259" s="1753" t="s">
        <v>3003</v>
      </c>
      <c r="J259" s="1754" t="s">
        <v>3004</v>
      </c>
      <c r="K259" s="1753" t="s">
        <v>497</v>
      </c>
      <c r="L259" s="1754" t="s">
        <v>1159</v>
      </c>
      <c r="M259" s="1755"/>
      <c r="N259" s="1756">
        <v>892.8</v>
      </c>
      <c r="O259" s="1757">
        <v>520.95000000000005</v>
      </c>
      <c r="P259" s="1758">
        <v>866.25</v>
      </c>
      <c r="Q259" s="1759">
        <v>2205</v>
      </c>
      <c r="R259" s="1760">
        <v>2205</v>
      </c>
      <c r="S259" s="1760">
        <v>1574</v>
      </c>
      <c r="T259" s="1760">
        <v>1574</v>
      </c>
      <c r="U259" s="1761">
        <v>2985.442889471999</v>
      </c>
      <c r="V259" s="1762">
        <v>3200</v>
      </c>
      <c r="W259" s="1757">
        <v>3220</v>
      </c>
      <c r="Z259" s="1773">
        <f t="shared" si="90"/>
        <v>0</v>
      </c>
      <c r="AA259" s="1773">
        <f t="shared" si="91"/>
        <v>0</v>
      </c>
      <c r="AB259" s="1773">
        <f t="shared" si="92"/>
        <v>0</v>
      </c>
      <c r="AC259" s="1773">
        <f t="shared" si="93"/>
        <v>0</v>
      </c>
      <c r="AD259" s="1773">
        <f t="shared" si="94"/>
        <v>0</v>
      </c>
      <c r="AE259" s="1773">
        <f t="shared" si="95"/>
        <v>0</v>
      </c>
      <c r="AF259" s="1773">
        <f t="shared" si="96"/>
        <v>0</v>
      </c>
      <c r="AG259" s="1773">
        <f t="shared" si="97"/>
        <v>0</v>
      </c>
      <c r="AH259" s="1773">
        <f t="shared" si="98"/>
        <v>0</v>
      </c>
      <c r="AI259" s="1773">
        <f t="shared" si="99"/>
        <v>0</v>
      </c>
      <c r="AJ259" s="1773">
        <f t="shared" si="100"/>
        <v>0</v>
      </c>
      <c r="AK259" s="1773">
        <f t="shared" si="101"/>
        <v>0</v>
      </c>
      <c r="AL259" s="1773">
        <f t="shared" si="102"/>
        <v>2985.442889471999</v>
      </c>
      <c r="AN259" s="1776"/>
      <c r="AO259" s="1776"/>
      <c r="AP259" s="1776"/>
      <c r="AQ259" s="1776"/>
      <c r="AR259" s="1776"/>
      <c r="AS259" s="1776"/>
      <c r="AT259" s="1776"/>
      <c r="AU259" s="1776"/>
      <c r="AV259" s="1776"/>
      <c r="AW259" s="1776"/>
      <c r="AX259" s="1776"/>
      <c r="AY259" s="1776"/>
      <c r="AZ259" s="1776">
        <v>1</v>
      </c>
    </row>
    <row r="260" spans="1:52" ht="13.5">
      <c r="A260" s="1479" t="s">
        <v>2615</v>
      </c>
      <c r="B260" s="1479" t="s">
        <v>2265</v>
      </c>
      <c r="C260" s="1741" t="s">
        <v>2108</v>
      </c>
      <c r="D260" s="1741">
        <v>1130</v>
      </c>
      <c r="E260" s="1741">
        <v>40</v>
      </c>
      <c r="F260" s="1741" t="s">
        <v>1945</v>
      </c>
      <c r="G260" s="1741" t="s">
        <v>2214</v>
      </c>
      <c r="H260" s="1741" t="s">
        <v>1658</v>
      </c>
      <c r="I260" s="1753" t="s">
        <v>3003</v>
      </c>
      <c r="J260" s="1754" t="s">
        <v>2110</v>
      </c>
      <c r="K260" s="1753" t="s">
        <v>497</v>
      </c>
      <c r="L260" s="1754" t="s">
        <v>1159</v>
      </c>
      <c r="M260" s="1755"/>
      <c r="N260" s="1756">
        <v>76566.06</v>
      </c>
      <c r="O260" s="1757">
        <v>65326.400000000001</v>
      </c>
      <c r="P260" s="1758">
        <v>72291.600000000006</v>
      </c>
      <c r="Q260" s="1759">
        <v>57040</v>
      </c>
      <c r="R260" s="1760">
        <v>57040</v>
      </c>
      <c r="S260" s="1760">
        <v>57067</v>
      </c>
      <c r="T260" s="1760">
        <v>57067</v>
      </c>
      <c r="U260" s="1761">
        <v>34367.451263999996</v>
      </c>
      <c r="V260" s="1762">
        <v>61035</v>
      </c>
      <c r="W260" s="1757">
        <v>65305</v>
      </c>
      <c r="Z260" s="1773">
        <f t="shared" si="90"/>
        <v>0</v>
      </c>
      <c r="AA260" s="1773">
        <f t="shared" si="91"/>
        <v>0</v>
      </c>
      <c r="AB260" s="1773">
        <f t="shared" si="92"/>
        <v>0</v>
      </c>
      <c r="AC260" s="1773">
        <f t="shared" si="93"/>
        <v>0</v>
      </c>
      <c r="AD260" s="1773">
        <f t="shared" si="94"/>
        <v>0</v>
      </c>
      <c r="AE260" s="1773">
        <f t="shared" si="95"/>
        <v>0</v>
      </c>
      <c r="AF260" s="1773">
        <f t="shared" si="96"/>
        <v>0</v>
      </c>
      <c r="AG260" s="1773">
        <f t="shared" si="97"/>
        <v>0</v>
      </c>
      <c r="AH260" s="1773">
        <f t="shared" si="98"/>
        <v>0</v>
      </c>
      <c r="AI260" s="1773">
        <f t="shared" si="99"/>
        <v>0</v>
      </c>
      <c r="AJ260" s="1773">
        <f t="shared" si="100"/>
        <v>0</v>
      </c>
      <c r="AK260" s="1773">
        <f t="shared" si="101"/>
        <v>0</v>
      </c>
      <c r="AL260" s="1773">
        <f t="shared" si="102"/>
        <v>34367.451263999996</v>
      </c>
      <c r="AN260" s="1776"/>
      <c r="AO260" s="1776"/>
      <c r="AP260" s="1776"/>
      <c r="AQ260" s="1776"/>
      <c r="AR260" s="1776"/>
      <c r="AS260" s="1776"/>
      <c r="AT260" s="1776"/>
      <c r="AU260" s="1776"/>
      <c r="AV260" s="1776"/>
      <c r="AW260" s="1776"/>
      <c r="AX260" s="1776"/>
      <c r="AY260" s="1776"/>
      <c r="AZ260" s="1776">
        <v>1</v>
      </c>
    </row>
    <row r="261" spans="1:52" ht="13.5">
      <c r="A261" s="1479" t="s">
        <v>2616</v>
      </c>
      <c r="B261" s="1479" t="s">
        <v>2235</v>
      </c>
      <c r="C261" s="1741" t="s">
        <v>2108</v>
      </c>
      <c r="D261" s="1741">
        <v>1130</v>
      </c>
      <c r="E261" s="1741">
        <v>50</v>
      </c>
      <c r="F261" s="1741" t="s">
        <v>1945</v>
      </c>
      <c r="G261" s="1741" t="s">
        <v>2214</v>
      </c>
      <c r="H261" s="1741" t="s">
        <v>1658</v>
      </c>
      <c r="I261" s="1753" t="s">
        <v>3003</v>
      </c>
      <c r="J261" s="1754" t="s">
        <v>2110</v>
      </c>
      <c r="K261" s="1753" t="s">
        <v>497</v>
      </c>
      <c r="L261" s="1754" t="s">
        <v>1159</v>
      </c>
      <c r="M261" s="1755"/>
      <c r="N261" s="1756">
        <v>189336.07</v>
      </c>
      <c r="O261" s="1757">
        <v>134801.72</v>
      </c>
      <c r="P261" s="1758">
        <v>198173.73</v>
      </c>
      <c r="Q261" s="1759">
        <v>309690</v>
      </c>
      <c r="R261" s="1760">
        <v>309690</v>
      </c>
      <c r="S261" s="1760">
        <v>236591</v>
      </c>
      <c r="T261" s="1760">
        <v>236591</v>
      </c>
      <c r="U261" s="1761">
        <v>279923.51595599996</v>
      </c>
      <c r="V261" s="1762">
        <v>331370</v>
      </c>
      <c r="W261" s="1757">
        <v>354565</v>
      </c>
      <c r="Z261" s="1773">
        <f t="shared" si="90"/>
        <v>0</v>
      </c>
      <c r="AA261" s="1773">
        <f t="shared" si="91"/>
        <v>0</v>
      </c>
      <c r="AB261" s="1773">
        <f t="shared" si="92"/>
        <v>0</v>
      </c>
      <c r="AC261" s="1773">
        <f t="shared" si="93"/>
        <v>0</v>
      </c>
      <c r="AD261" s="1773">
        <f t="shared" si="94"/>
        <v>0</v>
      </c>
      <c r="AE261" s="1773">
        <f t="shared" si="95"/>
        <v>0</v>
      </c>
      <c r="AF261" s="1773">
        <f t="shared" si="96"/>
        <v>0</v>
      </c>
      <c r="AG261" s="1773">
        <f t="shared" si="97"/>
        <v>0</v>
      </c>
      <c r="AH261" s="1773">
        <f t="shared" si="98"/>
        <v>0</v>
      </c>
      <c r="AI261" s="1773">
        <f t="shared" si="99"/>
        <v>0</v>
      </c>
      <c r="AJ261" s="1773">
        <f t="shared" si="100"/>
        <v>0</v>
      </c>
      <c r="AK261" s="1773">
        <f t="shared" si="101"/>
        <v>0</v>
      </c>
      <c r="AL261" s="1773">
        <f t="shared" si="102"/>
        <v>279923.51595599996</v>
      </c>
      <c r="AN261" s="1776"/>
      <c r="AO261" s="1776"/>
      <c r="AP261" s="1776"/>
      <c r="AQ261" s="1776"/>
      <c r="AR261" s="1776"/>
      <c r="AS261" s="1776"/>
      <c r="AT261" s="1776"/>
      <c r="AU261" s="1776"/>
      <c r="AV261" s="1776"/>
      <c r="AW261" s="1776"/>
      <c r="AX261" s="1776"/>
      <c r="AY261" s="1776"/>
      <c r="AZ261" s="1776">
        <v>1</v>
      </c>
    </row>
    <row r="262" spans="1:52" ht="13.5">
      <c r="A262" s="1479" t="s">
        <v>2617</v>
      </c>
      <c r="B262" s="1479" t="s">
        <v>2237</v>
      </c>
      <c r="C262" s="1741" t="s">
        <v>2108</v>
      </c>
      <c r="D262" s="1741">
        <v>1130</v>
      </c>
      <c r="E262" s="1741">
        <v>60</v>
      </c>
      <c r="F262" s="1741" t="s">
        <v>1945</v>
      </c>
      <c r="G262" s="1741" t="s">
        <v>2214</v>
      </c>
      <c r="H262" s="1741" t="s">
        <v>1658</v>
      </c>
      <c r="I262" s="1753" t="s">
        <v>3003</v>
      </c>
      <c r="J262" s="1754" t="s">
        <v>2110</v>
      </c>
      <c r="K262" s="1753" t="s">
        <v>497</v>
      </c>
      <c r="L262" s="1754" t="s">
        <v>1159</v>
      </c>
      <c r="M262" s="1755"/>
      <c r="N262" s="1756">
        <v>13620.91</v>
      </c>
      <c r="O262" s="1757">
        <v>10856.75</v>
      </c>
      <c r="P262" s="1758">
        <v>14877.4</v>
      </c>
      <c r="Q262" s="1759">
        <v>21525</v>
      </c>
      <c r="R262" s="1760">
        <v>21525</v>
      </c>
      <c r="S262" s="1760">
        <v>20102</v>
      </c>
      <c r="T262" s="1760">
        <v>20102</v>
      </c>
      <c r="U262" s="1761">
        <v>26683.013567999995</v>
      </c>
      <c r="V262" s="1762">
        <v>23034</v>
      </c>
      <c r="W262" s="1757">
        <v>24645</v>
      </c>
      <c r="Z262" s="1773">
        <f t="shared" si="90"/>
        <v>0</v>
      </c>
      <c r="AA262" s="1773">
        <f t="shared" si="91"/>
        <v>0</v>
      </c>
      <c r="AB262" s="1773">
        <f t="shared" si="92"/>
        <v>0</v>
      </c>
      <c r="AC262" s="1773">
        <f t="shared" si="93"/>
        <v>0</v>
      </c>
      <c r="AD262" s="1773">
        <f t="shared" si="94"/>
        <v>0</v>
      </c>
      <c r="AE262" s="1773">
        <f t="shared" si="95"/>
        <v>0</v>
      </c>
      <c r="AF262" s="1773">
        <f t="shared" si="96"/>
        <v>0</v>
      </c>
      <c r="AG262" s="1773">
        <f t="shared" si="97"/>
        <v>0</v>
      </c>
      <c r="AH262" s="1773">
        <f t="shared" si="98"/>
        <v>0</v>
      </c>
      <c r="AI262" s="1773">
        <f t="shared" si="99"/>
        <v>0</v>
      </c>
      <c r="AJ262" s="1773">
        <f t="shared" si="100"/>
        <v>0</v>
      </c>
      <c r="AK262" s="1773">
        <f t="shared" si="101"/>
        <v>0</v>
      </c>
      <c r="AL262" s="1773">
        <f t="shared" si="102"/>
        <v>26683.013567999995</v>
      </c>
      <c r="AN262" s="1776"/>
      <c r="AO262" s="1776"/>
      <c r="AP262" s="1776"/>
      <c r="AQ262" s="1776"/>
      <c r="AR262" s="1776"/>
      <c r="AS262" s="1776"/>
      <c r="AT262" s="1776"/>
      <c r="AU262" s="1776"/>
      <c r="AV262" s="1776"/>
      <c r="AW262" s="1776"/>
      <c r="AX262" s="1776"/>
      <c r="AY262" s="1776"/>
      <c r="AZ262" s="1776">
        <v>1</v>
      </c>
    </row>
    <row r="263" spans="1:52">
      <c r="A263" s="1479" t="s">
        <v>2618</v>
      </c>
      <c r="B263" s="1479" t="s">
        <v>2239</v>
      </c>
      <c r="C263" s="1741" t="s">
        <v>2108</v>
      </c>
      <c r="D263" s="1741">
        <v>1130</v>
      </c>
      <c r="E263" s="1741">
        <v>70</v>
      </c>
      <c r="F263" s="1741" t="s">
        <v>1945</v>
      </c>
      <c r="G263" s="1741" t="s">
        <v>2214</v>
      </c>
      <c r="H263" s="1741" t="s">
        <v>1658</v>
      </c>
      <c r="I263" s="1753" t="s">
        <v>3003</v>
      </c>
      <c r="J263" s="1754" t="s">
        <v>2111</v>
      </c>
      <c r="K263" s="1753" t="s">
        <v>497</v>
      </c>
      <c r="L263" s="1754" t="s">
        <v>1159</v>
      </c>
      <c r="M263" s="1754"/>
      <c r="N263" s="1756">
        <v>6628.46</v>
      </c>
      <c r="O263" s="1757">
        <v>4493.3999999999996</v>
      </c>
      <c r="P263" s="1758">
        <v>4493.3999999999996</v>
      </c>
      <c r="Q263" s="1759">
        <v>5420</v>
      </c>
      <c r="R263" s="1760">
        <v>5420</v>
      </c>
      <c r="S263" s="1760">
        <v>3777</v>
      </c>
      <c r="T263" s="1760">
        <v>3777</v>
      </c>
      <c r="U263" s="1761">
        <v>5919.0600960000011</v>
      </c>
      <c r="V263" s="1762">
        <v>6200</v>
      </c>
      <c r="W263" s="1757">
        <v>6230</v>
      </c>
      <c r="Z263" s="1773">
        <f t="shared" si="90"/>
        <v>0</v>
      </c>
      <c r="AA263" s="1773">
        <f t="shared" si="91"/>
        <v>0</v>
      </c>
      <c r="AB263" s="1773">
        <f t="shared" si="92"/>
        <v>0</v>
      </c>
      <c r="AC263" s="1773">
        <f t="shared" si="93"/>
        <v>0</v>
      </c>
      <c r="AD263" s="1773">
        <f t="shared" si="94"/>
        <v>0</v>
      </c>
      <c r="AE263" s="1773">
        <f t="shared" si="95"/>
        <v>0</v>
      </c>
      <c r="AF263" s="1773">
        <f t="shared" si="96"/>
        <v>0</v>
      </c>
      <c r="AG263" s="1773">
        <f t="shared" si="97"/>
        <v>0</v>
      </c>
      <c r="AH263" s="1773">
        <f t="shared" si="98"/>
        <v>0</v>
      </c>
      <c r="AI263" s="1773">
        <f t="shared" si="99"/>
        <v>0</v>
      </c>
      <c r="AJ263" s="1773">
        <f t="shared" si="100"/>
        <v>0</v>
      </c>
      <c r="AK263" s="1773">
        <f t="shared" si="101"/>
        <v>0</v>
      </c>
      <c r="AL263" s="1773">
        <f t="shared" si="102"/>
        <v>5919.0600960000011</v>
      </c>
      <c r="AN263" s="1776"/>
      <c r="AO263" s="1776"/>
      <c r="AP263" s="1776"/>
      <c r="AQ263" s="1776"/>
      <c r="AR263" s="1776"/>
      <c r="AS263" s="1776"/>
      <c r="AT263" s="1776"/>
      <c r="AU263" s="1776"/>
      <c r="AV263" s="1776"/>
      <c r="AW263" s="1776"/>
      <c r="AX263" s="1776"/>
      <c r="AY263" s="1776"/>
      <c r="AZ263" s="1776">
        <v>1</v>
      </c>
    </row>
    <row r="264" spans="1:52">
      <c r="A264" s="1479" t="s">
        <v>2619</v>
      </c>
      <c r="B264" s="1479" t="s">
        <v>2269</v>
      </c>
      <c r="C264" s="1741" t="s">
        <v>2108</v>
      </c>
      <c r="D264" s="1741">
        <v>1130</v>
      </c>
      <c r="E264" s="1741">
        <v>80</v>
      </c>
      <c r="F264" s="1741" t="s">
        <v>1945</v>
      </c>
      <c r="G264" s="1741" t="s">
        <v>2214</v>
      </c>
      <c r="H264" s="1741" t="s">
        <v>1658</v>
      </c>
      <c r="I264" s="1753" t="s">
        <v>3003</v>
      </c>
      <c r="J264" s="1754" t="s">
        <v>2112</v>
      </c>
      <c r="K264" s="1753" t="s">
        <v>497</v>
      </c>
      <c r="L264" s="1754" t="s">
        <v>807</v>
      </c>
      <c r="M264" s="1754"/>
      <c r="N264" s="1756">
        <v>17284.5</v>
      </c>
      <c r="O264" s="1757">
        <v>14270</v>
      </c>
      <c r="P264" s="1758">
        <v>12646.43</v>
      </c>
      <c r="Q264" s="1759">
        <v>14100</v>
      </c>
      <c r="R264" s="1760">
        <v>14100</v>
      </c>
      <c r="S264" s="1760">
        <v>10050</v>
      </c>
      <c r="T264" s="1760">
        <v>10050</v>
      </c>
      <c r="U264" s="1761">
        <v>14100</v>
      </c>
      <c r="V264" s="1762">
        <v>15090</v>
      </c>
      <c r="W264" s="1757">
        <v>16145</v>
      </c>
      <c r="Z264" s="1773">
        <f t="shared" si="90"/>
        <v>0</v>
      </c>
      <c r="AA264" s="1773">
        <f t="shared" si="91"/>
        <v>0</v>
      </c>
      <c r="AB264" s="1773">
        <f t="shared" si="92"/>
        <v>0</v>
      </c>
      <c r="AC264" s="1773">
        <f t="shared" si="93"/>
        <v>0</v>
      </c>
      <c r="AD264" s="1773">
        <f t="shared" si="94"/>
        <v>0</v>
      </c>
      <c r="AE264" s="1773">
        <f t="shared" si="95"/>
        <v>0</v>
      </c>
      <c r="AF264" s="1773">
        <f t="shared" si="96"/>
        <v>0</v>
      </c>
      <c r="AG264" s="1773">
        <f t="shared" si="97"/>
        <v>0</v>
      </c>
      <c r="AH264" s="1773">
        <f t="shared" si="98"/>
        <v>0</v>
      </c>
      <c r="AI264" s="1773">
        <f t="shared" si="99"/>
        <v>0</v>
      </c>
      <c r="AJ264" s="1773">
        <f t="shared" si="100"/>
        <v>0</v>
      </c>
      <c r="AK264" s="1773">
        <f t="shared" si="101"/>
        <v>0</v>
      </c>
      <c r="AL264" s="1773">
        <f t="shared" si="102"/>
        <v>14100</v>
      </c>
      <c r="AN264" s="1776"/>
      <c r="AO264" s="1776"/>
      <c r="AP264" s="1776"/>
      <c r="AQ264" s="1776"/>
      <c r="AR264" s="1776"/>
      <c r="AS264" s="1776"/>
      <c r="AT264" s="1776"/>
      <c r="AU264" s="1776"/>
      <c r="AV264" s="1776"/>
      <c r="AW264" s="1776"/>
      <c r="AX264" s="1776"/>
      <c r="AY264" s="1776"/>
      <c r="AZ264" s="1776">
        <v>1</v>
      </c>
    </row>
    <row r="265" spans="1:52">
      <c r="A265" s="1479" t="s">
        <v>2620</v>
      </c>
      <c r="B265" s="1479" t="s">
        <v>2271</v>
      </c>
      <c r="C265" s="1741" t="s">
        <v>2108</v>
      </c>
      <c r="D265" s="1741">
        <v>1130</v>
      </c>
      <c r="E265" s="1741">
        <v>100</v>
      </c>
      <c r="F265" s="1741" t="s">
        <v>1945</v>
      </c>
      <c r="G265" s="1741" t="s">
        <v>2214</v>
      </c>
      <c r="H265" s="1741" t="s">
        <v>1658</v>
      </c>
      <c r="I265" s="1753" t="s">
        <v>3003</v>
      </c>
      <c r="J265" s="1754" t="s">
        <v>2145</v>
      </c>
      <c r="K265" s="1753" t="s">
        <v>497</v>
      </c>
      <c r="L265" s="1754" t="s">
        <v>1778</v>
      </c>
      <c r="M265" s="1754"/>
      <c r="N265" s="1756">
        <v>120819.84</v>
      </c>
      <c r="O265" s="1757">
        <v>279135.08</v>
      </c>
      <c r="P265" s="1758">
        <v>6641.6800000000148</v>
      </c>
      <c r="Q265" s="1759">
        <v>51000</v>
      </c>
      <c r="R265" s="1760">
        <v>51000</v>
      </c>
      <c r="S265" s="1760">
        <v>5712</v>
      </c>
      <c r="T265" s="1760">
        <v>5712</v>
      </c>
      <c r="U265" s="1761">
        <v>51000</v>
      </c>
      <c r="V265" s="1762">
        <v>52000</v>
      </c>
      <c r="W265" s="1757">
        <v>53000</v>
      </c>
      <c r="Z265" s="1773">
        <f t="shared" si="90"/>
        <v>0</v>
      </c>
      <c r="AA265" s="1773">
        <f t="shared" si="91"/>
        <v>0</v>
      </c>
      <c r="AB265" s="1773">
        <f t="shared" si="92"/>
        <v>0</v>
      </c>
      <c r="AC265" s="1773">
        <f t="shared" si="93"/>
        <v>0</v>
      </c>
      <c r="AD265" s="1773">
        <f t="shared" si="94"/>
        <v>0</v>
      </c>
      <c r="AE265" s="1773">
        <f t="shared" si="95"/>
        <v>0</v>
      </c>
      <c r="AF265" s="1773">
        <f t="shared" si="96"/>
        <v>0</v>
      </c>
      <c r="AG265" s="1773">
        <f t="shared" si="97"/>
        <v>0</v>
      </c>
      <c r="AH265" s="1773">
        <f t="shared" si="98"/>
        <v>0</v>
      </c>
      <c r="AI265" s="1773">
        <f t="shared" si="99"/>
        <v>0</v>
      </c>
      <c r="AJ265" s="1773">
        <f t="shared" si="100"/>
        <v>0</v>
      </c>
      <c r="AK265" s="1773">
        <f t="shared" si="101"/>
        <v>0</v>
      </c>
      <c r="AL265" s="1773">
        <f t="shared" si="102"/>
        <v>51000</v>
      </c>
      <c r="AN265" s="1776"/>
      <c r="AO265" s="1776"/>
      <c r="AP265" s="1776"/>
      <c r="AQ265" s="1776"/>
      <c r="AR265" s="1776"/>
      <c r="AS265" s="1776"/>
      <c r="AT265" s="1776"/>
      <c r="AU265" s="1776"/>
      <c r="AV265" s="1776"/>
      <c r="AW265" s="1776"/>
      <c r="AX265" s="1776"/>
      <c r="AY265" s="1776"/>
      <c r="AZ265" s="1776">
        <v>1</v>
      </c>
    </row>
    <row r="266" spans="1:52">
      <c r="A266" s="1479" t="s">
        <v>2621</v>
      </c>
      <c r="B266" s="1479" t="s">
        <v>2241</v>
      </c>
      <c r="C266" s="1741" t="s">
        <v>2108</v>
      </c>
      <c r="D266" s="1741">
        <v>1130</v>
      </c>
      <c r="E266" s="1741">
        <v>140</v>
      </c>
      <c r="F266" s="1741" t="s">
        <v>1945</v>
      </c>
      <c r="G266" s="1741" t="s">
        <v>2214</v>
      </c>
      <c r="H266" s="1741" t="s">
        <v>1658</v>
      </c>
      <c r="I266" s="1753" t="s">
        <v>3003</v>
      </c>
      <c r="J266" s="1754" t="s">
        <v>3005</v>
      </c>
      <c r="K266" s="1753" t="s">
        <v>497</v>
      </c>
      <c r="L266" s="1754" t="s">
        <v>1163</v>
      </c>
      <c r="M266" s="1754"/>
      <c r="N266" s="1756">
        <v>83398.990000000005</v>
      </c>
      <c r="O266" s="1757">
        <v>55434.7</v>
      </c>
      <c r="P266" s="1758">
        <v>70389.48</v>
      </c>
      <c r="Q266" s="1759">
        <v>132380</v>
      </c>
      <c r="R266" s="1760">
        <v>132380</v>
      </c>
      <c r="S266" s="1760">
        <v>84615</v>
      </c>
      <c r="T266" s="1760">
        <v>84615</v>
      </c>
      <c r="U266" s="1761">
        <v>178412.02799999999</v>
      </c>
      <c r="V266" s="1762">
        <f>U266*108%</f>
        <v>192684.99024000001</v>
      </c>
      <c r="W266" s="1757">
        <f>V266*108%</f>
        <v>208099.78945920002</v>
      </c>
      <c r="Z266" s="1773">
        <f t="shared" si="90"/>
        <v>0</v>
      </c>
      <c r="AA266" s="1773">
        <f t="shared" si="91"/>
        <v>0</v>
      </c>
      <c r="AB266" s="1773">
        <f t="shared" si="92"/>
        <v>0</v>
      </c>
      <c r="AC266" s="1773">
        <f t="shared" si="93"/>
        <v>0</v>
      </c>
      <c r="AD266" s="1773">
        <f t="shared" si="94"/>
        <v>0</v>
      </c>
      <c r="AE266" s="1773">
        <f t="shared" si="95"/>
        <v>0</v>
      </c>
      <c r="AF266" s="1773">
        <f t="shared" si="96"/>
        <v>0</v>
      </c>
      <c r="AG266" s="1773">
        <f t="shared" si="97"/>
        <v>0</v>
      </c>
      <c r="AH266" s="1773">
        <f t="shared" si="98"/>
        <v>0</v>
      </c>
      <c r="AI266" s="1773">
        <f t="shared" si="99"/>
        <v>0</v>
      </c>
      <c r="AJ266" s="1773">
        <f t="shared" si="100"/>
        <v>0</v>
      </c>
      <c r="AK266" s="1773">
        <f t="shared" si="101"/>
        <v>0</v>
      </c>
      <c r="AL266" s="1773">
        <f t="shared" si="102"/>
        <v>178412.02799999999</v>
      </c>
      <c r="AN266" s="1776"/>
      <c r="AO266" s="1776"/>
      <c r="AP266" s="1776"/>
      <c r="AQ266" s="1776"/>
      <c r="AR266" s="1776"/>
      <c r="AS266" s="1776"/>
      <c r="AT266" s="1776"/>
      <c r="AU266" s="1776"/>
      <c r="AV266" s="1776"/>
      <c r="AW266" s="1776"/>
      <c r="AX266" s="1776"/>
      <c r="AY266" s="1776"/>
      <c r="AZ266" s="1776">
        <v>1</v>
      </c>
    </row>
    <row r="267" spans="1:52">
      <c r="A267" s="1479" t="s">
        <v>2622</v>
      </c>
      <c r="B267" s="1479" t="s">
        <v>2274</v>
      </c>
      <c r="C267" s="1741" t="s">
        <v>2108</v>
      </c>
      <c r="D267" s="1741">
        <v>1130</v>
      </c>
      <c r="E267" s="1741">
        <v>150</v>
      </c>
      <c r="F267" s="1741" t="s">
        <v>1945</v>
      </c>
      <c r="G267" s="1741" t="s">
        <v>2214</v>
      </c>
      <c r="H267" s="1741" t="s">
        <v>1658</v>
      </c>
      <c r="I267" s="1753" t="s">
        <v>3003</v>
      </c>
      <c r="J267" s="1754" t="s">
        <v>2113</v>
      </c>
      <c r="K267" s="1753" t="s">
        <v>497</v>
      </c>
      <c r="L267" s="1754" t="s">
        <v>1160</v>
      </c>
      <c r="M267" s="1754"/>
      <c r="N267" s="1756">
        <v>179938.88</v>
      </c>
      <c r="O267" s="1757">
        <v>143650.92000000001</v>
      </c>
      <c r="P267" s="1758">
        <v>143650.92000000001</v>
      </c>
      <c r="Q267" s="1759">
        <v>143655</v>
      </c>
      <c r="R267" s="1760">
        <v>143655</v>
      </c>
      <c r="S267" s="1760">
        <v>83377</v>
      </c>
      <c r="T267" s="1760">
        <v>83377</v>
      </c>
      <c r="U267" s="1761">
        <v>115968</v>
      </c>
      <c r="V267" s="1762">
        <v>153710</v>
      </c>
      <c r="W267" s="1757">
        <v>164470</v>
      </c>
      <c r="Z267" s="1773">
        <f t="shared" si="90"/>
        <v>0</v>
      </c>
      <c r="AA267" s="1773">
        <f t="shared" si="91"/>
        <v>0</v>
      </c>
      <c r="AB267" s="1773">
        <f t="shared" si="92"/>
        <v>0</v>
      </c>
      <c r="AC267" s="1773">
        <f t="shared" si="93"/>
        <v>0</v>
      </c>
      <c r="AD267" s="1773">
        <f t="shared" si="94"/>
        <v>0</v>
      </c>
      <c r="AE267" s="1773">
        <f t="shared" si="95"/>
        <v>0</v>
      </c>
      <c r="AF267" s="1773">
        <f t="shared" si="96"/>
        <v>0</v>
      </c>
      <c r="AG267" s="1773">
        <f t="shared" si="97"/>
        <v>0</v>
      </c>
      <c r="AH267" s="1773">
        <f t="shared" si="98"/>
        <v>0</v>
      </c>
      <c r="AI267" s="1773">
        <f t="shared" si="99"/>
        <v>0</v>
      </c>
      <c r="AJ267" s="1773">
        <f t="shared" si="100"/>
        <v>0</v>
      </c>
      <c r="AK267" s="1773">
        <f t="shared" si="101"/>
        <v>0</v>
      </c>
      <c r="AL267" s="1773">
        <f t="shared" si="102"/>
        <v>115968</v>
      </c>
      <c r="AN267" s="1776"/>
      <c r="AO267" s="1776"/>
      <c r="AP267" s="1776"/>
      <c r="AQ267" s="1776"/>
      <c r="AR267" s="1776"/>
      <c r="AS267" s="1776"/>
      <c r="AT267" s="1776"/>
      <c r="AU267" s="1776"/>
      <c r="AV267" s="1776"/>
      <c r="AW267" s="1776"/>
      <c r="AX267" s="1776"/>
      <c r="AY267" s="1776"/>
      <c r="AZ267" s="1776">
        <v>1</v>
      </c>
    </row>
    <row r="268" spans="1:52">
      <c r="A268" s="1479" t="s">
        <v>2623</v>
      </c>
      <c r="B268" s="1479" t="s">
        <v>2276</v>
      </c>
      <c r="C268" s="1741" t="s">
        <v>2108</v>
      </c>
      <c r="D268" s="1741">
        <v>1130</v>
      </c>
      <c r="E268" s="1741">
        <v>170</v>
      </c>
      <c r="F268" s="1741" t="s">
        <v>1945</v>
      </c>
      <c r="G268" s="1741" t="s">
        <v>2214</v>
      </c>
      <c r="H268" s="1741" t="s">
        <v>1658</v>
      </c>
      <c r="I268" s="1753" t="s">
        <v>3003</v>
      </c>
      <c r="J268" s="1754" t="s">
        <v>1161</v>
      </c>
      <c r="K268" s="1753" t="s">
        <v>497</v>
      </c>
      <c r="L268" s="1754" t="s">
        <v>1161</v>
      </c>
      <c r="M268" s="1754"/>
      <c r="N268" s="1756">
        <v>0</v>
      </c>
      <c r="O268" s="1757">
        <v>325.92</v>
      </c>
      <c r="P268" s="1758">
        <v>256.18</v>
      </c>
      <c r="Q268" s="1759">
        <v>500</v>
      </c>
      <c r="R268" s="1760">
        <v>500</v>
      </c>
      <c r="S268" s="1760">
        <v>9391</v>
      </c>
      <c r="T268" s="1760">
        <v>9391</v>
      </c>
      <c r="U268" s="1761">
        <v>500</v>
      </c>
      <c r="V268" s="1762">
        <v>500</v>
      </c>
      <c r="W268" s="1757">
        <v>500</v>
      </c>
      <c r="Z268" s="1773">
        <f t="shared" si="90"/>
        <v>0</v>
      </c>
      <c r="AA268" s="1773">
        <f t="shared" si="91"/>
        <v>0</v>
      </c>
      <c r="AB268" s="1773">
        <f t="shared" si="92"/>
        <v>0</v>
      </c>
      <c r="AC268" s="1773">
        <f t="shared" si="93"/>
        <v>0</v>
      </c>
      <c r="AD268" s="1773">
        <f t="shared" si="94"/>
        <v>0</v>
      </c>
      <c r="AE268" s="1773">
        <f t="shared" si="95"/>
        <v>0</v>
      </c>
      <c r="AF268" s="1773">
        <f t="shared" si="96"/>
        <v>0</v>
      </c>
      <c r="AG268" s="1773">
        <f t="shared" si="97"/>
        <v>0</v>
      </c>
      <c r="AH268" s="1773">
        <f t="shared" si="98"/>
        <v>0</v>
      </c>
      <c r="AI268" s="1773">
        <f t="shared" si="99"/>
        <v>0</v>
      </c>
      <c r="AJ268" s="1773">
        <f t="shared" si="100"/>
        <v>0</v>
      </c>
      <c r="AK268" s="1773">
        <f t="shared" si="101"/>
        <v>0</v>
      </c>
      <c r="AL268" s="1773">
        <f t="shared" si="102"/>
        <v>500</v>
      </c>
      <c r="AN268" s="1776"/>
      <c r="AO268" s="1776"/>
      <c r="AP268" s="1776"/>
      <c r="AQ268" s="1776"/>
      <c r="AR268" s="1776"/>
      <c r="AS268" s="1776"/>
      <c r="AT268" s="1776"/>
      <c r="AU268" s="1776"/>
      <c r="AV268" s="1776"/>
      <c r="AW268" s="1776"/>
      <c r="AX268" s="1776"/>
      <c r="AY268" s="1776"/>
      <c r="AZ268" s="1776">
        <v>1</v>
      </c>
    </row>
    <row r="269" spans="1:52">
      <c r="A269" s="1479" t="s">
        <v>2624</v>
      </c>
      <c r="B269" s="1479" t="s">
        <v>2278</v>
      </c>
      <c r="C269" s="1741" t="s">
        <v>2108</v>
      </c>
      <c r="D269" s="1741">
        <v>1130</v>
      </c>
      <c r="E269" s="1741">
        <v>200</v>
      </c>
      <c r="F269" s="1741" t="s">
        <v>1945</v>
      </c>
      <c r="G269" s="1741" t="s">
        <v>2214</v>
      </c>
      <c r="H269" s="1741" t="s">
        <v>1658</v>
      </c>
      <c r="I269" s="1753" t="s">
        <v>3003</v>
      </c>
      <c r="J269" s="1754" t="s">
        <v>2113</v>
      </c>
      <c r="K269" s="1753" t="s">
        <v>497</v>
      </c>
      <c r="L269" s="1754" t="s">
        <v>1160</v>
      </c>
      <c r="M269" s="1754"/>
      <c r="N269" s="1756">
        <v>3780</v>
      </c>
      <c r="O269" s="1757">
        <v>3780</v>
      </c>
      <c r="P269" s="1758">
        <v>3780</v>
      </c>
      <c r="Q269" s="1759">
        <v>3780</v>
      </c>
      <c r="R269" s="1760">
        <v>3780</v>
      </c>
      <c r="S269" s="1760">
        <v>1759</v>
      </c>
      <c r="T269" s="1760">
        <v>1759</v>
      </c>
      <c r="U269" s="1761">
        <v>6000</v>
      </c>
      <c r="V269" s="1762">
        <v>6000</v>
      </c>
      <c r="W269" s="1757">
        <v>6000</v>
      </c>
      <c r="Z269" s="1773">
        <f t="shared" si="90"/>
        <v>0</v>
      </c>
      <c r="AA269" s="1773">
        <f t="shared" si="91"/>
        <v>0</v>
      </c>
      <c r="AB269" s="1773">
        <f t="shared" si="92"/>
        <v>0</v>
      </c>
      <c r="AC269" s="1773">
        <f t="shared" si="93"/>
        <v>0</v>
      </c>
      <c r="AD269" s="1773">
        <f t="shared" si="94"/>
        <v>0</v>
      </c>
      <c r="AE269" s="1773">
        <f t="shared" si="95"/>
        <v>0</v>
      </c>
      <c r="AF269" s="1773">
        <f t="shared" si="96"/>
        <v>0</v>
      </c>
      <c r="AG269" s="1773">
        <f t="shared" si="97"/>
        <v>0</v>
      </c>
      <c r="AH269" s="1773">
        <f t="shared" si="98"/>
        <v>0</v>
      </c>
      <c r="AI269" s="1773">
        <f t="shared" si="99"/>
        <v>0</v>
      </c>
      <c r="AJ269" s="1773">
        <f t="shared" si="100"/>
        <v>0</v>
      </c>
      <c r="AK269" s="1773">
        <f t="shared" si="101"/>
        <v>0</v>
      </c>
      <c r="AL269" s="1773">
        <f t="shared" si="102"/>
        <v>6000</v>
      </c>
      <c r="AN269" s="1776"/>
      <c r="AO269" s="1776"/>
      <c r="AP269" s="1776"/>
      <c r="AQ269" s="1776"/>
      <c r="AR269" s="1776"/>
      <c r="AS269" s="1776"/>
      <c r="AT269" s="1776"/>
      <c r="AU269" s="1776"/>
      <c r="AV269" s="1776"/>
      <c r="AW269" s="1776"/>
      <c r="AX269" s="1776"/>
      <c r="AY269" s="1776"/>
      <c r="AZ269" s="1776">
        <v>1</v>
      </c>
    </row>
    <row r="270" spans="1:52">
      <c r="A270" s="1479" t="s">
        <v>2625</v>
      </c>
      <c r="B270" s="1479" t="s">
        <v>2626</v>
      </c>
      <c r="C270" s="1741" t="s">
        <v>2108</v>
      </c>
      <c r="D270" s="1741">
        <v>1130</v>
      </c>
      <c r="E270" s="1741">
        <v>300</v>
      </c>
      <c r="F270" s="1741" t="s">
        <v>1945</v>
      </c>
      <c r="G270" s="1741" t="s">
        <v>2214</v>
      </c>
      <c r="H270" s="1741" t="s">
        <v>1658</v>
      </c>
      <c r="I270" s="1753" t="s">
        <v>3003</v>
      </c>
      <c r="J270" s="1754" t="s">
        <v>1162</v>
      </c>
      <c r="K270" s="1753" t="s">
        <v>497</v>
      </c>
      <c r="L270" s="1754" t="s">
        <v>1162</v>
      </c>
      <c r="M270" s="1754"/>
      <c r="N270" s="1756">
        <v>0</v>
      </c>
      <c r="O270" s="1757">
        <v>11323</v>
      </c>
      <c r="P270" s="1758">
        <v>7981</v>
      </c>
      <c r="Q270" s="1759">
        <v>0</v>
      </c>
      <c r="R270" s="1760">
        <v>0</v>
      </c>
      <c r="S270" s="1760">
        <v>0</v>
      </c>
      <c r="T270" s="1760">
        <v>0</v>
      </c>
      <c r="U270" s="1761">
        <v>0</v>
      </c>
      <c r="V270" s="1762">
        <v>0</v>
      </c>
      <c r="W270" s="1757">
        <v>0</v>
      </c>
      <c r="Z270" s="1773">
        <f t="shared" si="90"/>
        <v>0</v>
      </c>
      <c r="AA270" s="1773">
        <f t="shared" si="91"/>
        <v>0</v>
      </c>
      <c r="AB270" s="1773">
        <f t="shared" si="92"/>
        <v>0</v>
      </c>
      <c r="AC270" s="1773">
        <f t="shared" si="93"/>
        <v>0</v>
      </c>
      <c r="AD270" s="1773">
        <f t="shared" si="94"/>
        <v>0</v>
      </c>
      <c r="AE270" s="1773">
        <f t="shared" si="95"/>
        <v>0</v>
      </c>
      <c r="AF270" s="1773">
        <f t="shared" si="96"/>
        <v>0</v>
      </c>
      <c r="AG270" s="1773">
        <f t="shared" si="97"/>
        <v>0</v>
      </c>
      <c r="AH270" s="1773">
        <f t="shared" si="98"/>
        <v>0</v>
      </c>
      <c r="AI270" s="1773">
        <f t="shared" si="99"/>
        <v>0</v>
      </c>
      <c r="AJ270" s="1773">
        <f t="shared" si="100"/>
        <v>0</v>
      </c>
      <c r="AK270" s="1773">
        <f t="shared" si="101"/>
        <v>0</v>
      </c>
      <c r="AL270" s="1773">
        <f t="shared" si="102"/>
        <v>0</v>
      </c>
      <c r="AN270" s="1776"/>
      <c r="AO270" s="1776"/>
      <c r="AP270" s="1776"/>
      <c r="AQ270" s="1776"/>
      <c r="AR270" s="1776"/>
      <c r="AS270" s="1776"/>
      <c r="AT270" s="1776"/>
      <c r="AU270" s="1776"/>
      <c r="AV270" s="1776"/>
      <c r="AW270" s="1776"/>
      <c r="AX270" s="1776"/>
      <c r="AY270" s="1776"/>
      <c r="AZ270" s="1776">
        <v>1</v>
      </c>
    </row>
    <row r="271" spans="1:52">
      <c r="A271" s="1479" t="s">
        <v>2627</v>
      </c>
      <c r="B271" s="1479" t="s">
        <v>2628</v>
      </c>
      <c r="C271" s="1741" t="s">
        <v>2108</v>
      </c>
      <c r="D271" s="1741">
        <v>1130</v>
      </c>
      <c r="E271" s="1741">
        <v>300</v>
      </c>
      <c r="F271" s="1741" t="s">
        <v>1945</v>
      </c>
      <c r="G271" s="1741" t="s">
        <v>2214</v>
      </c>
      <c r="H271" s="1741" t="s">
        <v>1658</v>
      </c>
      <c r="I271" s="1753" t="s">
        <v>2117</v>
      </c>
      <c r="J271" s="1754" t="s">
        <v>1162</v>
      </c>
      <c r="K271" s="1754" t="s">
        <v>1665</v>
      </c>
      <c r="L271" s="1754" t="s">
        <v>1665</v>
      </c>
      <c r="M271" s="1754"/>
      <c r="N271" s="1756">
        <v>0</v>
      </c>
      <c r="O271" s="1757">
        <v>6760</v>
      </c>
      <c r="P271" s="1758">
        <v>5037</v>
      </c>
      <c r="Q271" s="1759">
        <v>0</v>
      </c>
      <c r="R271" s="1760">
        <v>0</v>
      </c>
      <c r="S271" s="1760">
        <v>0</v>
      </c>
      <c r="T271" s="1760">
        <v>0</v>
      </c>
      <c r="U271" s="1761">
        <v>0</v>
      </c>
      <c r="V271" s="1762">
        <v>0</v>
      </c>
      <c r="W271" s="1757">
        <v>0</v>
      </c>
      <c r="Z271" s="1773">
        <f t="shared" si="90"/>
        <v>0</v>
      </c>
      <c r="AA271" s="1773">
        <f t="shared" si="91"/>
        <v>0</v>
      </c>
      <c r="AB271" s="1773">
        <f t="shared" si="92"/>
        <v>0</v>
      </c>
      <c r="AC271" s="1773">
        <f t="shared" si="93"/>
        <v>0</v>
      </c>
      <c r="AD271" s="1773">
        <f t="shared" si="94"/>
        <v>0</v>
      </c>
      <c r="AE271" s="1773">
        <f t="shared" si="95"/>
        <v>0</v>
      </c>
      <c r="AF271" s="1773">
        <f t="shared" si="96"/>
        <v>0</v>
      </c>
      <c r="AG271" s="1773">
        <f t="shared" si="97"/>
        <v>0</v>
      </c>
      <c r="AH271" s="1773">
        <f t="shared" si="98"/>
        <v>0</v>
      </c>
      <c r="AI271" s="1773">
        <f t="shared" si="99"/>
        <v>0</v>
      </c>
      <c r="AJ271" s="1773">
        <f t="shared" si="100"/>
        <v>0</v>
      </c>
      <c r="AK271" s="1773">
        <f t="shared" si="101"/>
        <v>0</v>
      </c>
      <c r="AL271" s="1773">
        <f t="shared" si="102"/>
        <v>0</v>
      </c>
      <c r="AN271" s="1776"/>
      <c r="AO271" s="1776"/>
      <c r="AP271" s="1776"/>
      <c r="AQ271" s="1776"/>
      <c r="AR271" s="1776"/>
      <c r="AS271" s="1776"/>
      <c r="AT271" s="1776"/>
      <c r="AU271" s="1776"/>
      <c r="AV271" s="1776"/>
      <c r="AW271" s="1776"/>
      <c r="AX271" s="1776"/>
      <c r="AY271" s="1776"/>
      <c r="AZ271" s="1776">
        <v>1</v>
      </c>
    </row>
    <row r="272" spans="1:52">
      <c r="A272" s="1479" t="s">
        <v>2629</v>
      </c>
      <c r="B272" s="1479" t="s">
        <v>2630</v>
      </c>
      <c r="C272" s="1741" t="s">
        <v>2108</v>
      </c>
      <c r="D272" s="1741">
        <v>1130</v>
      </c>
      <c r="E272" s="1741">
        <v>300</v>
      </c>
      <c r="F272" s="1741" t="s">
        <v>1945</v>
      </c>
      <c r="G272" s="1741" t="s">
        <v>2214</v>
      </c>
      <c r="H272" s="1741" t="s">
        <v>586</v>
      </c>
      <c r="I272" s="1753" t="s">
        <v>2168</v>
      </c>
      <c r="J272" s="1754"/>
      <c r="K272" s="1753" t="s">
        <v>1666</v>
      </c>
      <c r="L272" s="1753" t="s">
        <v>1666</v>
      </c>
      <c r="M272" s="1754"/>
      <c r="N272" s="1756">
        <v>0</v>
      </c>
      <c r="O272" s="1757">
        <v>-17692</v>
      </c>
      <c r="P272" s="1758">
        <v>-13890</v>
      </c>
      <c r="Q272" s="1759">
        <v>0</v>
      </c>
      <c r="R272" s="1760">
        <v>0</v>
      </c>
      <c r="S272" s="1760">
        <v>0</v>
      </c>
      <c r="T272" s="1760">
        <v>0</v>
      </c>
      <c r="U272" s="1761">
        <v>0</v>
      </c>
      <c r="V272" s="1762">
        <v>0</v>
      </c>
      <c r="W272" s="1757">
        <v>0</v>
      </c>
      <c r="Z272" s="1773">
        <f t="shared" si="90"/>
        <v>0</v>
      </c>
      <c r="AA272" s="1773">
        <f t="shared" si="91"/>
        <v>0</v>
      </c>
      <c r="AB272" s="1773">
        <f t="shared" si="92"/>
        <v>0</v>
      </c>
      <c r="AC272" s="1773">
        <f t="shared" si="93"/>
        <v>0</v>
      </c>
      <c r="AD272" s="1773">
        <f t="shared" si="94"/>
        <v>0</v>
      </c>
      <c r="AE272" s="1773">
        <f t="shared" si="95"/>
        <v>0</v>
      </c>
      <c r="AF272" s="1773">
        <f t="shared" si="96"/>
        <v>0</v>
      </c>
      <c r="AG272" s="1773">
        <f t="shared" si="97"/>
        <v>0</v>
      </c>
      <c r="AH272" s="1773">
        <f t="shared" si="98"/>
        <v>0</v>
      </c>
      <c r="AI272" s="1773">
        <f t="shared" si="99"/>
        <v>0</v>
      </c>
      <c r="AJ272" s="1773">
        <f t="shared" si="100"/>
        <v>0</v>
      </c>
      <c r="AK272" s="1773">
        <f t="shared" si="101"/>
        <v>0</v>
      </c>
      <c r="AL272" s="1773">
        <f t="shared" si="102"/>
        <v>0</v>
      </c>
      <c r="AN272" s="1776"/>
      <c r="AO272" s="1776"/>
      <c r="AP272" s="1776"/>
      <c r="AQ272" s="1776"/>
      <c r="AR272" s="1776"/>
      <c r="AS272" s="1776"/>
      <c r="AT272" s="1776"/>
      <c r="AU272" s="1776"/>
      <c r="AV272" s="1776"/>
      <c r="AW272" s="1776"/>
      <c r="AX272" s="1776"/>
      <c r="AY272" s="1776"/>
      <c r="AZ272" s="1776">
        <v>1</v>
      </c>
    </row>
    <row r="273" spans="1:52">
      <c r="A273" s="1479" t="s">
        <v>2631</v>
      </c>
      <c r="B273" s="1479" t="s">
        <v>2632</v>
      </c>
      <c r="C273" s="1741" t="s">
        <v>2108</v>
      </c>
      <c r="D273" s="1741">
        <v>1130</v>
      </c>
      <c r="E273" s="1741">
        <v>300</v>
      </c>
      <c r="F273" s="1741" t="s">
        <v>1945</v>
      </c>
      <c r="G273" s="1741" t="s">
        <v>2214</v>
      </c>
      <c r="H273" s="1741" t="s">
        <v>1658</v>
      </c>
      <c r="I273" s="1753" t="s">
        <v>3024</v>
      </c>
      <c r="J273" s="1754"/>
      <c r="K273" s="1753"/>
      <c r="L273" s="1754"/>
      <c r="M273" s="1754"/>
      <c r="N273" s="1756">
        <v>0</v>
      </c>
      <c r="O273" s="1757">
        <v>0</v>
      </c>
      <c r="P273" s="1758">
        <v>0</v>
      </c>
      <c r="Q273" s="1759">
        <v>0</v>
      </c>
      <c r="R273" s="1760">
        <v>0</v>
      </c>
      <c r="S273" s="1760">
        <v>0</v>
      </c>
      <c r="T273" s="1760">
        <v>0</v>
      </c>
      <c r="U273" s="1761">
        <v>0</v>
      </c>
      <c r="V273" s="1762">
        <v>0</v>
      </c>
      <c r="W273" s="1757">
        <v>0</v>
      </c>
      <c r="Z273" s="1773">
        <f t="shared" si="90"/>
        <v>0</v>
      </c>
      <c r="AA273" s="1773">
        <f t="shared" si="91"/>
        <v>0</v>
      </c>
      <c r="AB273" s="1773">
        <f t="shared" si="92"/>
        <v>0</v>
      </c>
      <c r="AC273" s="1773">
        <f t="shared" si="93"/>
        <v>0</v>
      </c>
      <c r="AD273" s="1773">
        <f t="shared" si="94"/>
        <v>0</v>
      </c>
      <c r="AE273" s="1773">
        <f t="shared" si="95"/>
        <v>0</v>
      </c>
      <c r="AF273" s="1773">
        <f t="shared" si="96"/>
        <v>0</v>
      </c>
      <c r="AG273" s="1773">
        <f t="shared" si="97"/>
        <v>0</v>
      </c>
      <c r="AH273" s="1773">
        <f t="shared" si="98"/>
        <v>0</v>
      </c>
      <c r="AI273" s="1773">
        <f t="shared" si="99"/>
        <v>0</v>
      </c>
      <c r="AJ273" s="1773">
        <f t="shared" si="100"/>
        <v>0</v>
      </c>
      <c r="AK273" s="1773">
        <f t="shared" si="101"/>
        <v>0</v>
      </c>
      <c r="AL273" s="1773">
        <f t="shared" si="102"/>
        <v>0</v>
      </c>
      <c r="AN273" s="1776"/>
      <c r="AO273" s="1776"/>
      <c r="AP273" s="1776"/>
      <c r="AQ273" s="1776"/>
      <c r="AR273" s="1776"/>
      <c r="AS273" s="1776"/>
      <c r="AT273" s="1776"/>
      <c r="AU273" s="1776"/>
      <c r="AV273" s="1776"/>
      <c r="AW273" s="1776"/>
      <c r="AX273" s="1776"/>
      <c r="AY273" s="1776"/>
      <c r="AZ273" s="1776">
        <v>1</v>
      </c>
    </row>
    <row r="274" spans="1:52">
      <c r="A274" s="1479" t="s">
        <v>2633</v>
      </c>
      <c r="B274" s="1479" t="s">
        <v>2634</v>
      </c>
      <c r="C274" s="1741" t="s">
        <v>2108</v>
      </c>
      <c r="D274" s="1741">
        <v>1130</v>
      </c>
      <c r="E274" s="1741">
        <v>310</v>
      </c>
      <c r="F274" s="1741" t="s">
        <v>1945</v>
      </c>
      <c r="G274" s="1741" t="s">
        <v>2214</v>
      </c>
      <c r="H274" s="1741" t="s">
        <v>1658</v>
      </c>
      <c r="I274" s="1753" t="s">
        <v>3003</v>
      </c>
      <c r="J274" s="1754" t="s">
        <v>3025</v>
      </c>
      <c r="K274" s="1753" t="s">
        <v>497</v>
      </c>
      <c r="L274" s="1754" t="s">
        <v>1779</v>
      </c>
      <c r="M274" s="1754"/>
      <c r="N274" s="1756">
        <v>0</v>
      </c>
      <c r="O274" s="1757">
        <v>74603</v>
      </c>
      <c r="P274" s="1758">
        <v>79328</v>
      </c>
      <c r="Q274" s="1759">
        <v>0</v>
      </c>
      <c r="R274" s="1760">
        <v>0</v>
      </c>
      <c r="S274" s="1760">
        <v>0</v>
      </c>
      <c r="T274" s="1760">
        <v>0</v>
      </c>
      <c r="U274" s="1761">
        <v>0</v>
      </c>
      <c r="V274" s="1762">
        <v>0</v>
      </c>
      <c r="W274" s="1757">
        <v>0</v>
      </c>
      <c r="Z274" s="1773">
        <f t="shared" si="90"/>
        <v>0</v>
      </c>
      <c r="AA274" s="1773">
        <f t="shared" si="91"/>
        <v>0</v>
      </c>
      <c r="AB274" s="1773">
        <f t="shared" si="92"/>
        <v>0</v>
      </c>
      <c r="AC274" s="1773">
        <f t="shared" si="93"/>
        <v>0</v>
      </c>
      <c r="AD274" s="1773">
        <f t="shared" si="94"/>
        <v>0</v>
      </c>
      <c r="AE274" s="1773">
        <f t="shared" si="95"/>
        <v>0</v>
      </c>
      <c r="AF274" s="1773">
        <f t="shared" si="96"/>
        <v>0</v>
      </c>
      <c r="AG274" s="1773">
        <f t="shared" si="97"/>
        <v>0</v>
      </c>
      <c r="AH274" s="1773">
        <f t="shared" si="98"/>
        <v>0</v>
      </c>
      <c r="AI274" s="1773">
        <f t="shared" si="99"/>
        <v>0</v>
      </c>
      <c r="AJ274" s="1773">
        <f t="shared" si="100"/>
        <v>0</v>
      </c>
      <c r="AK274" s="1773">
        <f t="shared" si="101"/>
        <v>0</v>
      </c>
      <c r="AL274" s="1773">
        <f t="shared" si="102"/>
        <v>0</v>
      </c>
      <c r="AN274" s="1776"/>
      <c r="AO274" s="1776"/>
      <c r="AP274" s="1776"/>
      <c r="AQ274" s="1776"/>
      <c r="AR274" s="1776"/>
      <c r="AS274" s="1776"/>
      <c r="AT274" s="1776"/>
      <c r="AU274" s="1776"/>
      <c r="AV274" s="1776"/>
      <c r="AW274" s="1776"/>
      <c r="AX274" s="1776"/>
      <c r="AY274" s="1776"/>
      <c r="AZ274" s="1776">
        <v>1</v>
      </c>
    </row>
    <row r="275" spans="1:52">
      <c r="A275" s="1479" t="s">
        <v>2635</v>
      </c>
      <c r="B275" s="1479" t="s">
        <v>2636</v>
      </c>
      <c r="C275" s="1741" t="s">
        <v>2108</v>
      </c>
      <c r="D275" s="1741">
        <v>1130</v>
      </c>
      <c r="E275" s="1741">
        <v>310</v>
      </c>
      <c r="F275" s="1741" t="s">
        <v>1945</v>
      </c>
      <c r="G275" s="1741" t="s">
        <v>2214</v>
      </c>
      <c r="H275" s="1741" t="s">
        <v>1658</v>
      </c>
      <c r="I275" s="1753" t="s">
        <v>2117</v>
      </c>
      <c r="J275" s="1754" t="s">
        <v>3025</v>
      </c>
      <c r="K275" s="1754" t="s">
        <v>1665</v>
      </c>
      <c r="L275" s="1754" t="s">
        <v>1665</v>
      </c>
      <c r="M275" s="1754"/>
      <c r="N275" s="1756">
        <v>0</v>
      </c>
      <c r="O275" s="1757">
        <v>349201</v>
      </c>
      <c r="P275" s="1758">
        <v>295028</v>
      </c>
      <c r="Q275" s="1759">
        <v>0</v>
      </c>
      <c r="R275" s="1760">
        <v>0</v>
      </c>
      <c r="S275" s="1760">
        <v>0</v>
      </c>
      <c r="T275" s="1760">
        <v>0</v>
      </c>
      <c r="U275" s="1761">
        <v>0</v>
      </c>
      <c r="V275" s="1762">
        <v>0</v>
      </c>
      <c r="W275" s="1757">
        <v>0</v>
      </c>
      <c r="Z275" s="1773">
        <f t="shared" si="90"/>
        <v>0</v>
      </c>
      <c r="AA275" s="1773">
        <f t="shared" si="91"/>
        <v>0</v>
      </c>
      <c r="AB275" s="1773">
        <f t="shared" si="92"/>
        <v>0</v>
      </c>
      <c r="AC275" s="1773">
        <f t="shared" si="93"/>
        <v>0</v>
      </c>
      <c r="AD275" s="1773">
        <f t="shared" si="94"/>
        <v>0</v>
      </c>
      <c r="AE275" s="1773">
        <f t="shared" si="95"/>
        <v>0</v>
      </c>
      <c r="AF275" s="1773">
        <f t="shared" si="96"/>
        <v>0</v>
      </c>
      <c r="AG275" s="1773">
        <f t="shared" si="97"/>
        <v>0</v>
      </c>
      <c r="AH275" s="1773">
        <f t="shared" si="98"/>
        <v>0</v>
      </c>
      <c r="AI275" s="1773">
        <f t="shared" si="99"/>
        <v>0</v>
      </c>
      <c r="AJ275" s="1773">
        <f t="shared" si="100"/>
        <v>0</v>
      </c>
      <c r="AK275" s="1773">
        <f t="shared" si="101"/>
        <v>0</v>
      </c>
      <c r="AL275" s="1773">
        <f t="shared" si="102"/>
        <v>0</v>
      </c>
      <c r="AN275" s="1776"/>
      <c r="AO275" s="1776"/>
      <c r="AP275" s="1776"/>
      <c r="AQ275" s="1776"/>
      <c r="AR275" s="1776"/>
      <c r="AS275" s="1776"/>
      <c r="AT275" s="1776"/>
      <c r="AU275" s="1776"/>
      <c r="AV275" s="1776"/>
      <c r="AW275" s="1776"/>
      <c r="AX275" s="1776"/>
      <c r="AY275" s="1776"/>
      <c r="AZ275" s="1776">
        <v>1</v>
      </c>
    </row>
    <row r="276" spans="1:52">
      <c r="A276" s="1479" t="s">
        <v>2637</v>
      </c>
      <c r="B276" s="1479" t="s">
        <v>2638</v>
      </c>
      <c r="C276" s="1741" t="s">
        <v>2108</v>
      </c>
      <c r="D276" s="1741">
        <v>1130</v>
      </c>
      <c r="E276" s="1741">
        <v>310</v>
      </c>
      <c r="F276" s="1741" t="s">
        <v>1945</v>
      </c>
      <c r="G276" s="1741" t="s">
        <v>2214</v>
      </c>
      <c r="H276" s="1741" t="s">
        <v>586</v>
      </c>
      <c r="I276" s="1753" t="s">
        <v>2168</v>
      </c>
      <c r="J276" s="1754"/>
      <c r="K276" s="1753" t="s">
        <v>1666</v>
      </c>
      <c r="L276" s="1753" t="s">
        <v>1666</v>
      </c>
      <c r="M276" s="1754"/>
      <c r="N276" s="1756">
        <v>0</v>
      </c>
      <c r="O276" s="1757">
        <v>-386717</v>
      </c>
      <c r="P276" s="1758">
        <v>-68719</v>
      </c>
      <c r="Q276" s="1759">
        <v>0</v>
      </c>
      <c r="R276" s="1760">
        <v>0</v>
      </c>
      <c r="S276" s="1760">
        <v>0</v>
      </c>
      <c r="T276" s="1760">
        <v>0</v>
      </c>
      <c r="U276" s="1761">
        <v>0</v>
      </c>
      <c r="V276" s="1762">
        <v>0</v>
      </c>
      <c r="W276" s="1757">
        <v>0</v>
      </c>
      <c r="Z276" s="1773">
        <f t="shared" si="90"/>
        <v>0</v>
      </c>
      <c r="AA276" s="1773">
        <f t="shared" si="91"/>
        <v>0</v>
      </c>
      <c r="AB276" s="1773">
        <f t="shared" si="92"/>
        <v>0</v>
      </c>
      <c r="AC276" s="1773">
        <f t="shared" si="93"/>
        <v>0</v>
      </c>
      <c r="AD276" s="1773">
        <f t="shared" si="94"/>
        <v>0</v>
      </c>
      <c r="AE276" s="1773">
        <f t="shared" si="95"/>
        <v>0</v>
      </c>
      <c r="AF276" s="1773">
        <f t="shared" si="96"/>
        <v>0</v>
      </c>
      <c r="AG276" s="1773">
        <f t="shared" si="97"/>
        <v>0</v>
      </c>
      <c r="AH276" s="1773">
        <f t="shared" si="98"/>
        <v>0</v>
      </c>
      <c r="AI276" s="1773">
        <f t="shared" si="99"/>
        <v>0</v>
      </c>
      <c r="AJ276" s="1773">
        <f t="shared" si="100"/>
        <v>0</v>
      </c>
      <c r="AK276" s="1773">
        <f t="shared" si="101"/>
        <v>0</v>
      </c>
      <c r="AL276" s="1773">
        <f t="shared" si="102"/>
        <v>0</v>
      </c>
      <c r="AN276" s="1776"/>
      <c r="AO276" s="1776"/>
      <c r="AP276" s="1776"/>
      <c r="AQ276" s="1776"/>
      <c r="AR276" s="1776"/>
      <c r="AS276" s="1776"/>
      <c r="AT276" s="1776"/>
      <c r="AU276" s="1776"/>
      <c r="AV276" s="1776"/>
      <c r="AW276" s="1776"/>
      <c r="AX276" s="1776"/>
      <c r="AY276" s="1776"/>
      <c r="AZ276" s="1776">
        <v>1</v>
      </c>
    </row>
    <row r="277" spans="1:52">
      <c r="A277" s="1479" t="s">
        <v>2639</v>
      </c>
      <c r="B277" s="1479" t="s">
        <v>2640</v>
      </c>
      <c r="C277" s="1741" t="s">
        <v>2108</v>
      </c>
      <c r="D277" s="1741">
        <v>1130</v>
      </c>
      <c r="E277" s="1741">
        <v>310</v>
      </c>
      <c r="F277" s="1741" t="s">
        <v>1945</v>
      </c>
      <c r="G277" s="1741" t="s">
        <v>2214</v>
      </c>
      <c r="H277" s="1741" t="s">
        <v>1658</v>
      </c>
      <c r="I277" s="1753" t="s">
        <v>3024</v>
      </c>
      <c r="J277" s="1754"/>
      <c r="K277" s="1753"/>
      <c r="L277" s="1754"/>
      <c r="M277" s="1754"/>
      <c r="N277" s="1756">
        <v>0</v>
      </c>
      <c r="O277" s="1757">
        <v>0</v>
      </c>
      <c r="P277" s="1758">
        <v>0</v>
      </c>
      <c r="Q277" s="1759">
        <v>0</v>
      </c>
      <c r="R277" s="1760">
        <v>0</v>
      </c>
      <c r="S277" s="1760">
        <v>0</v>
      </c>
      <c r="T277" s="1760">
        <v>0</v>
      </c>
      <c r="U277" s="1761">
        <v>0</v>
      </c>
      <c r="V277" s="1762">
        <v>0</v>
      </c>
      <c r="W277" s="1757">
        <v>0</v>
      </c>
      <c r="Z277" s="1773">
        <f t="shared" si="90"/>
        <v>0</v>
      </c>
      <c r="AA277" s="1773">
        <f t="shared" si="91"/>
        <v>0</v>
      </c>
      <c r="AB277" s="1773">
        <f t="shared" si="92"/>
        <v>0</v>
      </c>
      <c r="AC277" s="1773">
        <f t="shared" si="93"/>
        <v>0</v>
      </c>
      <c r="AD277" s="1773">
        <f t="shared" si="94"/>
        <v>0</v>
      </c>
      <c r="AE277" s="1773">
        <f t="shared" si="95"/>
        <v>0</v>
      </c>
      <c r="AF277" s="1773">
        <f t="shared" si="96"/>
        <v>0</v>
      </c>
      <c r="AG277" s="1773">
        <f t="shared" si="97"/>
        <v>0</v>
      </c>
      <c r="AH277" s="1773">
        <f t="shared" si="98"/>
        <v>0</v>
      </c>
      <c r="AI277" s="1773">
        <f t="shared" si="99"/>
        <v>0</v>
      </c>
      <c r="AJ277" s="1773">
        <f t="shared" si="100"/>
        <v>0</v>
      </c>
      <c r="AK277" s="1773">
        <f t="shared" si="101"/>
        <v>0</v>
      </c>
      <c r="AL277" s="1773">
        <f t="shared" si="102"/>
        <v>0</v>
      </c>
      <c r="AN277" s="1776"/>
      <c r="AO277" s="1776"/>
      <c r="AP277" s="1776"/>
      <c r="AQ277" s="1776"/>
      <c r="AR277" s="1776"/>
      <c r="AS277" s="1776"/>
      <c r="AT277" s="1776"/>
      <c r="AU277" s="1776"/>
      <c r="AV277" s="1776"/>
      <c r="AW277" s="1776"/>
      <c r="AX277" s="1776"/>
      <c r="AY277" s="1776"/>
      <c r="AZ277" s="1776">
        <v>1</v>
      </c>
    </row>
    <row r="278" spans="1:52">
      <c r="A278" s="1479" t="s">
        <v>2641</v>
      </c>
      <c r="B278" s="1479" t="s">
        <v>2349</v>
      </c>
      <c r="C278" s="1741" t="s">
        <v>2108</v>
      </c>
      <c r="D278" s="1741">
        <v>1130</v>
      </c>
      <c r="E278" s="1741">
        <v>510</v>
      </c>
      <c r="F278" s="1741" t="s">
        <v>1945</v>
      </c>
      <c r="G278" s="1741" t="s">
        <v>2214</v>
      </c>
      <c r="H278" s="1741" t="s">
        <v>1658</v>
      </c>
      <c r="I278" s="1753" t="s">
        <v>2114</v>
      </c>
      <c r="J278" s="1754" t="s">
        <v>3018</v>
      </c>
      <c r="K278" s="1753" t="s">
        <v>2114</v>
      </c>
      <c r="L278" s="1754" t="s">
        <v>3018</v>
      </c>
      <c r="M278" s="1754"/>
      <c r="N278" s="1756">
        <v>55839.74</v>
      </c>
      <c r="O278" s="1757">
        <v>67477.05</v>
      </c>
      <c r="P278" s="1758">
        <v>114249.53</v>
      </c>
      <c r="Q278" s="1759">
        <v>120000</v>
      </c>
      <c r="R278" s="1760">
        <v>120000</v>
      </c>
      <c r="S278" s="1760">
        <v>139937</v>
      </c>
      <c r="T278" s="1760">
        <v>139937</v>
      </c>
      <c r="U278" s="1761">
        <v>12000</v>
      </c>
      <c r="V278" s="1762">
        <v>15000</v>
      </c>
      <c r="W278" s="1757">
        <v>15000</v>
      </c>
      <c r="Z278" s="1773">
        <f t="shared" si="90"/>
        <v>0</v>
      </c>
      <c r="AA278" s="1773">
        <f t="shared" si="91"/>
        <v>0</v>
      </c>
      <c r="AB278" s="1773">
        <f t="shared" si="92"/>
        <v>0</v>
      </c>
      <c r="AC278" s="1773">
        <f t="shared" si="93"/>
        <v>0</v>
      </c>
      <c r="AD278" s="1773">
        <f t="shared" si="94"/>
        <v>0</v>
      </c>
      <c r="AE278" s="1773">
        <f t="shared" si="95"/>
        <v>0</v>
      </c>
      <c r="AF278" s="1773">
        <f t="shared" si="96"/>
        <v>0</v>
      </c>
      <c r="AG278" s="1773">
        <f t="shared" si="97"/>
        <v>0</v>
      </c>
      <c r="AH278" s="1773">
        <f t="shared" si="98"/>
        <v>0</v>
      </c>
      <c r="AI278" s="1773">
        <f t="shared" si="99"/>
        <v>0</v>
      </c>
      <c r="AJ278" s="1773">
        <f t="shared" si="100"/>
        <v>0</v>
      </c>
      <c r="AK278" s="1773">
        <f t="shared" si="101"/>
        <v>0</v>
      </c>
      <c r="AL278" s="1773">
        <f t="shared" si="102"/>
        <v>12000</v>
      </c>
      <c r="AN278" s="1776"/>
      <c r="AO278" s="1776"/>
      <c r="AP278" s="1776"/>
      <c r="AQ278" s="1776"/>
      <c r="AR278" s="1776"/>
      <c r="AS278" s="1776"/>
      <c r="AT278" s="1776"/>
      <c r="AU278" s="1776"/>
      <c r="AV278" s="1776"/>
      <c r="AW278" s="1776"/>
      <c r="AX278" s="1776"/>
      <c r="AY278" s="1776"/>
      <c r="AZ278" s="1776">
        <v>1</v>
      </c>
    </row>
    <row r="279" spans="1:52" ht="13.5">
      <c r="A279" s="1479" t="s">
        <v>2642</v>
      </c>
      <c r="B279" s="1479" t="s">
        <v>2243</v>
      </c>
      <c r="C279" s="1741" t="s">
        <v>2108</v>
      </c>
      <c r="D279" s="1741">
        <v>1130</v>
      </c>
      <c r="E279" s="1741">
        <v>520</v>
      </c>
      <c r="F279" s="1741" t="s">
        <v>1945</v>
      </c>
      <c r="G279" s="1741" t="s">
        <v>2214</v>
      </c>
      <c r="H279" s="1741" t="s">
        <v>1658</v>
      </c>
      <c r="I279" s="1753" t="s">
        <v>2114</v>
      </c>
      <c r="J279" s="1754" t="s">
        <v>2138</v>
      </c>
      <c r="K279" s="1753" t="s">
        <v>2114</v>
      </c>
      <c r="L279" s="1754" t="s">
        <v>2138</v>
      </c>
      <c r="M279" s="1763"/>
      <c r="N279" s="1756">
        <v>19955.75</v>
      </c>
      <c r="O279" s="1757">
        <v>16109.4</v>
      </c>
      <c r="P279" s="1758">
        <v>15731.28</v>
      </c>
      <c r="Q279" s="1759">
        <v>21460</v>
      </c>
      <c r="R279" s="1760">
        <v>0</v>
      </c>
      <c r="S279" s="1760">
        <v>0</v>
      </c>
      <c r="T279" s="1760">
        <v>0</v>
      </c>
      <c r="U279" s="1761">
        <v>0</v>
      </c>
      <c r="V279" s="1762">
        <v>0</v>
      </c>
      <c r="W279" s="1757">
        <v>0</v>
      </c>
      <c r="Z279" s="1773">
        <f t="shared" si="90"/>
        <v>0</v>
      </c>
      <c r="AA279" s="1773">
        <f t="shared" si="91"/>
        <v>0</v>
      </c>
      <c r="AB279" s="1773">
        <f t="shared" si="92"/>
        <v>0</v>
      </c>
      <c r="AC279" s="1773">
        <f t="shared" si="93"/>
        <v>0</v>
      </c>
      <c r="AD279" s="1773">
        <f t="shared" si="94"/>
        <v>0</v>
      </c>
      <c r="AE279" s="1773">
        <f t="shared" si="95"/>
        <v>0</v>
      </c>
      <c r="AF279" s="1773">
        <f t="shared" si="96"/>
        <v>0</v>
      </c>
      <c r="AG279" s="1773">
        <f t="shared" si="97"/>
        <v>0</v>
      </c>
      <c r="AH279" s="1773">
        <f t="shared" si="98"/>
        <v>0</v>
      </c>
      <c r="AI279" s="1773">
        <f t="shared" si="99"/>
        <v>0</v>
      </c>
      <c r="AJ279" s="1773">
        <f t="shared" si="100"/>
        <v>0</v>
      </c>
      <c r="AK279" s="1773">
        <f t="shared" si="101"/>
        <v>0</v>
      </c>
      <c r="AL279" s="1773">
        <f t="shared" si="102"/>
        <v>0</v>
      </c>
      <c r="AN279" s="1776"/>
      <c r="AO279" s="1776"/>
      <c r="AP279" s="1776"/>
      <c r="AQ279" s="1776"/>
      <c r="AR279" s="1776"/>
      <c r="AS279" s="1776"/>
      <c r="AT279" s="1776"/>
      <c r="AU279" s="1776"/>
      <c r="AV279" s="1776"/>
      <c r="AW279" s="1776"/>
      <c r="AX279" s="1776"/>
      <c r="AY279" s="1776"/>
      <c r="AZ279" s="1776">
        <v>1</v>
      </c>
    </row>
    <row r="280" spans="1:52" ht="13.5">
      <c r="A280" s="1479" t="s">
        <v>2643</v>
      </c>
      <c r="B280" s="1479" t="s">
        <v>2418</v>
      </c>
      <c r="C280" s="1741" t="s">
        <v>2108</v>
      </c>
      <c r="D280" s="1741">
        <v>1130</v>
      </c>
      <c r="E280" s="1741">
        <v>530</v>
      </c>
      <c r="F280" s="1741" t="s">
        <v>1945</v>
      </c>
      <c r="G280" s="1741" t="s">
        <v>2214</v>
      </c>
      <c r="H280" s="1741" t="s">
        <v>1658</v>
      </c>
      <c r="I280" s="1753" t="s">
        <v>2114</v>
      </c>
      <c r="J280" s="1754" t="s">
        <v>2137</v>
      </c>
      <c r="K280" s="1753" t="s">
        <v>2114</v>
      </c>
      <c r="L280" s="1754" t="s">
        <v>2137</v>
      </c>
      <c r="M280" s="1766"/>
      <c r="N280" s="1756">
        <v>175787.54</v>
      </c>
      <c r="O280" s="1757">
        <v>169027.17</v>
      </c>
      <c r="P280" s="1758">
        <v>140705.80000000002</v>
      </c>
      <c r="Q280" s="1759">
        <v>185000</v>
      </c>
      <c r="R280" s="1760">
        <v>185000</v>
      </c>
      <c r="S280" s="1760">
        <v>105144</v>
      </c>
      <c r="T280" s="1760">
        <v>105144</v>
      </c>
      <c r="U280" s="1761">
        <v>120000</v>
      </c>
      <c r="V280" s="1762">
        <v>186000</v>
      </c>
      <c r="W280" s="1757">
        <v>187000</v>
      </c>
      <c r="Z280" s="1773">
        <f t="shared" si="90"/>
        <v>0</v>
      </c>
      <c r="AA280" s="1773">
        <f t="shared" si="91"/>
        <v>0</v>
      </c>
      <c r="AB280" s="1773">
        <f t="shared" si="92"/>
        <v>0</v>
      </c>
      <c r="AC280" s="1773">
        <f t="shared" si="93"/>
        <v>0</v>
      </c>
      <c r="AD280" s="1773">
        <f t="shared" si="94"/>
        <v>0</v>
      </c>
      <c r="AE280" s="1773">
        <f t="shared" si="95"/>
        <v>0</v>
      </c>
      <c r="AF280" s="1773">
        <f t="shared" si="96"/>
        <v>0</v>
      </c>
      <c r="AG280" s="1773">
        <f t="shared" si="97"/>
        <v>0</v>
      </c>
      <c r="AH280" s="1773">
        <f t="shared" si="98"/>
        <v>0</v>
      </c>
      <c r="AI280" s="1773">
        <f t="shared" si="99"/>
        <v>0</v>
      </c>
      <c r="AJ280" s="1773">
        <f t="shared" si="100"/>
        <v>0</v>
      </c>
      <c r="AK280" s="1773">
        <f t="shared" si="101"/>
        <v>0</v>
      </c>
      <c r="AL280" s="1773">
        <f t="shared" si="102"/>
        <v>120000</v>
      </c>
      <c r="AN280" s="1776"/>
      <c r="AO280" s="1776"/>
      <c r="AP280" s="1776"/>
      <c r="AQ280" s="1776"/>
      <c r="AR280" s="1776"/>
      <c r="AS280" s="1776"/>
      <c r="AT280" s="1776"/>
      <c r="AU280" s="1776"/>
      <c r="AV280" s="1776"/>
      <c r="AW280" s="1776"/>
      <c r="AX280" s="1776"/>
      <c r="AY280" s="1776"/>
      <c r="AZ280" s="1776">
        <v>1</v>
      </c>
    </row>
    <row r="281" spans="1:52" ht="13.5">
      <c r="A281" s="1479" t="s">
        <v>2644</v>
      </c>
      <c r="B281" s="1479" t="s">
        <v>2422</v>
      </c>
      <c r="C281" s="1741" t="s">
        <v>2108</v>
      </c>
      <c r="D281" s="1741">
        <v>1130</v>
      </c>
      <c r="E281" s="1741">
        <v>550</v>
      </c>
      <c r="F281" s="1741" t="s">
        <v>1945</v>
      </c>
      <c r="G281" s="1741" t="s">
        <v>2214</v>
      </c>
      <c r="H281" s="1741" t="s">
        <v>1658</v>
      </c>
      <c r="I281" s="1753" t="s">
        <v>2114</v>
      </c>
      <c r="J281" s="1754" t="s">
        <v>3019</v>
      </c>
      <c r="K281" s="1753" t="s">
        <v>2114</v>
      </c>
      <c r="L281" s="1754" t="s">
        <v>3019</v>
      </c>
      <c r="M281" s="1763"/>
      <c r="N281" s="1756">
        <v>95083.01</v>
      </c>
      <c r="O281" s="1757">
        <v>855241.63</v>
      </c>
      <c r="P281" s="1758">
        <v>1230012.33</v>
      </c>
      <c r="Q281" s="1759">
        <v>1600000</v>
      </c>
      <c r="R281" s="1760">
        <v>1600000</v>
      </c>
      <c r="S281" s="1760">
        <v>528931</v>
      </c>
      <c r="T281" s="1760">
        <v>528931</v>
      </c>
      <c r="U281" s="1761">
        <v>1600000</v>
      </c>
      <c r="V281" s="1762">
        <v>1700000</v>
      </c>
      <c r="W281" s="1757">
        <v>1800000</v>
      </c>
      <c r="Z281" s="1773">
        <f t="shared" si="90"/>
        <v>0</v>
      </c>
      <c r="AA281" s="1773">
        <f t="shared" si="91"/>
        <v>0</v>
      </c>
      <c r="AB281" s="1773">
        <f t="shared" si="92"/>
        <v>0</v>
      </c>
      <c r="AC281" s="1773">
        <f t="shared" si="93"/>
        <v>0</v>
      </c>
      <c r="AD281" s="1773">
        <f t="shared" si="94"/>
        <v>0</v>
      </c>
      <c r="AE281" s="1773">
        <f t="shared" si="95"/>
        <v>0</v>
      </c>
      <c r="AF281" s="1773">
        <f t="shared" si="96"/>
        <v>0</v>
      </c>
      <c r="AG281" s="1773">
        <f t="shared" si="97"/>
        <v>0</v>
      </c>
      <c r="AH281" s="1773">
        <f t="shared" si="98"/>
        <v>0</v>
      </c>
      <c r="AI281" s="1773">
        <f t="shared" si="99"/>
        <v>0</v>
      </c>
      <c r="AJ281" s="1773">
        <f t="shared" si="100"/>
        <v>0</v>
      </c>
      <c r="AK281" s="1773">
        <f t="shared" si="101"/>
        <v>0</v>
      </c>
      <c r="AL281" s="1773">
        <f t="shared" si="102"/>
        <v>1600000</v>
      </c>
      <c r="AN281" s="1776"/>
      <c r="AO281" s="1776"/>
      <c r="AP281" s="1776"/>
      <c r="AQ281" s="1776"/>
      <c r="AR281" s="1776"/>
      <c r="AS281" s="1776"/>
      <c r="AT281" s="1776"/>
      <c r="AU281" s="1776"/>
      <c r="AV281" s="1776"/>
      <c r="AW281" s="1776"/>
      <c r="AX281" s="1776"/>
      <c r="AY281" s="1776"/>
      <c r="AZ281" s="1776">
        <v>1</v>
      </c>
    </row>
    <row r="282" spans="1:52">
      <c r="A282" s="1479" t="s">
        <v>2645</v>
      </c>
      <c r="B282" s="1479" t="s">
        <v>2283</v>
      </c>
      <c r="C282" s="1741" t="s">
        <v>2108</v>
      </c>
      <c r="D282" s="1741">
        <v>1130</v>
      </c>
      <c r="E282" s="1741">
        <v>570</v>
      </c>
      <c r="F282" s="1741" t="s">
        <v>1945</v>
      </c>
      <c r="G282" s="1741" t="s">
        <v>2214</v>
      </c>
      <c r="H282" s="1741" t="s">
        <v>1658</v>
      </c>
      <c r="I282" s="1753" t="s">
        <v>2114</v>
      </c>
      <c r="J282" s="1754" t="s">
        <v>3010</v>
      </c>
      <c r="K282" s="1753" t="s">
        <v>2114</v>
      </c>
      <c r="L282" s="1754" t="s">
        <v>3010</v>
      </c>
      <c r="M282" s="1754"/>
      <c r="N282" s="1756">
        <v>43561.17</v>
      </c>
      <c r="O282" s="1757">
        <v>28493.58</v>
      </c>
      <c r="P282" s="1758">
        <v>36354.29</v>
      </c>
      <c r="Q282" s="1759">
        <v>42000</v>
      </c>
      <c r="R282" s="1760">
        <v>42000</v>
      </c>
      <c r="S282" s="1760">
        <v>58519</v>
      </c>
      <c r="T282" s="1760">
        <v>58519</v>
      </c>
      <c r="U282" s="1761">
        <v>60000</v>
      </c>
      <c r="V282" s="1762">
        <v>43000</v>
      </c>
      <c r="W282" s="1757">
        <v>44000</v>
      </c>
      <c r="Z282" s="1773">
        <f t="shared" si="90"/>
        <v>0</v>
      </c>
      <c r="AA282" s="1773">
        <f t="shared" si="91"/>
        <v>0</v>
      </c>
      <c r="AB282" s="1773">
        <f t="shared" si="92"/>
        <v>0</v>
      </c>
      <c r="AC282" s="1773">
        <f t="shared" si="93"/>
        <v>0</v>
      </c>
      <c r="AD282" s="1773">
        <f t="shared" si="94"/>
        <v>0</v>
      </c>
      <c r="AE282" s="1773">
        <f t="shared" si="95"/>
        <v>0</v>
      </c>
      <c r="AF282" s="1773">
        <f t="shared" si="96"/>
        <v>0</v>
      </c>
      <c r="AG282" s="1773">
        <f t="shared" si="97"/>
        <v>0</v>
      </c>
      <c r="AH282" s="1773">
        <f t="shared" si="98"/>
        <v>0</v>
      </c>
      <c r="AI282" s="1773">
        <f t="shared" si="99"/>
        <v>0</v>
      </c>
      <c r="AJ282" s="1773">
        <f t="shared" si="100"/>
        <v>0</v>
      </c>
      <c r="AK282" s="1773">
        <f t="shared" si="101"/>
        <v>0</v>
      </c>
      <c r="AL282" s="1773">
        <f t="shared" si="102"/>
        <v>60000</v>
      </c>
      <c r="AN282" s="1776"/>
      <c r="AO282" s="1776"/>
      <c r="AP282" s="1776"/>
      <c r="AQ282" s="1776"/>
      <c r="AR282" s="1776"/>
      <c r="AS282" s="1776"/>
      <c r="AT282" s="1776"/>
      <c r="AU282" s="1776"/>
      <c r="AV282" s="1776"/>
      <c r="AW282" s="1776"/>
      <c r="AX282" s="1776"/>
      <c r="AY282" s="1776"/>
      <c r="AZ282" s="1776">
        <v>1</v>
      </c>
    </row>
    <row r="283" spans="1:52">
      <c r="A283" t="s">
        <v>2646</v>
      </c>
      <c r="B283" t="s">
        <v>2647</v>
      </c>
      <c r="C283" s="1741" t="s">
        <v>2108</v>
      </c>
      <c r="D283" s="1741">
        <v>1130</v>
      </c>
      <c r="E283" s="1741">
        <v>600</v>
      </c>
      <c r="F283" s="1741" t="s">
        <v>1945</v>
      </c>
      <c r="G283" s="1741" t="s">
        <v>2214</v>
      </c>
      <c r="H283" s="1741" t="s">
        <v>1658</v>
      </c>
      <c r="I283" s="1753" t="s">
        <v>2114</v>
      </c>
      <c r="J283" s="1754"/>
      <c r="K283" s="1753" t="s">
        <v>2114</v>
      </c>
      <c r="L283" s="1754" t="s">
        <v>502</v>
      </c>
      <c r="M283" s="1754"/>
      <c r="N283" s="1756"/>
      <c r="O283" s="1757"/>
      <c r="P283" s="1758"/>
      <c r="Q283" s="1759">
        <v>500</v>
      </c>
      <c r="R283" s="1760">
        <v>500</v>
      </c>
      <c r="S283" s="1760">
        <v>55</v>
      </c>
      <c r="T283" s="1760">
        <v>55</v>
      </c>
      <c r="U283" s="1761">
        <v>0</v>
      </c>
      <c r="V283" s="1762">
        <v>500</v>
      </c>
      <c r="W283" s="1757">
        <v>500</v>
      </c>
      <c r="Z283" s="1773">
        <f t="shared" si="90"/>
        <v>0</v>
      </c>
      <c r="AA283" s="1773">
        <f t="shared" si="91"/>
        <v>0</v>
      </c>
      <c r="AB283" s="1773">
        <f t="shared" si="92"/>
        <v>0</v>
      </c>
      <c r="AC283" s="1773">
        <f t="shared" si="93"/>
        <v>0</v>
      </c>
      <c r="AD283" s="1773">
        <f t="shared" si="94"/>
        <v>0</v>
      </c>
      <c r="AE283" s="1773">
        <f t="shared" si="95"/>
        <v>0</v>
      </c>
      <c r="AF283" s="1773">
        <f t="shared" si="96"/>
        <v>0</v>
      </c>
      <c r="AG283" s="1773">
        <f t="shared" si="97"/>
        <v>0</v>
      </c>
      <c r="AH283" s="1773">
        <f t="shared" si="98"/>
        <v>0</v>
      </c>
      <c r="AI283" s="1773">
        <f t="shared" si="99"/>
        <v>0</v>
      </c>
      <c r="AJ283" s="1773">
        <f t="shared" si="100"/>
        <v>0</v>
      </c>
      <c r="AK283" s="1773">
        <f t="shared" si="101"/>
        <v>0</v>
      </c>
      <c r="AL283" s="1773">
        <f t="shared" si="102"/>
        <v>0</v>
      </c>
      <c r="AN283" s="1776"/>
      <c r="AO283" s="1776"/>
      <c r="AP283" s="1776"/>
      <c r="AQ283" s="1776"/>
      <c r="AR283" s="1776"/>
      <c r="AS283" s="1776"/>
      <c r="AT283" s="1776"/>
      <c r="AU283" s="1776"/>
      <c r="AV283" s="1776"/>
      <c r="AW283" s="1776"/>
      <c r="AX283" s="1776"/>
      <c r="AY283" s="1776"/>
      <c r="AZ283" s="1776">
        <v>1</v>
      </c>
    </row>
    <row r="284" spans="1:52" ht="13.5">
      <c r="A284" s="1479" t="s">
        <v>2648</v>
      </c>
      <c r="B284" s="1479" t="s">
        <v>2649</v>
      </c>
      <c r="C284" s="1741" t="s">
        <v>2108</v>
      </c>
      <c r="D284" s="1741">
        <v>1130</v>
      </c>
      <c r="E284" s="1741">
        <v>620</v>
      </c>
      <c r="F284" s="1741" t="s">
        <v>1945</v>
      </c>
      <c r="G284" s="1741" t="s">
        <v>2214</v>
      </c>
      <c r="H284" s="1741" t="s">
        <v>1658</v>
      </c>
      <c r="I284" s="1753" t="s">
        <v>3003</v>
      </c>
      <c r="J284" s="1754" t="s">
        <v>2139</v>
      </c>
      <c r="K284" s="1753" t="s">
        <v>497</v>
      </c>
      <c r="L284" s="1754" t="s">
        <v>1159</v>
      </c>
      <c r="M284" s="1439"/>
      <c r="N284" s="1756">
        <v>33173.19</v>
      </c>
      <c r="O284" s="1757">
        <v>0</v>
      </c>
      <c r="P284" s="1758">
        <v>0</v>
      </c>
      <c r="Q284" s="1759">
        <v>10000</v>
      </c>
      <c r="R284" s="1760">
        <v>10000</v>
      </c>
      <c r="S284" s="1760">
        <v>1120</v>
      </c>
      <c r="T284" s="1760">
        <v>1120</v>
      </c>
      <c r="U284" s="1761">
        <v>10000</v>
      </c>
      <c r="V284" s="1762">
        <v>10000</v>
      </c>
      <c r="W284" s="1757">
        <v>10000</v>
      </c>
      <c r="Z284" s="1773">
        <f t="shared" si="90"/>
        <v>0</v>
      </c>
      <c r="AA284" s="1773">
        <f t="shared" si="91"/>
        <v>0</v>
      </c>
      <c r="AB284" s="1773">
        <f t="shared" si="92"/>
        <v>0</v>
      </c>
      <c r="AC284" s="1773">
        <f t="shared" si="93"/>
        <v>0</v>
      </c>
      <c r="AD284" s="1773">
        <f t="shared" si="94"/>
        <v>0</v>
      </c>
      <c r="AE284" s="1773">
        <f t="shared" si="95"/>
        <v>0</v>
      </c>
      <c r="AF284" s="1773">
        <f t="shared" si="96"/>
        <v>0</v>
      </c>
      <c r="AG284" s="1773">
        <f t="shared" si="97"/>
        <v>0</v>
      </c>
      <c r="AH284" s="1773">
        <f t="shared" si="98"/>
        <v>0</v>
      </c>
      <c r="AI284" s="1773">
        <f t="shared" si="99"/>
        <v>0</v>
      </c>
      <c r="AJ284" s="1773">
        <f t="shared" si="100"/>
        <v>0</v>
      </c>
      <c r="AK284" s="1773">
        <f t="shared" si="101"/>
        <v>0</v>
      </c>
      <c r="AL284" s="1773">
        <f t="shared" si="102"/>
        <v>10000</v>
      </c>
      <c r="AN284" s="1776"/>
      <c r="AO284" s="1776"/>
      <c r="AP284" s="1776"/>
      <c r="AQ284" s="1776"/>
      <c r="AR284" s="1776"/>
      <c r="AS284" s="1776"/>
      <c r="AT284" s="1776"/>
      <c r="AU284" s="1776"/>
      <c r="AV284" s="1776"/>
      <c r="AW284" s="1776"/>
      <c r="AX284" s="1776"/>
      <c r="AY284" s="1776"/>
      <c r="AZ284" s="1776">
        <v>1</v>
      </c>
    </row>
    <row r="285" spans="1:52">
      <c r="A285" s="1479" t="s">
        <v>2650</v>
      </c>
      <c r="B285" s="1479" t="s">
        <v>2245</v>
      </c>
      <c r="C285" s="1741" t="s">
        <v>2108</v>
      </c>
      <c r="D285" s="1741">
        <v>1130</v>
      </c>
      <c r="E285" s="1741">
        <v>650</v>
      </c>
      <c r="F285" s="1741" t="s">
        <v>1945</v>
      </c>
      <c r="G285" s="1741" t="s">
        <v>2214</v>
      </c>
      <c r="H285" s="1741" t="s">
        <v>1658</v>
      </c>
      <c r="I285" s="1753" t="s">
        <v>2114</v>
      </c>
      <c r="J285" s="1754" t="s">
        <v>3006</v>
      </c>
      <c r="K285" s="1753" t="s">
        <v>2114</v>
      </c>
      <c r="L285" s="1754" t="s">
        <v>3006</v>
      </c>
      <c r="M285" s="1754"/>
      <c r="N285" s="1756">
        <v>33485.599999999999</v>
      </c>
      <c r="O285" s="1757">
        <v>0</v>
      </c>
      <c r="P285" s="1758">
        <v>4449.84</v>
      </c>
      <c r="Q285" s="1759">
        <v>7000</v>
      </c>
      <c r="R285" s="1760">
        <v>7000</v>
      </c>
      <c r="S285" s="1760">
        <v>784</v>
      </c>
      <c r="T285" s="1760">
        <v>784</v>
      </c>
      <c r="U285" s="1761">
        <v>120000</v>
      </c>
      <c r="V285" s="1762">
        <v>70000</v>
      </c>
      <c r="W285" s="1757">
        <v>80000</v>
      </c>
      <c r="Z285" s="1773">
        <f t="shared" si="90"/>
        <v>0</v>
      </c>
      <c r="AA285" s="1773">
        <f t="shared" si="91"/>
        <v>0</v>
      </c>
      <c r="AB285" s="1773">
        <f t="shared" si="92"/>
        <v>0</v>
      </c>
      <c r="AC285" s="1773">
        <f t="shared" si="93"/>
        <v>0</v>
      </c>
      <c r="AD285" s="1773">
        <f t="shared" si="94"/>
        <v>0</v>
      </c>
      <c r="AE285" s="1773">
        <f t="shared" si="95"/>
        <v>0</v>
      </c>
      <c r="AF285" s="1773">
        <f t="shared" si="96"/>
        <v>0</v>
      </c>
      <c r="AG285" s="1773">
        <f t="shared" si="97"/>
        <v>0</v>
      </c>
      <c r="AH285" s="1773">
        <f t="shared" si="98"/>
        <v>0</v>
      </c>
      <c r="AI285" s="1773">
        <f t="shared" si="99"/>
        <v>0</v>
      </c>
      <c r="AJ285" s="1773">
        <f t="shared" si="100"/>
        <v>0</v>
      </c>
      <c r="AK285" s="1773">
        <f t="shared" si="101"/>
        <v>0</v>
      </c>
      <c r="AL285" s="1773">
        <f t="shared" si="102"/>
        <v>120000</v>
      </c>
      <c r="AN285" s="1776"/>
      <c r="AO285" s="1776"/>
      <c r="AP285" s="1776"/>
      <c r="AQ285" s="1776"/>
      <c r="AR285" s="1776"/>
      <c r="AS285" s="1776"/>
      <c r="AT285" s="1776"/>
      <c r="AU285" s="1776"/>
      <c r="AV285" s="1776"/>
      <c r="AW285" s="1776"/>
      <c r="AX285" s="1776"/>
      <c r="AY285" s="1776"/>
      <c r="AZ285" s="1776">
        <v>1</v>
      </c>
    </row>
    <row r="286" spans="1:52">
      <c r="A286" s="1775" t="s">
        <v>2651</v>
      </c>
      <c r="B286" s="1479" t="s">
        <v>2288</v>
      </c>
      <c r="C286" s="1741" t="s">
        <v>2108</v>
      </c>
      <c r="D286" s="1741">
        <v>1130</v>
      </c>
      <c r="E286" s="1741">
        <v>690</v>
      </c>
      <c r="F286" s="1741" t="s">
        <v>1945</v>
      </c>
      <c r="G286" s="1741" t="s">
        <v>2214</v>
      </c>
      <c r="H286" s="1741" t="s">
        <v>1658</v>
      </c>
      <c r="I286" s="1753" t="s">
        <v>2114</v>
      </c>
      <c r="J286" s="1754" t="s">
        <v>2124</v>
      </c>
      <c r="K286" s="1753" t="s">
        <v>2114</v>
      </c>
      <c r="L286" s="1754" t="s">
        <v>2124</v>
      </c>
      <c r="M286" s="1754"/>
      <c r="N286" s="1756">
        <v>0</v>
      </c>
      <c r="O286" s="1757">
        <v>0</v>
      </c>
      <c r="P286" s="1758">
        <v>0</v>
      </c>
      <c r="Q286" s="1759">
        <v>0</v>
      </c>
      <c r="R286" s="1760">
        <v>0</v>
      </c>
      <c r="S286" s="1760">
        <v>0</v>
      </c>
      <c r="T286" s="1760">
        <v>0</v>
      </c>
      <c r="U286" s="1761">
        <v>0</v>
      </c>
      <c r="V286" s="1762">
        <v>0</v>
      </c>
      <c r="W286" s="1757">
        <v>0</v>
      </c>
      <c r="Z286" s="1773">
        <f t="shared" si="90"/>
        <v>0</v>
      </c>
      <c r="AA286" s="1773">
        <f t="shared" si="91"/>
        <v>0</v>
      </c>
      <c r="AB286" s="1773">
        <f t="shared" si="92"/>
        <v>0</v>
      </c>
      <c r="AC286" s="1773">
        <f t="shared" si="93"/>
        <v>0</v>
      </c>
      <c r="AD286" s="1773">
        <f t="shared" si="94"/>
        <v>0</v>
      </c>
      <c r="AE286" s="1773">
        <f t="shared" si="95"/>
        <v>0</v>
      </c>
      <c r="AF286" s="1773">
        <f t="shared" si="96"/>
        <v>0</v>
      </c>
      <c r="AG286" s="1773">
        <f t="shared" si="97"/>
        <v>0</v>
      </c>
      <c r="AH286" s="1773">
        <f t="shared" si="98"/>
        <v>0</v>
      </c>
      <c r="AI286" s="1773">
        <f t="shared" si="99"/>
        <v>0</v>
      </c>
      <c r="AJ286" s="1773">
        <f t="shared" si="100"/>
        <v>0</v>
      </c>
      <c r="AK286" s="1773">
        <f t="shared" si="101"/>
        <v>0</v>
      </c>
      <c r="AL286" s="1773">
        <f t="shared" si="102"/>
        <v>0</v>
      </c>
      <c r="AN286" s="1776"/>
      <c r="AO286" s="1776"/>
      <c r="AP286" s="1776"/>
      <c r="AQ286" s="1776"/>
      <c r="AR286" s="1776"/>
      <c r="AS286" s="1776"/>
      <c r="AT286" s="1776"/>
      <c r="AU286" s="1776"/>
      <c r="AV286" s="1776"/>
      <c r="AW286" s="1776"/>
      <c r="AX286" s="1776"/>
      <c r="AY286" s="1776"/>
      <c r="AZ286" s="1776">
        <v>1</v>
      </c>
    </row>
    <row r="287" spans="1:52">
      <c r="A287" s="1775" t="s">
        <v>2652</v>
      </c>
      <c r="B287" s="1479" t="s">
        <v>2290</v>
      </c>
      <c r="C287" s="1741" t="s">
        <v>2108</v>
      </c>
      <c r="D287" s="1741">
        <v>1130</v>
      </c>
      <c r="E287" s="1741">
        <v>700</v>
      </c>
      <c r="F287" s="1741" t="s">
        <v>1945</v>
      </c>
      <c r="G287" s="1741" t="s">
        <v>2214</v>
      </c>
      <c r="H287" s="1741" t="s">
        <v>1658</v>
      </c>
      <c r="I287" s="1753" t="s">
        <v>2114</v>
      </c>
      <c r="J287" s="1754" t="s">
        <v>3011</v>
      </c>
      <c r="K287" s="1753" t="s">
        <v>2114</v>
      </c>
      <c r="L287" s="1754" t="s">
        <v>3011</v>
      </c>
      <c r="M287" s="1754"/>
      <c r="N287" s="1756">
        <v>0</v>
      </c>
      <c r="O287" s="1757">
        <v>0</v>
      </c>
      <c r="P287" s="1758">
        <v>0</v>
      </c>
      <c r="Q287" s="1759">
        <v>0</v>
      </c>
      <c r="R287" s="1760">
        <v>0</v>
      </c>
      <c r="S287" s="1760">
        <v>0</v>
      </c>
      <c r="T287" s="1760">
        <v>0</v>
      </c>
      <c r="U287" s="1761">
        <v>0</v>
      </c>
      <c r="V287" s="1762">
        <v>0</v>
      </c>
      <c r="W287" s="1757">
        <v>0</v>
      </c>
      <c r="Z287" s="1773">
        <f t="shared" si="90"/>
        <v>0</v>
      </c>
      <c r="AA287" s="1773">
        <f t="shared" si="91"/>
        <v>0</v>
      </c>
      <c r="AB287" s="1773">
        <f t="shared" si="92"/>
        <v>0</v>
      </c>
      <c r="AC287" s="1773">
        <f t="shared" si="93"/>
        <v>0</v>
      </c>
      <c r="AD287" s="1773">
        <f t="shared" si="94"/>
        <v>0</v>
      </c>
      <c r="AE287" s="1773">
        <f t="shared" si="95"/>
        <v>0</v>
      </c>
      <c r="AF287" s="1773">
        <f t="shared" si="96"/>
        <v>0</v>
      </c>
      <c r="AG287" s="1773">
        <f t="shared" si="97"/>
        <v>0</v>
      </c>
      <c r="AH287" s="1773">
        <f t="shared" si="98"/>
        <v>0</v>
      </c>
      <c r="AI287" s="1773">
        <f t="shared" si="99"/>
        <v>0</v>
      </c>
      <c r="AJ287" s="1773">
        <f t="shared" si="100"/>
        <v>0</v>
      </c>
      <c r="AK287" s="1773">
        <f t="shared" si="101"/>
        <v>0</v>
      </c>
      <c r="AL287" s="1773">
        <f t="shared" si="102"/>
        <v>0</v>
      </c>
      <c r="AN287" s="1776"/>
      <c r="AO287" s="1776"/>
      <c r="AP287" s="1776"/>
      <c r="AQ287" s="1776"/>
      <c r="AR287" s="1776"/>
      <c r="AS287" s="1776"/>
      <c r="AT287" s="1776"/>
      <c r="AU287" s="1776"/>
      <c r="AV287" s="1776"/>
      <c r="AW287" s="1776"/>
      <c r="AX287" s="1776"/>
      <c r="AY287" s="1776"/>
      <c r="AZ287" s="1776">
        <v>1</v>
      </c>
    </row>
    <row r="288" spans="1:52">
      <c r="A288" s="1775" t="s">
        <v>2653</v>
      </c>
      <c r="B288" s="1479" t="s">
        <v>2292</v>
      </c>
      <c r="C288" s="1741" t="s">
        <v>2108</v>
      </c>
      <c r="D288" s="1741">
        <v>1130</v>
      </c>
      <c r="E288" s="1741">
        <v>710</v>
      </c>
      <c r="F288" s="1741" t="s">
        <v>1945</v>
      </c>
      <c r="G288" s="1741" t="s">
        <v>2214</v>
      </c>
      <c r="H288" s="1741" t="s">
        <v>1658</v>
      </c>
      <c r="I288" s="1753" t="s">
        <v>2114</v>
      </c>
      <c r="J288" s="1754"/>
      <c r="K288" s="1753" t="s">
        <v>2114</v>
      </c>
      <c r="L288" s="1754" t="s">
        <v>502</v>
      </c>
      <c r="M288" s="1754"/>
      <c r="N288" s="1756">
        <v>0</v>
      </c>
      <c r="O288" s="1757">
        <v>0</v>
      </c>
      <c r="P288" s="1758">
        <v>0</v>
      </c>
      <c r="Q288" s="1759">
        <v>0</v>
      </c>
      <c r="R288" s="1760">
        <v>0</v>
      </c>
      <c r="S288" s="1760">
        <v>0</v>
      </c>
      <c r="T288" s="1760">
        <v>0</v>
      </c>
      <c r="U288" s="1761">
        <v>0</v>
      </c>
      <c r="V288" s="1762">
        <v>0</v>
      </c>
      <c r="W288" s="1757">
        <v>0</v>
      </c>
      <c r="Z288" s="1773">
        <f t="shared" si="90"/>
        <v>0</v>
      </c>
      <c r="AA288" s="1773">
        <f t="shared" si="91"/>
        <v>0</v>
      </c>
      <c r="AB288" s="1773">
        <f t="shared" si="92"/>
        <v>0</v>
      </c>
      <c r="AC288" s="1773">
        <f t="shared" si="93"/>
        <v>0</v>
      </c>
      <c r="AD288" s="1773">
        <f t="shared" si="94"/>
        <v>0</v>
      </c>
      <c r="AE288" s="1773">
        <f t="shared" si="95"/>
        <v>0</v>
      </c>
      <c r="AF288" s="1773">
        <f t="shared" si="96"/>
        <v>0</v>
      </c>
      <c r="AG288" s="1773">
        <f t="shared" si="97"/>
        <v>0</v>
      </c>
      <c r="AH288" s="1773">
        <f t="shared" si="98"/>
        <v>0</v>
      </c>
      <c r="AI288" s="1773">
        <f t="shared" si="99"/>
        <v>0</v>
      </c>
      <c r="AJ288" s="1773">
        <f t="shared" si="100"/>
        <v>0</v>
      </c>
      <c r="AK288" s="1773">
        <f t="shared" si="101"/>
        <v>0</v>
      </c>
      <c r="AL288" s="1773">
        <f t="shared" si="102"/>
        <v>0</v>
      </c>
      <c r="AN288" s="1776"/>
      <c r="AO288" s="1776"/>
      <c r="AP288" s="1776"/>
      <c r="AQ288" s="1776"/>
      <c r="AR288" s="1776"/>
      <c r="AS288" s="1776"/>
      <c r="AT288" s="1776"/>
      <c r="AU288" s="1776"/>
      <c r="AV288" s="1776"/>
      <c r="AW288" s="1776"/>
      <c r="AX288" s="1776"/>
      <c r="AY288" s="1776"/>
      <c r="AZ288" s="1776">
        <v>1</v>
      </c>
    </row>
    <row r="289" spans="1:52">
      <c r="A289" s="1775" t="s">
        <v>2654</v>
      </c>
      <c r="B289" s="1479" t="s">
        <v>2502</v>
      </c>
      <c r="C289" s="1741" t="s">
        <v>2108</v>
      </c>
      <c r="D289" s="1741">
        <v>1130</v>
      </c>
      <c r="E289" s="1741">
        <v>780</v>
      </c>
      <c r="F289" s="1741" t="s">
        <v>1945</v>
      </c>
      <c r="G289" s="1741" t="s">
        <v>2214</v>
      </c>
      <c r="H289" s="1741" t="s">
        <v>1658</v>
      </c>
      <c r="I289" s="1753" t="s">
        <v>2114</v>
      </c>
      <c r="J289" s="1754"/>
      <c r="K289" s="1753" t="s">
        <v>2114</v>
      </c>
      <c r="L289" s="1778" t="s">
        <v>502</v>
      </c>
      <c r="M289" s="1754"/>
      <c r="N289" s="1756">
        <v>0</v>
      </c>
      <c r="O289" s="1757">
        <v>0</v>
      </c>
      <c r="P289" s="1758">
        <v>0</v>
      </c>
      <c r="Q289" s="1759">
        <v>0</v>
      </c>
      <c r="R289" s="1760">
        <v>0</v>
      </c>
      <c r="S289" s="1760">
        <v>0</v>
      </c>
      <c r="T289" s="1760">
        <v>0</v>
      </c>
      <c r="U289" s="1761">
        <v>0</v>
      </c>
      <c r="V289" s="1762">
        <v>0</v>
      </c>
      <c r="W289" s="1757">
        <v>0</v>
      </c>
      <c r="Z289" s="1773">
        <f t="shared" si="90"/>
        <v>0</v>
      </c>
      <c r="AA289" s="1773">
        <f t="shared" si="91"/>
        <v>0</v>
      </c>
      <c r="AB289" s="1773">
        <f t="shared" si="92"/>
        <v>0</v>
      </c>
      <c r="AC289" s="1773">
        <f t="shared" si="93"/>
        <v>0</v>
      </c>
      <c r="AD289" s="1773">
        <f t="shared" si="94"/>
        <v>0</v>
      </c>
      <c r="AE289" s="1773">
        <f t="shared" si="95"/>
        <v>0</v>
      </c>
      <c r="AF289" s="1773">
        <f t="shared" si="96"/>
        <v>0</v>
      </c>
      <c r="AG289" s="1773">
        <f t="shared" si="97"/>
        <v>0</v>
      </c>
      <c r="AH289" s="1773">
        <f t="shared" si="98"/>
        <v>0</v>
      </c>
      <c r="AI289" s="1773">
        <f t="shared" si="99"/>
        <v>0</v>
      </c>
      <c r="AJ289" s="1773">
        <f t="shared" si="100"/>
        <v>0</v>
      </c>
      <c r="AK289" s="1773">
        <f t="shared" si="101"/>
        <v>0</v>
      </c>
      <c r="AL289" s="1773">
        <f t="shared" si="102"/>
        <v>0</v>
      </c>
      <c r="AN289" s="1776"/>
      <c r="AO289" s="1776"/>
      <c r="AP289" s="1776"/>
      <c r="AQ289" s="1776"/>
      <c r="AR289" s="1776"/>
      <c r="AS289" s="1776"/>
      <c r="AT289" s="1776"/>
      <c r="AU289" s="1776"/>
      <c r="AV289" s="1776"/>
      <c r="AW289" s="1776"/>
      <c r="AX289" s="1776"/>
      <c r="AY289" s="1776"/>
      <c r="AZ289" s="1776">
        <v>1</v>
      </c>
    </row>
    <row r="290" spans="1:52">
      <c r="A290" s="1479" t="s">
        <v>2655</v>
      </c>
      <c r="B290" s="1479" t="s">
        <v>2247</v>
      </c>
      <c r="C290" s="1741" t="s">
        <v>2108</v>
      </c>
      <c r="D290" s="1741">
        <v>1130</v>
      </c>
      <c r="E290" s="1741">
        <v>790</v>
      </c>
      <c r="F290" s="1741" t="s">
        <v>1945</v>
      </c>
      <c r="G290" s="1741" t="s">
        <v>2214</v>
      </c>
      <c r="H290" s="1741" t="s">
        <v>1658</v>
      </c>
      <c r="I290" s="1753" t="s">
        <v>2114</v>
      </c>
      <c r="J290" s="1754" t="s">
        <v>3007</v>
      </c>
      <c r="K290" s="1753" t="s">
        <v>2114</v>
      </c>
      <c r="L290" s="1754" t="s">
        <v>3007</v>
      </c>
      <c r="M290" s="1754"/>
      <c r="N290" s="1756">
        <v>28242.14</v>
      </c>
      <c r="O290" s="1757">
        <v>25385.47</v>
      </c>
      <c r="P290" s="1758">
        <v>76820.62</v>
      </c>
      <c r="Q290" s="1759">
        <v>50000</v>
      </c>
      <c r="R290" s="1760">
        <v>50000</v>
      </c>
      <c r="S290" s="1760">
        <v>41777</v>
      </c>
      <c r="T290" s="1760">
        <v>41777</v>
      </c>
      <c r="U290" s="1761">
        <v>100000</v>
      </c>
      <c r="V290" s="1762">
        <v>120000</v>
      </c>
      <c r="W290" s="1757">
        <v>150000</v>
      </c>
      <c r="Z290" s="1773">
        <f t="shared" si="90"/>
        <v>0</v>
      </c>
      <c r="AA290" s="1773">
        <f t="shared" si="91"/>
        <v>0</v>
      </c>
      <c r="AB290" s="1773">
        <f t="shared" si="92"/>
        <v>0</v>
      </c>
      <c r="AC290" s="1773">
        <f t="shared" si="93"/>
        <v>0</v>
      </c>
      <c r="AD290" s="1773">
        <f t="shared" si="94"/>
        <v>0</v>
      </c>
      <c r="AE290" s="1773">
        <f t="shared" si="95"/>
        <v>0</v>
      </c>
      <c r="AF290" s="1773">
        <f t="shared" si="96"/>
        <v>0</v>
      </c>
      <c r="AG290" s="1773">
        <f t="shared" si="97"/>
        <v>0</v>
      </c>
      <c r="AH290" s="1773">
        <f t="shared" si="98"/>
        <v>0</v>
      </c>
      <c r="AI290" s="1773">
        <f t="shared" si="99"/>
        <v>0</v>
      </c>
      <c r="AJ290" s="1773">
        <f t="shared" si="100"/>
        <v>0</v>
      </c>
      <c r="AK290" s="1773">
        <f t="shared" si="101"/>
        <v>0</v>
      </c>
      <c r="AL290" s="1773">
        <f t="shared" si="102"/>
        <v>100000</v>
      </c>
      <c r="AN290" s="1776"/>
      <c r="AO290" s="1776"/>
      <c r="AP290" s="1776"/>
      <c r="AQ290" s="1776"/>
      <c r="AR290" s="1776"/>
      <c r="AS290" s="1776"/>
      <c r="AT290" s="1776"/>
      <c r="AU290" s="1776"/>
      <c r="AV290" s="1776"/>
      <c r="AW290" s="1776"/>
      <c r="AX290" s="1776"/>
      <c r="AY290" s="1776"/>
      <c r="AZ290" s="1776">
        <v>1</v>
      </c>
    </row>
    <row r="291" spans="1:52">
      <c r="A291" s="1479" t="s">
        <v>2656</v>
      </c>
      <c r="B291" s="1479" t="s">
        <v>2434</v>
      </c>
      <c r="C291" s="1741" t="s">
        <v>2108</v>
      </c>
      <c r="D291" s="1741">
        <v>1130</v>
      </c>
      <c r="E291" s="1741">
        <v>990</v>
      </c>
      <c r="F291" s="1741" t="s">
        <v>1945</v>
      </c>
      <c r="G291" s="1741" t="s">
        <v>2214</v>
      </c>
      <c r="H291" s="1741" t="s">
        <v>1658</v>
      </c>
      <c r="I291" s="1753" t="s">
        <v>2114</v>
      </c>
      <c r="J291" s="1754"/>
      <c r="K291" s="1753" t="s">
        <v>2114</v>
      </c>
      <c r="L291" s="1754" t="s">
        <v>502</v>
      </c>
      <c r="M291" s="1754"/>
      <c r="N291" s="1756">
        <v>164772.81</v>
      </c>
      <c r="O291" s="1757">
        <v>0</v>
      </c>
      <c r="P291" s="1758">
        <v>93436.2</v>
      </c>
      <c r="Q291" s="1759">
        <v>100000</v>
      </c>
      <c r="R291" s="1760">
        <v>162000</v>
      </c>
      <c r="S291" s="1760">
        <v>224583</v>
      </c>
      <c r="T291" s="1760">
        <v>224583</v>
      </c>
      <c r="U291" s="1761">
        <v>180000</v>
      </c>
      <c r="V291" s="1762">
        <v>210000</v>
      </c>
      <c r="W291" s="1757">
        <v>250000</v>
      </c>
      <c r="Z291" s="1773">
        <f t="shared" si="90"/>
        <v>0</v>
      </c>
      <c r="AA291" s="1773">
        <f t="shared" si="91"/>
        <v>0</v>
      </c>
      <c r="AB291" s="1773">
        <f t="shared" si="92"/>
        <v>0</v>
      </c>
      <c r="AC291" s="1773">
        <f t="shared" si="93"/>
        <v>0</v>
      </c>
      <c r="AD291" s="1773">
        <f t="shared" si="94"/>
        <v>0</v>
      </c>
      <c r="AE291" s="1773">
        <f t="shared" si="95"/>
        <v>0</v>
      </c>
      <c r="AF291" s="1773">
        <f t="shared" si="96"/>
        <v>0</v>
      </c>
      <c r="AG291" s="1773">
        <f t="shared" si="97"/>
        <v>0</v>
      </c>
      <c r="AH291" s="1773">
        <f t="shared" si="98"/>
        <v>0</v>
      </c>
      <c r="AI291" s="1773">
        <f t="shared" si="99"/>
        <v>0</v>
      </c>
      <c r="AJ291" s="1773">
        <f t="shared" si="100"/>
        <v>0</v>
      </c>
      <c r="AK291" s="1773">
        <f t="shared" si="101"/>
        <v>0</v>
      </c>
      <c r="AL291" s="1773">
        <f t="shared" si="102"/>
        <v>180000</v>
      </c>
      <c r="AN291" s="1776"/>
      <c r="AO291" s="1776"/>
      <c r="AP291" s="1776"/>
      <c r="AQ291" s="1776"/>
      <c r="AR291" s="1776"/>
      <c r="AS291" s="1776"/>
      <c r="AT291" s="1776"/>
      <c r="AU291" s="1776"/>
      <c r="AV291" s="1776"/>
      <c r="AW291" s="1776"/>
      <c r="AX291" s="1776"/>
      <c r="AY291" s="1776"/>
      <c r="AZ291" s="1776">
        <v>1</v>
      </c>
    </row>
    <row r="292" spans="1:52">
      <c r="A292" s="1479" t="s">
        <v>2657</v>
      </c>
      <c r="B292" s="1479" t="s">
        <v>2546</v>
      </c>
      <c r="C292" s="1741" t="s">
        <v>2108</v>
      </c>
      <c r="D292" s="1741">
        <v>1130</v>
      </c>
      <c r="E292" s="1741">
        <v>1000</v>
      </c>
      <c r="F292" s="1741" t="s">
        <v>1945</v>
      </c>
      <c r="G292" s="1741" t="s">
        <v>2214</v>
      </c>
      <c r="H292" s="1741" t="s">
        <v>1658</v>
      </c>
      <c r="I292" s="1753" t="s">
        <v>2114</v>
      </c>
      <c r="J292" s="1754" t="s">
        <v>2546</v>
      </c>
      <c r="K292" s="1753" t="s">
        <v>2114</v>
      </c>
      <c r="L292" s="1754" t="s">
        <v>3015</v>
      </c>
      <c r="M292" s="1754"/>
      <c r="N292" s="1756">
        <v>0</v>
      </c>
      <c r="O292" s="1757">
        <v>418958.46</v>
      </c>
      <c r="P292" s="1758">
        <v>125672.74133939983</v>
      </c>
      <c r="Q292" s="1759">
        <v>0</v>
      </c>
      <c r="R292" s="1760">
        <v>0</v>
      </c>
      <c r="S292" s="1760">
        <v>0</v>
      </c>
      <c r="T292" s="1760">
        <v>0</v>
      </c>
      <c r="U292" s="1761">
        <v>0</v>
      </c>
      <c r="V292" s="1762">
        <v>0</v>
      </c>
      <c r="W292" s="1757">
        <v>0</v>
      </c>
      <c r="Z292" s="1773">
        <f t="shared" si="90"/>
        <v>0</v>
      </c>
      <c r="AA292" s="1773">
        <f t="shared" si="91"/>
        <v>0</v>
      </c>
      <c r="AB292" s="1773">
        <f t="shared" si="92"/>
        <v>0</v>
      </c>
      <c r="AC292" s="1773">
        <f t="shared" si="93"/>
        <v>0</v>
      </c>
      <c r="AD292" s="1773">
        <f t="shared" si="94"/>
        <v>0</v>
      </c>
      <c r="AE292" s="1773">
        <f t="shared" si="95"/>
        <v>0</v>
      </c>
      <c r="AF292" s="1773">
        <f t="shared" si="96"/>
        <v>0</v>
      </c>
      <c r="AG292" s="1773">
        <f t="shared" si="97"/>
        <v>0</v>
      </c>
      <c r="AH292" s="1773">
        <f t="shared" si="98"/>
        <v>0</v>
      </c>
      <c r="AI292" s="1773">
        <f t="shared" si="99"/>
        <v>0</v>
      </c>
      <c r="AJ292" s="1773">
        <f t="shared" si="100"/>
        <v>0</v>
      </c>
      <c r="AK292" s="1773">
        <f t="shared" si="101"/>
        <v>0</v>
      </c>
      <c r="AL292" s="1773">
        <f t="shared" si="102"/>
        <v>0</v>
      </c>
      <c r="AN292" s="1776"/>
      <c r="AO292" s="1776"/>
      <c r="AP292" s="1776"/>
      <c r="AQ292" s="1776"/>
      <c r="AR292" s="1776"/>
      <c r="AS292" s="1776"/>
      <c r="AT292" s="1776"/>
      <c r="AU292" s="1776"/>
      <c r="AV292" s="1776"/>
      <c r="AW292" s="1776"/>
      <c r="AX292" s="1776"/>
      <c r="AY292" s="1776"/>
      <c r="AZ292" s="1776">
        <v>1</v>
      </c>
    </row>
    <row r="293" spans="1:52">
      <c r="A293" s="1479" t="s">
        <v>2658</v>
      </c>
      <c r="B293" s="1479" t="s">
        <v>2659</v>
      </c>
      <c r="C293" s="1741" t="s">
        <v>2108</v>
      </c>
      <c r="D293" s="1741">
        <v>1130</v>
      </c>
      <c r="E293" s="1741">
        <v>1160</v>
      </c>
      <c r="F293" s="1741" t="s">
        <v>1945</v>
      </c>
      <c r="G293" s="1741" t="s">
        <v>2214</v>
      </c>
      <c r="H293" s="1741" t="s">
        <v>1658</v>
      </c>
      <c r="I293" s="1753" t="s">
        <v>3003</v>
      </c>
      <c r="J293" s="1754" t="s">
        <v>2109</v>
      </c>
      <c r="K293" s="1753" t="s">
        <v>497</v>
      </c>
      <c r="L293" s="1754" t="s">
        <v>1158</v>
      </c>
      <c r="M293" s="1754"/>
      <c r="N293" s="1756">
        <v>110059.25</v>
      </c>
      <c r="O293" s="1757">
        <v>30690</v>
      </c>
      <c r="P293" s="1758">
        <v>57400</v>
      </c>
      <c r="Q293" s="1759">
        <v>359520</v>
      </c>
      <c r="R293" s="1760">
        <v>0</v>
      </c>
      <c r="S293" s="1760">
        <v>0</v>
      </c>
      <c r="T293" s="1760">
        <v>0</v>
      </c>
      <c r="U293" s="1761">
        <v>0</v>
      </c>
      <c r="V293" s="1762">
        <v>0</v>
      </c>
      <c r="W293" s="1757">
        <v>0</v>
      </c>
      <c r="Z293" s="1773">
        <f t="shared" si="90"/>
        <v>0</v>
      </c>
      <c r="AA293" s="1773">
        <f t="shared" si="91"/>
        <v>0</v>
      </c>
      <c r="AB293" s="1773">
        <f t="shared" si="92"/>
        <v>0</v>
      </c>
      <c r="AC293" s="1773">
        <f t="shared" si="93"/>
        <v>0</v>
      </c>
      <c r="AD293" s="1773">
        <f t="shared" si="94"/>
        <v>0</v>
      </c>
      <c r="AE293" s="1773">
        <f t="shared" si="95"/>
        <v>0</v>
      </c>
      <c r="AF293" s="1773">
        <f t="shared" si="96"/>
        <v>0</v>
      </c>
      <c r="AG293" s="1773">
        <f t="shared" si="97"/>
        <v>0</v>
      </c>
      <c r="AH293" s="1773">
        <f t="shared" si="98"/>
        <v>0</v>
      </c>
      <c r="AI293" s="1773">
        <f t="shared" si="99"/>
        <v>0</v>
      </c>
      <c r="AJ293" s="1773">
        <f t="shared" si="100"/>
        <v>0</v>
      </c>
      <c r="AK293" s="1773">
        <f t="shared" si="101"/>
        <v>0</v>
      </c>
      <c r="AL293" s="1773">
        <f t="shared" si="102"/>
        <v>0</v>
      </c>
      <c r="AN293" s="1776"/>
      <c r="AO293" s="1776"/>
      <c r="AP293" s="1776"/>
      <c r="AQ293" s="1776"/>
      <c r="AR293" s="1776"/>
      <c r="AS293" s="1776"/>
      <c r="AT293" s="1776"/>
      <c r="AU293" s="1776"/>
      <c r="AV293" s="1776"/>
      <c r="AW293" s="1776"/>
      <c r="AX293" s="1776"/>
      <c r="AY293" s="1776"/>
      <c r="AZ293" s="1776">
        <v>1</v>
      </c>
    </row>
    <row r="294" spans="1:52">
      <c r="A294" s="1479" t="s">
        <v>2660</v>
      </c>
      <c r="B294" s="1479" t="s">
        <v>2661</v>
      </c>
      <c r="C294" s="1741" t="s">
        <v>2108</v>
      </c>
      <c r="D294" s="1741">
        <v>1130</v>
      </c>
      <c r="E294" s="1741">
        <v>1190</v>
      </c>
      <c r="F294" s="1741" t="s">
        <v>1945</v>
      </c>
      <c r="G294" s="1741" t="s">
        <v>2214</v>
      </c>
      <c r="H294" s="1741" t="s">
        <v>1658</v>
      </c>
      <c r="I294" s="1753" t="s">
        <v>2069</v>
      </c>
      <c r="J294" s="1754"/>
      <c r="K294" s="1753" t="s">
        <v>2114</v>
      </c>
      <c r="L294" s="1754" t="s">
        <v>732</v>
      </c>
      <c r="M294" s="1754"/>
      <c r="N294" s="1756">
        <v>1027805.55</v>
      </c>
      <c r="O294" s="1757">
        <v>1180405.6499999999</v>
      </c>
      <c r="P294" s="1758">
        <v>500679.52</v>
      </c>
      <c r="Q294" s="1759">
        <v>1000000</v>
      </c>
      <c r="R294" s="1760">
        <v>1000000</v>
      </c>
      <c r="S294" s="1760">
        <v>725106</v>
      </c>
      <c r="T294" s="1760">
        <v>725106</v>
      </c>
      <c r="U294" s="1761">
        <v>1450000</v>
      </c>
      <c r="V294" s="1762">
        <v>1500000</v>
      </c>
      <c r="W294" s="1757">
        <v>1750000</v>
      </c>
      <c r="Z294" s="1773">
        <f t="shared" si="90"/>
        <v>0</v>
      </c>
      <c r="AA294" s="1773">
        <f t="shared" si="91"/>
        <v>0</v>
      </c>
      <c r="AB294" s="1773">
        <f t="shared" si="92"/>
        <v>0</v>
      </c>
      <c r="AC294" s="1773">
        <f t="shared" si="93"/>
        <v>0</v>
      </c>
      <c r="AD294" s="1773">
        <f t="shared" si="94"/>
        <v>0</v>
      </c>
      <c r="AE294" s="1773">
        <f t="shared" si="95"/>
        <v>0</v>
      </c>
      <c r="AF294" s="1773">
        <f t="shared" si="96"/>
        <v>0</v>
      </c>
      <c r="AG294" s="1773">
        <f t="shared" si="97"/>
        <v>0</v>
      </c>
      <c r="AH294" s="1773">
        <f t="shared" si="98"/>
        <v>0</v>
      </c>
      <c r="AI294" s="1773">
        <f t="shared" si="99"/>
        <v>0</v>
      </c>
      <c r="AJ294" s="1773">
        <f t="shared" si="100"/>
        <v>0</v>
      </c>
      <c r="AK294" s="1773">
        <f t="shared" si="101"/>
        <v>0</v>
      </c>
      <c r="AL294" s="1773">
        <f t="shared" si="102"/>
        <v>1450000</v>
      </c>
      <c r="AN294" s="1776"/>
      <c r="AO294" s="1776"/>
      <c r="AP294" s="1776"/>
      <c r="AQ294" s="1776"/>
      <c r="AR294" s="1776"/>
      <c r="AS294" s="1776"/>
      <c r="AT294" s="1776"/>
      <c r="AU294" s="1776"/>
      <c r="AV294" s="1776"/>
      <c r="AW294" s="1776"/>
      <c r="AX294" s="1776"/>
      <c r="AY294" s="1776"/>
      <c r="AZ294" s="1776">
        <v>1</v>
      </c>
    </row>
    <row r="295" spans="1:52">
      <c r="A295" t="s">
        <v>2662</v>
      </c>
      <c r="B295" t="s">
        <v>2663</v>
      </c>
      <c r="C295" s="1741" t="s">
        <v>2108</v>
      </c>
      <c r="D295" s="1741">
        <v>1130</v>
      </c>
      <c r="E295" s="1741">
        <v>1260</v>
      </c>
      <c r="F295" s="1741" t="s">
        <v>1945</v>
      </c>
      <c r="G295" s="1741" t="s">
        <v>2214</v>
      </c>
      <c r="H295" s="1741" t="s">
        <v>1658</v>
      </c>
      <c r="I295" s="1753" t="s">
        <v>2114</v>
      </c>
      <c r="J295" s="1754"/>
      <c r="K295" s="1753" t="s">
        <v>2114</v>
      </c>
      <c r="L295" s="1754" t="s">
        <v>502</v>
      </c>
      <c r="M295" s="1754"/>
      <c r="N295" s="1756"/>
      <c r="O295" s="1757"/>
      <c r="P295" s="1758"/>
      <c r="Q295" s="1759">
        <v>250</v>
      </c>
      <c r="R295" s="1760">
        <v>250</v>
      </c>
      <c r="S295" s="1760">
        <v>27</v>
      </c>
      <c r="T295" s="1760">
        <v>27</v>
      </c>
      <c r="U295" s="1761">
        <v>0</v>
      </c>
      <c r="V295" s="1762">
        <v>250</v>
      </c>
      <c r="W295" s="1757">
        <v>250</v>
      </c>
      <c r="Z295" s="1773">
        <f t="shared" si="90"/>
        <v>0</v>
      </c>
      <c r="AA295" s="1773">
        <f t="shared" si="91"/>
        <v>0</v>
      </c>
      <c r="AB295" s="1773">
        <f t="shared" si="92"/>
        <v>0</v>
      </c>
      <c r="AC295" s="1773">
        <f t="shared" si="93"/>
        <v>0</v>
      </c>
      <c r="AD295" s="1773">
        <f t="shared" si="94"/>
        <v>0</v>
      </c>
      <c r="AE295" s="1773">
        <f t="shared" si="95"/>
        <v>0</v>
      </c>
      <c r="AF295" s="1773">
        <f t="shared" si="96"/>
        <v>0</v>
      </c>
      <c r="AG295" s="1773">
        <f t="shared" si="97"/>
        <v>0</v>
      </c>
      <c r="AH295" s="1773">
        <f t="shared" si="98"/>
        <v>0</v>
      </c>
      <c r="AI295" s="1773">
        <f t="shared" si="99"/>
        <v>0</v>
      </c>
      <c r="AJ295" s="1773">
        <f t="shared" si="100"/>
        <v>0</v>
      </c>
      <c r="AK295" s="1773">
        <f t="shared" si="101"/>
        <v>0</v>
      </c>
      <c r="AL295" s="1773">
        <f t="shared" si="102"/>
        <v>0</v>
      </c>
      <c r="AN295" s="1776"/>
      <c r="AO295" s="1776"/>
      <c r="AP295" s="1776"/>
      <c r="AQ295" s="1776"/>
      <c r="AR295" s="1776"/>
      <c r="AS295" s="1776"/>
      <c r="AT295" s="1776"/>
      <c r="AU295" s="1776"/>
      <c r="AV295" s="1776"/>
      <c r="AW295" s="1776"/>
      <c r="AX295" s="1776"/>
      <c r="AY295" s="1776"/>
      <c r="AZ295" s="1776">
        <v>1</v>
      </c>
    </row>
    <row r="296" spans="1:52">
      <c r="A296" t="s">
        <v>2664</v>
      </c>
      <c r="B296" t="s">
        <v>2305</v>
      </c>
      <c r="C296" s="1741" t="s">
        <v>2108</v>
      </c>
      <c r="D296" s="1741">
        <v>1130</v>
      </c>
      <c r="E296" s="1741">
        <v>1310</v>
      </c>
      <c r="F296" s="1741" t="s">
        <v>1945</v>
      </c>
      <c r="G296" s="1741" t="s">
        <v>2214</v>
      </c>
      <c r="H296" s="1741" t="s">
        <v>1658</v>
      </c>
      <c r="I296" s="1753" t="s">
        <v>2114</v>
      </c>
      <c r="J296" s="1754"/>
      <c r="K296" s="1753" t="s">
        <v>2114</v>
      </c>
      <c r="L296" s="1754" t="s">
        <v>502</v>
      </c>
      <c r="M296" s="1754"/>
      <c r="N296" s="1756"/>
      <c r="O296" s="1757"/>
      <c r="P296" s="1758"/>
      <c r="Q296" s="1759">
        <v>12000</v>
      </c>
      <c r="R296" s="1760">
        <v>12000</v>
      </c>
      <c r="S296" s="1760">
        <v>1344</v>
      </c>
      <c r="T296" s="1760">
        <v>1344</v>
      </c>
      <c r="U296" s="1761">
        <v>0</v>
      </c>
      <c r="V296" s="1762">
        <v>12000</v>
      </c>
      <c r="W296" s="1757">
        <v>12000</v>
      </c>
      <c r="Z296" s="1773">
        <f t="shared" si="90"/>
        <v>0</v>
      </c>
      <c r="AA296" s="1773">
        <f t="shared" si="91"/>
        <v>0</v>
      </c>
      <c r="AB296" s="1773">
        <f t="shared" si="92"/>
        <v>0</v>
      </c>
      <c r="AC296" s="1773">
        <f t="shared" si="93"/>
        <v>0</v>
      </c>
      <c r="AD296" s="1773">
        <f t="shared" si="94"/>
        <v>0</v>
      </c>
      <c r="AE296" s="1773">
        <f t="shared" si="95"/>
        <v>0</v>
      </c>
      <c r="AF296" s="1773">
        <f t="shared" si="96"/>
        <v>0</v>
      </c>
      <c r="AG296" s="1773">
        <f t="shared" si="97"/>
        <v>0</v>
      </c>
      <c r="AH296" s="1773">
        <f t="shared" si="98"/>
        <v>0</v>
      </c>
      <c r="AI296" s="1773">
        <f t="shared" si="99"/>
        <v>0</v>
      </c>
      <c r="AJ296" s="1773">
        <f t="shared" si="100"/>
        <v>0</v>
      </c>
      <c r="AK296" s="1773">
        <f t="shared" si="101"/>
        <v>0</v>
      </c>
      <c r="AL296" s="1773">
        <f t="shared" si="102"/>
        <v>0</v>
      </c>
      <c r="AN296" s="1776"/>
      <c r="AO296" s="1776"/>
      <c r="AP296" s="1776"/>
      <c r="AQ296" s="1776"/>
      <c r="AR296" s="1776"/>
      <c r="AS296" s="1776"/>
      <c r="AT296" s="1776"/>
      <c r="AU296" s="1776"/>
      <c r="AV296" s="1776"/>
      <c r="AW296" s="1776"/>
      <c r="AX296" s="1776"/>
      <c r="AY296" s="1776"/>
      <c r="AZ296" s="1776">
        <v>1</v>
      </c>
    </row>
    <row r="297" spans="1:52">
      <c r="A297" s="1479" t="s">
        <v>2665</v>
      </c>
      <c r="B297" s="1479" t="s">
        <v>2666</v>
      </c>
      <c r="C297" s="1741" t="s">
        <v>2108</v>
      </c>
      <c r="D297" s="1741">
        <v>1130</v>
      </c>
      <c r="E297" s="1741">
        <v>1370</v>
      </c>
      <c r="F297" s="1741" t="s">
        <v>1945</v>
      </c>
      <c r="G297" s="1741" t="s">
        <v>2214</v>
      </c>
      <c r="H297" s="1741" t="s">
        <v>1658</v>
      </c>
      <c r="I297" s="1753" t="s">
        <v>3026</v>
      </c>
      <c r="J297" s="1754" t="s">
        <v>2126</v>
      </c>
      <c r="K297" s="1754" t="s">
        <v>838</v>
      </c>
      <c r="L297" s="1754" t="s">
        <v>838</v>
      </c>
      <c r="M297" s="1754"/>
      <c r="N297" s="1756">
        <v>88019.06</v>
      </c>
      <c r="O297" s="1757">
        <v>143399.92000000001</v>
      </c>
      <c r="P297" s="1758">
        <v>150691.35</v>
      </c>
      <c r="Q297" s="1759">
        <v>161000</v>
      </c>
      <c r="R297" s="1760">
        <v>161000</v>
      </c>
      <c r="S297" s="1760">
        <v>146409</v>
      </c>
      <c r="T297" s="1760">
        <v>146409</v>
      </c>
      <c r="U297" s="1761">
        <v>152629.82999999999</v>
      </c>
      <c r="V297" s="1762">
        <v>162000</v>
      </c>
      <c r="W297" s="1757">
        <v>163000</v>
      </c>
      <c r="Z297" s="1773">
        <f t="shared" si="90"/>
        <v>0</v>
      </c>
      <c r="AA297" s="1773">
        <f t="shared" si="91"/>
        <v>0</v>
      </c>
      <c r="AB297" s="1773">
        <f t="shared" si="92"/>
        <v>0</v>
      </c>
      <c r="AC297" s="1773">
        <f t="shared" si="93"/>
        <v>0</v>
      </c>
      <c r="AD297" s="1773">
        <f t="shared" si="94"/>
        <v>0</v>
      </c>
      <c r="AE297" s="1773">
        <f t="shared" si="95"/>
        <v>0</v>
      </c>
      <c r="AF297" s="1773">
        <f t="shared" si="96"/>
        <v>0</v>
      </c>
      <c r="AG297" s="1773">
        <f t="shared" si="97"/>
        <v>0</v>
      </c>
      <c r="AH297" s="1773">
        <f t="shared" si="98"/>
        <v>0</v>
      </c>
      <c r="AI297" s="1773">
        <f t="shared" si="99"/>
        <v>0</v>
      </c>
      <c r="AJ297" s="1773">
        <f t="shared" si="100"/>
        <v>0</v>
      </c>
      <c r="AK297" s="1773">
        <f t="shared" si="101"/>
        <v>0</v>
      </c>
      <c r="AL297" s="1773">
        <f t="shared" si="102"/>
        <v>152629.82999999999</v>
      </c>
      <c r="AN297" s="1776"/>
      <c r="AO297" s="1776"/>
      <c r="AP297" s="1776"/>
      <c r="AQ297" s="1776"/>
      <c r="AR297" s="1776"/>
      <c r="AS297" s="1776"/>
      <c r="AT297" s="1776"/>
      <c r="AU297" s="1776"/>
      <c r="AV297" s="1776"/>
      <c r="AW297" s="1776"/>
      <c r="AX297" s="1776"/>
      <c r="AY297" s="1776"/>
      <c r="AZ297" s="1776">
        <v>1</v>
      </c>
    </row>
    <row r="298" spans="1:52" ht="13.5">
      <c r="A298" s="1775" t="s">
        <v>2667</v>
      </c>
      <c r="B298" s="1479" t="s">
        <v>2249</v>
      </c>
      <c r="C298" s="1741" t="s">
        <v>2108</v>
      </c>
      <c r="D298" s="1741">
        <v>1130</v>
      </c>
      <c r="E298" s="1741">
        <v>1410</v>
      </c>
      <c r="F298" s="1741" t="s">
        <v>1945</v>
      </c>
      <c r="G298" s="1741" t="s">
        <v>2214</v>
      </c>
      <c r="H298" s="1741" t="s">
        <v>1658</v>
      </c>
      <c r="I298" s="1753" t="s">
        <v>2114</v>
      </c>
      <c r="J298" s="1754" t="s">
        <v>3008</v>
      </c>
      <c r="K298" s="1753" t="s">
        <v>2114</v>
      </c>
      <c r="L298" s="1754" t="s">
        <v>3008</v>
      </c>
      <c r="M298" s="1755"/>
      <c r="N298" s="1756">
        <v>0</v>
      </c>
      <c r="O298" s="1757">
        <v>0</v>
      </c>
      <c r="P298" s="1758">
        <v>0</v>
      </c>
      <c r="Q298" s="1759">
        <v>0</v>
      </c>
      <c r="R298" s="1760">
        <v>0</v>
      </c>
      <c r="S298" s="1760">
        <v>0</v>
      </c>
      <c r="T298" s="1760">
        <v>0</v>
      </c>
      <c r="U298" s="1761">
        <v>0</v>
      </c>
      <c r="V298" s="1762">
        <v>0</v>
      </c>
      <c r="W298" s="1757">
        <v>0</v>
      </c>
      <c r="Z298" s="1773">
        <f t="shared" si="90"/>
        <v>0</v>
      </c>
      <c r="AA298" s="1773">
        <f t="shared" si="91"/>
        <v>0</v>
      </c>
      <c r="AB298" s="1773">
        <f t="shared" si="92"/>
        <v>0</v>
      </c>
      <c r="AC298" s="1773">
        <f t="shared" si="93"/>
        <v>0</v>
      </c>
      <c r="AD298" s="1773">
        <f t="shared" si="94"/>
        <v>0</v>
      </c>
      <c r="AE298" s="1773">
        <f t="shared" si="95"/>
        <v>0</v>
      </c>
      <c r="AF298" s="1773">
        <f t="shared" si="96"/>
        <v>0</v>
      </c>
      <c r="AG298" s="1773">
        <f t="shared" si="97"/>
        <v>0</v>
      </c>
      <c r="AH298" s="1773">
        <f t="shared" si="98"/>
        <v>0</v>
      </c>
      <c r="AI298" s="1773">
        <f t="shared" si="99"/>
        <v>0</v>
      </c>
      <c r="AJ298" s="1773">
        <f t="shared" si="100"/>
        <v>0</v>
      </c>
      <c r="AK298" s="1773">
        <f t="shared" si="101"/>
        <v>0</v>
      </c>
      <c r="AL298" s="1773">
        <f t="shared" si="102"/>
        <v>0</v>
      </c>
      <c r="AN298" s="1776"/>
      <c r="AO298" s="1776"/>
      <c r="AP298" s="1776"/>
      <c r="AQ298" s="1776"/>
      <c r="AR298" s="1776"/>
      <c r="AS298" s="1776"/>
      <c r="AT298" s="1776"/>
      <c r="AU298" s="1776"/>
      <c r="AV298" s="1776"/>
      <c r="AW298" s="1776"/>
      <c r="AX298" s="1776"/>
      <c r="AY298" s="1776"/>
      <c r="AZ298" s="1776">
        <v>1</v>
      </c>
    </row>
    <row r="299" spans="1:52" ht="13.5">
      <c r="A299" t="s">
        <v>2668</v>
      </c>
      <c r="B299" t="s">
        <v>2251</v>
      </c>
      <c r="C299" s="1741" t="s">
        <v>2108</v>
      </c>
      <c r="D299" s="1741">
        <v>1130</v>
      </c>
      <c r="E299" s="1741">
        <v>1440</v>
      </c>
      <c r="F299" s="1741" t="s">
        <v>1945</v>
      </c>
      <c r="G299" s="1741" t="s">
        <v>2214</v>
      </c>
      <c r="H299" s="1741" t="s">
        <v>1658</v>
      </c>
      <c r="I299" s="1753" t="s">
        <v>2115</v>
      </c>
      <c r="J299" s="1754"/>
      <c r="K299" s="1753" t="s">
        <v>1596</v>
      </c>
      <c r="L299" s="1754" t="s">
        <v>1696</v>
      </c>
      <c r="M299" s="1755"/>
      <c r="N299" s="1756">
        <v>0</v>
      </c>
      <c r="O299" s="1757">
        <v>0</v>
      </c>
      <c r="P299" s="1758">
        <v>0</v>
      </c>
      <c r="Q299" s="1759">
        <v>6000</v>
      </c>
      <c r="R299" s="1760">
        <v>6000</v>
      </c>
      <c r="S299" s="1760">
        <v>672</v>
      </c>
      <c r="T299" s="1760">
        <v>672</v>
      </c>
      <c r="U299" s="1761">
        <v>0</v>
      </c>
      <c r="V299" s="1762">
        <v>6000</v>
      </c>
      <c r="W299" s="1757">
        <v>6000</v>
      </c>
      <c r="Z299" s="1773">
        <f t="shared" si="90"/>
        <v>0</v>
      </c>
      <c r="AA299" s="1773">
        <f t="shared" si="91"/>
        <v>0</v>
      </c>
      <c r="AB299" s="1773">
        <f t="shared" si="92"/>
        <v>0</v>
      </c>
      <c r="AC299" s="1773">
        <f t="shared" si="93"/>
        <v>0</v>
      </c>
      <c r="AD299" s="1773">
        <f t="shared" si="94"/>
        <v>0</v>
      </c>
      <c r="AE299" s="1773">
        <f t="shared" si="95"/>
        <v>0</v>
      </c>
      <c r="AF299" s="1773">
        <f t="shared" si="96"/>
        <v>0</v>
      </c>
      <c r="AG299" s="1773">
        <f t="shared" si="97"/>
        <v>0</v>
      </c>
      <c r="AH299" s="1773">
        <f t="shared" si="98"/>
        <v>0</v>
      </c>
      <c r="AI299" s="1773">
        <f t="shared" si="99"/>
        <v>0</v>
      </c>
      <c r="AJ299" s="1773">
        <f t="shared" si="100"/>
        <v>0</v>
      </c>
      <c r="AK299" s="1773">
        <f t="shared" si="101"/>
        <v>0</v>
      </c>
      <c r="AL299" s="1773">
        <f t="shared" si="102"/>
        <v>0</v>
      </c>
      <c r="AN299" s="1776"/>
      <c r="AO299" s="1776"/>
      <c r="AP299" s="1776"/>
      <c r="AQ299" s="1776"/>
      <c r="AR299" s="1776"/>
      <c r="AS299" s="1776"/>
      <c r="AT299" s="1776"/>
      <c r="AU299" s="1776"/>
      <c r="AV299" s="1776"/>
      <c r="AW299" s="1776"/>
      <c r="AX299" s="1776"/>
      <c r="AY299" s="1776"/>
      <c r="AZ299" s="1776">
        <v>1</v>
      </c>
    </row>
    <row r="300" spans="1:52" ht="13.5">
      <c r="A300" t="s">
        <v>2669</v>
      </c>
      <c r="B300" t="s">
        <v>2670</v>
      </c>
      <c r="C300" s="1741" t="s">
        <v>2108</v>
      </c>
      <c r="D300" s="1741">
        <v>1130</v>
      </c>
      <c r="E300" s="1741">
        <v>1461</v>
      </c>
      <c r="F300" s="1741" t="s">
        <v>1945</v>
      </c>
      <c r="G300" s="1741" t="s">
        <v>2214</v>
      </c>
      <c r="H300" s="1741" t="s">
        <v>1658</v>
      </c>
      <c r="I300" s="1753" t="s">
        <v>2114</v>
      </c>
      <c r="J300" s="1754"/>
      <c r="K300" s="1753" t="s">
        <v>2114</v>
      </c>
      <c r="L300" s="1754" t="s">
        <v>502</v>
      </c>
      <c r="M300" s="1755"/>
      <c r="N300" s="1756">
        <v>0</v>
      </c>
      <c r="O300" s="1757">
        <v>0</v>
      </c>
      <c r="P300" s="1758">
        <v>0</v>
      </c>
      <c r="Q300" s="1759">
        <v>735000</v>
      </c>
      <c r="R300" s="1760">
        <v>735000</v>
      </c>
      <c r="S300" s="1760">
        <v>224580</v>
      </c>
      <c r="T300" s="1760">
        <v>224580</v>
      </c>
      <c r="U300" s="1761">
        <v>790000</v>
      </c>
      <c r="V300" s="1762">
        <v>800000</v>
      </c>
      <c r="W300" s="1757">
        <v>900000</v>
      </c>
      <c r="Z300" s="1773">
        <f t="shared" si="90"/>
        <v>0</v>
      </c>
      <c r="AA300" s="1773">
        <f t="shared" si="91"/>
        <v>0</v>
      </c>
      <c r="AB300" s="1773">
        <f t="shared" si="92"/>
        <v>0</v>
      </c>
      <c r="AC300" s="1773">
        <f t="shared" si="93"/>
        <v>0</v>
      </c>
      <c r="AD300" s="1773">
        <f t="shared" si="94"/>
        <v>0</v>
      </c>
      <c r="AE300" s="1773">
        <f t="shared" si="95"/>
        <v>0</v>
      </c>
      <c r="AF300" s="1773">
        <f t="shared" si="96"/>
        <v>0</v>
      </c>
      <c r="AG300" s="1773">
        <f t="shared" si="97"/>
        <v>0</v>
      </c>
      <c r="AH300" s="1773">
        <f t="shared" si="98"/>
        <v>0</v>
      </c>
      <c r="AI300" s="1773">
        <f t="shared" si="99"/>
        <v>0</v>
      </c>
      <c r="AJ300" s="1773">
        <f t="shared" si="100"/>
        <v>0</v>
      </c>
      <c r="AK300" s="1773">
        <f t="shared" si="101"/>
        <v>0</v>
      </c>
      <c r="AL300" s="1773">
        <f t="shared" si="102"/>
        <v>790000</v>
      </c>
      <c r="AN300" s="1776"/>
      <c r="AO300" s="1776"/>
      <c r="AP300" s="1776"/>
      <c r="AQ300" s="1776"/>
      <c r="AR300" s="1776"/>
      <c r="AS300" s="1776"/>
      <c r="AT300" s="1776"/>
      <c r="AU300" s="1776"/>
      <c r="AV300" s="1776"/>
      <c r="AW300" s="1776"/>
      <c r="AX300" s="1776"/>
      <c r="AY300" s="1776"/>
      <c r="AZ300" s="1776">
        <v>1</v>
      </c>
    </row>
    <row r="301" spans="1:52" ht="13.5">
      <c r="A301" s="1479" t="s">
        <v>2671</v>
      </c>
      <c r="B301" s="1479" t="s">
        <v>2672</v>
      </c>
      <c r="C301" s="1741" t="s">
        <v>2108</v>
      </c>
      <c r="D301" s="1741">
        <v>1130</v>
      </c>
      <c r="E301" s="1741">
        <v>1471</v>
      </c>
      <c r="F301" s="1741" t="s">
        <v>1945</v>
      </c>
      <c r="G301" s="1741" t="s">
        <v>2214</v>
      </c>
      <c r="H301" s="1741" t="s">
        <v>1658</v>
      </c>
      <c r="I301" s="1753" t="s">
        <v>2117</v>
      </c>
      <c r="J301" s="1754" t="s">
        <v>3027</v>
      </c>
      <c r="K301" s="1754" t="s">
        <v>1665</v>
      </c>
      <c r="L301" s="1754" t="s">
        <v>1665</v>
      </c>
      <c r="M301" s="1755"/>
      <c r="N301" s="1756">
        <v>0</v>
      </c>
      <c r="O301" s="1757">
        <v>7707.8600000000006</v>
      </c>
      <c r="P301" s="1758">
        <v>19142.21</v>
      </c>
      <c r="Q301" s="1759">
        <v>0</v>
      </c>
      <c r="R301" s="1760">
        <v>20000</v>
      </c>
      <c r="S301" s="1760">
        <v>15493</v>
      </c>
      <c r="T301" s="1760">
        <v>15493</v>
      </c>
      <c r="U301" s="1761">
        <v>0</v>
      </c>
      <c r="V301" s="1762">
        <v>0</v>
      </c>
      <c r="W301" s="1757">
        <v>0</v>
      </c>
      <c r="Z301" s="1773">
        <f t="shared" si="90"/>
        <v>0</v>
      </c>
      <c r="AA301" s="1773">
        <f t="shared" si="91"/>
        <v>0</v>
      </c>
      <c r="AB301" s="1773">
        <f t="shared" si="92"/>
        <v>0</v>
      </c>
      <c r="AC301" s="1773">
        <f t="shared" si="93"/>
        <v>0</v>
      </c>
      <c r="AD301" s="1773">
        <f t="shared" si="94"/>
        <v>0</v>
      </c>
      <c r="AE301" s="1773">
        <f t="shared" si="95"/>
        <v>0</v>
      </c>
      <c r="AF301" s="1773">
        <f t="shared" si="96"/>
        <v>0</v>
      </c>
      <c r="AG301" s="1773">
        <f t="shared" si="97"/>
        <v>0</v>
      </c>
      <c r="AH301" s="1773">
        <f t="shared" si="98"/>
        <v>0</v>
      </c>
      <c r="AI301" s="1773">
        <f t="shared" si="99"/>
        <v>0</v>
      </c>
      <c r="AJ301" s="1773">
        <f t="shared" si="100"/>
        <v>0</v>
      </c>
      <c r="AK301" s="1773">
        <f t="shared" si="101"/>
        <v>0</v>
      </c>
      <c r="AL301" s="1773">
        <f t="shared" si="102"/>
        <v>0</v>
      </c>
      <c r="AN301" s="1776"/>
      <c r="AO301" s="1776"/>
      <c r="AP301" s="1776"/>
      <c r="AQ301" s="1776"/>
      <c r="AR301" s="1776"/>
      <c r="AS301" s="1776"/>
      <c r="AT301" s="1776"/>
      <c r="AU301" s="1776"/>
      <c r="AV301" s="1776"/>
      <c r="AW301" s="1776"/>
      <c r="AX301" s="1776"/>
      <c r="AY301" s="1776"/>
      <c r="AZ301" s="1776">
        <v>1</v>
      </c>
    </row>
    <row r="302" spans="1:52" ht="13.5">
      <c r="A302" s="1479" t="s">
        <v>2673</v>
      </c>
      <c r="B302" s="1479" t="s">
        <v>2253</v>
      </c>
      <c r="C302" s="1741" t="s">
        <v>2108</v>
      </c>
      <c r="D302" s="1741">
        <v>1130</v>
      </c>
      <c r="E302" s="1741">
        <v>3510</v>
      </c>
      <c r="F302" s="1741" t="s">
        <v>1945</v>
      </c>
      <c r="G302" s="1741" t="s">
        <v>2214</v>
      </c>
      <c r="H302" s="1741" t="s">
        <v>1658</v>
      </c>
      <c r="I302" s="1753" t="s">
        <v>464</v>
      </c>
      <c r="J302" s="1754"/>
      <c r="K302" s="1753" t="s">
        <v>2114</v>
      </c>
      <c r="L302" s="1754" t="s">
        <v>3029</v>
      </c>
      <c r="M302" s="1755"/>
      <c r="N302" s="1756">
        <v>1847.1</v>
      </c>
      <c r="O302" s="1757">
        <v>0</v>
      </c>
      <c r="P302" s="1758">
        <v>1049.03</v>
      </c>
      <c r="Q302" s="1759">
        <v>0</v>
      </c>
      <c r="R302" s="1760">
        <v>0</v>
      </c>
      <c r="S302" s="1760">
        <v>0</v>
      </c>
      <c r="T302" s="1760">
        <v>0</v>
      </c>
      <c r="U302" s="1761">
        <v>0</v>
      </c>
      <c r="V302" s="1762">
        <v>0</v>
      </c>
      <c r="W302" s="1757">
        <v>0</v>
      </c>
      <c r="Z302" s="1773">
        <f t="shared" si="90"/>
        <v>0</v>
      </c>
      <c r="AA302" s="1773">
        <f t="shared" si="91"/>
        <v>0</v>
      </c>
      <c r="AB302" s="1773">
        <f t="shared" si="92"/>
        <v>0</v>
      </c>
      <c r="AC302" s="1773">
        <f t="shared" si="93"/>
        <v>0</v>
      </c>
      <c r="AD302" s="1773">
        <f t="shared" si="94"/>
        <v>0</v>
      </c>
      <c r="AE302" s="1773">
        <f t="shared" si="95"/>
        <v>0</v>
      </c>
      <c r="AF302" s="1773">
        <f t="shared" si="96"/>
        <v>0</v>
      </c>
      <c r="AG302" s="1773">
        <f t="shared" si="97"/>
        <v>0</v>
      </c>
      <c r="AH302" s="1773">
        <f t="shared" si="98"/>
        <v>0</v>
      </c>
      <c r="AI302" s="1773">
        <f t="shared" si="99"/>
        <v>0</v>
      </c>
      <c r="AJ302" s="1773">
        <f t="shared" si="100"/>
        <v>0</v>
      </c>
      <c r="AK302" s="1773">
        <f t="shared" si="101"/>
        <v>0</v>
      </c>
      <c r="AL302" s="1773">
        <f t="shared" si="102"/>
        <v>0</v>
      </c>
      <c r="AN302" s="1776"/>
      <c r="AO302" s="1776"/>
      <c r="AP302" s="1776"/>
      <c r="AQ302" s="1776"/>
      <c r="AR302" s="1776"/>
      <c r="AS302" s="1776"/>
      <c r="AT302" s="1776"/>
      <c r="AU302" s="1776"/>
      <c r="AV302" s="1776"/>
      <c r="AW302" s="1776"/>
      <c r="AX302" s="1776"/>
      <c r="AY302" s="1776"/>
      <c r="AZ302" s="1776">
        <v>1</v>
      </c>
    </row>
    <row r="303" spans="1:52" ht="13.5">
      <c r="A303" s="1775" t="s">
        <v>2674</v>
      </c>
      <c r="B303" s="1479" t="s">
        <v>2310</v>
      </c>
      <c r="C303" s="1741" t="s">
        <v>2108</v>
      </c>
      <c r="D303" s="1741">
        <v>1130</v>
      </c>
      <c r="E303" s="1741">
        <v>3520</v>
      </c>
      <c r="F303" s="1741" t="s">
        <v>1945</v>
      </c>
      <c r="G303" s="1741" t="s">
        <v>2214</v>
      </c>
      <c r="H303" s="1741" t="s">
        <v>1658</v>
      </c>
      <c r="I303" s="1753" t="s">
        <v>464</v>
      </c>
      <c r="J303" s="1754"/>
      <c r="K303" s="1753" t="s">
        <v>2114</v>
      </c>
      <c r="L303" s="1754" t="s">
        <v>3029</v>
      </c>
      <c r="M303" s="1755"/>
      <c r="N303" s="1756">
        <v>0</v>
      </c>
      <c r="O303" s="1757">
        <v>0</v>
      </c>
      <c r="P303" s="1758">
        <v>0</v>
      </c>
      <c r="Q303" s="1759">
        <v>0</v>
      </c>
      <c r="R303" s="1760">
        <v>0</v>
      </c>
      <c r="S303" s="1760">
        <v>0</v>
      </c>
      <c r="T303" s="1760">
        <v>0</v>
      </c>
      <c r="U303" s="1761">
        <v>0</v>
      </c>
      <c r="V303" s="1762">
        <v>0</v>
      </c>
      <c r="W303" s="1757">
        <v>0</v>
      </c>
      <c r="Z303" s="1773">
        <f t="shared" si="90"/>
        <v>0</v>
      </c>
      <c r="AA303" s="1773">
        <f t="shared" si="91"/>
        <v>0</v>
      </c>
      <c r="AB303" s="1773">
        <f t="shared" si="92"/>
        <v>0</v>
      </c>
      <c r="AC303" s="1773">
        <f t="shared" si="93"/>
        <v>0</v>
      </c>
      <c r="AD303" s="1773">
        <f t="shared" si="94"/>
        <v>0</v>
      </c>
      <c r="AE303" s="1773">
        <f t="shared" si="95"/>
        <v>0</v>
      </c>
      <c r="AF303" s="1773">
        <f t="shared" si="96"/>
        <v>0</v>
      </c>
      <c r="AG303" s="1773">
        <f t="shared" si="97"/>
        <v>0</v>
      </c>
      <c r="AH303" s="1773">
        <f t="shared" si="98"/>
        <v>0</v>
      </c>
      <c r="AI303" s="1773">
        <f t="shared" si="99"/>
        <v>0</v>
      </c>
      <c r="AJ303" s="1773">
        <f t="shared" si="100"/>
        <v>0</v>
      </c>
      <c r="AK303" s="1773">
        <f t="shared" si="101"/>
        <v>0</v>
      </c>
      <c r="AL303" s="1773">
        <f t="shared" si="102"/>
        <v>0</v>
      </c>
      <c r="AN303" s="1776"/>
      <c r="AO303" s="1776"/>
      <c r="AP303" s="1776"/>
      <c r="AQ303" s="1776"/>
      <c r="AR303" s="1776"/>
      <c r="AS303" s="1776"/>
      <c r="AT303" s="1776"/>
      <c r="AU303" s="1776"/>
      <c r="AV303" s="1776"/>
      <c r="AW303" s="1776"/>
      <c r="AX303" s="1776"/>
      <c r="AY303" s="1776"/>
      <c r="AZ303" s="1776">
        <v>1</v>
      </c>
    </row>
    <row r="304" spans="1:52" ht="13.5">
      <c r="A304" s="1479" t="s">
        <v>2675</v>
      </c>
      <c r="B304" s="1479" t="s">
        <v>2459</v>
      </c>
      <c r="C304" s="1741" t="s">
        <v>2108</v>
      </c>
      <c r="D304" s="1741">
        <v>1130</v>
      </c>
      <c r="E304" s="1741">
        <v>3540</v>
      </c>
      <c r="F304" s="1741" t="s">
        <v>1945</v>
      </c>
      <c r="G304" s="1741" t="s">
        <v>2214</v>
      </c>
      <c r="H304" s="1741" t="s">
        <v>1658</v>
      </c>
      <c r="I304" s="1753" t="s">
        <v>464</v>
      </c>
      <c r="J304" s="1754"/>
      <c r="K304" s="1753" t="s">
        <v>2114</v>
      </c>
      <c r="L304" s="1754" t="s">
        <v>3029</v>
      </c>
      <c r="M304" s="1755"/>
      <c r="N304" s="1756">
        <v>20769.509999999998</v>
      </c>
      <c r="O304" s="1757">
        <v>53476.47</v>
      </c>
      <c r="P304" s="1758">
        <v>37858.199999999997</v>
      </c>
      <c r="Q304" s="1759">
        <v>70000</v>
      </c>
      <c r="R304" s="1760">
        <v>35000</v>
      </c>
      <c r="S304" s="1760">
        <v>57520</v>
      </c>
      <c r="T304" s="1760">
        <v>57520</v>
      </c>
      <c r="U304" s="1761">
        <v>70000</v>
      </c>
      <c r="V304" s="1762">
        <v>70000</v>
      </c>
      <c r="W304" s="1757">
        <v>70000</v>
      </c>
      <c r="Z304" s="1773">
        <f t="shared" si="90"/>
        <v>0</v>
      </c>
      <c r="AA304" s="1773">
        <f t="shared" si="91"/>
        <v>0</v>
      </c>
      <c r="AB304" s="1773">
        <f t="shared" si="92"/>
        <v>0</v>
      </c>
      <c r="AC304" s="1773">
        <f t="shared" si="93"/>
        <v>0</v>
      </c>
      <c r="AD304" s="1773">
        <f t="shared" si="94"/>
        <v>0</v>
      </c>
      <c r="AE304" s="1773">
        <f t="shared" si="95"/>
        <v>0</v>
      </c>
      <c r="AF304" s="1773">
        <f t="shared" si="96"/>
        <v>0</v>
      </c>
      <c r="AG304" s="1773">
        <f t="shared" si="97"/>
        <v>0</v>
      </c>
      <c r="AH304" s="1773">
        <f t="shared" si="98"/>
        <v>0</v>
      </c>
      <c r="AI304" s="1773">
        <f t="shared" si="99"/>
        <v>0</v>
      </c>
      <c r="AJ304" s="1773">
        <f t="shared" si="100"/>
        <v>0</v>
      </c>
      <c r="AK304" s="1773">
        <f t="shared" si="101"/>
        <v>0</v>
      </c>
      <c r="AL304" s="1773">
        <f t="shared" si="102"/>
        <v>70000</v>
      </c>
      <c r="AN304" s="1776"/>
      <c r="AO304" s="1776"/>
      <c r="AP304" s="1776"/>
      <c r="AQ304" s="1776"/>
      <c r="AR304" s="1776"/>
      <c r="AS304" s="1776"/>
      <c r="AT304" s="1776"/>
      <c r="AU304" s="1776"/>
      <c r="AV304" s="1776"/>
      <c r="AW304" s="1776"/>
      <c r="AX304" s="1776"/>
      <c r="AY304" s="1776"/>
      <c r="AZ304" s="1776">
        <v>1</v>
      </c>
    </row>
    <row r="305" spans="1:52" ht="13.5">
      <c r="A305" s="1479" t="s">
        <v>2676</v>
      </c>
      <c r="B305" s="1479" t="s">
        <v>2314</v>
      </c>
      <c r="C305" s="1741" t="s">
        <v>2108</v>
      </c>
      <c r="D305" s="1741">
        <v>1130</v>
      </c>
      <c r="E305" s="1741">
        <v>4120</v>
      </c>
      <c r="F305" s="1741" t="s">
        <v>1945</v>
      </c>
      <c r="G305" s="1741" t="s">
        <v>2214</v>
      </c>
      <c r="H305" s="1741" t="s">
        <v>1658</v>
      </c>
      <c r="I305" s="1753" t="s">
        <v>2114</v>
      </c>
      <c r="J305" s="1754" t="s">
        <v>3014</v>
      </c>
      <c r="K305" s="1753" t="s">
        <v>2114</v>
      </c>
      <c r="L305" s="1754" t="s">
        <v>3029</v>
      </c>
      <c r="M305" s="1755"/>
      <c r="N305" s="1756">
        <v>134832.38</v>
      </c>
      <c r="O305" s="1757">
        <v>0</v>
      </c>
      <c r="P305" s="1758">
        <v>0</v>
      </c>
      <c r="Q305" s="1759">
        <v>0</v>
      </c>
      <c r="R305" s="1760">
        <v>3000</v>
      </c>
      <c r="S305" s="1760">
        <v>0</v>
      </c>
      <c r="T305" s="1760">
        <v>0</v>
      </c>
      <c r="U305" s="1761">
        <v>70000</v>
      </c>
      <c r="V305" s="1762">
        <v>0</v>
      </c>
      <c r="W305" s="1757">
        <v>0</v>
      </c>
      <c r="Z305" s="1773">
        <f t="shared" si="90"/>
        <v>0</v>
      </c>
      <c r="AA305" s="1773">
        <f t="shared" si="91"/>
        <v>0</v>
      </c>
      <c r="AB305" s="1773">
        <f t="shared" si="92"/>
        <v>0</v>
      </c>
      <c r="AC305" s="1773">
        <f t="shared" si="93"/>
        <v>0</v>
      </c>
      <c r="AD305" s="1773">
        <f t="shared" si="94"/>
        <v>0</v>
      </c>
      <c r="AE305" s="1773">
        <f t="shared" si="95"/>
        <v>0</v>
      </c>
      <c r="AF305" s="1773">
        <f t="shared" si="96"/>
        <v>0</v>
      </c>
      <c r="AG305" s="1773">
        <f t="shared" si="97"/>
        <v>0</v>
      </c>
      <c r="AH305" s="1773">
        <f t="shared" si="98"/>
        <v>0</v>
      </c>
      <c r="AI305" s="1773">
        <f t="shared" si="99"/>
        <v>0</v>
      </c>
      <c r="AJ305" s="1773">
        <f t="shared" si="100"/>
        <v>0</v>
      </c>
      <c r="AK305" s="1773">
        <f t="shared" si="101"/>
        <v>0</v>
      </c>
      <c r="AL305" s="1773">
        <f t="shared" si="102"/>
        <v>70000</v>
      </c>
      <c r="AN305" s="1776"/>
      <c r="AO305" s="1776"/>
      <c r="AP305" s="1776"/>
      <c r="AQ305" s="1776"/>
      <c r="AR305" s="1776"/>
      <c r="AS305" s="1776"/>
      <c r="AT305" s="1776"/>
      <c r="AU305" s="1776"/>
      <c r="AV305" s="1776"/>
      <c r="AW305" s="1776"/>
      <c r="AX305" s="1776"/>
      <c r="AY305" s="1776"/>
      <c r="AZ305" s="1776">
        <v>1</v>
      </c>
    </row>
    <row r="306" spans="1:52" ht="13.5">
      <c r="A306" s="1479" t="s">
        <v>2677</v>
      </c>
      <c r="B306" s="1479" t="s">
        <v>2316</v>
      </c>
      <c r="C306" s="1741" t="s">
        <v>2108</v>
      </c>
      <c r="D306" s="1741">
        <v>1130</v>
      </c>
      <c r="E306" s="1741">
        <v>5000</v>
      </c>
      <c r="F306" s="1741" t="s">
        <v>1945</v>
      </c>
      <c r="G306" s="1741" t="s">
        <v>2214</v>
      </c>
      <c r="H306" s="1741" t="s">
        <v>1658</v>
      </c>
      <c r="I306" s="1753" t="s">
        <v>3015</v>
      </c>
      <c r="J306" s="1754"/>
      <c r="K306" s="1753" t="s">
        <v>2114</v>
      </c>
      <c r="L306" s="1754" t="s">
        <v>3015</v>
      </c>
      <c r="M306" s="1755"/>
      <c r="N306" s="1756">
        <v>0</v>
      </c>
      <c r="O306" s="1757">
        <v>509471.24999999994</v>
      </c>
      <c r="P306" s="1758">
        <v>746260.02866060019</v>
      </c>
      <c r="Q306" s="1759">
        <v>0</v>
      </c>
      <c r="R306" s="1760">
        <v>0</v>
      </c>
      <c r="S306" s="1760">
        <v>0</v>
      </c>
      <c r="T306" s="1760">
        <v>0</v>
      </c>
      <c r="U306" s="1761">
        <v>0</v>
      </c>
      <c r="V306" s="1762">
        <v>0</v>
      </c>
      <c r="W306" s="1757">
        <v>0</v>
      </c>
      <c r="Z306" s="1773">
        <f t="shared" si="90"/>
        <v>0</v>
      </c>
      <c r="AA306" s="1773">
        <f t="shared" si="91"/>
        <v>0</v>
      </c>
      <c r="AB306" s="1773">
        <f t="shared" si="92"/>
        <v>0</v>
      </c>
      <c r="AC306" s="1773">
        <f t="shared" si="93"/>
        <v>0</v>
      </c>
      <c r="AD306" s="1773">
        <f t="shared" si="94"/>
        <v>0</v>
      </c>
      <c r="AE306" s="1773">
        <f t="shared" si="95"/>
        <v>0</v>
      </c>
      <c r="AF306" s="1773">
        <f t="shared" si="96"/>
        <v>0</v>
      </c>
      <c r="AG306" s="1773">
        <f t="shared" si="97"/>
        <v>0</v>
      </c>
      <c r="AH306" s="1773">
        <f t="shared" si="98"/>
        <v>0</v>
      </c>
      <c r="AI306" s="1773">
        <f t="shared" si="99"/>
        <v>0</v>
      </c>
      <c r="AJ306" s="1773">
        <f t="shared" si="100"/>
        <v>0</v>
      </c>
      <c r="AK306" s="1773">
        <f t="shared" si="101"/>
        <v>0</v>
      </c>
      <c r="AL306" s="1773">
        <f t="shared" si="102"/>
        <v>0</v>
      </c>
      <c r="AN306" s="1776"/>
      <c r="AO306" s="1776"/>
      <c r="AP306" s="1776"/>
      <c r="AQ306" s="1776"/>
      <c r="AR306" s="1776"/>
      <c r="AS306" s="1776"/>
      <c r="AT306" s="1776"/>
      <c r="AU306" s="1776"/>
      <c r="AV306" s="1776"/>
      <c r="AW306" s="1776"/>
      <c r="AX306" s="1776"/>
      <c r="AY306" s="1776"/>
      <c r="AZ306" s="1776">
        <v>1</v>
      </c>
    </row>
    <row r="307" spans="1:52" ht="13.5">
      <c r="A307" s="1479" t="s">
        <v>2678</v>
      </c>
      <c r="B307" s="1479" t="s">
        <v>2318</v>
      </c>
      <c r="C307" s="1741" t="s">
        <v>2108</v>
      </c>
      <c r="D307" s="1741">
        <v>1130</v>
      </c>
      <c r="E307" s="1741">
        <v>5020</v>
      </c>
      <c r="F307" s="1741" t="s">
        <v>1945</v>
      </c>
      <c r="G307" s="1741" t="s">
        <v>2214</v>
      </c>
      <c r="H307" s="1741" t="s">
        <v>586</v>
      </c>
      <c r="I307" s="1753" t="s">
        <v>2121</v>
      </c>
      <c r="J307" s="1754" t="s">
        <v>3016</v>
      </c>
      <c r="K307" s="236" t="s">
        <v>35</v>
      </c>
      <c r="L307" s="1754" t="s">
        <v>2128</v>
      </c>
      <c r="M307" s="1755"/>
      <c r="N307" s="1756">
        <v>0</v>
      </c>
      <c r="O307" s="1757">
        <v>-608659.0199999999</v>
      </c>
      <c r="P307" s="1758">
        <v>-850000</v>
      </c>
      <c r="Q307" s="1759">
        <v>0</v>
      </c>
      <c r="R307" s="1760">
        <v>0</v>
      </c>
      <c r="S307" s="1760">
        <v>0</v>
      </c>
      <c r="T307" s="1760">
        <v>0</v>
      </c>
      <c r="U307" s="1761">
        <v>0</v>
      </c>
      <c r="V307" s="1762">
        <v>0</v>
      </c>
      <c r="W307" s="1757">
        <v>0</v>
      </c>
      <c r="Z307" s="1773">
        <f t="shared" si="90"/>
        <v>0</v>
      </c>
      <c r="AA307" s="1773">
        <f t="shared" si="91"/>
        <v>0</v>
      </c>
      <c r="AB307" s="1773">
        <f t="shared" si="92"/>
        <v>0</v>
      </c>
      <c r="AC307" s="1773">
        <f t="shared" si="93"/>
        <v>0</v>
      </c>
      <c r="AD307" s="1773">
        <f t="shared" si="94"/>
        <v>0</v>
      </c>
      <c r="AE307" s="1773">
        <f t="shared" si="95"/>
        <v>0</v>
      </c>
      <c r="AF307" s="1773">
        <f t="shared" si="96"/>
        <v>0</v>
      </c>
      <c r="AG307" s="1773">
        <f t="shared" si="97"/>
        <v>0</v>
      </c>
      <c r="AH307" s="1773">
        <f t="shared" si="98"/>
        <v>0</v>
      </c>
      <c r="AI307" s="1773">
        <f t="shared" si="99"/>
        <v>0</v>
      </c>
      <c r="AJ307" s="1773">
        <f t="shared" si="100"/>
        <v>0</v>
      </c>
      <c r="AK307" s="1773">
        <f t="shared" si="101"/>
        <v>0</v>
      </c>
      <c r="AL307" s="1773">
        <f t="shared" si="102"/>
        <v>0</v>
      </c>
      <c r="AN307" s="1776"/>
      <c r="AO307" s="1776"/>
      <c r="AP307" s="1776"/>
      <c r="AQ307" s="1776"/>
      <c r="AR307" s="1776"/>
      <c r="AS307" s="1776"/>
      <c r="AT307" s="1776"/>
      <c r="AU307" s="1776"/>
      <c r="AV307" s="1776"/>
      <c r="AW307" s="1776"/>
      <c r="AX307" s="1776"/>
      <c r="AY307" s="1776"/>
      <c r="AZ307" s="1776">
        <v>1</v>
      </c>
    </row>
    <row r="308" spans="1:52" ht="13.5">
      <c r="A308" s="1479" t="s">
        <v>2679</v>
      </c>
      <c r="B308" s="1479" t="s">
        <v>2445</v>
      </c>
      <c r="C308" s="1741" t="s">
        <v>2108</v>
      </c>
      <c r="D308" s="1741">
        <v>1130</v>
      </c>
      <c r="E308" s="1741">
        <v>5030</v>
      </c>
      <c r="F308" s="1741" t="s">
        <v>1945</v>
      </c>
      <c r="G308" s="1741" t="s">
        <v>2214</v>
      </c>
      <c r="H308" s="1741" t="s">
        <v>586</v>
      </c>
      <c r="I308" s="1753" t="s">
        <v>2121</v>
      </c>
      <c r="J308" s="1754" t="s">
        <v>3016</v>
      </c>
      <c r="K308" s="236" t="s">
        <v>35</v>
      </c>
      <c r="L308" s="1754" t="s">
        <v>2128</v>
      </c>
      <c r="M308" s="1754"/>
      <c r="N308" s="1756">
        <v>-500000</v>
      </c>
      <c r="O308" s="1757">
        <v>-700000</v>
      </c>
      <c r="P308" s="1758">
        <v>-750000</v>
      </c>
      <c r="Q308" s="1759">
        <v>-1200000</v>
      </c>
      <c r="R308" s="1760">
        <v>-1200000</v>
      </c>
      <c r="S308" s="1760">
        <v>-1603200</v>
      </c>
      <c r="T308" s="1760">
        <v>-1603200</v>
      </c>
      <c r="U308" s="1761">
        <v>-1450000</v>
      </c>
      <c r="V308" s="1762">
        <v>-1500000</v>
      </c>
      <c r="W308" s="1757">
        <v>-1750000</v>
      </c>
      <c r="Z308" s="1773">
        <f t="shared" si="90"/>
        <v>0</v>
      </c>
      <c r="AA308" s="1773">
        <f t="shared" si="91"/>
        <v>0</v>
      </c>
      <c r="AB308" s="1773">
        <f t="shared" si="92"/>
        <v>0</v>
      </c>
      <c r="AC308" s="1773">
        <f t="shared" si="93"/>
        <v>0</v>
      </c>
      <c r="AD308" s="1773">
        <f t="shared" si="94"/>
        <v>0</v>
      </c>
      <c r="AE308" s="1773">
        <f t="shared" si="95"/>
        <v>0</v>
      </c>
      <c r="AF308" s="1773">
        <f t="shared" si="96"/>
        <v>0</v>
      </c>
      <c r="AG308" s="1773">
        <f t="shared" si="97"/>
        <v>0</v>
      </c>
      <c r="AH308" s="1773">
        <f t="shared" si="98"/>
        <v>0</v>
      </c>
      <c r="AI308" s="1773">
        <f t="shared" si="99"/>
        <v>0</v>
      </c>
      <c r="AJ308" s="1773">
        <f t="shared" si="100"/>
        <v>0</v>
      </c>
      <c r="AK308" s="1773">
        <f t="shared" si="101"/>
        <v>0</v>
      </c>
      <c r="AL308" s="1773">
        <f t="shared" si="102"/>
        <v>-1450000</v>
      </c>
      <c r="AN308" s="1776"/>
      <c r="AO308" s="1776"/>
      <c r="AP308" s="1776"/>
      <c r="AQ308" s="1776"/>
      <c r="AR308" s="1776"/>
      <c r="AS308" s="1776"/>
      <c r="AT308" s="1776"/>
      <c r="AU308" s="1776"/>
      <c r="AV308" s="1776"/>
      <c r="AW308" s="1776"/>
      <c r="AX308" s="1776"/>
      <c r="AY308" s="1776"/>
      <c r="AZ308" s="1776">
        <v>1</v>
      </c>
    </row>
    <row r="309" spans="1:52">
      <c r="A309" s="1479" t="s">
        <v>2680</v>
      </c>
      <c r="B309" s="1479" t="s">
        <v>2681</v>
      </c>
      <c r="C309" s="1741" t="s">
        <v>2108</v>
      </c>
      <c r="D309" s="1741">
        <v>1130</v>
      </c>
      <c r="E309" s="1741">
        <v>5100</v>
      </c>
      <c r="F309" s="1741" t="s">
        <v>1945</v>
      </c>
      <c r="G309" s="1741" t="s">
        <v>2214</v>
      </c>
      <c r="H309" s="1741" t="s">
        <v>586</v>
      </c>
      <c r="I309" s="1753" t="s">
        <v>2120</v>
      </c>
      <c r="J309" s="1754"/>
      <c r="K309" s="1754" t="s">
        <v>1666</v>
      </c>
      <c r="L309" s="1754" t="s">
        <v>1666</v>
      </c>
      <c r="M309" s="1754"/>
      <c r="N309" s="1756">
        <v>-20500.16</v>
      </c>
      <c r="O309" s="1757">
        <v>-24392.13</v>
      </c>
      <c r="P309" s="1758">
        <v>-29629.49</v>
      </c>
      <c r="Q309" s="1759">
        <v>-44000</v>
      </c>
      <c r="R309" s="1760">
        <v>-44000</v>
      </c>
      <c r="S309" s="1760">
        <v>-37495</v>
      </c>
      <c r="T309" s="1760">
        <v>-37495</v>
      </c>
      <c r="U309" s="1761">
        <v>-45000</v>
      </c>
      <c r="V309" s="1762">
        <v>-34000</v>
      </c>
      <c r="W309" s="1757">
        <v>-34000</v>
      </c>
      <c r="Z309" s="1773">
        <f t="shared" si="90"/>
        <v>0</v>
      </c>
      <c r="AA309" s="1773">
        <f t="shared" si="91"/>
        <v>0</v>
      </c>
      <c r="AB309" s="1773">
        <f t="shared" si="92"/>
        <v>0</v>
      </c>
      <c r="AC309" s="1773">
        <f t="shared" si="93"/>
        <v>0</v>
      </c>
      <c r="AD309" s="1773">
        <f t="shared" si="94"/>
        <v>0</v>
      </c>
      <c r="AE309" s="1773">
        <f t="shared" si="95"/>
        <v>0</v>
      </c>
      <c r="AF309" s="1773">
        <f t="shared" si="96"/>
        <v>0</v>
      </c>
      <c r="AG309" s="1773">
        <f t="shared" si="97"/>
        <v>0</v>
      </c>
      <c r="AH309" s="1773">
        <f t="shared" si="98"/>
        <v>0</v>
      </c>
      <c r="AI309" s="1773">
        <f t="shared" si="99"/>
        <v>0</v>
      </c>
      <c r="AJ309" s="1773">
        <f t="shared" si="100"/>
        <v>0</v>
      </c>
      <c r="AK309" s="1773">
        <f t="shared" si="101"/>
        <v>0</v>
      </c>
      <c r="AL309" s="1773">
        <f t="shared" si="102"/>
        <v>-45000</v>
      </c>
      <c r="AN309" s="1776"/>
      <c r="AO309" s="1776"/>
      <c r="AP309" s="1776"/>
      <c r="AQ309" s="1776"/>
      <c r="AR309" s="1776"/>
      <c r="AS309" s="1776"/>
      <c r="AT309" s="1776"/>
      <c r="AU309" s="1776"/>
      <c r="AV309" s="1776"/>
      <c r="AW309" s="1776"/>
      <c r="AX309" s="1776"/>
      <c r="AY309" s="1776"/>
      <c r="AZ309" s="1776">
        <v>1</v>
      </c>
    </row>
    <row r="310" spans="1:52" ht="13.5">
      <c r="A310" s="1479" t="s">
        <v>2682</v>
      </c>
      <c r="B310" s="1479" t="s">
        <v>2683</v>
      </c>
      <c r="C310" s="1741" t="s">
        <v>2108</v>
      </c>
      <c r="D310" s="1741">
        <v>1130</v>
      </c>
      <c r="E310" s="1741">
        <v>5250</v>
      </c>
      <c r="F310" s="1741" t="s">
        <v>1945</v>
      </c>
      <c r="G310" s="1741" t="s">
        <v>2214</v>
      </c>
      <c r="H310" s="1741" t="s">
        <v>586</v>
      </c>
      <c r="I310" s="1753" t="s">
        <v>2121</v>
      </c>
      <c r="J310" s="1754" t="s">
        <v>2196</v>
      </c>
      <c r="K310" s="236" t="s">
        <v>35</v>
      </c>
      <c r="L310" s="1754" t="s">
        <v>2128</v>
      </c>
      <c r="M310" s="1754"/>
      <c r="N310" s="1756">
        <v>-6825717</v>
      </c>
      <c r="O310" s="1757">
        <v>-8588695</v>
      </c>
      <c r="P310" s="1758">
        <v>-11196337</v>
      </c>
      <c r="Q310" s="1759">
        <v>-13463000</v>
      </c>
      <c r="R310" s="1760">
        <v>-13463000</v>
      </c>
      <c r="S310" s="1760">
        <v>-15012128</v>
      </c>
      <c r="T310" s="1760">
        <v>-15012128</v>
      </c>
      <c r="U310" s="1761">
        <v>-14543000</v>
      </c>
      <c r="V310" s="1762">
        <v>-16123000</v>
      </c>
      <c r="W310" s="1757">
        <v>-17813000</v>
      </c>
      <c r="Z310" s="1773">
        <f t="shared" si="90"/>
        <v>0</v>
      </c>
      <c r="AA310" s="1773">
        <f t="shared" si="91"/>
        <v>0</v>
      </c>
      <c r="AB310" s="1773">
        <f t="shared" si="92"/>
        <v>0</v>
      </c>
      <c r="AC310" s="1773">
        <f t="shared" si="93"/>
        <v>0</v>
      </c>
      <c r="AD310" s="1773">
        <f t="shared" si="94"/>
        <v>0</v>
      </c>
      <c r="AE310" s="1773">
        <f t="shared" si="95"/>
        <v>0</v>
      </c>
      <c r="AF310" s="1773">
        <f t="shared" si="96"/>
        <v>0</v>
      </c>
      <c r="AG310" s="1773">
        <f t="shared" si="97"/>
        <v>0</v>
      </c>
      <c r="AH310" s="1773">
        <f t="shared" si="98"/>
        <v>0</v>
      </c>
      <c r="AI310" s="1773">
        <f t="shared" si="99"/>
        <v>0</v>
      </c>
      <c r="AJ310" s="1773">
        <f t="shared" si="100"/>
        <v>0</v>
      </c>
      <c r="AK310" s="1773">
        <f t="shared" si="101"/>
        <v>0</v>
      </c>
      <c r="AL310" s="1773">
        <f t="shared" si="102"/>
        <v>-14543000</v>
      </c>
      <c r="AN310" s="1776"/>
      <c r="AO310" s="1776"/>
      <c r="AP310" s="1776"/>
      <c r="AQ310" s="1776"/>
      <c r="AR310" s="1776"/>
      <c r="AS310" s="1776"/>
      <c r="AT310" s="1776"/>
      <c r="AU310" s="1776"/>
      <c r="AV310" s="1776"/>
      <c r="AW310" s="1776"/>
      <c r="AX310" s="1776"/>
      <c r="AY310" s="1776"/>
      <c r="AZ310" s="1776">
        <v>1</v>
      </c>
    </row>
    <row r="311" spans="1:52">
      <c r="A311" s="1479" t="s">
        <v>2684</v>
      </c>
      <c r="B311" s="1479" t="s">
        <v>2470</v>
      </c>
      <c r="C311" s="1741" t="s">
        <v>2108</v>
      </c>
      <c r="D311" s="1741">
        <v>1130</v>
      </c>
      <c r="E311" s="1741">
        <v>5270</v>
      </c>
      <c r="F311" s="1741" t="s">
        <v>1945</v>
      </c>
      <c r="G311" s="1741" t="s">
        <v>2214</v>
      </c>
      <c r="H311" s="1741" t="s">
        <v>586</v>
      </c>
      <c r="I311" s="1753" t="s">
        <v>2120</v>
      </c>
      <c r="J311" s="1754"/>
      <c r="K311" s="1754" t="s">
        <v>1666</v>
      </c>
      <c r="L311" s="1754" t="s">
        <v>1666</v>
      </c>
      <c r="M311" s="1754"/>
      <c r="N311" s="1756">
        <v>-513.95000000000005</v>
      </c>
      <c r="O311" s="1757">
        <v>-321.10000000000002</v>
      </c>
      <c r="P311" s="1758">
        <v>-544.52</v>
      </c>
      <c r="Q311" s="1759">
        <v>-510</v>
      </c>
      <c r="R311" s="1760">
        <v>-510</v>
      </c>
      <c r="S311" s="1760">
        <v>-546</v>
      </c>
      <c r="T311" s="1760">
        <v>-546</v>
      </c>
      <c r="U311" s="1761">
        <v>-1000</v>
      </c>
      <c r="V311" s="1762">
        <v>-1100</v>
      </c>
      <c r="W311" s="1757">
        <v>-1200</v>
      </c>
      <c r="Z311" s="1773">
        <f t="shared" si="90"/>
        <v>0</v>
      </c>
      <c r="AA311" s="1773">
        <f t="shared" si="91"/>
        <v>0</v>
      </c>
      <c r="AB311" s="1773">
        <f t="shared" si="92"/>
        <v>0</v>
      </c>
      <c r="AC311" s="1773">
        <f t="shared" si="93"/>
        <v>0</v>
      </c>
      <c r="AD311" s="1773">
        <f t="shared" si="94"/>
        <v>0</v>
      </c>
      <c r="AE311" s="1773">
        <f t="shared" si="95"/>
        <v>0</v>
      </c>
      <c r="AF311" s="1773">
        <f t="shared" si="96"/>
        <v>0</v>
      </c>
      <c r="AG311" s="1773">
        <f t="shared" si="97"/>
        <v>0</v>
      </c>
      <c r="AH311" s="1773">
        <f t="shared" si="98"/>
        <v>0</v>
      </c>
      <c r="AI311" s="1773">
        <f t="shared" si="99"/>
        <v>0</v>
      </c>
      <c r="AJ311" s="1773">
        <f t="shared" si="100"/>
        <v>0</v>
      </c>
      <c r="AK311" s="1773">
        <f t="shared" si="101"/>
        <v>0</v>
      </c>
      <c r="AL311" s="1773">
        <f t="shared" si="102"/>
        <v>-1000</v>
      </c>
      <c r="AN311" s="1776"/>
      <c r="AO311" s="1776"/>
      <c r="AP311" s="1776"/>
      <c r="AQ311" s="1776"/>
      <c r="AR311" s="1776"/>
      <c r="AS311" s="1776"/>
      <c r="AT311" s="1776"/>
      <c r="AU311" s="1776"/>
      <c r="AV311" s="1776"/>
      <c r="AW311" s="1776"/>
      <c r="AX311" s="1776"/>
      <c r="AY311" s="1776"/>
      <c r="AZ311" s="1776">
        <v>1</v>
      </c>
    </row>
    <row r="312" spans="1:52">
      <c r="A312" s="1479" t="s">
        <v>2685</v>
      </c>
      <c r="B312" s="1479" t="s">
        <v>2686</v>
      </c>
      <c r="C312" s="1741" t="s">
        <v>2108</v>
      </c>
      <c r="D312" s="1741">
        <v>1130</v>
      </c>
      <c r="E312" s="1741">
        <v>5540</v>
      </c>
      <c r="F312" s="1741" t="s">
        <v>1945</v>
      </c>
      <c r="G312" s="1741" t="s">
        <v>2214</v>
      </c>
      <c r="H312" s="1741" t="s">
        <v>586</v>
      </c>
      <c r="I312" s="1753" t="s">
        <v>2141</v>
      </c>
      <c r="J312" s="1754"/>
      <c r="K312" s="1754" t="s">
        <v>492</v>
      </c>
      <c r="L312" s="1754" t="s">
        <v>492</v>
      </c>
      <c r="M312" s="1754"/>
      <c r="N312" s="1756">
        <v>-227904.82</v>
      </c>
      <c r="O312" s="1757">
        <v>-864018.77999999991</v>
      </c>
      <c r="P312" s="1758">
        <v>-416264.64</v>
      </c>
      <c r="Q312" s="1759">
        <v>-290000</v>
      </c>
      <c r="R312" s="1760">
        <v>-290000</v>
      </c>
      <c r="S312" s="1760">
        <v>-162728</v>
      </c>
      <c r="T312" s="1760">
        <v>-162728</v>
      </c>
      <c r="U312" s="1761">
        <v>-250000</v>
      </c>
      <c r="V312" s="1762">
        <v>-270000</v>
      </c>
      <c r="W312" s="1757">
        <v>-280000</v>
      </c>
      <c r="Z312" s="1773">
        <f t="shared" si="90"/>
        <v>0</v>
      </c>
      <c r="AA312" s="1773">
        <f t="shared" si="91"/>
        <v>0</v>
      </c>
      <c r="AB312" s="1773">
        <f t="shared" si="92"/>
        <v>0</v>
      </c>
      <c r="AC312" s="1773">
        <f t="shared" si="93"/>
        <v>0</v>
      </c>
      <c r="AD312" s="1773">
        <f t="shared" si="94"/>
        <v>0</v>
      </c>
      <c r="AE312" s="1773">
        <f t="shared" si="95"/>
        <v>0</v>
      </c>
      <c r="AF312" s="1773">
        <f t="shared" si="96"/>
        <v>0</v>
      </c>
      <c r="AG312" s="1773">
        <f t="shared" si="97"/>
        <v>0</v>
      </c>
      <c r="AH312" s="1773">
        <f t="shared" si="98"/>
        <v>0</v>
      </c>
      <c r="AI312" s="1773">
        <f t="shared" si="99"/>
        <v>0</v>
      </c>
      <c r="AJ312" s="1773">
        <f t="shared" si="100"/>
        <v>0</v>
      </c>
      <c r="AK312" s="1773">
        <f t="shared" si="101"/>
        <v>0</v>
      </c>
      <c r="AL312" s="1773">
        <f t="shared" si="102"/>
        <v>-250000</v>
      </c>
      <c r="AN312" s="1776"/>
      <c r="AO312" s="1776"/>
      <c r="AP312" s="1776"/>
      <c r="AQ312" s="1776"/>
      <c r="AR312" s="1776"/>
      <c r="AS312" s="1776"/>
      <c r="AT312" s="1776"/>
      <c r="AU312" s="1776"/>
      <c r="AV312" s="1776"/>
      <c r="AW312" s="1776"/>
      <c r="AX312" s="1776"/>
      <c r="AY312" s="1776"/>
      <c r="AZ312" s="1776">
        <v>1</v>
      </c>
    </row>
    <row r="313" spans="1:52">
      <c r="A313" t="s">
        <v>2687</v>
      </c>
      <c r="B313" t="s">
        <v>2688</v>
      </c>
      <c r="C313" s="1741" t="s">
        <v>2108</v>
      </c>
      <c r="D313" s="1741">
        <v>1130</v>
      </c>
      <c r="E313" s="1741">
        <v>5580</v>
      </c>
      <c r="F313" s="1741" t="s">
        <v>1945</v>
      </c>
      <c r="G313" s="1741" t="s">
        <v>2214</v>
      </c>
      <c r="H313" s="1741" t="s">
        <v>586</v>
      </c>
      <c r="I313" s="1753" t="s">
        <v>2120</v>
      </c>
      <c r="J313" s="1754"/>
      <c r="K313" s="1754" t="s">
        <v>1666</v>
      </c>
      <c r="L313" s="1754" t="s">
        <v>1666</v>
      </c>
      <c r="M313" s="1754"/>
      <c r="N313" s="1756"/>
      <c r="O313" s="1757"/>
      <c r="P313" s="1758"/>
      <c r="Q313" s="1759">
        <v>-50</v>
      </c>
      <c r="R313" s="1760">
        <v>-50</v>
      </c>
      <c r="S313" s="1760">
        <v>-18</v>
      </c>
      <c r="T313" s="1760">
        <v>-18</v>
      </c>
      <c r="U313" s="1761">
        <v>-50</v>
      </c>
      <c r="V313" s="1762">
        <v>-50</v>
      </c>
      <c r="W313" s="1757">
        <v>-50</v>
      </c>
      <c r="Z313" s="1773">
        <f t="shared" si="90"/>
        <v>0</v>
      </c>
      <c r="AA313" s="1773">
        <f t="shared" si="91"/>
        <v>0</v>
      </c>
      <c r="AB313" s="1773">
        <f t="shared" si="92"/>
        <v>0</v>
      </c>
      <c r="AC313" s="1773">
        <f t="shared" si="93"/>
        <v>0</v>
      </c>
      <c r="AD313" s="1773">
        <f t="shared" si="94"/>
        <v>0</v>
      </c>
      <c r="AE313" s="1773">
        <f t="shared" si="95"/>
        <v>0</v>
      </c>
      <c r="AF313" s="1773">
        <f t="shared" si="96"/>
        <v>0</v>
      </c>
      <c r="AG313" s="1773">
        <f t="shared" si="97"/>
        <v>0</v>
      </c>
      <c r="AH313" s="1773">
        <f t="shared" si="98"/>
        <v>0</v>
      </c>
      <c r="AI313" s="1773">
        <f t="shared" si="99"/>
        <v>0</v>
      </c>
      <c r="AJ313" s="1773">
        <f t="shared" si="100"/>
        <v>0</v>
      </c>
      <c r="AK313" s="1773">
        <f t="shared" si="101"/>
        <v>0</v>
      </c>
      <c r="AL313" s="1773">
        <f t="shared" si="102"/>
        <v>-50</v>
      </c>
      <c r="AN313" s="1776"/>
      <c r="AO313" s="1776"/>
      <c r="AP313" s="1776"/>
      <c r="AQ313" s="1776"/>
      <c r="AR313" s="1776"/>
      <c r="AS313" s="1776"/>
      <c r="AT313" s="1776"/>
      <c r="AU313" s="1776"/>
      <c r="AV313" s="1776"/>
      <c r="AW313" s="1776"/>
      <c r="AX313" s="1776"/>
      <c r="AY313" s="1776"/>
      <c r="AZ313" s="1776">
        <v>1</v>
      </c>
    </row>
    <row r="314" spans="1:52">
      <c r="A314" s="1479" t="s">
        <v>2689</v>
      </c>
      <c r="B314" s="1479" t="s">
        <v>2472</v>
      </c>
      <c r="C314" s="1741" t="s">
        <v>2108</v>
      </c>
      <c r="D314" s="1741">
        <v>1130</v>
      </c>
      <c r="E314" s="1741">
        <v>5560</v>
      </c>
      <c r="F314" s="1741" t="s">
        <v>1945</v>
      </c>
      <c r="G314" s="1741" t="s">
        <v>2214</v>
      </c>
      <c r="H314" s="1741" t="s">
        <v>586</v>
      </c>
      <c r="I314" s="1753" t="s">
        <v>2120</v>
      </c>
      <c r="J314" s="1754"/>
      <c r="K314" s="1754" t="s">
        <v>1666</v>
      </c>
      <c r="L314" s="1754" t="s">
        <v>1666</v>
      </c>
      <c r="M314" s="1754"/>
      <c r="N314" s="1756">
        <v>0</v>
      </c>
      <c r="O314" s="1757">
        <v>0</v>
      </c>
      <c r="P314" s="1758">
        <v>3.93</v>
      </c>
      <c r="Q314" s="1759">
        <v>-500</v>
      </c>
      <c r="R314" s="1760">
        <v>-500</v>
      </c>
      <c r="S314" s="1760">
        <v>-164</v>
      </c>
      <c r="T314" s="1760">
        <v>-164</v>
      </c>
      <c r="U314" s="1761">
        <v>-100</v>
      </c>
      <c r="V314" s="1762">
        <v>-500</v>
      </c>
      <c r="W314" s="1757">
        <v>-500</v>
      </c>
      <c r="Z314" s="1773">
        <f t="shared" si="90"/>
        <v>0</v>
      </c>
      <c r="AA314" s="1773">
        <f t="shared" si="91"/>
        <v>0</v>
      </c>
      <c r="AB314" s="1773">
        <f t="shared" si="92"/>
        <v>0</v>
      </c>
      <c r="AC314" s="1773">
        <f t="shared" si="93"/>
        <v>0</v>
      </c>
      <c r="AD314" s="1773">
        <f t="shared" si="94"/>
        <v>0</v>
      </c>
      <c r="AE314" s="1773">
        <f t="shared" si="95"/>
        <v>0</v>
      </c>
      <c r="AF314" s="1773">
        <f t="shared" si="96"/>
        <v>0</v>
      </c>
      <c r="AG314" s="1773">
        <f t="shared" si="97"/>
        <v>0</v>
      </c>
      <c r="AH314" s="1773">
        <f t="shared" si="98"/>
        <v>0</v>
      </c>
      <c r="AI314" s="1773">
        <f t="shared" si="99"/>
        <v>0</v>
      </c>
      <c r="AJ314" s="1773">
        <f t="shared" si="100"/>
        <v>0</v>
      </c>
      <c r="AK314" s="1773">
        <f t="shared" si="101"/>
        <v>0</v>
      </c>
      <c r="AL314" s="1773">
        <f t="shared" si="102"/>
        <v>-100</v>
      </c>
      <c r="AN314" s="1776"/>
      <c r="AO314" s="1776"/>
      <c r="AP314" s="1776"/>
      <c r="AQ314" s="1776"/>
      <c r="AR314" s="1776"/>
      <c r="AS314" s="1776"/>
      <c r="AT314" s="1776"/>
      <c r="AU314" s="1776"/>
      <c r="AV314" s="1776"/>
      <c r="AW314" s="1776"/>
      <c r="AX314" s="1776"/>
      <c r="AY314" s="1776"/>
      <c r="AZ314" s="1776">
        <v>1</v>
      </c>
    </row>
    <row r="315" spans="1:52">
      <c r="A315" s="1479" t="s">
        <v>2690</v>
      </c>
      <c r="B315" s="1479" t="s">
        <v>2474</v>
      </c>
      <c r="C315" s="1741" t="s">
        <v>2108</v>
      </c>
      <c r="D315" s="1741">
        <v>1130</v>
      </c>
      <c r="E315" s="1741">
        <v>5840</v>
      </c>
      <c r="F315" s="1741" t="s">
        <v>1945</v>
      </c>
      <c r="G315" s="1741" t="s">
        <v>2214</v>
      </c>
      <c r="H315" s="1741" t="s">
        <v>586</v>
      </c>
      <c r="I315" s="1753" t="s">
        <v>2120</v>
      </c>
      <c r="J315" s="1754"/>
      <c r="K315" s="1754" t="s">
        <v>1666</v>
      </c>
      <c r="L315" s="1754" t="s">
        <v>1666</v>
      </c>
      <c r="M315" s="1754"/>
      <c r="N315" s="1756">
        <v>-308.13</v>
      </c>
      <c r="O315" s="1757">
        <v>-495.87</v>
      </c>
      <c r="P315" s="1758">
        <v>-1142.1199999999999</v>
      </c>
      <c r="Q315" s="1759">
        <v>-2000</v>
      </c>
      <c r="R315" s="1760">
        <v>-2000</v>
      </c>
      <c r="S315" s="1760">
        <v>-1731</v>
      </c>
      <c r="T315" s="1760">
        <v>-1731</v>
      </c>
      <c r="U315" s="1761">
        <v>-2000</v>
      </c>
      <c r="V315" s="1762">
        <v>-2000</v>
      </c>
      <c r="W315" s="1757">
        <v>-2000</v>
      </c>
      <c r="Z315" s="1773">
        <f t="shared" si="90"/>
        <v>0</v>
      </c>
      <c r="AA315" s="1773">
        <f t="shared" si="91"/>
        <v>0</v>
      </c>
      <c r="AB315" s="1773">
        <f t="shared" si="92"/>
        <v>0</v>
      </c>
      <c r="AC315" s="1773">
        <f t="shared" si="93"/>
        <v>0</v>
      </c>
      <c r="AD315" s="1773">
        <f t="shared" si="94"/>
        <v>0</v>
      </c>
      <c r="AE315" s="1773">
        <f t="shared" si="95"/>
        <v>0</v>
      </c>
      <c r="AF315" s="1773">
        <f t="shared" si="96"/>
        <v>0</v>
      </c>
      <c r="AG315" s="1773">
        <f t="shared" si="97"/>
        <v>0</v>
      </c>
      <c r="AH315" s="1773">
        <f t="shared" si="98"/>
        <v>0</v>
      </c>
      <c r="AI315" s="1773">
        <f t="shared" si="99"/>
        <v>0</v>
      </c>
      <c r="AJ315" s="1773">
        <f t="shared" si="100"/>
        <v>0</v>
      </c>
      <c r="AK315" s="1773">
        <f t="shared" si="101"/>
        <v>0</v>
      </c>
      <c r="AL315" s="1773">
        <f t="shared" si="102"/>
        <v>-2000</v>
      </c>
      <c r="AN315" s="1776"/>
      <c r="AO315" s="1776"/>
      <c r="AP315" s="1776"/>
      <c r="AQ315" s="1776"/>
      <c r="AR315" s="1776"/>
      <c r="AS315" s="1776"/>
      <c r="AT315" s="1776"/>
      <c r="AU315" s="1776"/>
      <c r="AV315" s="1776"/>
      <c r="AW315" s="1776"/>
      <c r="AX315" s="1776"/>
      <c r="AY315" s="1776"/>
      <c r="AZ315" s="1776">
        <v>1</v>
      </c>
    </row>
    <row r="316" spans="1:52">
      <c r="A316" s="1479" t="s">
        <v>2691</v>
      </c>
      <c r="B316" s="1479" t="s">
        <v>2692</v>
      </c>
      <c r="C316" s="1741" t="s">
        <v>2108</v>
      </c>
      <c r="D316" s="1741">
        <v>1130</v>
      </c>
      <c r="E316" s="1741">
        <v>5860</v>
      </c>
      <c r="F316" s="1741" t="s">
        <v>1945</v>
      </c>
      <c r="G316" s="1741" t="s">
        <v>2214</v>
      </c>
      <c r="H316" s="1741" t="s">
        <v>586</v>
      </c>
      <c r="I316" s="1753" t="s">
        <v>2131</v>
      </c>
      <c r="J316" s="1754"/>
      <c r="K316" s="1754" t="s">
        <v>1723</v>
      </c>
      <c r="L316" s="1754" t="s">
        <v>1723</v>
      </c>
      <c r="M316" s="1754"/>
      <c r="N316" s="1756">
        <v>-37013.660000000003</v>
      </c>
      <c r="O316" s="1757">
        <v>-48813.53</v>
      </c>
      <c r="P316" s="1758">
        <v>-78729.63</v>
      </c>
      <c r="Q316" s="1759">
        <v>-77000</v>
      </c>
      <c r="R316" s="1760">
        <v>-77000</v>
      </c>
      <c r="S316" s="1760">
        <v>-44141</v>
      </c>
      <c r="T316" s="1760">
        <v>-44141</v>
      </c>
      <c r="U316" s="1761">
        <v>-27180</v>
      </c>
      <c r="V316" s="1762">
        <v>-77000</v>
      </c>
      <c r="W316" s="1757">
        <v>-77000</v>
      </c>
      <c r="Z316" s="1773">
        <f t="shared" si="90"/>
        <v>0</v>
      </c>
      <c r="AA316" s="1773">
        <f t="shared" si="91"/>
        <v>0</v>
      </c>
      <c r="AB316" s="1773">
        <f t="shared" si="92"/>
        <v>0</v>
      </c>
      <c r="AC316" s="1773">
        <f t="shared" si="93"/>
        <v>0</v>
      </c>
      <c r="AD316" s="1773">
        <f t="shared" si="94"/>
        <v>0</v>
      </c>
      <c r="AE316" s="1773">
        <f t="shared" si="95"/>
        <v>0</v>
      </c>
      <c r="AF316" s="1773">
        <f t="shared" si="96"/>
        <v>0</v>
      </c>
      <c r="AG316" s="1773">
        <f t="shared" si="97"/>
        <v>0</v>
      </c>
      <c r="AH316" s="1773">
        <f t="shared" si="98"/>
        <v>0</v>
      </c>
      <c r="AI316" s="1773">
        <f t="shared" si="99"/>
        <v>0</v>
      </c>
      <c r="AJ316" s="1773">
        <f t="shared" si="100"/>
        <v>0</v>
      </c>
      <c r="AK316" s="1773">
        <f t="shared" si="101"/>
        <v>0</v>
      </c>
      <c r="AL316" s="1773">
        <f t="shared" si="102"/>
        <v>-27180</v>
      </c>
      <c r="AN316" s="1776"/>
      <c r="AO316" s="1776"/>
      <c r="AP316" s="1776"/>
      <c r="AQ316" s="1776"/>
      <c r="AR316" s="1776"/>
      <c r="AS316" s="1776"/>
      <c r="AT316" s="1776"/>
      <c r="AU316" s="1776"/>
      <c r="AV316" s="1776"/>
      <c r="AW316" s="1776"/>
      <c r="AX316" s="1776"/>
      <c r="AY316" s="1776"/>
      <c r="AZ316" s="1776">
        <v>1</v>
      </c>
    </row>
    <row r="317" spans="1:52">
      <c r="A317" s="1479" t="s">
        <v>2693</v>
      </c>
      <c r="B317" s="1479" t="s">
        <v>2694</v>
      </c>
      <c r="C317" s="1741" t="s">
        <v>2108</v>
      </c>
      <c r="D317" s="1741">
        <v>1130</v>
      </c>
      <c r="E317" s="1741">
        <v>5861</v>
      </c>
      <c r="F317" s="1741" t="s">
        <v>1945</v>
      </c>
      <c r="G317" s="1741" t="s">
        <v>2214</v>
      </c>
      <c r="H317" s="1741" t="s">
        <v>586</v>
      </c>
      <c r="I317" s="1753" t="s">
        <v>2131</v>
      </c>
      <c r="J317" s="1754"/>
      <c r="K317" s="1754" t="s">
        <v>1723</v>
      </c>
      <c r="L317" s="1754" t="s">
        <v>1723</v>
      </c>
      <c r="M317" s="1754"/>
      <c r="N317" s="1756">
        <v>0</v>
      </c>
      <c r="O317" s="1757">
        <v>-14001.057341279869</v>
      </c>
      <c r="P317" s="1758">
        <v>12581.181887055456</v>
      </c>
      <c r="Q317" s="1759">
        <v>0</v>
      </c>
      <c r="R317" s="1760">
        <v>0</v>
      </c>
      <c r="S317" s="1760">
        <v>0</v>
      </c>
      <c r="T317" s="1760">
        <v>0</v>
      </c>
      <c r="U317" s="1761">
        <v>0</v>
      </c>
      <c r="V317" s="1762">
        <v>0</v>
      </c>
      <c r="W317" s="1757">
        <v>0</v>
      </c>
      <c r="Z317" s="1773">
        <f t="shared" ref="Z317:Z380" si="103">$AL317*AN317</f>
        <v>0</v>
      </c>
      <c r="AA317" s="1773">
        <f t="shared" ref="AA317:AA380" si="104">$AL317*AO317</f>
        <v>0</v>
      </c>
      <c r="AB317" s="1773">
        <f t="shared" ref="AB317:AB380" si="105">$AL317*AP317</f>
        <v>0</v>
      </c>
      <c r="AC317" s="1773">
        <f t="shared" ref="AC317:AC380" si="106">$AL317*AQ317</f>
        <v>0</v>
      </c>
      <c r="AD317" s="1773">
        <f t="shared" ref="AD317:AD380" si="107">$AL317*AR317</f>
        <v>0</v>
      </c>
      <c r="AE317" s="1773">
        <f t="shared" ref="AE317:AE380" si="108">$AL317*AS317</f>
        <v>0</v>
      </c>
      <c r="AF317" s="1773">
        <f t="shared" ref="AF317:AF380" si="109">$AL317*AT317</f>
        <v>0</v>
      </c>
      <c r="AG317" s="1773">
        <f t="shared" ref="AG317:AG380" si="110">$AL317*AU317</f>
        <v>0</v>
      </c>
      <c r="AH317" s="1773">
        <f t="shared" ref="AH317:AH380" si="111">$AL317*AV317</f>
        <v>0</v>
      </c>
      <c r="AI317" s="1773">
        <f t="shared" ref="AI317:AI380" si="112">$AL317*AW317</f>
        <v>0</v>
      </c>
      <c r="AJ317" s="1773">
        <f t="shared" ref="AJ317:AJ380" si="113">$AL317*AX317</f>
        <v>0</v>
      </c>
      <c r="AK317" s="1773">
        <f t="shared" ref="AK317:AK380" si="114">$AL317*AY317</f>
        <v>0</v>
      </c>
      <c r="AL317" s="1773">
        <f t="shared" si="102"/>
        <v>0</v>
      </c>
      <c r="AN317" s="1776"/>
      <c r="AO317" s="1776"/>
      <c r="AP317" s="1776"/>
      <c r="AQ317" s="1776"/>
      <c r="AR317" s="1776"/>
      <c r="AS317" s="1776"/>
      <c r="AT317" s="1776"/>
      <c r="AU317" s="1776"/>
      <c r="AV317" s="1776"/>
      <c r="AW317" s="1776"/>
      <c r="AX317" s="1776"/>
      <c r="AY317" s="1776"/>
      <c r="AZ317" s="1776">
        <v>1</v>
      </c>
    </row>
    <row r="318" spans="1:52">
      <c r="A318" s="1479" t="s">
        <v>2695</v>
      </c>
      <c r="B318" s="1479" t="s">
        <v>2476</v>
      </c>
      <c r="C318" s="1741" t="s">
        <v>2108</v>
      </c>
      <c r="D318" s="1741">
        <v>1130</v>
      </c>
      <c r="E318" s="1741">
        <v>5870</v>
      </c>
      <c r="F318" s="1741" t="s">
        <v>1945</v>
      </c>
      <c r="G318" s="1741" t="s">
        <v>2214</v>
      </c>
      <c r="H318" s="1741" t="s">
        <v>586</v>
      </c>
      <c r="I318" s="1753" t="s">
        <v>2120</v>
      </c>
      <c r="J318" s="1754"/>
      <c r="K318" s="1754" t="s">
        <v>1666</v>
      </c>
      <c r="L318" s="1754" t="s">
        <v>1666</v>
      </c>
      <c r="M318" s="1754"/>
      <c r="N318" s="1756">
        <v>-15516.79</v>
      </c>
      <c r="O318" s="1757">
        <v>-8182.52</v>
      </c>
      <c r="P318" s="1758">
        <v>-7544.32</v>
      </c>
      <c r="Q318" s="1759">
        <v>-11000</v>
      </c>
      <c r="R318" s="1760">
        <v>-11000</v>
      </c>
      <c r="S318" s="1760">
        <v>-7807</v>
      </c>
      <c r="T318" s="1760">
        <v>-7807</v>
      </c>
      <c r="U318" s="1761">
        <v>-7000</v>
      </c>
      <c r="V318" s="1762">
        <v>-12000</v>
      </c>
      <c r="W318" s="1757">
        <v>-13000</v>
      </c>
      <c r="Z318" s="1773">
        <f t="shared" si="103"/>
        <v>0</v>
      </c>
      <c r="AA318" s="1773">
        <f t="shared" si="104"/>
        <v>0</v>
      </c>
      <c r="AB318" s="1773">
        <f t="shared" si="105"/>
        <v>0</v>
      </c>
      <c r="AC318" s="1773">
        <f t="shared" si="106"/>
        <v>0</v>
      </c>
      <c r="AD318" s="1773">
        <f t="shared" si="107"/>
        <v>0</v>
      </c>
      <c r="AE318" s="1773">
        <f t="shared" si="108"/>
        <v>0</v>
      </c>
      <c r="AF318" s="1773">
        <f t="shared" si="109"/>
        <v>0</v>
      </c>
      <c r="AG318" s="1773">
        <f t="shared" si="110"/>
        <v>0</v>
      </c>
      <c r="AH318" s="1773">
        <f t="shared" si="111"/>
        <v>0</v>
      </c>
      <c r="AI318" s="1773">
        <f t="shared" si="112"/>
        <v>0</v>
      </c>
      <c r="AJ318" s="1773">
        <f t="shared" si="113"/>
        <v>0</v>
      </c>
      <c r="AK318" s="1773">
        <f t="shared" si="114"/>
        <v>0</v>
      </c>
      <c r="AL318" s="1773">
        <f t="shared" si="102"/>
        <v>-7000</v>
      </c>
      <c r="AN318" s="1776"/>
      <c r="AO318" s="1776"/>
      <c r="AP318" s="1776"/>
      <c r="AQ318" s="1776"/>
      <c r="AR318" s="1776"/>
      <c r="AS318" s="1776"/>
      <c r="AT318" s="1776"/>
      <c r="AU318" s="1776"/>
      <c r="AV318" s="1776"/>
      <c r="AW318" s="1776"/>
      <c r="AX318" s="1776"/>
      <c r="AY318" s="1776"/>
      <c r="AZ318" s="1776">
        <v>1</v>
      </c>
    </row>
    <row r="319" spans="1:52">
      <c r="A319" s="1479" t="s">
        <v>2696</v>
      </c>
      <c r="B319" s="1479" t="s">
        <v>2697</v>
      </c>
      <c r="C319" s="1741" t="s">
        <v>2108</v>
      </c>
      <c r="D319" s="1741">
        <v>1130</v>
      </c>
      <c r="E319" s="1741">
        <v>5990</v>
      </c>
      <c r="F319" s="1741" t="s">
        <v>1945</v>
      </c>
      <c r="G319" s="1741" t="s">
        <v>2214</v>
      </c>
      <c r="H319" s="1741" t="s">
        <v>586</v>
      </c>
      <c r="I319" s="1753" t="s">
        <v>2140</v>
      </c>
      <c r="J319" s="1754"/>
      <c r="K319" s="1754" t="s">
        <v>493</v>
      </c>
      <c r="L319" s="1754" t="s">
        <v>493</v>
      </c>
      <c r="M319" s="1754"/>
      <c r="N319" s="1756">
        <v>-1335514.96</v>
      </c>
      <c r="O319" s="1757">
        <v>-1520977.19</v>
      </c>
      <c r="P319" s="1758">
        <v>-1738372.84</v>
      </c>
      <c r="Q319" s="1759">
        <v>-1800000</v>
      </c>
      <c r="R319" s="1760">
        <v>-1800000</v>
      </c>
      <c r="S319" s="1760">
        <v>-1702189</v>
      </c>
      <c r="T319" s="1760">
        <v>-1702189</v>
      </c>
      <c r="U319" s="1761">
        <v>-1800000</v>
      </c>
      <c r="V319" s="1762">
        <v>-1800000</v>
      </c>
      <c r="W319" s="1757">
        <v>-1800000</v>
      </c>
      <c r="Z319" s="1773">
        <f t="shared" si="103"/>
        <v>0</v>
      </c>
      <c r="AA319" s="1773">
        <f t="shared" si="104"/>
        <v>0</v>
      </c>
      <c r="AB319" s="1773">
        <f t="shared" si="105"/>
        <v>0</v>
      </c>
      <c r="AC319" s="1773">
        <f t="shared" si="106"/>
        <v>0</v>
      </c>
      <c r="AD319" s="1773">
        <f t="shared" si="107"/>
        <v>0</v>
      </c>
      <c r="AE319" s="1773">
        <f t="shared" si="108"/>
        <v>0</v>
      </c>
      <c r="AF319" s="1773">
        <f t="shared" si="109"/>
        <v>0</v>
      </c>
      <c r="AG319" s="1773">
        <f t="shared" si="110"/>
        <v>0</v>
      </c>
      <c r="AH319" s="1773">
        <f t="shared" si="111"/>
        <v>0</v>
      </c>
      <c r="AI319" s="1773">
        <f t="shared" si="112"/>
        <v>0</v>
      </c>
      <c r="AJ319" s="1773">
        <f t="shared" si="113"/>
        <v>0</v>
      </c>
      <c r="AK319" s="1773">
        <f t="shared" si="114"/>
        <v>0</v>
      </c>
      <c r="AL319" s="1773">
        <f t="shared" si="102"/>
        <v>-1800000</v>
      </c>
      <c r="AN319" s="1776"/>
      <c r="AO319" s="1776"/>
      <c r="AP319" s="1776"/>
      <c r="AQ319" s="1776"/>
      <c r="AR319" s="1776"/>
      <c r="AS319" s="1776"/>
      <c r="AT319" s="1776"/>
      <c r="AU319" s="1776"/>
      <c r="AV319" s="1776"/>
      <c r="AW319" s="1776"/>
      <c r="AX319" s="1776"/>
      <c r="AY319" s="1776"/>
      <c r="AZ319" s="1776">
        <v>1</v>
      </c>
    </row>
    <row r="320" spans="1:52">
      <c r="A320" s="1479" t="s">
        <v>2698</v>
      </c>
      <c r="B320" s="1479" t="s">
        <v>2699</v>
      </c>
      <c r="C320" s="1741" t="s">
        <v>2108</v>
      </c>
      <c r="D320" s="1741">
        <v>1130</v>
      </c>
      <c r="E320" s="1741">
        <v>6140</v>
      </c>
      <c r="F320" s="1741" t="s">
        <v>1945</v>
      </c>
      <c r="G320" s="1741" t="s">
        <v>2214</v>
      </c>
      <c r="H320" s="1741" t="s">
        <v>586</v>
      </c>
      <c r="I320" s="1753" t="s">
        <v>3017</v>
      </c>
      <c r="J320" s="1754"/>
      <c r="K320" s="1753" t="s">
        <v>1666</v>
      </c>
      <c r="L320" s="1753" t="s">
        <v>1666</v>
      </c>
      <c r="M320" s="1754"/>
      <c r="N320" s="1756">
        <v>0</v>
      </c>
      <c r="O320" s="1757">
        <v>-72954.31</v>
      </c>
      <c r="P320" s="1758">
        <v>-276111.84999999998</v>
      </c>
      <c r="Q320" s="1759">
        <v>0</v>
      </c>
      <c r="R320" s="1760">
        <v>0</v>
      </c>
      <c r="S320" s="1760">
        <v>0</v>
      </c>
      <c r="T320" s="1760">
        <v>0</v>
      </c>
      <c r="U320" s="1761">
        <v>0</v>
      </c>
      <c r="V320" s="1762">
        <v>0</v>
      </c>
      <c r="W320" s="1757">
        <v>0</v>
      </c>
      <c r="Z320" s="1773">
        <f t="shared" si="103"/>
        <v>0</v>
      </c>
      <c r="AA320" s="1773">
        <f t="shared" si="104"/>
        <v>0</v>
      </c>
      <c r="AB320" s="1773">
        <f t="shared" si="105"/>
        <v>0</v>
      </c>
      <c r="AC320" s="1773">
        <f t="shared" si="106"/>
        <v>0</v>
      </c>
      <c r="AD320" s="1773">
        <f t="shared" si="107"/>
        <v>0</v>
      </c>
      <c r="AE320" s="1773">
        <f t="shared" si="108"/>
        <v>0</v>
      </c>
      <c r="AF320" s="1773">
        <f t="shared" si="109"/>
        <v>0</v>
      </c>
      <c r="AG320" s="1773">
        <f t="shared" si="110"/>
        <v>0</v>
      </c>
      <c r="AH320" s="1773">
        <f t="shared" si="111"/>
        <v>0</v>
      </c>
      <c r="AI320" s="1773">
        <f t="shared" si="112"/>
        <v>0</v>
      </c>
      <c r="AJ320" s="1773">
        <f t="shared" si="113"/>
        <v>0</v>
      </c>
      <c r="AK320" s="1773">
        <f t="shared" si="114"/>
        <v>0</v>
      </c>
      <c r="AL320" s="1773">
        <f t="shared" si="102"/>
        <v>0</v>
      </c>
      <c r="AN320" s="1776"/>
      <c r="AO320" s="1776"/>
      <c r="AP320" s="1776"/>
      <c r="AQ320" s="1776"/>
      <c r="AR320" s="1776"/>
      <c r="AS320" s="1776"/>
      <c r="AT320" s="1776"/>
      <c r="AU320" s="1776"/>
      <c r="AV320" s="1776"/>
      <c r="AW320" s="1776"/>
      <c r="AX320" s="1776"/>
      <c r="AY320" s="1776"/>
      <c r="AZ320" s="1776">
        <v>1</v>
      </c>
    </row>
    <row r="321" spans="1:52">
      <c r="A321" s="1479" t="s">
        <v>2700</v>
      </c>
      <c r="B321" s="1479" t="s">
        <v>2701</v>
      </c>
      <c r="C321" s="1741" t="s">
        <v>2108</v>
      </c>
      <c r="D321" s="1741">
        <v>1130</v>
      </c>
      <c r="E321" s="1741">
        <v>6240</v>
      </c>
      <c r="F321" s="1741" t="s">
        <v>1945</v>
      </c>
      <c r="G321" s="1741" t="s">
        <v>2214</v>
      </c>
      <c r="H321" s="1741" t="s">
        <v>1658</v>
      </c>
      <c r="I321" s="1753" t="s">
        <v>2114</v>
      </c>
      <c r="J321" s="1754"/>
      <c r="K321" s="1753" t="s">
        <v>2114</v>
      </c>
      <c r="L321" s="1754" t="s">
        <v>502</v>
      </c>
      <c r="M321" s="1754"/>
      <c r="N321" s="1756">
        <v>63784.05</v>
      </c>
      <c r="O321" s="1757">
        <v>38272.5</v>
      </c>
      <c r="P321" s="1758">
        <v>19720.73</v>
      </c>
      <c r="Q321" s="1759">
        <v>30000</v>
      </c>
      <c r="R321" s="1760">
        <v>30000</v>
      </c>
      <c r="S321" s="1760">
        <v>28247</v>
      </c>
      <c r="T321" s="1760">
        <v>28247</v>
      </c>
      <c r="U321" s="1761">
        <v>0</v>
      </c>
      <c r="V321" s="1762">
        <v>30000</v>
      </c>
      <c r="W321" s="1757">
        <v>30000</v>
      </c>
      <c r="Z321" s="1773">
        <f t="shared" si="103"/>
        <v>0</v>
      </c>
      <c r="AA321" s="1773">
        <f t="shared" si="104"/>
        <v>0</v>
      </c>
      <c r="AB321" s="1773">
        <f t="shared" si="105"/>
        <v>0</v>
      </c>
      <c r="AC321" s="1773">
        <f t="shared" si="106"/>
        <v>0</v>
      </c>
      <c r="AD321" s="1773">
        <f t="shared" si="107"/>
        <v>0</v>
      </c>
      <c r="AE321" s="1773">
        <f t="shared" si="108"/>
        <v>0</v>
      </c>
      <c r="AF321" s="1773">
        <f t="shared" si="109"/>
        <v>0</v>
      </c>
      <c r="AG321" s="1773">
        <f t="shared" si="110"/>
        <v>0</v>
      </c>
      <c r="AH321" s="1773">
        <f t="shared" si="111"/>
        <v>0</v>
      </c>
      <c r="AI321" s="1773">
        <f t="shared" si="112"/>
        <v>0</v>
      </c>
      <c r="AJ321" s="1773">
        <f t="shared" si="113"/>
        <v>0</v>
      </c>
      <c r="AK321" s="1773">
        <f t="shared" si="114"/>
        <v>0</v>
      </c>
      <c r="AL321" s="1773">
        <f t="shared" si="102"/>
        <v>0</v>
      </c>
      <c r="AN321" s="1776"/>
      <c r="AO321" s="1776"/>
      <c r="AP321" s="1776"/>
      <c r="AQ321" s="1776"/>
      <c r="AR321" s="1776"/>
      <c r="AS321" s="1776"/>
      <c r="AT321" s="1776"/>
      <c r="AU321" s="1776"/>
      <c r="AV321" s="1776"/>
      <c r="AW321" s="1776"/>
      <c r="AX321" s="1776"/>
      <c r="AY321" s="1776"/>
      <c r="AZ321" s="1776">
        <v>1</v>
      </c>
    </row>
    <row r="322" spans="1:52">
      <c r="A322" s="1479" t="s">
        <v>2702</v>
      </c>
      <c r="B322" s="1479" t="s">
        <v>2703</v>
      </c>
      <c r="C322" s="1741" t="s">
        <v>2108</v>
      </c>
      <c r="D322" s="1741">
        <v>1130</v>
      </c>
      <c r="E322" s="1741">
        <v>6250</v>
      </c>
      <c r="F322" s="1741" t="s">
        <v>1945</v>
      </c>
      <c r="G322" s="1741" t="s">
        <v>2214</v>
      </c>
      <c r="H322" s="1741" t="s">
        <v>586</v>
      </c>
      <c r="I322" s="1753" t="s">
        <v>2136</v>
      </c>
      <c r="J322" s="1754"/>
      <c r="K322" s="1754" t="s">
        <v>1610</v>
      </c>
      <c r="L322" s="1754" t="s">
        <v>1610</v>
      </c>
      <c r="M322" s="1754"/>
      <c r="N322" s="1756">
        <v>-38209.160000000003</v>
      </c>
      <c r="O322" s="1757">
        <v>-40785.32</v>
      </c>
      <c r="P322" s="1758">
        <v>-13568.14</v>
      </c>
      <c r="Q322" s="1759">
        <v>-20000</v>
      </c>
      <c r="R322" s="1760">
        <v>-20000</v>
      </c>
      <c r="S322" s="1760">
        <v>-16877</v>
      </c>
      <c r="T322" s="1760">
        <v>-16877</v>
      </c>
      <c r="U322" s="1761">
        <v>-20000</v>
      </c>
      <c r="V322" s="1762">
        <v>-20000</v>
      </c>
      <c r="W322" s="1757">
        <v>-20000</v>
      </c>
      <c r="Z322" s="1773">
        <f t="shared" si="103"/>
        <v>0</v>
      </c>
      <c r="AA322" s="1773">
        <f t="shared" si="104"/>
        <v>0</v>
      </c>
      <c r="AB322" s="1773">
        <f t="shared" si="105"/>
        <v>0</v>
      </c>
      <c r="AC322" s="1773">
        <f t="shared" si="106"/>
        <v>0</v>
      </c>
      <c r="AD322" s="1773">
        <f t="shared" si="107"/>
        <v>0</v>
      </c>
      <c r="AE322" s="1773">
        <f t="shared" si="108"/>
        <v>0</v>
      </c>
      <c r="AF322" s="1773">
        <f t="shared" si="109"/>
        <v>0</v>
      </c>
      <c r="AG322" s="1773">
        <f t="shared" si="110"/>
        <v>0</v>
      </c>
      <c r="AH322" s="1773">
        <f t="shared" si="111"/>
        <v>0</v>
      </c>
      <c r="AI322" s="1773">
        <f t="shared" si="112"/>
        <v>0</v>
      </c>
      <c r="AJ322" s="1773">
        <f t="shared" si="113"/>
        <v>0</v>
      </c>
      <c r="AK322" s="1773">
        <f t="shared" si="114"/>
        <v>0</v>
      </c>
      <c r="AL322" s="1773">
        <f t="shared" ref="AL322:AL385" si="115">U322</f>
        <v>-20000</v>
      </c>
      <c r="AN322" s="1776"/>
      <c r="AO322" s="1776"/>
      <c r="AP322" s="1776"/>
      <c r="AQ322" s="1776"/>
      <c r="AR322" s="1776"/>
      <c r="AS322" s="1776"/>
      <c r="AT322" s="1776"/>
      <c r="AU322" s="1776"/>
      <c r="AV322" s="1776"/>
      <c r="AW322" s="1776"/>
      <c r="AX322" s="1776"/>
      <c r="AY322" s="1776"/>
      <c r="AZ322" s="1776">
        <v>1</v>
      </c>
    </row>
    <row r="323" spans="1:52">
      <c r="A323" s="1479" t="s">
        <v>2704</v>
      </c>
      <c r="B323" s="1479" t="s">
        <v>2480</v>
      </c>
      <c r="C323" s="1741" t="s">
        <v>2108</v>
      </c>
      <c r="D323" s="1741">
        <v>1130</v>
      </c>
      <c r="E323" s="1741">
        <v>6340</v>
      </c>
      <c r="F323" s="1741" t="s">
        <v>1945</v>
      </c>
      <c r="G323" s="1741" t="s">
        <v>2214</v>
      </c>
      <c r="H323" s="1741" t="s">
        <v>586</v>
      </c>
      <c r="I323" s="1753" t="s">
        <v>2120</v>
      </c>
      <c r="J323" s="1754"/>
      <c r="K323" s="1754" t="s">
        <v>1666</v>
      </c>
      <c r="L323" s="1754" t="s">
        <v>1666</v>
      </c>
      <c r="M323" s="1754"/>
      <c r="N323" s="1756">
        <v>-9097.3500000000058</v>
      </c>
      <c r="O323" s="1757">
        <v>-9254.2000000000007</v>
      </c>
      <c r="P323" s="1758">
        <v>-3240.6</v>
      </c>
      <c r="Q323" s="1759">
        <v>-12000</v>
      </c>
      <c r="R323" s="1760">
        <v>-12000</v>
      </c>
      <c r="S323" s="1760">
        <v>-6397</v>
      </c>
      <c r="T323" s="1760">
        <v>-6397</v>
      </c>
      <c r="U323" s="1761">
        <v>-3000</v>
      </c>
      <c r="V323" s="1762">
        <v>-13000</v>
      </c>
      <c r="W323" s="1757">
        <v>-14000</v>
      </c>
      <c r="Z323" s="1773">
        <f t="shared" si="103"/>
        <v>0</v>
      </c>
      <c r="AA323" s="1773">
        <f t="shared" si="104"/>
        <v>0</v>
      </c>
      <c r="AB323" s="1773">
        <f t="shared" si="105"/>
        <v>0</v>
      </c>
      <c r="AC323" s="1773">
        <f t="shared" si="106"/>
        <v>0</v>
      </c>
      <c r="AD323" s="1773">
        <f t="shared" si="107"/>
        <v>0</v>
      </c>
      <c r="AE323" s="1773">
        <f t="shared" si="108"/>
        <v>0</v>
      </c>
      <c r="AF323" s="1773">
        <f t="shared" si="109"/>
        <v>0</v>
      </c>
      <c r="AG323" s="1773">
        <f t="shared" si="110"/>
        <v>0</v>
      </c>
      <c r="AH323" s="1773">
        <f t="shared" si="111"/>
        <v>0</v>
      </c>
      <c r="AI323" s="1773">
        <f t="shared" si="112"/>
        <v>0</v>
      </c>
      <c r="AJ323" s="1773">
        <f t="shared" si="113"/>
        <v>0</v>
      </c>
      <c r="AK323" s="1773">
        <f t="shared" si="114"/>
        <v>0</v>
      </c>
      <c r="AL323" s="1773">
        <f t="shared" si="115"/>
        <v>-3000</v>
      </c>
      <c r="AN323" s="1776"/>
      <c r="AO323" s="1776"/>
      <c r="AP323" s="1776"/>
      <c r="AQ323" s="1776"/>
      <c r="AR323" s="1776"/>
      <c r="AS323" s="1776"/>
      <c r="AT323" s="1776"/>
      <c r="AU323" s="1776"/>
      <c r="AV323" s="1776"/>
      <c r="AW323" s="1776"/>
      <c r="AX323" s="1776"/>
      <c r="AY323" s="1776"/>
      <c r="AZ323" s="1776">
        <v>1</v>
      </c>
    </row>
    <row r="324" spans="1:52">
      <c r="A324" s="1479" t="s">
        <v>2705</v>
      </c>
      <c r="B324" s="1479" t="s">
        <v>2482</v>
      </c>
      <c r="C324" s="1741" t="s">
        <v>2108</v>
      </c>
      <c r="D324" s="1741">
        <v>1130</v>
      </c>
      <c r="E324" s="1741">
        <v>6420</v>
      </c>
      <c r="F324" s="1741" t="s">
        <v>1945</v>
      </c>
      <c r="G324" s="1741" t="s">
        <v>2214</v>
      </c>
      <c r="H324" s="1741" t="s">
        <v>586</v>
      </c>
      <c r="I324" s="1753" t="s">
        <v>2120</v>
      </c>
      <c r="J324" s="1754"/>
      <c r="K324" s="1754" t="s">
        <v>1666</v>
      </c>
      <c r="L324" s="1754" t="s">
        <v>1666</v>
      </c>
      <c r="M324" s="1754"/>
      <c r="N324" s="1756">
        <v>-1500</v>
      </c>
      <c r="O324" s="1757">
        <v>-84375</v>
      </c>
      <c r="P324" s="1758">
        <v>-5280</v>
      </c>
      <c r="Q324" s="1759">
        <v>-4000</v>
      </c>
      <c r="R324" s="1760">
        <v>-4000</v>
      </c>
      <c r="S324" s="1760">
        <v>-8807</v>
      </c>
      <c r="T324" s="1760">
        <v>-8807</v>
      </c>
      <c r="U324" s="1761">
        <v>-1000</v>
      </c>
      <c r="V324" s="1762">
        <v>-4000</v>
      </c>
      <c r="W324" s="1757">
        <v>-4000</v>
      </c>
      <c r="Z324" s="1773">
        <f t="shared" si="103"/>
        <v>0</v>
      </c>
      <c r="AA324" s="1773">
        <f t="shared" si="104"/>
        <v>0</v>
      </c>
      <c r="AB324" s="1773">
        <f t="shared" si="105"/>
        <v>0</v>
      </c>
      <c r="AC324" s="1773">
        <f t="shared" si="106"/>
        <v>0</v>
      </c>
      <c r="AD324" s="1773">
        <f t="shared" si="107"/>
        <v>0</v>
      </c>
      <c r="AE324" s="1773">
        <f t="shared" si="108"/>
        <v>0</v>
      </c>
      <c r="AF324" s="1773">
        <f t="shared" si="109"/>
        <v>0</v>
      </c>
      <c r="AG324" s="1773">
        <f t="shared" si="110"/>
        <v>0</v>
      </c>
      <c r="AH324" s="1773">
        <f t="shared" si="111"/>
        <v>0</v>
      </c>
      <c r="AI324" s="1773">
        <f t="shared" si="112"/>
        <v>0</v>
      </c>
      <c r="AJ324" s="1773">
        <f t="shared" si="113"/>
        <v>0</v>
      </c>
      <c r="AK324" s="1773">
        <f t="shared" si="114"/>
        <v>0</v>
      </c>
      <c r="AL324" s="1773">
        <f t="shared" si="115"/>
        <v>-1000</v>
      </c>
      <c r="AN324" s="1776"/>
      <c r="AO324" s="1776"/>
      <c r="AP324" s="1776"/>
      <c r="AQ324" s="1776"/>
      <c r="AR324" s="1776"/>
      <c r="AS324" s="1776"/>
      <c r="AT324" s="1776"/>
      <c r="AU324" s="1776"/>
      <c r="AV324" s="1776"/>
      <c r="AW324" s="1776"/>
      <c r="AX324" s="1776"/>
      <c r="AY324" s="1776"/>
      <c r="AZ324" s="1776">
        <v>1</v>
      </c>
    </row>
    <row r="325" spans="1:52">
      <c r="A325" t="s">
        <v>2706</v>
      </c>
      <c r="B325" t="s">
        <v>2707</v>
      </c>
      <c r="C325" s="1741" t="s">
        <v>2108</v>
      </c>
      <c r="D325" s="1741">
        <v>1130</v>
      </c>
      <c r="E325" s="1741">
        <v>6430</v>
      </c>
      <c r="F325" s="1741" t="s">
        <v>1945</v>
      </c>
      <c r="G325" s="1741" t="s">
        <v>2214</v>
      </c>
      <c r="H325" s="1741" t="s">
        <v>586</v>
      </c>
      <c r="I325" s="1753" t="s">
        <v>2120</v>
      </c>
      <c r="J325" s="1754"/>
      <c r="K325" s="1754" t="s">
        <v>1666</v>
      </c>
      <c r="L325" s="1754" t="s">
        <v>1666</v>
      </c>
      <c r="M325" s="1754"/>
      <c r="N325" s="1756"/>
      <c r="O325" s="1757"/>
      <c r="P325" s="1758"/>
      <c r="Q325" s="1759">
        <v>-500</v>
      </c>
      <c r="R325" s="1760">
        <v>-500</v>
      </c>
      <c r="S325" s="1760">
        <v>-164</v>
      </c>
      <c r="T325" s="1760">
        <v>-164</v>
      </c>
      <c r="U325" s="1761">
        <v>-1000</v>
      </c>
      <c r="V325" s="1762">
        <v>-500</v>
      </c>
      <c r="W325" s="1757">
        <v>-500</v>
      </c>
      <c r="Z325" s="1773">
        <f t="shared" si="103"/>
        <v>0</v>
      </c>
      <c r="AA325" s="1773">
        <f t="shared" si="104"/>
        <v>0</v>
      </c>
      <c r="AB325" s="1773">
        <f t="shared" si="105"/>
        <v>0</v>
      </c>
      <c r="AC325" s="1773">
        <f t="shared" si="106"/>
        <v>0</v>
      </c>
      <c r="AD325" s="1773">
        <f t="shared" si="107"/>
        <v>0</v>
      </c>
      <c r="AE325" s="1773">
        <f t="shared" si="108"/>
        <v>0</v>
      </c>
      <c r="AF325" s="1773">
        <f t="shared" si="109"/>
        <v>0</v>
      </c>
      <c r="AG325" s="1773">
        <f t="shared" si="110"/>
        <v>0</v>
      </c>
      <c r="AH325" s="1773">
        <f t="shared" si="111"/>
        <v>0</v>
      </c>
      <c r="AI325" s="1773">
        <f t="shared" si="112"/>
        <v>0</v>
      </c>
      <c r="AJ325" s="1773">
        <f t="shared" si="113"/>
        <v>0</v>
      </c>
      <c r="AK325" s="1773">
        <f t="shared" si="114"/>
        <v>0</v>
      </c>
      <c r="AL325" s="1773">
        <f t="shared" si="115"/>
        <v>-1000</v>
      </c>
      <c r="AN325" s="1776"/>
      <c r="AO325" s="1776"/>
      <c r="AP325" s="1776"/>
      <c r="AQ325" s="1776"/>
      <c r="AR325" s="1776"/>
      <c r="AS325" s="1776"/>
      <c r="AT325" s="1776"/>
      <c r="AU325" s="1776"/>
      <c r="AV325" s="1776"/>
      <c r="AW325" s="1776"/>
      <c r="AX325" s="1776"/>
      <c r="AY325" s="1776"/>
      <c r="AZ325" s="1776">
        <v>1</v>
      </c>
    </row>
    <row r="326" spans="1:52" ht="13.5">
      <c r="A326" t="s">
        <v>2708</v>
      </c>
      <c r="B326" t="s">
        <v>2709</v>
      </c>
      <c r="C326" s="1741" t="s">
        <v>2108</v>
      </c>
      <c r="D326" s="1741">
        <v>1130</v>
      </c>
      <c r="E326" s="1741">
        <v>6481</v>
      </c>
      <c r="F326" s="1741" t="s">
        <v>1945</v>
      </c>
      <c r="G326" s="1741" t="s">
        <v>2214</v>
      </c>
      <c r="H326" s="1741" t="s">
        <v>586</v>
      </c>
      <c r="I326" s="1753" t="s">
        <v>2121</v>
      </c>
      <c r="J326" s="1754" t="s">
        <v>3016</v>
      </c>
      <c r="K326" s="236" t="s">
        <v>35</v>
      </c>
      <c r="L326" s="1754" t="s">
        <v>2128</v>
      </c>
      <c r="M326" s="1754"/>
      <c r="N326" s="1756"/>
      <c r="O326" s="1757"/>
      <c r="P326" s="1758"/>
      <c r="Q326" s="1759">
        <v>-750000</v>
      </c>
      <c r="R326" s="1760">
        <v>-750000</v>
      </c>
      <c r="S326" s="1760">
        <v>-1002000</v>
      </c>
      <c r="T326" s="1760">
        <v>-1002000</v>
      </c>
      <c r="U326" s="1761">
        <v>-790000</v>
      </c>
      <c r="V326" s="1762">
        <v>-800000</v>
      </c>
      <c r="W326" s="1757">
        <v>-900000</v>
      </c>
      <c r="Z326" s="1773">
        <f t="shared" si="103"/>
        <v>0</v>
      </c>
      <c r="AA326" s="1773">
        <f t="shared" si="104"/>
        <v>0</v>
      </c>
      <c r="AB326" s="1773">
        <f t="shared" si="105"/>
        <v>0</v>
      </c>
      <c r="AC326" s="1773">
        <f t="shared" si="106"/>
        <v>0</v>
      </c>
      <c r="AD326" s="1773">
        <f t="shared" si="107"/>
        <v>0</v>
      </c>
      <c r="AE326" s="1773">
        <f t="shared" si="108"/>
        <v>0</v>
      </c>
      <c r="AF326" s="1773">
        <f t="shared" si="109"/>
        <v>0</v>
      </c>
      <c r="AG326" s="1773">
        <f t="shared" si="110"/>
        <v>0</v>
      </c>
      <c r="AH326" s="1773">
        <f t="shared" si="111"/>
        <v>0</v>
      </c>
      <c r="AI326" s="1773">
        <f t="shared" si="112"/>
        <v>0</v>
      </c>
      <c r="AJ326" s="1773">
        <f t="shared" si="113"/>
        <v>0</v>
      </c>
      <c r="AK326" s="1773">
        <f t="shared" si="114"/>
        <v>0</v>
      </c>
      <c r="AL326" s="1773">
        <f t="shared" si="115"/>
        <v>-790000</v>
      </c>
      <c r="AN326" s="1776"/>
      <c r="AO326" s="1776"/>
      <c r="AP326" s="1776"/>
      <c r="AQ326" s="1776"/>
      <c r="AR326" s="1776"/>
      <c r="AS326" s="1776"/>
      <c r="AT326" s="1776"/>
      <c r="AU326" s="1776"/>
      <c r="AV326" s="1776"/>
      <c r="AW326" s="1776"/>
      <c r="AX326" s="1776"/>
      <c r="AY326" s="1776"/>
      <c r="AZ326" s="1776">
        <v>1</v>
      </c>
    </row>
    <row r="327" spans="1:52" ht="13.5">
      <c r="A327" s="1479" t="s">
        <v>2710</v>
      </c>
      <c r="B327" s="1479" t="s">
        <v>2243</v>
      </c>
      <c r="C327" s="1741" t="s">
        <v>2108</v>
      </c>
      <c r="D327" s="1741">
        <v>1200</v>
      </c>
      <c r="E327" s="1741">
        <v>520</v>
      </c>
      <c r="F327" s="1741" t="s">
        <v>2225</v>
      </c>
      <c r="G327" s="1741" t="s">
        <v>2133</v>
      </c>
      <c r="H327" s="1741" t="s">
        <v>1658</v>
      </c>
      <c r="I327" s="1753" t="s">
        <v>2114</v>
      </c>
      <c r="J327" s="1754" t="s">
        <v>2138</v>
      </c>
      <c r="K327" s="1753" t="s">
        <v>2114</v>
      </c>
      <c r="L327" s="1754" t="s">
        <v>2138</v>
      </c>
      <c r="M327" s="1763"/>
      <c r="N327" s="1756">
        <v>11083.43</v>
      </c>
      <c r="O327" s="1757">
        <v>10420.959999999999</v>
      </c>
      <c r="P327" s="1758">
        <v>10420.32</v>
      </c>
      <c r="Q327" s="1759">
        <v>13985</v>
      </c>
      <c r="R327" s="1760">
        <v>0</v>
      </c>
      <c r="S327" s="1760">
        <v>0</v>
      </c>
      <c r="T327" s="1760">
        <v>0</v>
      </c>
      <c r="U327" s="1761">
        <v>0</v>
      </c>
      <c r="V327" s="1762">
        <v>16085</v>
      </c>
      <c r="W327" s="1757">
        <v>18495</v>
      </c>
      <c r="Z327" s="1773">
        <f t="shared" si="103"/>
        <v>0</v>
      </c>
      <c r="AA327" s="1773">
        <f t="shared" si="104"/>
        <v>0</v>
      </c>
      <c r="AB327" s="1773">
        <f t="shared" si="105"/>
        <v>0</v>
      </c>
      <c r="AC327" s="1773">
        <f t="shared" si="106"/>
        <v>0</v>
      </c>
      <c r="AD327" s="1773">
        <f t="shared" si="107"/>
        <v>0</v>
      </c>
      <c r="AE327" s="1773">
        <f t="shared" si="108"/>
        <v>0</v>
      </c>
      <c r="AF327" s="1773">
        <f t="shared" si="109"/>
        <v>0</v>
      </c>
      <c r="AG327" s="1773">
        <f t="shared" si="110"/>
        <v>0</v>
      </c>
      <c r="AH327" s="1773">
        <f t="shared" si="111"/>
        <v>0</v>
      </c>
      <c r="AI327" s="1773">
        <f t="shared" si="112"/>
        <v>0</v>
      </c>
      <c r="AJ327" s="1773">
        <f t="shared" si="113"/>
        <v>0</v>
      </c>
      <c r="AK327" s="1773">
        <f t="shared" si="114"/>
        <v>0</v>
      </c>
      <c r="AL327" s="1773">
        <f t="shared" si="115"/>
        <v>0</v>
      </c>
      <c r="AN327" s="1776"/>
      <c r="AO327" s="1776"/>
      <c r="AP327" s="1776"/>
      <c r="AQ327" s="1776"/>
      <c r="AR327" s="1776"/>
      <c r="AS327" s="1776"/>
      <c r="AT327" s="1776"/>
      <c r="AU327" s="1776"/>
      <c r="AV327" s="1776"/>
      <c r="AW327" s="1776"/>
      <c r="AX327" s="1776"/>
      <c r="AY327" s="1776"/>
      <c r="AZ327" s="1776">
        <v>1</v>
      </c>
    </row>
    <row r="328" spans="1:52" ht="13.5">
      <c r="A328" t="s">
        <v>2711</v>
      </c>
      <c r="B328" t="s">
        <v>2245</v>
      </c>
      <c r="C328" s="1741" t="s">
        <v>2108</v>
      </c>
      <c r="D328" s="1741">
        <v>1200</v>
      </c>
      <c r="E328" s="1741">
        <v>650</v>
      </c>
      <c r="F328" s="1741" t="s">
        <v>2225</v>
      </c>
      <c r="G328" s="1741" t="s">
        <v>2133</v>
      </c>
      <c r="H328" s="1741" t="s">
        <v>1658</v>
      </c>
      <c r="I328" s="1753" t="s">
        <v>2114</v>
      </c>
      <c r="J328" s="1754" t="s">
        <v>3006</v>
      </c>
      <c r="K328" s="1753" t="s">
        <v>2114</v>
      </c>
      <c r="L328" s="1754" t="s">
        <v>3006</v>
      </c>
      <c r="M328" s="1763"/>
      <c r="N328" s="1756"/>
      <c r="O328" s="1757"/>
      <c r="P328" s="1758"/>
      <c r="Q328" s="1759">
        <v>3000</v>
      </c>
      <c r="R328" s="1760">
        <v>3000</v>
      </c>
      <c r="S328" s="1760">
        <v>336</v>
      </c>
      <c r="T328" s="1760">
        <v>336</v>
      </c>
      <c r="U328" s="1761">
        <v>3000</v>
      </c>
      <c r="V328" s="1762">
        <v>3000</v>
      </c>
      <c r="W328" s="1757">
        <v>3000</v>
      </c>
      <c r="Z328" s="1773">
        <f t="shared" si="103"/>
        <v>0</v>
      </c>
      <c r="AA328" s="1773">
        <f t="shared" si="104"/>
        <v>0</v>
      </c>
      <c r="AB328" s="1773">
        <f t="shared" si="105"/>
        <v>0</v>
      </c>
      <c r="AC328" s="1773">
        <f t="shared" si="106"/>
        <v>0</v>
      </c>
      <c r="AD328" s="1773">
        <f t="shared" si="107"/>
        <v>0</v>
      </c>
      <c r="AE328" s="1773">
        <f t="shared" si="108"/>
        <v>0</v>
      </c>
      <c r="AF328" s="1773">
        <f t="shared" si="109"/>
        <v>0</v>
      </c>
      <c r="AG328" s="1773">
        <f t="shared" si="110"/>
        <v>0</v>
      </c>
      <c r="AH328" s="1773">
        <f t="shared" si="111"/>
        <v>0</v>
      </c>
      <c r="AI328" s="1773">
        <f t="shared" si="112"/>
        <v>0</v>
      </c>
      <c r="AJ328" s="1773">
        <f t="shared" si="113"/>
        <v>0</v>
      </c>
      <c r="AK328" s="1773">
        <f t="shared" si="114"/>
        <v>0</v>
      </c>
      <c r="AL328" s="1773">
        <f t="shared" si="115"/>
        <v>3000</v>
      </c>
      <c r="AN328" s="1776"/>
      <c r="AO328" s="1776"/>
      <c r="AP328" s="1776"/>
      <c r="AQ328" s="1776"/>
      <c r="AR328" s="1776"/>
      <c r="AS328" s="1776"/>
      <c r="AT328" s="1776"/>
      <c r="AU328" s="1776"/>
      <c r="AV328" s="1776"/>
      <c r="AW328" s="1776"/>
      <c r="AX328" s="1776"/>
      <c r="AY328" s="1776"/>
      <c r="AZ328" s="1776">
        <v>1</v>
      </c>
    </row>
    <row r="329" spans="1:52" ht="13.5">
      <c r="A329" s="1479" t="s">
        <v>2712</v>
      </c>
      <c r="B329" s="1479" t="s">
        <v>2288</v>
      </c>
      <c r="C329" s="1741" t="s">
        <v>2108</v>
      </c>
      <c r="D329" s="1741">
        <v>1200</v>
      </c>
      <c r="E329" s="1741">
        <v>690</v>
      </c>
      <c r="F329" s="1741" t="s">
        <v>2225</v>
      </c>
      <c r="G329" s="1741" t="s">
        <v>2133</v>
      </c>
      <c r="H329" s="1741" t="s">
        <v>1658</v>
      </c>
      <c r="I329" s="1753" t="s">
        <v>2114</v>
      </c>
      <c r="J329" s="1754" t="s">
        <v>2124</v>
      </c>
      <c r="K329" s="1753" t="s">
        <v>2114</v>
      </c>
      <c r="L329" s="1754" t="s">
        <v>2124</v>
      </c>
      <c r="M329" s="1763"/>
      <c r="N329" s="1756">
        <v>17033.14</v>
      </c>
      <c r="O329" s="1757">
        <v>11910.78</v>
      </c>
      <c r="P329" s="1758">
        <v>3774.74</v>
      </c>
      <c r="Q329" s="1759">
        <v>17100</v>
      </c>
      <c r="R329" s="1760">
        <v>17100</v>
      </c>
      <c r="S329" s="1760">
        <v>9092</v>
      </c>
      <c r="T329" s="1760">
        <v>9092</v>
      </c>
      <c r="U329" s="1761">
        <v>10000</v>
      </c>
      <c r="V329" s="1762">
        <v>17200</v>
      </c>
      <c r="W329" s="1757">
        <v>17300</v>
      </c>
      <c r="Z329" s="1773">
        <f t="shared" si="103"/>
        <v>0</v>
      </c>
      <c r="AA329" s="1773">
        <f t="shared" si="104"/>
        <v>0</v>
      </c>
      <c r="AB329" s="1773">
        <f t="shared" si="105"/>
        <v>0</v>
      </c>
      <c r="AC329" s="1773">
        <f t="shared" si="106"/>
        <v>0</v>
      </c>
      <c r="AD329" s="1773">
        <f t="shared" si="107"/>
        <v>0</v>
      </c>
      <c r="AE329" s="1773">
        <f t="shared" si="108"/>
        <v>0</v>
      </c>
      <c r="AF329" s="1773">
        <f t="shared" si="109"/>
        <v>0</v>
      </c>
      <c r="AG329" s="1773">
        <f t="shared" si="110"/>
        <v>0</v>
      </c>
      <c r="AH329" s="1773">
        <f t="shared" si="111"/>
        <v>0</v>
      </c>
      <c r="AI329" s="1773">
        <f t="shared" si="112"/>
        <v>0</v>
      </c>
      <c r="AJ329" s="1773">
        <f t="shared" si="113"/>
        <v>0</v>
      </c>
      <c r="AK329" s="1773">
        <f t="shared" si="114"/>
        <v>0</v>
      </c>
      <c r="AL329" s="1773">
        <f t="shared" si="115"/>
        <v>10000</v>
      </c>
      <c r="AN329" s="1776"/>
      <c r="AO329" s="1776"/>
      <c r="AP329" s="1776"/>
      <c r="AQ329" s="1776"/>
      <c r="AR329" s="1776"/>
      <c r="AS329" s="1776"/>
      <c r="AT329" s="1776"/>
      <c r="AU329" s="1776"/>
      <c r="AV329" s="1776"/>
      <c r="AW329" s="1776"/>
      <c r="AX329" s="1776"/>
      <c r="AY329" s="1776"/>
      <c r="AZ329" s="1776">
        <v>1</v>
      </c>
    </row>
    <row r="330" spans="1:52">
      <c r="A330" t="s">
        <v>2713</v>
      </c>
      <c r="B330" t="s">
        <v>2290</v>
      </c>
      <c r="C330" s="1741" t="s">
        <v>2108</v>
      </c>
      <c r="D330" s="1741">
        <v>1200</v>
      </c>
      <c r="E330" s="1741">
        <v>700</v>
      </c>
      <c r="F330" s="1741" t="s">
        <v>2225</v>
      </c>
      <c r="G330" s="1741" t="s">
        <v>2133</v>
      </c>
      <c r="H330" s="1741" t="s">
        <v>1658</v>
      </c>
      <c r="I330" s="1753" t="s">
        <v>2114</v>
      </c>
      <c r="J330" s="1754" t="s">
        <v>3011</v>
      </c>
      <c r="K330" s="1753" t="s">
        <v>2114</v>
      </c>
      <c r="L330" s="1754" t="s">
        <v>3011</v>
      </c>
      <c r="M330" s="1754"/>
      <c r="N330" s="1756"/>
      <c r="O330" s="1757"/>
      <c r="P330" s="1758"/>
      <c r="Q330" s="1759">
        <v>3000</v>
      </c>
      <c r="R330" s="1760">
        <v>3000</v>
      </c>
      <c r="S330" s="1760">
        <v>336</v>
      </c>
      <c r="T330" s="1760">
        <v>336</v>
      </c>
      <c r="U330" s="1761">
        <v>3000</v>
      </c>
      <c r="V330" s="1762">
        <v>3000</v>
      </c>
      <c r="W330" s="1757">
        <v>3000</v>
      </c>
      <c r="Z330" s="1773">
        <f t="shared" si="103"/>
        <v>0</v>
      </c>
      <c r="AA330" s="1773">
        <f t="shared" si="104"/>
        <v>0</v>
      </c>
      <c r="AB330" s="1773">
        <f t="shared" si="105"/>
        <v>0</v>
      </c>
      <c r="AC330" s="1773">
        <f t="shared" si="106"/>
        <v>0</v>
      </c>
      <c r="AD330" s="1773">
        <f t="shared" si="107"/>
        <v>0</v>
      </c>
      <c r="AE330" s="1773">
        <f t="shared" si="108"/>
        <v>0</v>
      </c>
      <c r="AF330" s="1773">
        <f t="shared" si="109"/>
        <v>0</v>
      </c>
      <c r="AG330" s="1773">
        <f t="shared" si="110"/>
        <v>0</v>
      </c>
      <c r="AH330" s="1773">
        <f t="shared" si="111"/>
        <v>0</v>
      </c>
      <c r="AI330" s="1773">
        <f t="shared" si="112"/>
        <v>0</v>
      </c>
      <c r="AJ330" s="1773">
        <f t="shared" si="113"/>
        <v>0</v>
      </c>
      <c r="AK330" s="1773">
        <f t="shared" si="114"/>
        <v>0</v>
      </c>
      <c r="AL330" s="1773">
        <f t="shared" si="115"/>
        <v>3000</v>
      </c>
      <c r="AN330" s="1776"/>
      <c r="AO330" s="1776"/>
      <c r="AP330" s="1776"/>
      <c r="AQ330" s="1776"/>
      <c r="AR330" s="1776"/>
      <c r="AS330" s="1776"/>
      <c r="AT330" s="1776"/>
      <c r="AU330" s="1776"/>
      <c r="AV330" s="1776"/>
      <c r="AW330" s="1776"/>
      <c r="AX330" s="1776"/>
      <c r="AY330" s="1776"/>
      <c r="AZ330" s="1776">
        <v>1</v>
      </c>
    </row>
    <row r="331" spans="1:52">
      <c r="A331" s="1479" t="s">
        <v>2714</v>
      </c>
      <c r="B331" s="1479" t="s">
        <v>2292</v>
      </c>
      <c r="C331" s="1741" t="s">
        <v>2108</v>
      </c>
      <c r="D331" s="1741">
        <v>1200</v>
      </c>
      <c r="E331" s="1741">
        <v>710</v>
      </c>
      <c r="F331" s="1741" t="s">
        <v>2225</v>
      </c>
      <c r="G331" s="1741" t="s">
        <v>2133</v>
      </c>
      <c r="H331" s="1741" t="s">
        <v>1658</v>
      </c>
      <c r="I331" s="1753" t="s">
        <v>2114</v>
      </c>
      <c r="J331" s="1754"/>
      <c r="K331" s="1753" t="s">
        <v>2114</v>
      </c>
      <c r="L331" s="1754" t="s">
        <v>502</v>
      </c>
      <c r="M331" s="1754"/>
      <c r="N331" s="1756">
        <v>84</v>
      </c>
      <c r="O331" s="1757">
        <v>402</v>
      </c>
      <c r="P331" s="1758">
        <v>90</v>
      </c>
      <c r="Q331" s="1759">
        <v>500</v>
      </c>
      <c r="R331" s="1760">
        <v>500</v>
      </c>
      <c r="S331" s="1760">
        <v>182</v>
      </c>
      <c r="T331" s="1760">
        <v>182</v>
      </c>
      <c r="U331" s="1761">
        <v>500</v>
      </c>
      <c r="V331" s="1762">
        <v>500</v>
      </c>
      <c r="W331" s="1757">
        <v>500</v>
      </c>
      <c r="Z331" s="1773">
        <f t="shared" si="103"/>
        <v>0</v>
      </c>
      <c r="AA331" s="1773">
        <f t="shared" si="104"/>
        <v>0</v>
      </c>
      <c r="AB331" s="1773">
        <f t="shared" si="105"/>
        <v>0</v>
      </c>
      <c r="AC331" s="1773">
        <f t="shared" si="106"/>
        <v>0</v>
      </c>
      <c r="AD331" s="1773">
        <f t="shared" si="107"/>
        <v>0</v>
      </c>
      <c r="AE331" s="1773">
        <f t="shared" si="108"/>
        <v>0</v>
      </c>
      <c r="AF331" s="1773">
        <f t="shared" si="109"/>
        <v>0</v>
      </c>
      <c r="AG331" s="1773">
        <f t="shared" si="110"/>
        <v>0</v>
      </c>
      <c r="AH331" s="1773">
        <f t="shared" si="111"/>
        <v>0</v>
      </c>
      <c r="AI331" s="1773">
        <f t="shared" si="112"/>
        <v>0</v>
      </c>
      <c r="AJ331" s="1773">
        <f t="shared" si="113"/>
        <v>0</v>
      </c>
      <c r="AK331" s="1773">
        <f t="shared" si="114"/>
        <v>0</v>
      </c>
      <c r="AL331" s="1773">
        <f t="shared" si="115"/>
        <v>500</v>
      </c>
      <c r="AN331" s="1776"/>
      <c r="AO331" s="1776"/>
      <c r="AP331" s="1776"/>
      <c r="AQ331" s="1776"/>
      <c r="AR331" s="1776"/>
      <c r="AS331" s="1776"/>
      <c r="AT331" s="1776"/>
      <c r="AU331" s="1776"/>
      <c r="AV331" s="1776"/>
      <c r="AW331" s="1776"/>
      <c r="AX331" s="1776"/>
      <c r="AY331" s="1776"/>
      <c r="AZ331" s="1776">
        <v>1</v>
      </c>
    </row>
    <row r="332" spans="1:52" ht="13.5">
      <c r="A332" t="s">
        <v>2715</v>
      </c>
      <c r="B332" t="s">
        <v>2502</v>
      </c>
      <c r="C332" s="1741" t="s">
        <v>2108</v>
      </c>
      <c r="D332" s="1741">
        <v>1200</v>
      </c>
      <c r="E332" s="1741">
        <v>780</v>
      </c>
      <c r="F332" s="1741" t="s">
        <v>2225</v>
      </c>
      <c r="G332" s="1741" t="s">
        <v>2133</v>
      </c>
      <c r="H332" s="1741" t="s">
        <v>1658</v>
      </c>
      <c r="I332" s="1753" t="s">
        <v>2114</v>
      </c>
      <c r="J332" s="1754"/>
      <c r="K332" s="1753" t="s">
        <v>2114</v>
      </c>
      <c r="L332" s="1754" t="s">
        <v>502</v>
      </c>
      <c r="M332" s="1439"/>
      <c r="N332" s="1756"/>
      <c r="O332" s="1757"/>
      <c r="P332" s="1758"/>
      <c r="Q332" s="1759">
        <v>40000</v>
      </c>
      <c r="R332" s="1760">
        <v>40000</v>
      </c>
      <c r="S332" s="1760">
        <v>6462</v>
      </c>
      <c r="T332" s="1760">
        <v>6462</v>
      </c>
      <c r="U332" s="1761">
        <v>35000</v>
      </c>
      <c r="V332" s="1762">
        <v>40000</v>
      </c>
      <c r="W332" s="1757">
        <v>40000</v>
      </c>
      <c r="Z332" s="1773">
        <f t="shared" si="103"/>
        <v>0</v>
      </c>
      <c r="AA332" s="1773">
        <f t="shared" si="104"/>
        <v>0</v>
      </c>
      <c r="AB332" s="1773">
        <f t="shared" si="105"/>
        <v>0</v>
      </c>
      <c r="AC332" s="1773">
        <f t="shared" si="106"/>
        <v>0</v>
      </c>
      <c r="AD332" s="1773">
        <f t="shared" si="107"/>
        <v>0</v>
      </c>
      <c r="AE332" s="1773">
        <f t="shared" si="108"/>
        <v>0</v>
      </c>
      <c r="AF332" s="1773">
        <f t="shared" si="109"/>
        <v>0</v>
      </c>
      <c r="AG332" s="1773">
        <f t="shared" si="110"/>
        <v>0</v>
      </c>
      <c r="AH332" s="1773">
        <f t="shared" si="111"/>
        <v>0</v>
      </c>
      <c r="AI332" s="1773">
        <f t="shared" si="112"/>
        <v>0</v>
      </c>
      <c r="AJ332" s="1773">
        <f t="shared" si="113"/>
        <v>0</v>
      </c>
      <c r="AK332" s="1773">
        <f t="shared" si="114"/>
        <v>0</v>
      </c>
      <c r="AL332" s="1773">
        <f t="shared" si="115"/>
        <v>35000</v>
      </c>
      <c r="AN332" s="1776"/>
      <c r="AO332" s="1776"/>
      <c r="AP332" s="1776"/>
      <c r="AQ332" s="1776"/>
      <c r="AR332" s="1776"/>
      <c r="AS332" s="1776"/>
      <c r="AT332" s="1776"/>
      <c r="AU332" s="1776"/>
      <c r="AV332" s="1776"/>
      <c r="AW332" s="1776"/>
      <c r="AX332" s="1776"/>
      <c r="AY332" s="1776"/>
      <c r="AZ332" s="1776">
        <v>1</v>
      </c>
    </row>
    <row r="333" spans="1:52">
      <c r="A333" t="s">
        <v>2716</v>
      </c>
      <c r="B333" t="s">
        <v>2249</v>
      </c>
      <c r="C333" s="1741" t="s">
        <v>2108</v>
      </c>
      <c r="D333" s="1741">
        <v>1200</v>
      </c>
      <c r="E333" s="1741">
        <v>1410</v>
      </c>
      <c r="F333" s="1741" t="s">
        <v>2225</v>
      </c>
      <c r="G333" s="1741" t="s">
        <v>2133</v>
      </c>
      <c r="H333" s="1741" t="s">
        <v>1658</v>
      </c>
      <c r="I333" s="1753" t="s">
        <v>2114</v>
      </c>
      <c r="J333" s="1754" t="s">
        <v>3008</v>
      </c>
      <c r="K333" s="1753" t="s">
        <v>2114</v>
      </c>
      <c r="L333" s="1754" t="s">
        <v>3008</v>
      </c>
      <c r="M333" s="1754"/>
      <c r="N333" s="1756"/>
      <c r="O333" s="1757"/>
      <c r="P333" s="1758"/>
      <c r="Q333" s="1759">
        <v>29700</v>
      </c>
      <c r="R333" s="1760">
        <v>29700</v>
      </c>
      <c r="S333" s="1760">
        <v>41078</v>
      </c>
      <c r="T333" s="1760">
        <v>41078</v>
      </c>
      <c r="U333" s="1761">
        <v>35000</v>
      </c>
      <c r="V333" s="1762">
        <v>29700</v>
      </c>
      <c r="W333" s="1757">
        <v>29700</v>
      </c>
      <c r="Z333" s="1773">
        <f t="shared" si="103"/>
        <v>0</v>
      </c>
      <c r="AA333" s="1773">
        <f t="shared" si="104"/>
        <v>0</v>
      </c>
      <c r="AB333" s="1773">
        <f t="shared" si="105"/>
        <v>0</v>
      </c>
      <c r="AC333" s="1773">
        <f t="shared" si="106"/>
        <v>0</v>
      </c>
      <c r="AD333" s="1773">
        <f t="shared" si="107"/>
        <v>0</v>
      </c>
      <c r="AE333" s="1773">
        <f t="shared" si="108"/>
        <v>0</v>
      </c>
      <c r="AF333" s="1773">
        <f t="shared" si="109"/>
        <v>0</v>
      </c>
      <c r="AG333" s="1773">
        <f t="shared" si="110"/>
        <v>0</v>
      </c>
      <c r="AH333" s="1773">
        <f t="shared" si="111"/>
        <v>0</v>
      </c>
      <c r="AI333" s="1773">
        <f t="shared" si="112"/>
        <v>0</v>
      </c>
      <c r="AJ333" s="1773">
        <f t="shared" si="113"/>
        <v>0</v>
      </c>
      <c r="AK333" s="1773">
        <f t="shared" si="114"/>
        <v>0</v>
      </c>
      <c r="AL333" s="1773">
        <f t="shared" si="115"/>
        <v>35000</v>
      </c>
      <c r="AN333" s="1776"/>
      <c r="AO333" s="1776"/>
      <c r="AP333" s="1776"/>
      <c r="AQ333" s="1776"/>
      <c r="AR333" s="1776"/>
      <c r="AS333" s="1776"/>
      <c r="AT333" s="1776"/>
      <c r="AU333" s="1776"/>
      <c r="AV333" s="1776"/>
      <c r="AW333" s="1776"/>
      <c r="AX333" s="1776"/>
      <c r="AY333" s="1776"/>
      <c r="AZ333" s="1776">
        <v>1</v>
      </c>
    </row>
    <row r="334" spans="1:52">
      <c r="A334" s="1479" t="s">
        <v>2717</v>
      </c>
      <c r="B334" s="1479" t="s">
        <v>2251</v>
      </c>
      <c r="C334" s="1741" t="s">
        <v>2108</v>
      </c>
      <c r="D334" s="1741">
        <v>1200</v>
      </c>
      <c r="E334" s="1741">
        <v>1440</v>
      </c>
      <c r="F334" s="1741" t="s">
        <v>2225</v>
      </c>
      <c r="G334" s="1741" t="s">
        <v>2133</v>
      </c>
      <c r="H334" s="1741" t="s">
        <v>1658</v>
      </c>
      <c r="I334" s="1753" t="s">
        <v>2115</v>
      </c>
      <c r="J334" s="1754"/>
      <c r="K334" s="1753" t="s">
        <v>1596</v>
      </c>
      <c r="L334" s="1754" t="s">
        <v>1696</v>
      </c>
      <c r="M334" s="1754"/>
      <c r="N334" s="1756">
        <v>0</v>
      </c>
      <c r="O334" s="1757">
        <v>4400</v>
      </c>
      <c r="P334" s="1758">
        <v>0</v>
      </c>
      <c r="Q334" s="1759">
        <v>6000</v>
      </c>
      <c r="R334" s="1760">
        <v>6000</v>
      </c>
      <c r="S334" s="1760">
        <v>672</v>
      </c>
      <c r="T334" s="1760">
        <v>672</v>
      </c>
      <c r="U334" s="1761">
        <v>0</v>
      </c>
      <c r="V334" s="1762">
        <v>6000</v>
      </c>
      <c r="W334" s="1757">
        <v>6000</v>
      </c>
      <c r="Z334" s="1773">
        <f t="shared" si="103"/>
        <v>0</v>
      </c>
      <c r="AA334" s="1773">
        <f t="shared" si="104"/>
        <v>0</v>
      </c>
      <c r="AB334" s="1773">
        <f t="shared" si="105"/>
        <v>0</v>
      </c>
      <c r="AC334" s="1773">
        <f t="shared" si="106"/>
        <v>0</v>
      </c>
      <c r="AD334" s="1773">
        <f t="shared" si="107"/>
        <v>0</v>
      </c>
      <c r="AE334" s="1773">
        <f t="shared" si="108"/>
        <v>0</v>
      </c>
      <c r="AF334" s="1773">
        <f t="shared" si="109"/>
        <v>0</v>
      </c>
      <c r="AG334" s="1773">
        <f t="shared" si="110"/>
        <v>0</v>
      </c>
      <c r="AH334" s="1773">
        <f t="shared" si="111"/>
        <v>0</v>
      </c>
      <c r="AI334" s="1773">
        <f t="shared" si="112"/>
        <v>0</v>
      </c>
      <c r="AJ334" s="1773">
        <f t="shared" si="113"/>
        <v>0</v>
      </c>
      <c r="AK334" s="1773">
        <f t="shared" si="114"/>
        <v>0</v>
      </c>
      <c r="AL334" s="1773">
        <f t="shared" si="115"/>
        <v>0</v>
      </c>
      <c r="AN334" s="1776"/>
      <c r="AO334" s="1776"/>
      <c r="AP334" s="1776"/>
      <c r="AQ334" s="1776"/>
      <c r="AR334" s="1776"/>
      <c r="AS334" s="1776"/>
      <c r="AT334" s="1776"/>
      <c r="AU334" s="1776"/>
      <c r="AV334" s="1776"/>
      <c r="AW334" s="1776"/>
      <c r="AX334" s="1776"/>
      <c r="AY334" s="1776"/>
      <c r="AZ334" s="1776">
        <v>1</v>
      </c>
    </row>
    <row r="335" spans="1:52">
      <c r="A335" s="1479" t="s">
        <v>2718</v>
      </c>
      <c r="B335" s="1479" t="s">
        <v>2253</v>
      </c>
      <c r="C335" s="1741" t="s">
        <v>2108</v>
      </c>
      <c r="D335" s="1741">
        <v>1200</v>
      </c>
      <c r="E335" s="1741">
        <v>3510</v>
      </c>
      <c r="F335" s="1741" t="s">
        <v>2225</v>
      </c>
      <c r="G335" s="1741" t="s">
        <v>2133</v>
      </c>
      <c r="H335" s="1741" t="s">
        <v>1658</v>
      </c>
      <c r="I335" s="1753" t="s">
        <v>464</v>
      </c>
      <c r="J335" s="1754"/>
      <c r="K335" s="1753" t="s">
        <v>2114</v>
      </c>
      <c r="L335" s="1754" t="s">
        <v>3029</v>
      </c>
      <c r="M335" s="1754"/>
      <c r="N335" s="1756">
        <v>5183.79</v>
      </c>
      <c r="O335" s="1757">
        <v>1337.5</v>
      </c>
      <c r="P335" s="1758">
        <v>599.03</v>
      </c>
      <c r="Q335" s="1759">
        <v>61000</v>
      </c>
      <c r="R335" s="1760">
        <v>61000</v>
      </c>
      <c r="S335" s="1760">
        <v>6995</v>
      </c>
      <c r="T335" s="1760">
        <v>6995</v>
      </c>
      <c r="U335" s="1761">
        <v>45000</v>
      </c>
      <c r="V335" s="1762">
        <v>61000</v>
      </c>
      <c r="W335" s="1757">
        <v>61000</v>
      </c>
      <c r="Z335" s="1773">
        <f t="shared" si="103"/>
        <v>0</v>
      </c>
      <c r="AA335" s="1773">
        <f t="shared" si="104"/>
        <v>0</v>
      </c>
      <c r="AB335" s="1773">
        <f t="shared" si="105"/>
        <v>0</v>
      </c>
      <c r="AC335" s="1773">
        <f t="shared" si="106"/>
        <v>0</v>
      </c>
      <c r="AD335" s="1773">
        <f t="shared" si="107"/>
        <v>0</v>
      </c>
      <c r="AE335" s="1773">
        <f t="shared" si="108"/>
        <v>0</v>
      </c>
      <c r="AF335" s="1773">
        <f t="shared" si="109"/>
        <v>0</v>
      </c>
      <c r="AG335" s="1773">
        <f t="shared" si="110"/>
        <v>0</v>
      </c>
      <c r="AH335" s="1773">
        <f t="shared" si="111"/>
        <v>0</v>
      </c>
      <c r="AI335" s="1773">
        <f t="shared" si="112"/>
        <v>0</v>
      </c>
      <c r="AJ335" s="1773">
        <f t="shared" si="113"/>
        <v>0</v>
      </c>
      <c r="AK335" s="1773">
        <f t="shared" si="114"/>
        <v>0</v>
      </c>
      <c r="AL335" s="1773">
        <f t="shared" si="115"/>
        <v>45000</v>
      </c>
      <c r="AN335" s="1776"/>
      <c r="AO335" s="1776"/>
      <c r="AP335" s="1776"/>
      <c r="AQ335" s="1776"/>
      <c r="AR335" s="1776"/>
      <c r="AS335" s="1776"/>
      <c r="AT335" s="1776"/>
      <c r="AU335" s="1776"/>
      <c r="AV335" s="1776"/>
      <c r="AW335" s="1776"/>
      <c r="AX335" s="1776"/>
      <c r="AY335" s="1776"/>
      <c r="AZ335" s="1776">
        <v>1</v>
      </c>
    </row>
    <row r="336" spans="1:52">
      <c r="A336" s="1479" t="s">
        <v>2719</v>
      </c>
      <c r="B336" s="1479" t="s">
        <v>2310</v>
      </c>
      <c r="C336" s="1741" t="s">
        <v>2108</v>
      </c>
      <c r="D336" s="1741">
        <v>1200</v>
      </c>
      <c r="E336" s="1741">
        <v>3520</v>
      </c>
      <c r="F336" s="1741" t="s">
        <v>2225</v>
      </c>
      <c r="G336" s="1741" t="s">
        <v>2133</v>
      </c>
      <c r="H336" s="1741" t="s">
        <v>1658</v>
      </c>
      <c r="I336" s="1753" t="s">
        <v>464</v>
      </c>
      <c r="J336" s="1754"/>
      <c r="K336" s="1753" t="s">
        <v>2114</v>
      </c>
      <c r="L336" s="1754" t="s">
        <v>3029</v>
      </c>
      <c r="M336" s="1754"/>
      <c r="N336" s="1756">
        <v>8715.36</v>
      </c>
      <c r="O336" s="1757">
        <v>158.51</v>
      </c>
      <c r="P336" s="1758">
        <v>11.66</v>
      </c>
      <c r="Q336" s="1759">
        <v>54000</v>
      </c>
      <c r="R336" s="1760">
        <v>30000</v>
      </c>
      <c r="S336" s="1760">
        <v>6589</v>
      </c>
      <c r="T336" s="1760">
        <v>6589</v>
      </c>
      <c r="U336" s="1761">
        <v>50000</v>
      </c>
      <c r="V336" s="1762">
        <v>54000</v>
      </c>
      <c r="W336" s="1757">
        <v>54000</v>
      </c>
      <c r="Z336" s="1773">
        <f t="shared" si="103"/>
        <v>0</v>
      </c>
      <c r="AA336" s="1773">
        <f t="shared" si="104"/>
        <v>0</v>
      </c>
      <c r="AB336" s="1773">
        <f t="shared" si="105"/>
        <v>0</v>
      </c>
      <c r="AC336" s="1773">
        <f t="shared" si="106"/>
        <v>0</v>
      </c>
      <c r="AD336" s="1773">
        <f t="shared" si="107"/>
        <v>0</v>
      </c>
      <c r="AE336" s="1773">
        <f t="shared" si="108"/>
        <v>0</v>
      </c>
      <c r="AF336" s="1773">
        <f t="shared" si="109"/>
        <v>0</v>
      </c>
      <c r="AG336" s="1773">
        <f t="shared" si="110"/>
        <v>0</v>
      </c>
      <c r="AH336" s="1773">
        <f t="shared" si="111"/>
        <v>0</v>
      </c>
      <c r="AI336" s="1773">
        <f t="shared" si="112"/>
        <v>0</v>
      </c>
      <c r="AJ336" s="1773">
        <f t="shared" si="113"/>
        <v>0</v>
      </c>
      <c r="AK336" s="1773">
        <f t="shared" si="114"/>
        <v>0</v>
      </c>
      <c r="AL336" s="1773">
        <f t="shared" si="115"/>
        <v>50000</v>
      </c>
      <c r="AN336" s="1776"/>
      <c r="AO336" s="1776"/>
      <c r="AP336" s="1776"/>
      <c r="AQ336" s="1776"/>
      <c r="AR336" s="1776"/>
      <c r="AS336" s="1776"/>
      <c r="AT336" s="1776"/>
      <c r="AU336" s="1776"/>
      <c r="AV336" s="1776"/>
      <c r="AW336" s="1776"/>
      <c r="AX336" s="1776"/>
      <c r="AY336" s="1776"/>
      <c r="AZ336" s="1776">
        <v>1</v>
      </c>
    </row>
    <row r="337" spans="1:52">
      <c r="A337" s="1479" t="s">
        <v>2720</v>
      </c>
      <c r="B337" s="1479" t="s">
        <v>2312</v>
      </c>
      <c r="C337" s="1741" t="s">
        <v>2108</v>
      </c>
      <c r="D337" s="1741">
        <v>1200</v>
      </c>
      <c r="E337" s="1741">
        <v>4110</v>
      </c>
      <c r="F337" s="1741" t="s">
        <v>2225</v>
      </c>
      <c r="G337" s="1741" t="s">
        <v>2133</v>
      </c>
      <c r="H337" s="1741" t="s">
        <v>1658</v>
      </c>
      <c r="I337" s="1753" t="s">
        <v>2117</v>
      </c>
      <c r="J337" s="1754"/>
      <c r="K337" s="1754" t="s">
        <v>1665</v>
      </c>
      <c r="L337" s="1753" t="s">
        <v>1665</v>
      </c>
      <c r="M337" s="1754"/>
      <c r="N337" s="1756">
        <v>7411.46</v>
      </c>
      <c r="O337" s="1757">
        <v>0</v>
      </c>
      <c r="P337" s="1758">
        <v>0</v>
      </c>
      <c r="Q337" s="1759">
        <v>0</v>
      </c>
      <c r="R337" s="1760">
        <v>0</v>
      </c>
      <c r="S337" s="1760">
        <v>0</v>
      </c>
      <c r="T337" s="1760">
        <v>0</v>
      </c>
      <c r="U337" s="1761">
        <v>0</v>
      </c>
      <c r="V337" s="1762">
        <v>0</v>
      </c>
      <c r="W337" s="1757">
        <v>0</v>
      </c>
      <c r="Z337" s="1773">
        <f t="shared" si="103"/>
        <v>0</v>
      </c>
      <c r="AA337" s="1773">
        <f t="shared" si="104"/>
        <v>0</v>
      </c>
      <c r="AB337" s="1773">
        <f t="shared" si="105"/>
        <v>0</v>
      </c>
      <c r="AC337" s="1773">
        <f t="shared" si="106"/>
        <v>0</v>
      </c>
      <c r="AD337" s="1773">
        <f t="shared" si="107"/>
        <v>0</v>
      </c>
      <c r="AE337" s="1773">
        <f t="shared" si="108"/>
        <v>0</v>
      </c>
      <c r="AF337" s="1773">
        <f t="shared" si="109"/>
        <v>0</v>
      </c>
      <c r="AG337" s="1773">
        <f t="shared" si="110"/>
        <v>0</v>
      </c>
      <c r="AH337" s="1773">
        <f t="shared" si="111"/>
        <v>0</v>
      </c>
      <c r="AI337" s="1773">
        <f t="shared" si="112"/>
        <v>0</v>
      </c>
      <c r="AJ337" s="1773">
        <f t="shared" si="113"/>
        <v>0</v>
      </c>
      <c r="AK337" s="1773">
        <f t="shared" si="114"/>
        <v>0</v>
      </c>
      <c r="AL337" s="1773">
        <f t="shared" si="115"/>
        <v>0</v>
      </c>
      <c r="AN337" s="1776"/>
      <c r="AO337" s="1776"/>
      <c r="AP337" s="1776"/>
      <c r="AQ337" s="1776"/>
      <c r="AR337" s="1776"/>
      <c r="AS337" s="1776"/>
      <c r="AT337" s="1776"/>
      <c r="AU337" s="1776"/>
      <c r="AV337" s="1776"/>
      <c r="AW337" s="1776"/>
      <c r="AX337" s="1776"/>
      <c r="AY337" s="1776"/>
      <c r="AZ337" s="1776">
        <v>1</v>
      </c>
    </row>
    <row r="338" spans="1:52">
      <c r="A338" s="1479" t="s">
        <v>2721</v>
      </c>
      <c r="B338" s="1479" t="s">
        <v>2722</v>
      </c>
      <c r="C338" s="1741" t="s">
        <v>2108</v>
      </c>
      <c r="D338" s="1741">
        <v>1200</v>
      </c>
      <c r="E338" s="1741">
        <v>5300</v>
      </c>
      <c r="F338" s="1741" t="s">
        <v>2225</v>
      </c>
      <c r="G338" s="1741" t="s">
        <v>2133</v>
      </c>
      <c r="H338" s="1741" t="s">
        <v>586</v>
      </c>
      <c r="I338" s="1753" t="s">
        <v>2120</v>
      </c>
      <c r="J338" s="1754"/>
      <c r="K338" s="1754" t="s">
        <v>1666</v>
      </c>
      <c r="L338" s="1754" t="s">
        <v>1666</v>
      </c>
      <c r="M338" s="1754"/>
      <c r="N338" s="1756">
        <v>0</v>
      </c>
      <c r="O338" s="1757">
        <v>0</v>
      </c>
      <c r="P338" s="1758">
        <v>-1368</v>
      </c>
      <c r="Q338" s="1759">
        <v>-5000</v>
      </c>
      <c r="R338" s="1760">
        <v>-5000</v>
      </c>
      <c r="S338" s="1760">
        <v>-1794</v>
      </c>
      <c r="T338" s="1760">
        <v>-1794</v>
      </c>
      <c r="U338" s="1761">
        <v>-2000</v>
      </c>
      <c r="V338" s="1762">
        <v>-5000</v>
      </c>
      <c r="W338" s="1757">
        <v>-5000</v>
      </c>
      <c r="Z338" s="1773">
        <f t="shared" si="103"/>
        <v>0</v>
      </c>
      <c r="AA338" s="1773">
        <f t="shared" si="104"/>
        <v>0</v>
      </c>
      <c r="AB338" s="1773">
        <f t="shared" si="105"/>
        <v>0</v>
      </c>
      <c r="AC338" s="1773">
        <f t="shared" si="106"/>
        <v>0</v>
      </c>
      <c r="AD338" s="1773">
        <f t="shared" si="107"/>
        <v>0</v>
      </c>
      <c r="AE338" s="1773">
        <f t="shared" si="108"/>
        <v>0</v>
      </c>
      <c r="AF338" s="1773">
        <f t="shared" si="109"/>
        <v>0</v>
      </c>
      <c r="AG338" s="1773">
        <f t="shared" si="110"/>
        <v>0</v>
      </c>
      <c r="AH338" s="1773">
        <f t="shared" si="111"/>
        <v>0</v>
      </c>
      <c r="AI338" s="1773">
        <f t="shared" si="112"/>
        <v>0</v>
      </c>
      <c r="AJ338" s="1773">
        <f t="shared" si="113"/>
        <v>0</v>
      </c>
      <c r="AK338" s="1773">
        <f t="shared" si="114"/>
        <v>0</v>
      </c>
      <c r="AL338" s="1773">
        <f t="shared" si="115"/>
        <v>-2000</v>
      </c>
      <c r="AN338" s="1776"/>
      <c r="AO338" s="1776"/>
      <c r="AP338" s="1776"/>
      <c r="AQ338" s="1776"/>
      <c r="AR338" s="1776"/>
      <c r="AS338" s="1776"/>
      <c r="AT338" s="1776"/>
      <c r="AU338" s="1776"/>
      <c r="AV338" s="1776"/>
      <c r="AW338" s="1776"/>
      <c r="AX338" s="1776"/>
      <c r="AY338" s="1776"/>
      <c r="AZ338" s="1776">
        <v>1</v>
      </c>
    </row>
    <row r="339" spans="1:52">
      <c r="A339" s="1479" t="s">
        <v>2723</v>
      </c>
      <c r="B339" s="1479" t="s">
        <v>2231</v>
      </c>
      <c r="C339" s="1741" t="s">
        <v>2108</v>
      </c>
      <c r="D339" s="1741">
        <v>1210</v>
      </c>
      <c r="E339" s="1741">
        <v>10</v>
      </c>
      <c r="F339" s="1741" t="s">
        <v>2130</v>
      </c>
      <c r="G339" s="1741" t="s">
        <v>2220</v>
      </c>
      <c r="H339" s="1741" t="s">
        <v>1658</v>
      </c>
      <c r="I339" s="1753" t="s">
        <v>3003</v>
      </c>
      <c r="J339" s="1754" t="s">
        <v>2109</v>
      </c>
      <c r="K339" s="1753" t="s">
        <v>497</v>
      </c>
      <c r="L339" s="1754" t="s">
        <v>1158</v>
      </c>
      <c r="M339" s="1754"/>
      <c r="N339" s="1756">
        <v>242630.67</v>
      </c>
      <c r="O339" s="1757">
        <v>238567.49</v>
      </c>
      <c r="P339" s="1758">
        <v>263031.90999999997</v>
      </c>
      <c r="Q339" s="1759">
        <v>476100</v>
      </c>
      <c r="R339" s="1760">
        <v>476100</v>
      </c>
      <c r="S339" s="1760">
        <v>406512</v>
      </c>
      <c r="T339" s="1760">
        <v>406512</v>
      </c>
      <c r="U339" s="1761">
        <v>697463.00640000007</v>
      </c>
      <c r="V339" s="1762">
        <f>U339*108%</f>
        <v>753260.04691200017</v>
      </c>
      <c r="W339" s="1757">
        <f>V339*108%</f>
        <v>813520.85066496022</v>
      </c>
      <c r="Z339" s="1773">
        <f t="shared" si="103"/>
        <v>0</v>
      </c>
      <c r="AA339" s="1773">
        <f t="shared" si="104"/>
        <v>0</v>
      </c>
      <c r="AB339" s="1773">
        <f t="shared" si="105"/>
        <v>0</v>
      </c>
      <c r="AC339" s="1773">
        <f t="shared" si="106"/>
        <v>0</v>
      </c>
      <c r="AD339" s="1773">
        <f t="shared" si="107"/>
        <v>0</v>
      </c>
      <c r="AE339" s="1773">
        <f t="shared" si="108"/>
        <v>0</v>
      </c>
      <c r="AF339" s="1773">
        <f t="shared" si="109"/>
        <v>0</v>
      </c>
      <c r="AG339" s="1773">
        <f t="shared" si="110"/>
        <v>0</v>
      </c>
      <c r="AH339" s="1773">
        <f t="shared" si="111"/>
        <v>0</v>
      </c>
      <c r="AI339" s="1773">
        <f t="shared" si="112"/>
        <v>0</v>
      </c>
      <c r="AJ339" s="1773">
        <f t="shared" si="113"/>
        <v>0</v>
      </c>
      <c r="AK339" s="1773">
        <f t="shared" si="114"/>
        <v>0</v>
      </c>
      <c r="AL339" s="1773">
        <f t="shared" si="115"/>
        <v>697463.00640000007</v>
      </c>
      <c r="AN339" s="1776"/>
      <c r="AO339" s="1776"/>
      <c r="AP339" s="1776"/>
      <c r="AQ339" s="1776"/>
      <c r="AR339" s="1776"/>
      <c r="AS339" s="1776"/>
      <c r="AT339" s="1776"/>
      <c r="AU339" s="1776"/>
      <c r="AV339" s="1776"/>
      <c r="AW339" s="1776"/>
      <c r="AX339" s="1776"/>
      <c r="AY339" s="1776"/>
      <c r="AZ339" s="1776">
        <v>1</v>
      </c>
    </row>
    <row r="340" spans="1:52">
      <c r="A340" s="1479" t="s">
        <v>2724</v>
      </c>
      <c r="B340" s="1479" t="s">
        <v>2262</v>
      </c>
      <c r="C340" s="1741" t="s">
        <v>2108</v>
      </c>
      <c r="D340" s="1741">
        <v>1210</v>
      </c>
      <c r="E340" s="1741">
        <v>20</v>
      </c>
      <c r="F340" s="1741" t="s">
        <v>2130</v>
      </c>
      <c r="G340" s="1741" t="s">
        <v>2220</v>
      </c>
      <c r="H340" s="1741" t="s">
        <v>1658</v>
      </c>
      <c r="I340" s="1753" t="s">
        <v>3003</v>
      </c>
      <c r="J340" s="1754" t="s">
        <v>2109</v>
      </c>
      <c r="K340" s="1753" t="s">
        <v>497</v>
      </c>
      <c r="L340" s="1754" t="s">
        <v>1158</v>
      </c>
      <c r="M340" s="1754"/>
      <c r="N340" s="1756">
        <v>0</v>
      </c>
      <c r="O340" s="1757">
        <v>0</v>
      </c>
      <c r="P340" s="1758">
        <v>1500</v>
      </c>
      <c r="Q340" s="1759">
        <v>0</v>
      </c>
      <c r="R340" s="1760">
        <v>0</v>
      </c>
      <c r="S340" s="1760">
        <v>0</v>
      </c>
      <c r="T340" s="1760">
        <v>0</v>
      </c>
      <c r="U340" s="1761">
        <v>0</v>
      </c>
      <c r="V340" s="1762">
        <v>0</v>
      </c>
      <c r="W340" s="1757">
        <v>0</v>
      </c>
      <c r="Z340" s="1773">
        <f t="shared" si="103"/>
        <v>0</v>
      </c>
      <c r="AA340" s="1773">
        <f t="shared" si="104"/>
        <v>0</v>
      </c>
      <c r="AB340" s="1773">
        <f t="shared" si="105"/>
        <v>0</v>
      </c>
      <c r="AC340" s="1773">
        <f t="shared" si="106"/>
        <v>0</v>
      </c>
      <c r="AD340" s="1773">
        <f t="shared" si="107"/>
        <v>0</v>
      </c>
      <c r="AE340" s="1773">
        <f t="shared" si="108"/>
        <v>0</v>
      </c>
      <c r="AF340" s="1773">
        <f t="shared" si="109"/>
        <v>0</v>
      </c>
      <c r="AG340" s="1773">
        <f t="shared" si="110"/>
        <v>0</v>
      </c>
      <c r="AH340" s="1773">
        <f t="shared" si="111"/>
        <v>0</v>
      </c>
      <c r="AI340" s="1773">
        <f t="shared" si="112"/>
        <v>0</v>
      </c>
      <c r="AJ340" s="1773">
        <f t="shared" si="113"/>
        <v>0</v>
      </c>
      <c r="AK340" s="1773">
        <f t="shared" si="114"/>
        <v>0</v>
      </c>
      <c r="AL340" s="1773">
        <f t="shared" si="115"/>
        <v>0</v>
      </c>
      <c r="AN340" s="1776"/>
      <c r="AO340" s="1776"/>
      <c r="AP340" s="1776"/>
      <c r="AQ340" s="1776"/>
      <c r="AR340" s="1776"/>
      <c r="AS340" s="1776"/>
      <c r="AT340" s="1776"/>
      <c r="AU340" s="1776"/>
      <c r="AV340" s="1776"/>
      <c r="AW340" s="1776"/>
      <c r="AX340" s="1776"/>
      <c r="AY340" s="1776"/>
      <c r="AZ340" s="1776">
        <v>1</v>
      </c>
    </row>
    <row r="341" spans="1:52">
      <c r="A341" s="1479" t="s">
        <v>2725</v>
      </c>
      <c r="B341" s="1479" t="s">
        <v>2233</v>
      </c>
      <c r="C341" s="1741" t="s">
        <v>2108</v>
      </c>
      <c r="D341" s="1741">
        <v>1210</v>
      </c>
      <c r="E341" s="1741">
        <v>30</v>
      </c>
      <c r="F341" s="1741" t="s">
        <v>2130</v>
      </c>
      <c r="G341" s="1741" t="s">
        <v>2220</v>
      </c>
      <c r="H341" s="1741" t="s">
        <v>1658</v>
      </c>
      <c r="I341" s="1753" t="s">
        <v>3003</v>
      </c>
      <c r="J341" s="1754" t="s">
        <v>3004</v>
      </c>
      <c r="K341" s="1753" t="s">
        <v>497</v>
      </c>
      <c r="L341" s="1754" t="s">
        <v>1159</v>
      </c>
      <c r="M341" s="1754"/>
      <c r="N341" s="1756">
        <v>179.2</v>
      </c>
      <c r="O341" s="1757">
        <v>369.15</v>
      </c>
      <c r="P341" s="1758">
        <v>180</v>
      </c>
      <c r="Q341" s="1759">
        <v>485</v>
      </c>
      <c r="R341" s="1760">
        <v>485</v>
      </c>
      <c r="S341" s="1760">
        <v>374</v>
      </c>
      <c r="T341" s="1760">
        <v>374</v>
      </c>
      <c r="U341" s="1761">
        <v>702.05189875199994</v>
      </c>
      <c r="V341" s="1762">
        <v>750</v>
      </c>
      <c r="W341" s="1757">
        <v>770</v>
      </c>
      <c r="Z341" s="1773">
        <f t="shared" si="103"/>
        <v>0</v>
      </c>
      <c r="AA341" s="1773">
        <f t="shared" si="104"/>
        <v>0</v>
      </c>
      <c r="AB341" s="1773">
        <f t="shared" si="105"/>
        <v>0</v>
      </c>
      <c r="AC341" s="1773">
        <f t="shared" si="106"/>
        <v>0</v>
      </c>
      <c r="AD341" s="1773">
        <f t="shared" si="107"/>
        <v>0</v>
      </c>
      <c r="AE341" s="1773">
        <f t="shared" si="108"/>
        <v>0</v>
      </c>
      <c r="AF341" s="1773">
        <f t="shared" si="109"/>
        <v>0</v>
      </c>
      <c r="AG341" s="1773">
        <f t="shared" si="110"/>
        <v>0</v>
      </c>
      <c r="AH341" s="1773">
        <f t="shared" si="111"/>
        <v>0</v>
      </c>
      <c r="AI341" s="1773">
        <f t="shared" si="112"/>
        <v>0</v>
      </c>
      <c r="AJ341" s="1773">
        <f t="shared" si="113"/>
        <v>0</v>
      </c>
      <c r="AK341" s="1773">
        <f t="shared" si="114"/>
        <v>0</v>
      </c>
      <c r="AL341" s="1773">
        <f t="shared" si="115"/>
        <v>702.05189875199994</v>
      </c>
      <c r="AN341" s="1776"/>
      <c r="AO341" s="1776"/>
      <c r="AP341" s="1776"/>
      <c r="AQ341" s="1776"/>
      <c r="AR341" s="1776"/>
      <c r="AS341" s="1776"/>
      <c r="AT341" s="1776"/>
      <c r="AU341" s="1776"/>
      <c r="AV341" s="1776"/>
      <c r="AW341" s="1776"/>
      <c r="AX341" s="1776"/>
      <c r="AY341" s="1776"/>
      <c r="AZ341" s="1776">
        <v>1</v>
      </c>
    </row>
    <row r="342" spans="1:52">
      <c r="A342" s="1479" t="s">
        <v>2726</v>
      </c>
      <c r="B342" s="1479" t="s">
        <v>2265</v>
      </c>
      <c r="C342" s="1741" t="s">
        <v>2108</v>
      </c>
      <c r="D342" s="1741">
        <v>1210</v>
      </c>
      <c r="E342" s="1741">
        <v>40</v>
      </c>
      <c r="F342" s="1741" t="s">
        <v>2130</v>
      </c>
      <c r="G342" s="1741" t="s">
        <v>2220</v>
      </c>
      <c r="H342" s="1741" t="s">
        <v>1658</v>
      </c>
      <c r="I342" s="1753" t="s">
        <v>3003</v>
      </c>
      <c r="J342" s="1754" t="s">
        <v>2110</v>
      </c>
      <c r="K342" s="1753" t="s">
        <v>497</v>
      </c>
      <c r="L342" s="1754" t="s">
        <v>1159</v>
      </c>
      <c r="M342" s="1754"/>
      <c r="N342" s="1756">
        <v>13196.4</v>
      </c>
      <c r="O342" s="1757">
        <v>14712</v>
      </c>
      <c r="P342" s="1758">
        <v>12246</v>
      </c>
      <c r="Q342" s="1759">
        <v>15170</v>
      </c>
      <c r="R342" s="1760">
        <v>15170</v>
      </c>
      <c r="S342" s="1760">
        <v>12513</v>
      </c>
      <c r="T342" s="1760">
        <v>12513</v>
      </c>
      <c r="U342" s="1761">
        <v>23155.870464</v>
      </c>
      <c r="V342" s="1762">
        <f t="shared" ref="V342:W345" si="116">U342*108%</f>
        <v>25008.34010112</v>
      </c>
      <c r="W342" s="1757">
        <f t="shared" si="116"/>
        <v>27009.007309209603</v>
      </c>
      <c r="Z342" s="1773">
        <f t="shared" si="103"/>
        <v>0</v>
      </c>
      <c r="AA342" s="1773">
        <f t="shared" si="104"/>
        <v>0</v>
      </c>
      <c r="AB342" s="1773">
        <f t="shared" si="105"/>
        <v>0</v>
      </c>
      <c r="AC342" s="1773">
        <f t="shared" si="106"/>
        <v>0</v>
      </c>
      <c r="AD342" s="1773">
        <f t="shared" si="107"/>
        <v>0</v>
      </c>
      <c r="AE342" s="1773">
        <f t="shared" si="108"/>
        <v>0</v>
      </c>
      <c r="AF342" s="1773">
        <f t="shared" si="109"/>
        <v>0</v>
      </c>
      <c r="AG342" s="1773">
        <f t="shared" si="110"/>
        <v>0</v>
      </c>
      <c r="AH342" s="1773">
        <f t="shared" si="111"/>
        <v>0</v>
      </c>
      <c r="AI342" s="1773">
        <f t="shared" si="112"/>
        <v>0</v>
      </c>
      <c r="AJ342" s="1773">
        <f t="shared" si="113"/>
        <v>0</v>
      </c>
      <c r="AK342" s="1773">
        <f t="shared" si="114"/>
        <v>0</v>
      </c>
      <c r="AL342" s="1773">
        <f t="shared" si="115"/>
        <v>23155.870464</v>
      </c>
      <c r="AN342" s="1776"/>
      <c r="AO342" s="1776"/>
      <c r="AP342" s="1776"/>
      <c r="AQ342" s="1776"/>
      <c r="AR342" s="1776"/>
      <c r="AS342" s="1776"/>
      <c r="AT342" s="1776"/>
      <c r="AU342" s="1776"/>
      <c r="AV342" s="1776"/>
      <c r="AW342" s="1776"/>
      <c r="AX342" s="1776"/>
      <c r="AY342" s="1776"/>
      <c r="AZ342" s="1776">
        <v>1</v>
      </c>
    </row>
    <row r="343" spans="1:52">
      <c r="A343" s="1479" t="s">
        <v>2727</v>
      </c>
      <c r="B343" s="1479" t="s">
        <v>2235</v>
      </c>
      <c r="C343" s="1741" t="s">
        <v>2108</v>
      </c>
      <c r="D343" s="1741">
        <v>1210</v>
      </c>
      <c r="E343" s="1741">
        <v>50</v>
      </c>
      <c r="F343" s="1741" t="s">
        <v>2130</v>
      </c>
      <c r="G343" s="1741" t="s">
        <v>2220</v>
      </c>
      <c r="H343" s="1741" t="s">
        <v>1658</v>
      </c>
      <c r="I343" s="1753" t="s">
        <v>3003</v>
      </c>
      <c r="J343" s="1754" t="s">
        <v>2110</v>
      </c>
      <c r="K343" s="1753" t="s">
        <v>497</v>
      </c>
      <c r="L343" s="1754" t="s">
        <v>1159</v>
      </c>
      <c r="M343" s="1754"/>
      <c r="N343" s="1756">
        <v>50165.97</v>
      </c>
      <c r="O343" s="1757">
        <v>50391.6</v>
      </c>
      <c r="P343" s="1758">
        <v>41140.589999999997</v>
      </c>
      <c r="Q343" s="1759">
        <v>108315</v>
      </c>
      <c r="R343" s="1760">
        <v>108315</v>
      </c>
      <c r="S343" s="1760">
        <v>52840</v>
      </c>
      <c r="T343" s="1760">
        <v>52840</v>
      </c>
      <c r="U343" s="1761">
        <v>158672.83395599999</v>
      </c>
      <c r="V343" s="1762">
        <f t="shared" si="116"/>
        <v>171366.66067248001</v>
      </c>
      <c r="W343" s="1757">
        <f t="shared" si="116"/>
        <v>185075.99352627841</v>
      </c>
      <c r="Z343" s="1773">
        <f t="shared" si="103"/>
        <v>0</v>
      </c>
      <c r="AA343" s="1773">
        <f t="shared" si="104"/>
        <v>0</v>
      </c>
      <c r="AB343" s="1773">
        <f t="shared" si="105"/>
        <v>0</v>
      </c>
      <c r="AC343" s="1773">
        <f t="shared" si="106"/>
        <v>0</v>
      </c>
      <c r="AD343" s="1773">
        <f t="shared" si="107"/>
        <v>0</v>
      </c>
      <c r="AE343" s="1773">
        <f t="shared" si="108"/>
        <v>0</v>
      </c>
      <c r="AF343" s="1773">
        <f t="shared" si="109"/>
        <v>0</v>
      </c>
      <c r="AG343" s="1773">
        <f t="shared" si="110"/>
        <v>0</v>
      </c>
      <c r="AH343" s="1773">
        <f t="shared" si="111"/>
        <v>0</v>
      </c>
      <c r="AI343" s="1773">
        <f t="shared" si="112"/>
        <v>0</v>
      </c>
      <c r="AJ343" s="1773">
        <f t="shared" si="113"/>
        <v>0</v>
      </c>
      <c r="AK343" s="1773">
        <f t="shared" si="114"/>
        <v>0</v>
      </c>
      <c r="AL343" s="1773">
        <f t="shared" si="115"/>
        <v>158672.83395599999</v>
      </c>
      <c r="AN343" s="1776"/>
      <c r="AO343" s="1776"/>
      <c r="AP343" s="1776"/>
      <c r="AQ343" s="1776"/>
      <c r="AR343" s="1776"/>
      <c r="AS343" s="1776"/>
      <c r="AT343" s="1776"/>
      <c r="AU343" s="1776"/>
      <c r="AV343" s="1776"/>
      <c r="AW343" s="1776"/>
      <c r="AX343" s="1776"/>
      <c r="AY343" s="1776"/>
      <c r="AZ343" s="1776">
        <v>1</v>
      </c>
    </row>
    <row r="344" spans="1:52">
      <c r="A344" s="1479" t="s">
        <v>2728</v>
      </c>
      <c r="B344" s="1479" t="s">
        <v>2237</v>
      </c>
      <c r="C344" s="1741" t="s">
        <v>2108</v>
      </c>
      <c r="D344" s="1741">
        <v>1210</v>
      </c>
      <c r="E344" s="1741">
        <v>60</v>
      </c>
      <c r="F344" s="1741" t="s">
        <v>2130</v>
      </c>
      <c r="G344" s="1741" t="s">
        <v>2220</v>
      </c>
      <c r="H344" s="1741" t="s">
        <v>1658</v>
      </c>
      <c r="I344" s="1753" t="s">
        <v>3003</v>
      </c>
      <c r="J344" s="1754" t="s">
        <v>2110</v>
      </c>
      <c r="K344" s="1753" t="s">
        <v>497</v>
      </c>
      <c r="L344" s="1754" t="s">
        <v>1159</v>
      </c>
      <c r="M344" s="1754"/>
      <c r="N344" s="1756">
        <v>2826.2</v>
      </c>
      <c r="O344" s="1757">
        <v>4546.99</v>
      </c>
      <c r="P344" s="1758">
        <v>3018.78</v>
      </c>
      <c r="Q344" s="1759">
        <v>5615</v>
      </c>
      <c r="R344" s="1760">
        <v>5615</v>
      </c>
      <c r="S344" s="1760">
        <v>4973</v>
      </c>
      <c r="T344" s="1760">
        <v>4973</v>
      </c>
      <c r="U344" s="1761">
        <v>7915.2461759999997</v>
      </c>
      <c r="V344" s="1762">
        <f t="shared" si="116"/>
        <v>8548.465870080001</v>
      </c>
      <c r="W344" s="1757">
        <f t="shared" si="116"/>
        <v>9232.3431396864016</v>
      </c>
      <c r="Z344" s="1773">
        <f t="shared" si="103"/>
        <v>0</v>
      </c>
      <c r="AA344" s="1773">
        <f t="shared" si="104"/>
        <v>0</v>
      </c>
      <c r="AB344" s="1773">
        <f t="shared" si="105"/>
        <v>0</v>
      </c>
      <c r="AC344" s="1773">
        <f t="shared" si="106"/>
        <v>0</v>
      </c>
      <c r="AD344" s="1773">
        <f t="shared" si="107"/>
        <v>0</v>
      </c>
      <c r="AE344" s="1773">
        <f t="shared" si="108"/>
        <v>0</v>
      </c>
      <c r="AF344" s="1773">
        <f t="shared" si="109"/>
        <v>0</v>
      </c>
      <c r="AG344" s="1773">
        <f t="shared" si="110"/>
        <v>0</v>
      </c>
      <c r="AH344" s="1773">
        <f t="shared" si="111"/>
        <v>0</v>
      </c>
      <c r="AI344" s="1773">
        <f t="shared" si="112"/>
        <v>0</v>
      </c>
      <c r="AJ344" s="1773">
        <f t="shared" si="113"/>
        <v>0</v>
      </c>
      <c r="AK344" s="1773">
        <f t="shared" si="114"/>
        <v>0</v>
      </c>
      <c r="AL344" s="1773">
        <f t="shared" si="115"/>
        <v>7915.2461759999997</v>
      </c>
      <c r="AN344" s="1776"/>
      <c r="AO344" s="1776"/>
      <c r="AP344" s="1776"/>
      <c r="AQ344" s="1776"/>
      <c r="AR344" s="1776"/>
      <c r="AS344" s="1776"/>
      <c r="AT344" s="1776"/>
      <c r="AU344" s="1776"/>
      <c r="AV344" s="1776"/>
      <c r="AW344" s="1776"/>
      <c r="AX344" s="1776"/>
      <c r="AY344" s="1776"/>
      <c r="AZ344" s="1776">
        <v>1</v>
      </c>
    </row>
    <row r="345" spans="1:52">
      <c r="A345" s="1479" t="s">
        <v>2729</v>
      </c>
      <c r="B345" s="1479" t="s">
        <v>2239</v>
      </c>
      <c r="C345" s="1741" t="s">
        <v>2108</v>
      </c>
      <c r="D345" s="1741">
        <v>1210</v>
      </c>
      <c r="E345" s="1741">
        <v>70</v>
      </c>
      <c r="F345" s="1741" t="s">
        <v>2130</v>
      </c>
      <c r="G345" s="1741" t="s">
        <v>2220</v>
      </c>
      <c r="H345" s="1741" t="s">
        <v>1658</v>
      </c>
      <c r="I345" s="1753" t="s">
        <v>3003</v>
      </c>
      <c r="J345" s="1754" t="s">
        <v>2111</v>
      </c>
      <c r="K345" s="1753" t="s">
        <v>497</v>
      </c>
      <c r="L345" s="1754" t="s">
        <v>1159</v>
      </c>
      <c r="M345" s="1754"/>
      <c r="N345" s="1756">
        <v>1472.64</v>
      </c>
      <c r="O345" s="1757">
        <v>1594.8</v>
      </c>
      <c r="P345" s="1758">
        <v>1594.8</v>
      </c>
      <c r="Q345" s="1759">
        <v>3440</v>
      </c>
      <c r="R345" s="1760">
        <v>3440</v>
      </c>
      <c r="S345" s="1760">
        <v>1804</v>
      </c>
      <c r="T345" s="1760">
        <v>1804</v>
      </c>
      <c r="U345" s="1761">
        <v>5105.9159999999993</v>
      </c>
      <c r="V345" s="1762">
        <f t="shared" si="116"/>
        <v>5514.3892799999994</v>
      </c>
      <c r="W345" s="1757">
        <f t="shared" si="116"/>
        <v>5955.5404223999994</v>
      </c>
      <c r="Z345" s="1773">
        <f t="shared" si="103"/>
        <v>0</v>
      </c>
      <c r="AA345" s="1773">
        <f t="shared" si="104"/>
        <v>0</v>
      </c>
      <c r="AB345" s="1773">
        <f t="shared" si="105"/>
        <v>0</v>
      </c>
      <c r="AC345" s="1773">
        <f t="shared" si="106"/>
        <v>0</v>
      </c>
      <c r="AD345" s="1773">
        <f t="shared" si="107"/>
        <v>0</v>
      </c>
      <c r="AE345" s="1773">
        <f t="shared" si="108"/>
        <v>0</v>
      </c>
      <c r="AF345" s="1773">
        <f t="shared" si="109"/>
        <v>0</v>
      </c>
      <c r="AG345" s="1773">
        <f t="shared" si="110"/>
        <v>0</v>
      </c>
      <c r="AH345" s="1773">
        <f t="shared" si="111"/>
        <v>0</v>
      </c>
      <c r="AI345" s="1773">
        <f t="shared" si="112"/>
        <v>0</v>
      </c>
      <c r="AJ345" s="1773">
        <f t="shared" si="113"/>
        <v>0</v>
      </c>
      <c r="AK345" s="1773">
        <f t="shared" si="114"/>
        <v>0</v>
      </c>
      <c r="AL345" s="1773">
        <f t="shared" si="115"/>
        <v>5105.9159999999993</v>
      </c>
      <c r="AN345" s="1776"/>
      <c r="AO345" s="1776"/>
      <c r="AP345" s="1776"/>
      <c r="AQ345" s="1776"/>
      <c r="AR345" s="1776"/>
      <c r="AS345" s="1776"/>
      <c r="AT345" s="1776"/>
      <c r="AU345" s="1776"/>
      <c r="AV345" s="1776"/>
      <c r="AW345" s="1776"/>
      <c r="AX345" s="1776"/>
      <c r="AY345" s="1776"/>
      <c r="AZ345" s="1776">
        <v>1</v>
      </c>
    </row>
    <row r="346" spans="1:52">
      <c r="A346" s="1479" t="s">
        <v>2730</v>
      </c>
      <c r="B346" s="1479" t="s">
        <v>2269</v>
      </c>
      <c r="C346" s="1741" t="s">
        <v>2108</v>
      </c>
      <c r="D346" s="1741">
        <v>1210</v>
      </c>
      <c r="E346" s="1741">
        <v>80</v>
      </c>
      <c r="F346" s="1741" t="s">
        <v>2130</v>
      </c>
      <c r="G346" s="1741" t="s">
        <v>2220</v>
      </c>
      <c r="H346" s="1741" t="s">
        <v>1658</v>
      </c>
      <c r="I346" s="1753" t="s">
        <v>3003</v>
      </c>
      <c r="J346" s="1754" t="s">
        <v>2112</v>
      </c>
      <c r="K346" s="1753" t="s">
        <v>497</v>
      </c>
      <c r="L346" s="1754" t="s">
        <v>807</v>
      </c>
      <c r="M346" s="1754"/>
      <c r="N346" s="1756">
        <v>2043</v>
      </c>
      <c r="O346" s="1757">
        <v>2556.9</v>
      </c>
      <c r="P346" s="1758">
        <v>2313.7800000000002</v>
      </c>
      <c r="Q346" s="1759">
        <v>2440</v>
      </c>
      <c r="R346" s="1760">
        <v>2440</v>
      </c>
      <c r="S346" s="1760">
        <v>1787</v>
      </c>
      <c r="T346" s="1760">
        <v>1787</v>
      </c>
      <c r="U346" s="1761">
        <v>2436</v>
      </c>
      <c r="V346" s="1762">
        <v>2610</v>
      </c>
      <c r="W346" s="1757">
        <v>2795</v>
      </c>
      <c r="Z346" s="1773">
        <f t="shared" si="103"/>
        <v>0</v>
      </c>
      <c r="AA346" s="1773">
        <f t="shared" si="104"/>
        <v>0</v>
      </c>
      <c r="AB346" s="1773">
        <f t="shared" si="105"/>
        <v>0</v>
      </c>
      <c r="AC346" s="1773">
        <f t="shared" si="106"/>
        <v>0</v>
      </c>
      <c r="AD346" s="1773">
        <f t="shared" si="107"/>
        <v>0</v>
      </c>
      <c r="AE346" s="1773">
        <f t="shared" si="108"/>
        <v>0</v>
      </c>
      <c r="AF346" s="1773">
        <f t="shared" si="109"/>
        <v>0</v>
      </c>
      <c r="AG346" s="1773">
        <f t="shared" si="110"/>
        <v>0</v>
      </c>
      <c r="AH346" s="1773">
        <f t="shared" si="111"/>
        <v>0</v>
      </c>
      <c r="AI346" s="1773">
        <f t="shared" si="112"/>
        <v>0</v>
      </c>
      <c r="AJ346" s="1773">
        <f t="shared" si="113"/>
        <v>0</v>
      </c>
      <c r="AK346" s="1773">
        <f t="shared" si="114"/>
        <v>0</v>
      </c>
      <c r="AL346" s="1773">
        <f t="shared" si="115"/>
        <v>2436</v>
      </c>
      <c r="AN346" s="1776"/>
      <c r="AO346" s="1776"/>
      <c r="AP346" s="1776"/>
      <c r="AQ346" s="1776"/>
      <c r="AR346" s="1776"/>
      <c r="AS346" s="1776"/>
      <c r="AT346" s="1776"/>
      <c r="AU346" s="1776"/>
      <c r="AV346" s="1776"/>
      <c r="AW346" s="1776"/>
      <c r="AX346" s="1776"/>
      <c r="AY346" s="1776"/>
      <c r="AZ346" s="1776">
        <v>1</v>
      </c>
    </row>
    <row r="347" spans="1:52">
      <c r="A347" s="1479" t="s">
        <v>2731</v>
      </c>
      <c r="B347" s="1479" t="s">
        <v>2241</v>
      </c>
      <c r="C347" s="1741" t="s">
        <v>2108</v>
      </c>
      <c r="D347" s="1741">
        <v>1210</v>
      </c>
      <c r="E347" s="1741">
        <v>140</v>
      </c>
      <c r="F347" s="1741" t="s">
        <v>2130</v>
      </c>
      <c r="G347" s="1741" t="s">
        <v>2220</v>
      </c>
      <c r="H347" s="1741" t="s">
        <v>1658</v>
      </c>
      <c r="I347" s="1753" t="s">
        <v>3003</v>
      </c>
      <c r="J347" s="1754" t="s">
        <v>3005</v>
      </c>
      <c r="K347" s="1753" t="s">
        <v>497</v>
      </c>
      <c r="L347" s="1754" t="s">
        <v>1163</v>
      </c>
      <c r="M347" s="1754"/>
      <c r="N347" s="1756">
        <v>21273</v>
      </c>
      <c r="O347" s="1757">
        <v>23989.5</v>
      </c>
      <c r="P347" s="1758">
        <v>17069.02</v>
      </c>
      <c r="Q347" s="1759">
        <v>39675</v>
      </c>
      <c r="R347" s="1760">
        <v>39675</v>
      </c>
      <c r="S347" s="1760">
        <v>30844</v>
      </c>
      <c r="T347" s="1760">
        <v>30844</v>
      </c>
      <c r="U347" s="1761">
        <v>58121.917199999996</v>
      </c>
      <c r="V347" s="1762">
        <f>U347*108%</f>
        <v>62771.670575999997</v>
      </c>
      <c r="W347" s="1757">
        <f>V347*108%</f>
        <v>67793.404222080004</v>
      </c>
      <c r="Z347" s="1773">
        <f t="shared" si="103"/>
        <v>0</v>
      </c>
      <c r="AA347" s="1773">
        <f t="shared" si="104"/>
        <v>0</v>
      </c>
      <c r="AB347" s="1773">
        <f t="shared" si="105"/>
        <v>0</v>
      </c>
      <c r="AC347" s="1773">
        <f t="shared" si="106"/>
        <v>0</v>
      </c>
      <c r="AD347" s="1773">
        <f t="shared" si="107"/>
        <v>0</v>
      </c>
      <c r="AE347" s="1773">
        <f t="shared" si="108"/>
        <v>0</v>
      </c>
      <c r="AF347" s="1773">
        <f t="shared" si="109"/>
        <v>0</v>
      </c>
      <c r="AG347" s="1773">
        <f t="shared" si="110"/>
        <v>0</v>
      </c>
      <c r="AH347" s="1773">
        <f t="shared" si="111"/>
        <v>0</v>
      </c>
      <c r="AI347" s="1773">
        <f t="shared" si="112"/>
        <v>0</v>
      </c>
      <c r="AJ347" s="1773">
        <f t="shared" si="113"/>
        <v>0</v>
      </c>
      <c r="AK347" s="1773">
        <f t="shared" si="114"/>
        <v>0</v>
      </c>
      <c r="AL347" s="1773">
        <f t="shared" si="115"/>
        <v>58121.917199999996</v>
      </c>
      <c r="AN347" s="1776"/>
      <c r="AO347" s="1776"/>
      <c r="AP347" s="1776"/>
      <c r="AQ347" s="1776"/>
      <c r="AR347" s="1776"/>
      <c r="AS347" s="1776"/>
      <c r="AT347" s="1776"/>
      <c r="AU347" s="1776"/>
      <c r="AV347" s="1776"/>
      <c r="AW347" s="1776"/>
      <c r="AX347" s="1776"/>
      <c r="AY347" s="1776"/>
      <c r="AZ347" s="1776">
        <v>1</v>
      </c>
    </row>
    <row r="348" spans="1:52">
      <c r="A348" s="1479" t="s">
        <v>2732</v>
      </c>
      <c r="B348" s="1479" t="s">
        <v>2349</v>
      </c>
      <c r="C348" s="1741" t="s">
        <v>2108</v>
      </c>
      <c r="D348" s="1741">
        <v>1210</v>
      </c>
      <c r="E348" s="1741">
        <v>510</v>
      </c>
      <c r="F348" s="1741" t="s">
        <v>2130</v>
      </c>
      <c r="G348" s="1741" t="s">
        <v>2220</v>
      </c>
      <c r="H348" s="1741" t="s">
        <v>1658</v>
      </c>
      <c r="I348" s="1753" t="s">
        <v>2114</v>
      </c>
      <c r="J348" s="1754" t="s">
        <v>3018</v>
      </c>
      <c r="K348" s="1753" t="s">
        <v>2114</v>
      </c>
      <c r="L348" s="1754" t="s">
        <v>3018</v>
      </c>
      <c r="M348" s="1754"/>
      <c r="N348" s="1756">
        <v>481.99</v>
      </c>
      <c r="O348" s="1757">
        <v>0</v>
      </c>
      <c r="P348" s="1758">
        <v>1242.47</v>
      </c>
      <c r="Q348" s="1759">
        <v>200</v>
      </c>
      <c r="R348" s="1760">
        <v>2500</v>
      </c>
      <c r="S348" s="1760">
        <v>3161</v>
      </c>
      <c r="T348" s="1760">
        <v>3161</v>
      </c>
      <c r="U348" s="1761">
        <v>3000</v>
      </c>
      <c r="V348" s="1762">
        <v>3000</v>
      </c>
      <c r="W348" s="1757">
        <v>3000</v>
      </c>
      <c r="Z348" s="1773">
        <f t="shared" si="103"/>
        <v>0</v>
      </c>
      <c r="AA348" s="1773">
        <f t="shared" si="104"/>
        <v>0</v>
      </c>
      <c r="AB348" s="1773">
        <f t="shared" si="105"/>
        <v>0</v>
      </c>
      <c r="AC348" s="1773">
        <f t="shared" si="106"/>
        <v>0</v>
      </c>
      <c r="AD348" s="1773">
        <f t="shared" si="107"/>
        <v>0</v>
      </c>
      <c r="AE348" s="1773">
        <f t="shared" si="108"/>
        <v>0</v>
      </c>
      <c r="AF348" s="1773">
        <f t="shared" si="109"/>
        <v>0</v>
      </c>
      <c r="AG348" s="1773">
        <f t="shared" si="110"/>
        <v>0</v>
      </c>
      <c r="AH348" s="1773">
        <f t="shared" si="111"/>
        <v>0</v>
      </c>
      <c r="AI348" s="1773">
        <f t="shared" si="112"/>
        <v>0</v>
      </c>
      <c r="AJ348" s="1773">
        <f t="shared" si="113"/>
        <v>0</v>
      </c>
      <c r="AK348" s="1773">
        <f t="shared" si="114"/>
        <v>0</v>
      </c>
      <c r="AL348" s="1773">
        <f t="shared" si="115"/>
        <v>3000</v>
      </c>
      <c r="AN348" s="1776"/>
      <c r="AO348" s="1776"/>
      <c r="AP348" s="1776"/>
      <c r="AQ348" s="1776"/>
      <c r="AR348" s="1776"/>
      <c r="AS348" s="1776"/>
      <c r="AT348" s="1776"/>
      <c r="AU348" s="1776"/>
      <c r="AV348" s="1776"/>
      <c r="AW348" s="1776"/>
      <c r="AX348" s="1776"/>
      <c r="AY348" s="1776"/>
      <c r="AZ348" s="1776">
        <v>1</v>
      </c>
    </row>
    <row r="349" spans="1:52">
      <c r="A349" s="1479" t="s">
        <v>2733</v>
      </c>
      <c r="B349" s="1479" t="s">
        <v>2243</v>
      </c>
      <c r="C349" s="1741" t="s">
        <v>2108</v>
      </c>
      <c r="D349" s="1741">
        <v>1210</v>
      </c>
      <c r="E349" s="1741">
        <v>520</v>
      </c>
      <c r="F349" s="1741" t="s">
        <v>2130</v>
      </c>
      <c r="G349" s="1741" t="s">
        <v>2220</v>
      </c>
      <c r="H349" s="1741" t="s">
        <v>1658</v>
      </c>
      <c r="I349" s="1753" t="s">
        <v>2114</v>
      </c>
      <c r="J349" s="1754" t="s">
        <v>2138</v>
      </c>
      <c r="K349" s="1753" t="s">
        <v>2114</v>
      </c>
      <c r="L349" s="1754" t="s">
        <v>2138</v>
      </c>
      <c r="M349" s="1754"/>
      <c r="N349" s="1756">
        <v>29902.32</v>
      </c>
      <c r="O349" s="1757">
        <v>20627.8</v>
      </c>
      <c r="P349" s="1758">
        <v>17553.36</v>
      </c>
      <c r="Q349" s="1759">
        <v>26060</v>
      </c>
      <c r="R349" s="1760">
        <v>0</v>
      </c>
      <c r="S349" s="1760">
        <v>0</v>
      </c>
      <c r="T349" s="1760">
        <v>0</v>
      </c>
      <c r="U349" s="1761">
        <v>0</v>
      </c>
      <c r="V349" s="1762">
        <v>0</v>
      </c>
      <c r="W349" s="1757">
        <v>0</v>
      </c>
      <c r="Z349" s="1773">
        <f t="shared" si="103"/>
        <v>0</v>
      </c>
      <c r="AA349" s="1773">
        <f t="shared" si="104"/>
        <v>0</v>
      </c>
      <c r="AB349" s="1773">
        <f t="shared" si="105"/>
        <v>0</v>
      </c>
      <c r="AC349" s="1773">
        <f t="shared" si="106"/>
        <v>0</v>
      </c>
      <c r="AD349" s="1773">
        <f t="shared" si="107"/>
        <v>0</v>
      </c>
      <c r="AE349" s="1773">
        <f t="shared" si="108"/>
        <v>0</v>
      </c>
      <c r="AF349" s="1773">
        <f t="shared" si="109"/>
        <v>0</v>
      </c>
      <c r="AG349" s="1773">
        <f t="shared" si="110"/>
        <v>0</v>
      </c>
      <c r="AH349" s="1773">
        <f t="shared" si="111"/>
        <v>0</v>
      </c>
      <c r="AI349" s="1773">
        <f t="shared" si="112"/>
        <v>0</v>
      </c>
      <c r="AJ349" s="1773">
        <f t="shared" si="113"/>
        <v>0</v>
      </c>
      <c r="AK349" s="1773">
        <f t="shared" si="114"/>
        <v>0</v>
      </c>
      <c r="AL349" s="1773">
        <f t="shared" si="115"/>
        <v>0</v>
      </c>
      <c r="AN349" s="1776"/>
      <c r="AO349" s="1776"/>
      <c r="AP349" s="1776"/>
      <c r="AQ349" s="1776"/>
      <c r="AR349" s="1776"/>
      <c r="AS349" s="1776"/>
      <c r="AT349" s="1776"/>
      <c r="AU349" s="1776"/>
      <c r="AV349" s="1776"/>
      <c r="AW349" s="1776"/>
      <c r="AX349" s="1776"/>
      <c r="AY349" s="1776"/>
      <c r="AZ349" s="1776">
        <v>1</v>
      </c>
    </row>
    <row r="350" spans="1:52" ht="13.5">
      <c r="A350" s="1479" t="s">
        <v>2734</v>
      </c>
      <c r="B350" s="1479" t="s">
        <v>2283</v>
      </c>
      <c r="C350" s="1741" t="s">
        <v>2108</v>
      </c>
      <c r="D350" s="1741">
        <v>1210</v>
      </c>
      <c r="E350" s="1741">
        <v>570</v>
      </c>
      <c r="F350" s="1741" t="s">
        <v>2130</v>
      </c>
      <c r="G350" s="1741" t="s">
        <v>2220</v>
      </c>
      <c r="H350" s="1741" t="s">
        <v>1658</v>
      </c>
      <c r="I350" s="1753" t="s">
        <v>2114</v>
      </c>
      <c r="J350" s="1754" t="s">
        <v>3010</v>
      </c>
      <c r="K350" s="1753" t="s">
        <v>2114</v>
      </c>
      <c r="L350" s="1754" t="s">
        <v>3010</v>
      </c>
      <c r="M350" s="1755"/>
      <c r="N350" s="1756">
        <v>30106.04</v>
      </c>
      <c r="O350" s="1757">
        <v>17307.259999999998</v>
      </c>
      <c r="P350" s="1758">
        <v>4998.84</v>
      </c>
      <c r="Q350" s="1759">
        <v>15000</v>
      </c>
      <c r="R350" s="1760">
        <v>6000</v>
      </c>
      <c r="S350" s="1760">
        <v>3367</v>
      </c>
      <c r="T350" s="1760">
        <v>3367</v>
      </c>
      <c r="U350" s="1761">
        <v>6000</v>
      </c>
      <c r="V350" s="1762">
        <v>15000</v>
      </c>
      <c r="W350" s="1757">
        <v>15000</v>
      </c>
      <c r="Z350" s="1773">
        <f t="shared" si="103"/>
        <v>0</v>
      </c>
      <c r="AA350" s="1773">
        <f t="shared" si="104"/>
        <v>0</v>
      </c>
      <c r="AB350" s="1773">
        <f t="shared" si="105"/>
        <v>0</v>
      </c>
      <c r="AC350" s="1773">
        <f t="shared" si="106"/>
        <v>0</v>
      </c>
      <c r="AD350" s="1773">
        <f t="shared" si="107"/>
        <v>0</v>
      </c>
      <c r="AE350" s="1773">
        <f t="shared" si="108"/>
        <v>0</v>
      </c>
      <c r="AF350" s="1773">
        <f t="shared" si="109"/>
        <v>0</v>
      </c>
      <c r="AG350" s="1773">
        <f t="shared" si="110"/>
        <v>0</v>
      </c>
      <c r="AH350" s="1773">
        <f t="shared" si="111"/>
        <v>0</v>
      </c>
      <c r="AI350" s="1773">
        <f t="shared" si="112"/>
        <v>0</v>
      </c>
      <c r="AJ350" s="1773">
        <f t="shared" si="113"/>
        <v>0</v>
      </c>
      <c r="AK350" s="1773">
        <f t="shared" si="114"/>
        <v>0</v>
      </c>
      <c r="AL350" s="1773">
        <f t="shared" si="115"/>
        <v>6000</v>
      </c>
      <c r="AN350" s="1776"/>
      <c r="AO350" s="1776"/>
      <c r="AP350" s="1776"/>
      <c r="AQ350" s="1776"/>
      <c r="AR350" s="1776"/>
      <c r="AS350" s="1776"/>
      <c r="AT350" s="1776"/>
      <c r="AU350" s="1776"/>
      <c r="AV350" s="1776"/>
      <c r="AW350" s="1776"/>
      <c r="AX350" s="1776"/>
      <c r="AY350" s="1776"/>
      <c r="AZ350" s="1776">
        <v>1</v>
      </c>
    </row>
    <row r="351" spans="1:52" ht="13.5">
      <c r="A351" t="s">
        <v>2735</v>
      </c>
      <c r="B351" t="s">
        <v>2736</v>
      </c>
      <c r="C351" s="1741" t="s">
        <v>2108</v>
      </c>
      <c r="D351" s="1741">
        <v>1210</v>
      </c>
      <c r="E351" s="1741">
        <v>670</v>
      </c>
      <c r="F351" s="1741" t="s">
        <v>2130</v>
      </c>
      <c r="G351" s="1741" t="s">
        <v>2220</v>
      </c>
      <c r="H351" s="1741" t="s">
        <v>1658</v>
      </c>
      <c r="I351" s="1753" t="s">
        <v>2114</v>
      </c>
      <c r="J351" s="1754"/>
      <c r="K351" s="1753" t="s">
        <v>2114</v>
      </c>
      <c r="L351" s="1754" t="s">
        <v>502</v>
      </c>
      <c r="M351" s="1755"/>
      <c r="N351" s="1756"/>
      <c r="O351" s="1757"/>
      <c r="P351" s="1758"/>
      <c r="Q351" s="1759">
        <v>10000</v>
      </c>
      <c r="R351" s="1760">
        <v>5000</v>
      </c>
      <c r="S351" s="1760">
        <v>1120</v>
      </c>
      <c r="T351" s="1760">
        <v>1120</v>
      </c>
      <c r="U351" s="1761">
        <v>5000</v>
      </c>
      <c r="V351" s="1762">
        <v>10000</v>
      </c>
      <c r="W351" s="1757">
        <v>10000</v>
      </c>
      <c r="Z351" s="1773">
        <f t="shared" si="103"/>
        <v>0</v>
      </c>
      <c r="AA351" s="1773">
        <f t="shared" si="104"/>
        <v>0</v>
      </c>
      <c r="AB351" s="1773">
        <f t="shared" si="105"/>
        <v>0</v>
      </c>
      <c r="AC351" s="1773">
        <f t="shared" si="106"/>
        <v>0</v>
      </c>
      <c r="AD351" s="1773">
        <f t="shared" si="107"/>
        <v>0</v>
      </c>
      <c r="AE351" s="1773">
        <f t="shared" si="108"/>
        <v>0</v>
      </c>
      <c r="AF351" s="1773">
        <f t="shared" si="109"/>
        <v>0</v>
      </c>
      <c r="AG351" s="1773">
        <f t="shared" si="110"/>
        <v>0</v>
      </c>
      <c r="AH351" s="1773">
        <f t="shared" si="111"/>
        <v>0</v>
      </c>
      <c r="AI351" s="1773">
        <f t="shared" si="112"/>
        <v>0</v>
      </c>
      <c r="AJ351" s="1773">
        <f t="shared" si="113"/>
        <v>0</v>
      </c>
      <c r="AK351" s="1773">
        <f t="shared" si="114"/>
        <v>0</v>
      </c>
      <c r="AL351" s="1773">
        <f t="shared" si="115"/>
        <v>5000</v>
      </c>
      <c r="AN351" s="1776"/>
      <c r="AO351" s="1776"/>
      <c r="AP351" s="1776"/>
      <c r="AQ351" s="1776"/>
      <c r="AR351" s="1776"/>
      <c r="AS351" s="1776"/>
      <c r="AT351" s="1776"/>
      <c r="AU351" s="1776"/>
      <c r="AV351" s="1776"/>
      <c r="AW351" s="1776"/>
      <c r="AX351" s="1776"/>
      <c r="AY351" s="1776"/>
      <c r="AZ351" s="1776">
        <v>1</v>
      </c>
    </row>
    <row r="352" spans="1:52" ht="13.5">
      <c r="A352" s="1479" t="s">
        <v>2737</v>
      </c>
      <c r="B352" s="1479" t="s">
        <v>2546</v>
      </c>
      <c r="C352" s="1741" t="s">
        <v>2108</v>
      </c>
      <c r="D352" s="1741">
        <v>1210</v>
      </c>
      <c r="E352" s="1741">
        <v>1000</v>
      </c>
      <c r="F352" s="1741" t="s">
        <v>2130</v>
      </c>
      <c r="G352" s="1741" t="s">
        <v>2220</v>
      </c>
      <c r="H352" s="1741" t="s">
        <v>1658</v>
      </c>
      <c r="I352" s="1753" t="s">
        <v>2114</v>
      </c>
      <c r="J352" s="1754" t="s">
        <v>2546</v>
      </c>
      <c r="K352" s="1753" t="s">
        <v>2114</v>
      </c>
      <c r="L352" s="1754" t="s">
        <v>3015</v>
      </c>
      <c r="M352" s="1755"/>
      <c r="N352" s="1756">
        <v>0</v>
      </c>
      <c r="O352" s="1757">
        <v>40365.770000000004</v>
      </c>
      <c r="P352" s="1758">
        <v>23043.29</v>
      </c>
      <c r="Q352" s="1759">
        <v>0</v>
      </c>
      <c r="R352" s="1760">
        <v>0</v>
      </c>
      <c r="S352" s="1760">
        <v>0</v>
      </c>
      <c r="T352" s="1760">
        <v>0</v>
      </c>
      <c r="U352" s="1761">
        <v>0</v>
      </c>
      <c r="V352" s="1762">
        <v>0</v>
      </c>
      <c r="W352" s="1757">
        <v>0</v>
      </c>
      <c r="Z352" s="1773">
        <f t="shared" si="103"/>
        <v>0</v>
      </c>
      <c r="AA352" s="1773">
        <f t="shared" si="104"/>
        <v>0</v>
      </c>
      <c r="AB352" s="1773">
        <f t="shared" si="105"/>
        <v>0</v>
      </c>
      <c r="AC352" s="1773">
        <f t="shared" si="106"/>
        <v>0</v>
      </c>
      <c r="AD352" s="1773">
        <f t="shared" si="107"/>
        <v>0</v>
      </c>
      <c r="AE352" s="1773">
        <f t="shared" si="108"/>
        <v>0</v>
      </c>
      <c r="AF352" s="1773">
        <f t="shared" si="109"/>
        <v>0</v>
      </c>
      <c r="AG352" s="1773">
        <f t="shared" si="110"/>
        <v>0</v>
      </c>
      <c r="AH352" s="1773">
        <f t="shared" si="111"/>
        <v>0</v>
      </c>
      <c r="AI352" s="1773">
        <f t="shared" si="112"/>
        <v>0</v>
      </c>
      <c r="AJ352" s="1773">
        <f t="shared" si="113"/>
        <v>0</v>
      </c>
      <c r="AK352" s="1773">
        <f t="shared" si="114"/>
        <v>0</v>
      </c>
      <c r="AL352" s="1773">
        <f t="shared" si="115"/>
        <v>0</v>
      </c>
      <c r="AN352" s="1776"/>
      <c r="AO352" s="1776"/>
      <c r="AP352" s="1776"/>
      <c r="AQ352" s="1776"/>
      <c r="AR352" s="1776"/>
      <c r="AS352" s="1776"/>
      <c r="AT352" s="1776"/>
      <c r="AU352" s="1776"/>
      <c r="AV352" s="1776"/>
      <c r="AW352" s="1776"/>
      <c r="AX352" s="1776"/>
      <c r="AY352" s="1776"/>
      <c r="AZ352" s="1776">
        <v>1</v>
      </c>
    </row>
    <row r="353" spans="1:52" ht="13.5">
      <c r="A353" t="s">
        <v>2738</v>
      </c>
      <c r="B353" t="s">
        <v>2251</v>
      </c>
      <c r="C353" s="1741" t="s">
        <v>2108</v>
      </c>
      <c r="D353" s="1741">
        <v>1210</v>
      </c>
      <c r="E353" s="1741">
        <v>1440</v>
      </c>
      <c r="F353" s="1741" t="s">
        <v>2130</v>
      </c>
      <c r="G353" s="1741" t="s">
        <v>2220</v>
      </c>
      <c r="H353" s="1741" t="s">
        <v>1658</v>
      </c>
      <c r="I353" s="1753" t="s">
        <v>2115</v>
      </c>
      <c r="J353" s="1754"/>
      <c r="K353" s="1753" t="s">
        <v>1596</v>
      </c>
      <c r="L353" s="1754" t="s">
        <v>1696</v>
      </c>
      <c r="M353" s="1755"/>
      <c r="N353" s="1756"/>
      <c r="O353" s="1757"/>
      <c r="P353" s="1758"/>
      <c r="Q353" s="1759">
        <v>30000</v>
      </c>
      <c r="R353" s="1760">
        <v>30000</v>
      </c>
      <c r="S353" s="1760">
        <v>3360</v>
      </c>
      <c r="T353" s="1760">
        <v>3360</v>
      </c>
      <c r="U353" s="1761">
        <v>30000</v>
      </c>
      <c r="V353" s="1762">
        <v>30000</v>
      </c>
      <c r="W353" s="1757">
        <v>30000</v>
      </c>
      <c r="Z353" s="1773">
        <f t="shared" si="103"/>
        <v>0</v>
      </c>
      <c r="AA353" s="1773">
        <f t="shared" si="104"/>
        <v>0</v>
      </c>
      <c r="AB353" s="1773">
        <f t="shared" si="105"/>
        <v>0</v>
      </c>
      <c r="AC353" s="1773">
        <f t="shared" si="106"/>
        <v>0</v>
      </c>
      <c r="AD353" s="1773">
        <f t="shared" si="107"/>
        <v>0</v>
      </c>
      <c r="AE353" s="1773">
        <f t="shared" si="108"/>
        <v>0</v>
      </c>
      <c r="AF353" s="1773">
        <f t="shared" si="109"/>
        <v>0</v>
      </c>
      <c r="AG353" s="1773">
        <f t="shared" si="110"/>
        <v>0</v>
      </c>
      <c r="AH353" s="1773">
        <f t="shared" si="111"/>
        <v>0</v>
      </c>
      <c r="AI353" s="1773">
        <f t="shared" si="112"/>
        <v>0</v>
      </c>
      <c r="AJ353" s="1773">
        <f t="shared" si="113"/>
        <v>0</v>
      </c>
      <c r="AK353" s="1773">
        <f t="shared" si="114"/>
        <v>0</v>
      </c>
      <c r="AL353" s="1773">
        <f t="shared" si="115"/>
        <v>30000</v>
      </c>
      <c r="AN353" s="1776"/>
      <c r="AO353" s="1776"/>
      <c r="AP353" s="1776"/>
      <c r="AQ353" s="1776"/>
      <c r="AR353" s="1776"/>
      <c r="AS353" s="1776"/>
      <c r="AT353" s="1776"/>
      <c r="AU353" s="1776"/>
      <c r="AV353" s="1776"/>
      <c r="AW353" s="1776"/>
      <c r="AX353" s="1776"/>
      <c r="AY353" s="1776"/>
      <c r="AZ353" s="1776">
        <v>1</v>
      </c>
    </row>
    <row r="354" spans="1:52" ht="13.5">
      <c r="A354" t="s">
        <v>2739</v>
      </c>
      <c r="B354" t="s">
        <v>2740</v>
      </c>
      <c r="C354" s="1741" t="s">
        <v>2108</v>
      </c>
      <c r="D354" s="1741">
        <v>1210</v>
      </c>
      <c r="E354" s="1741">
        <v>1450</v>
      </c>
      <c r="F354" s="1741" t="s">
        <v>2130</v>
      </c>
      <c r="G354" s="1741" t="s">
        <v>2220</v>
      </c>
      <c r="H354" s="1741" t="s">
        <v>1658</v>
      </c>
      <c r="I354" s="1753" t="s">
        <v>3015</v>
      </c>
      <c r="J354" s="1754"/>
      <c r="K354" s="1753" t="s">
        <v>2114</v>
      </c>
      <c r="L354" s="1754" t="s">
        <v>3015</v>
      </c>
      <c r="M354" s="1755"/>
      <c r="N354" s="1756"/>
      <c r="O354" s="1757"/>
      <c r="P354" s="1758"/>
      <c r="Q354" s="1759">
        <v>542000</v>
      </c>
      <c r="R354" s="1760">
        <v>542000</v>
      </c>
      <c r="S354" s="1760">
        <v>240640</v>
      </c>
      <c r="T354" s="1760">
        <v>240640</v>
      </c>
      <c r="U354" s="1761">
        <v>540000</v>
      </c>
      <c r="V354" s="1762">
        <v>576000</v>
      </c>
      <c r="W354" s="1757">
        <v>582000</v>
      </c>
      <c r="Z354" s="1773">
        <f t="shared" si="103"/>
        <v>0</v>
      </c>
      <c r="AA354" s="1773">
        <f t="shared" si="104"/>
        <v>0</v>
      </c>
      <c r="AB354" s="1773">
        <f t="shared" si="105"/>
        <v>0</v>
      </c>
      <c r="AC354" s="1773">
        <f t="shared" si="106"/>
        <v>0</v>
      </c>
      <c r="AD354" s="1773">
        <f t="shared" si="107"/>
        <v>0</v>
      </c>
      <c r="AE354" s="1773">
        <f t="shared" si="108"/>
        <v>0</v>
      </c>
      <c r="AF354" s="1773">
        <f t="shared" si="109"/>
        <v>0</v>
      </c>
      <c r="AG354" s="1773">
        <f t="shared" si="110"/>
        <v>0</v>
      </c>
      <c r="AH354" s="1773">
        <f t="shared" si="111"/>
        <v>0</v>
      </c>
      <c r="AI354" s="1773">
        <f t="shared" si="112"/>
        <v>0</v>
      </c>
      <c r="AJ354" s="1773">
        <f t="shared" si="113"/>
        <v>0</v>
      </c>
      <c r="AK354" s="1773">
        <f t="shared" si="114"/>
        <v>0</v>
      </c>
      <c r="AL354" s="1773">
        <f t="shared" si="115"/>
        <v>540000</v>
      </c>
      <c r="AN354" s="1776"/>
      <c r="AO354" s="1776"/>
      <c r="AP354" s="1776"/>
      <c r="AQ354" s="1776"/>
      <c r="AR354" s="1776"/>
      <c r="AS354" s="1776"/>
      <c r="AT354" s="1776"/>
      <c r="AU354" s="1776"/>
      <c r="AV354" s="1776"/>
      <c r="AW354" s="1776"/>
      <c r="AX354" s="1776"/>
      <c r="AY354" s="1776"/>
      <c r="AZ354" s="1776">
        <v>1</v>
      </c>
    </row>
    <row r="355" spans="1:52" ht="13.5">
      <c r="A355" s="1479" t="s">
        <v>2741</v>
      </c>
      <c r="B355" s="1479" t="s">
        <v>2253</v>
      </c>
      <c r="C355" s="1741" t="s">
        <v>2108</v>
      </c>
      <c r="D355" s="1741">
        <v>1210</v>
      </c>
      <c r="E355" s="1741">
        <v>3510</v>
      </c>
      <c r="F355" s="1741" t="s">
        <v>2130</v>
      </c>
      <c r="G355" s="1741" t="s">
        <v>2220</v>
      </c>
      <c r="H355" s="1741" t="s">
        <v>1658</v>
      </c>
      <c r="I355" s="1753" t="s">
        <v>464</v>
      </c>
      <c r="J355" s="1754"/>
      <c r="K355" s="1753" t="s">
        <v>2114</v>
      </c>
      <c r="L355" s="1754" t="s">
        <v>3029</v>
      </c>
      <c r="M355" s="1755"/>
      <c r="N355" s="1756">
        <v>1211.3</v>
      </c>
      <c r="O355" s="1757">
        <v>2218.31</v>
      </c>
      <c r="P355" s="1758">
        <v>2065.87</v>
      </c>
      <c r="Q355" s="1759">
        <v>250</v>
      </c>
      <c r="R355" s="1760">
        <v>1500</v>
      </c>
      <c r="S355" s="1760">
        <v>1353</v>
      </c>
      <c r="T355" s="1760">
        <v>1353</v>
      </c>
      <c r="U355" s="1761">
        <v>2000</v>
      </c>
      <c r="V355" s="1762">
        <v>2000</v>
      </c>
      <c r="W355" s="1757">
        <v>2000</v>
      </c>
      <c r="Z355" s="1773">
        <f t="shared" si="103"/>
        <v>0</v>
      </c>
      <c r="AA355" s="1773">
        <f t="shared" si="104"/>
        <v>0</v>
      </c>
      <c r="AB355" s="1773">
        <f t="shared" si="105"/>
        <v>0</v>
      </c>
      <c r="AC355" s="1773">
        <f t="shared" si="106"/>
        <v>0</v>
      </c>
      <c r="AD355" s="1773">
        <f t="shared" si="107"/>
        <v>0</v>
      </c>
      <c r="AE355" s="1773">
        <f t="shared" si="108"/>
        <v>0</v>
      </c>
      <c r="AF355" s="1773">
        <f t="shared" si="109"/>
        <v>0</v>
      </c>
      <c r="AG355" s="1773">
        <f t="shared" si="110"/>
        <v>0</v>
      </c>
      <c r="AH355" s="1773">
        <f t="shared" si="111"/>
        <v>0</v>
      </c>
      <c r="AI355" s="1773">
        <f t="shared" si="112"/>
        <v>0</v>
      </c>
      <c r="AJ355" s="1773">
        <f t="shared" si="113"/>
        <v>0</v>
      </c>
      <c r="AK355" s="1773">
        <f t="shared" si="114"/>
        <v>0</v>
      </c>
      <c r="AL355" s="1773">
        <f t="shared" si="115"/>
        <v>2000</v>
      </c>
      <c r="AN355" s="1776"/>
      <c r="AO355" s="1776"/>
      <c r="AP355" s="1776"/>
      <c r="AQ355" s="1776"/>
      <c r="AR355" s="1776"/>
      <c r="AS355" s="1776"/>
      <c r="AT355" s="1776"/>
      <c r="AU355" s="1776"/>
      <c r="AV355" s="1776"/>
      <c r="AW355" s="1776"/>
      <c r="AX355" s="1776"/>
      <c r="AY355" s="1776"/>
      <c r="AZ355" s="1776">
        <v>1</v>
      </c>
    </row>
    <row r="356" spans="1:52" ht="13.5">
      <c r="A356" s="1479" t="s">
        <v>2742</v>
      </c>
      <c r="B356" s="1479" t="s">
        <v>2314</v>
      </c>
      <c r="C356" s="1741" t="s">
        <v>2108</v>
      </c>
      <c r="D356" s="1741">
        <v>1210</v>
      </c>
      <c r="E356" s="1741">
        <v>4120</v>
      </c>
      <c r="F356" s="1741" t="s">
        <v>2130</v>
      </c>
      <c r="G356" s="1741" t="s">
        <v>2220</v>
      </c>
      <c r="H356" s="1741" t="s">
        <v>1658</v>
      </c>
      <c r="I356" s="1753" t="s">
        <v>2114</v>
      </c>
      <c r="J356" s="1754" t="s">
        <v>3014</v>
      </c>
      <c r="K356" s="1753" t="s">
        <v>2114</v>
      </c>
      <c r="L356" s="1754" t="s">
        <v>3029</v>
      </c>
      <c r="M356" s="1755"/>
      <c r="N356" s="1756">
        <v>4400</v>
      </c>
      <c r="O356" s="1757">
        <v>0</v>
      </c>
      <c r="P356" s="1758">
        <v>0</v>
      </c>
      <c r="Q356" s="1759">
        <v>0</v>
      </c>
      <c r="R356" s="1760">
        <v>0</v>
      </c>
      <c r="S356" s="1760">
        <v>0</v>
      </c>
      <c r="T356" s="1760">
        <v>0</v>
      </c>
      <c r="U356" s="1761">
        <v>0</v>
      </c>
      <c r="V356" s="1762">
        <v>0</v>
      </c>
      <c r="W356" s="1757">
        <v>0</v>
      </c>
      <c r="Z356" s="1773">
        <f t="shared" si="103"/>
        <v>0</v>
      </c>
      <c r="AA356" s="1773">
        <f t="shared" si="104"/>
        <v>0</v>
      </c>
      <c r="AB356" s="1773">
        <f t="shared" si="105"/>
        <v>0</v>
      </c>
      <c r="AC356" s="1773">
        <f t="shared" si="106"/>
        <v>0</v>
      </c>
      <c r="AD356" s="1773">
        <f t="shared" si="107"/>
        <v>0</v>
      </c>
      <c r="AE356" s="1773">
        <f t="shared" si="108"/>
        <v>0</v>
      </c>
      <c r="AF356" s="1773">
        <f t="shared" si="109"/>
        <v>0</v>
      </c>
      <c r="AG356" s="1773">
        <f t="shared" si="110"/>
        <v>0</v>
      </c>
      <c r="AH356" s="1773">
        <f t="shared" si="111"/>
        <v>0</v>
      </c>
      <c r="AI356" s="1773">
        <f t="shared" si="112"/>
        <v>0</v>
      </c>
      <c r="AJ356" s="1773">
        <f t="shared" si="113"/>
        <v>0</v>
      </c>
      <c r="AK356" s="1773">
        <f t="shared" si="114"/>
        <v>0</v>
      </c>
      <c r="AL356" s="1773">
        <f t="shared" si="115"/>
        <v>0</v>
      </c>
      <c r="AN356" s="1776"/>
      <c r="AO356" s="1776"/>
      <c r="AP356" s="1776"/>
      <c r="AQ356" s="1776"/>
      <c r="AR356" s="1776"/>
      <c r="AS356" s="1776"/>
      <c r="AT356" s="1776"/>
      <c r="AU356" s="1776"/>
      <c r="AV356" s="1776"/>
      <c r="AW356" s="1776"/>
      <c r="AX356" s="1776"/>
      <c r="AY356" s="1776"/>
      <c r="AZ356" s="1776">
        <v>1</v>
      </c>
    </row>
    <row r="357" spans="1:52" ht="13.5">
      <c r="A357" s="1479" t="s">
        <v>2743</v>
      </c>
      <c r="B357" s="1479" t="s">
        <v>2316</v>
      </c>
      <c r="C357" s="1741" t="s">
        <v>2108</v>
      </c>
      <c r="D357" s="1741">
        <v>1210</v>
      </c>
      <c r="E357" s="1741">
        <v>5000</v>
      </c>
      <c r="F357" s="1741" t="s">
        <v>2130</v>
      </c>
      <c r="G357" s="1741" t="s">
        <v>2220</v>
      </c>
      <c r="H357" s="1741" t="s">
        <v>1658</v>
      </c>
      <c r="I357" s="1753" t="s">
        <v>3015</v>
      </c>
      <c r="J357" s="1754"/>
      <c r="K357" s="1753" t="s">
        <v>2114</v>
      </c>
      <c r="L357" s="1754" t="s">
        <v>3015</v>
      </c>
      <c r="M357" s="1755"/>
      <c r="N357" s="1756">
        <v>0</v>
      </c>
      <c r="O357" s="1757">
        <v>416166.65</v>
      </c>
      <c r="P357" s="1758">
        <v>247317.4</v>
      </c>
      <c r="Q357" s="1759">
        <v>0</v>
      </c>
      <c r="R357" s="1760">
        <v>0</v>
      </c>
      <c r="S357" s="1760">
        <v>0</v>
      </c>
      <c r="T357" s="1760">
        <v>0</v>
      </c>
      <c r="U357" s="1761">
        <v>0</v>
      </c>
      <c r="V357" s="1762">
        <v>0</v>
      </c>
      <c r="W357" s="1757">
        <v>0</v>
      </c>
      <c r="Z357" s="1773">
        <f t="shared" si="103"/>
        <v>0</v>
      </c>
      <c r="AA357" s="1773">
        <f t="shared" si="104"/>
        <v>0</v>
      </c>
      <c r="AB357" s="1773">
        <f t="shared" si="105"/>
        <v>0</v>
      </c>
      <c r="AC357" s="1773">
        <f t="shared" si="106"/>
        <v>0</v>
      </c>
      <c r="AD357" s="1773">
        <f t="shared" si="107"/>
        <v>0</v>
      </c>
      <c r="AE357" s="1773">
        <f t="shared" si="108"/>
        <v>0</v>
      </c>
      <c r="AF357" s="1773">
        <f t="shared" si="109"/>
        <v>0</v>
      </c>
      <c r="AG357" s="1773">
        <f t="shared" si="110"/>
        <v>0</v>
      </c>
      <c r="AH357" s="1773">
        <f t="shared" si="111"/>
        <v>0</v>
      </c>
      <c r="AI357" s="1773">
        <f t="shared" si="112"/>
        <v>0</v>
      </c>
      <c r="AJ357" s="1773">
        <f t="shared" si="113"/>
        <v>0</v>
      </c>
      <c r="AK357" s="1773">
        <f t="shared" si="114"/>
        <v>0</v>
      </c>
      <c r="AL357" s="1773">
        <f t="shared" si="115"/>
        <v>0</v>
      </c>
      <c r="AN357" s="1776"/>
      <c r="AO357" s="1776"/>
      <c r="AP357" s="1776"/>
      <c r="AQ357" s="1776"/>
      <c r="AR357" s="1776"/>
      <c r="AS357" s="1776"/>
      <c r="AT357" s="1776"/>
      <c r="AU357" s="1776"/>
      <c r="AV357" s="1776"/>
      <c r="AW357" s="1776"/>
      <c r="AX357" s="1776"/>
      <c r="AY357" s="1776"/>
      <c r="AZ357" s="1776">
        <v>1</v>
      </c>
    </row>
    <row r="358" spans="1:52" ht="13.5">
      <c r="A358" s="1479" t="s">
        <v>2744</v>
      </c>
      <c r="B358" s="1479" t="s">
        <v>2318</v>
      </c>
      <c r="C358" s="1741" t="s">
        <v>2108</v>
      </c>
      <c r="D358" s="1741">
        <v>1210</v>
      </c>
      <c r="E358" s="1741">
        <v>5020</v>
      </c>
      <c r="F358" s="1741" t="s">
        <v>2130</v>
      </c>
      <c r="G358" s="1741" t="s">
        <v>2220</v>
      </c>
      <c r="H358" s="1741" t="s">
        <v>586</v>
      </c>
      <c r="I358" s="1753" t="s">
        <v>2121</v>
      </c>
      <c r="J358" s="1754" t="s">
        <v>3016</v>
      </c>
      <c r="K358" s="236" t="s">
        <v>35</v>
      </c>
      <c r="L358" s="1754" t="s">
        <v>2128</v>
      </c>
      <c r="M358" s="1755"/>
      <c r="N358" s="1756">
        <v>0</v>
      </c>
      <c r="O358" s="1757">
        <v>-436399.02380000002</v>
      </c>
      <c r="P358" s="1758">
        <v>-264000</v>
      </c>
      <c r="Q358" s="1759">
        <v>0</v>
      </c>
      <c r="R358" s="1760">
        <v>0</v>
      </c>
      <c r="S358" s="1760">
        <v>0</v>
      </c>
      <c r="T358" s="1760">
        <v>0</v>
      </c>
      <c r="U358" s="1761">
        <v>0</v>
      </c>
      <c r="V358" s="1762">
        <v>0</v>
      </c>
      <c r="W358" s="1757">
        <v>0</v>
      </c>
      <c r="Z358" s="1773">
        <f t="shared" si="103"/>
        <v>0</v>
      </c>
      <c r="AA358" s="1773">
        <f t="shared" si="104"/>
        <v>0</v>
      </c>
      <c r="AB358" s="1773">
        <f t="shared" si="105"/>
        <v>0</v>
      </c>
      <c r="AC358" s="1773">
        <f t="shared" si="106"/>
        <v>0</v>
      </c>
      <c r="AD358" s="1773">
        <f t="shared" si="107"/>
        <v>0</v>
      </c>
      <c r="AE358" s="1773">
        <f t="shared" si="108"/>
        <v>0</v>
      </c>
      <c r="AF358" s="1773">
        <f t="shared" si="109"/>
        <v>0</v>
      </c>
      <c r="AG358" s="1773">
        <f t="shared" si="110"/>
        <v>0</v>
      </c>
      <c r="AH358" s="1773">
        <f t="shared" si="111"/>
        <v>0</v>
      </c>
      <c r="AI358" s="1773">
        <f t="shared" si="112"/>
        <v>0</v>
      </c>
      <c r="AJ358" s="1773">
        <f t="shared" si="113"/>
        <v>0</v>
      </c>
      <c r="AK358" s="1773">
        <f t="shared" si="114"/>
        <v>0</v>
      </c>
      <c r="AL358" s="1773">
        <f t="shared" si="115"/>
        <v>0</v>
      </c>
      <c r="AN358" s="1776"/>
      <c r="AO358" s="1776"/>
      <c r="AP358" s="1776"/>
      <c r="AQ358" s="1776"/>
      <c r="AR358" s="1776"/>
      <c r="AS358" s="1776"/>
      <c r="AT358" s="1776"/>
      <c r="AU358" s="1776"/>
      <c r="AV358" s="1776"/>
      <c r="AW358" s="1776"/>
      <c r="AX358" s="1776"/>
      <c r="AY358" s="1776"/>
      <c r="AZ358" s="1776">
        <v>1</v>
      </c>
    </row>
    <row r="359" spans="1:52" ht="13.5">
      <c r="A359" s="1479" t="s">
        <v>2745</v>
      </c>
      <c r="B359" s="1479" t="s">
        <v>2746</v>
      </c>
      <c r="C359" s="1741" t="s">
        <v>2108</v>
      </c>
      <c r="D359" s="1741">
        <v>1210</v>
      </c>
      <c r="E359" s="1741">
        <v>5280</v>
      </c>
      <c r="F359" s="1741" t="s">
        <v>2130</v>
      </c>
      <c r="G359" s="1741" t="s">
        <v>2220</v>
      </c>
      <c r="H359" s="1741" t="s">
        <v>586</v>
      </c>
      <c r="I359" s="1753" t="s">
        <v>494</v>
      </c>
      <c r="J359" s="1754"/>
      <c r="K359" s="1754" t="s">
        <v>494</v>
      </c>
      <c r="L359" s="1754" t="s">
        <v>494</v>
      </c>
      <c r="M359" s="1755"/>
      <c r="N359" s="1756">
        <v>-2180.4499999999998</v>
      </c>
      <c r="O359" s="1757">
        <v>-1813.16</v>
      </c>
      <c r="P359" s="1758">
        <v>-2292.0300000000002</v>
      </c>
      <c r="Q359" s="1759">
        <v>-2520</v>
      </c>
      <c r="R359" s="1760">
        <v>-2520</v>
      </c>
      <c r="S359" s="1760">
        <v>-2764</v>
      </c>
      <c r="T359" s="1760">
        <v>-2764</v>
      </c>
      <c r="U359" s="1761">
        <v>-3000</v>
      </c>
      <c r="V359" s="1762">
        <v>-3500</v>
      </c>
      <c r="W359" s="1757">
        <v>-4000</v>
      </c>
      <c r="Z359" s="1773">
        <f t="shared" si="103"/>
        <v>0</v>
      </c>
      <c r="AA359" s="1773">
        <f t="shared" si="104"/>
        <v>0</v>
      </c>
      <c r="AB359" s="1773">
        <f t="shared" si="105"/>
        <v>0</v>
      </c>
      <c r="AC359" s="1773">
        <f t="shared" si="106"/>
        <v>0</v>
      </c>
      <c r="AD359" s="1773">
        <f t="shared" si="107"/>
        <v>0</v>
      </c>
      <c r="AE359" s="1773">
        <f t="shared" si="108"/>
        <v>0</v>
      </c>
      <c r="AF359" s="1773">
        <f t="shared" si="109"/>
        <v>0</v>
      </c>
      <c r="AG359" s="1773">
        <f t="shared" si="110"/>
        <v>0</v>
      </c>
      <c r="AH359" s="1773">
        <f t="shared" si="111"/>
        <v>0</v>
      </c>
      <c r="AI359" s="1773">
        <f t="shared" si="112"/>
        <v>0</v>
      </c>
      <c r="AJ359" s="1773">
        <f t="shared" si="113"/>
        <v>0</v>
      </c>
      <c r="AK359" s="1773">
        <f t="shared" si="114"/>
        <v>0</v>
      </c>
      <c r="AL359" s="1773">
        <f t="shared" si="115"/>
        <v>-3000</v>
      </c>
      <c r="AN359" s="1776"/>
      <c r="AO359" s="1776"/>
      <c r="AP359" s="1776"/>
      <c r="AQ359" s="1776"/>
      <c r="AR359" s="1776"/>
      <c r="AS359" s="1776"/>
      <c r="AT359" s="1776"/>
      <c r="AU359" s="1776"/>
      <c r="AV359" s="1776"/>
      <c r="AW359" s="1776"/>
      <c r="AX359" s="1776"/>
      <c r="AY359" s="1776"/>
      <c r="AZ359" s="1776">
        <v>1</v>
      </c>
    </row>
    <row r="360" spans="1:52" ht="13.5">
      <c r="A360" t="s">
        <v>2747</v>
      </c>
      <c r="B360" t="s">
        <v>2740</v>
      </c>
      <c r="C360" s="1741" t="s">
        <v>2108</v>
      </c>
      <c r="D360" s="1741">
        <v>1210</v>
      </c>
      <c r="E360" s="1741">
        <v>6570</v>
      </c>
      <c r="F360" s="1741" t="s">
        <v>2130</v>
      </c>
      <c r="G360" s="1741" t="s">
        <v>2220</v>
      </c>
      <c r="H360" s="1741" t="s">
        <v>586</v>
      </c>
      <c r="I360" s="1753" t="s">
        <v>2121</v>
      </c>
      <c r="J360" s="1754" t="s">
        <v>3016</v>
      </c>
      <c r="K360" s="236" t="s">
        <v>35</v>
      </c>
      <c r="L360" s="1754" t="s">
        <v>2128</v>
      </c>
      <c r="M360" s="1754"/>
      <c r="N360" s="1756"/>
      <c r="O360" s="1757"/>
      <c r="P360" s="1758"/>
      <c r="Q360" s="1759">
        <v>-542000</v>
      </c>
      <c r="R360" s="1760">
        <v>-542000</v>
      </c>
      <c r="S360" s="1760">
        <v>-182112</v>
      </c>
      <c r="T360" s="1760">
        <v>-182112</v>
      </c>
      <c r="U360" s="1761">
        <v>-540000</v>
      </c>
      <c r="V360" s="1762">
        <v>-576000</v>
      </c>
      <c r="W360" s="1757">
        <v>-582000</v>
      </c>
      <c r="Z360" s="1773">
        <f t="shared" si="103"/>
        <v>0</v>
      </c>
      <c r="AA360" s="1773">
        <f t="shared" si="104"/>
        <v>0</v>
      </c>
      <c r="AB360" s="1773">
        <f t="shared" si="105"/>
        <v>0</v>
      </c>
      <c r="AC360" s="1773">
        <f t="shared" si="106"/>
        <v>0</v>
      </c>
      <c r="AD360" s="1773">
        <f t="shared" si="107"/>
        <v>0</v>
      </c>
      <c r="AE360" s="1773">
        <f t="shared" si="108"/>
        <v>0</v>
      </c>
      <c r="AF360" s="1773">
        <f t="shared" si="109"/>
        <v>0</v>
      </c>
      <c r="AG360" s="1773">
        <f t="shared" si="110"/>
        <v>0</v>
      </c>
      <c r="AH360" s="1773">
        <f t="shared" si="111"/>
        <v>0</v>
      </c>
      <c r="AI360" s="1773">
        <f t="shared" si="112"/>
        <v>0</v>
      </c>
      <c r="AJ360" s="1773">
        <f t="shared" si="113"/>
        <v>0</v>
      </c>
      <c r="AK360" s="1773">
        <f t="shared" si="114"/>
        <v>0</v>
      </c>
      <c r="AL360" s="1773">
        <f t="shared" si="115"/>
        <v>-540000</v>
      </c>
      <c r="AN360" s="1776"/>
      <c r="AO360" s="1776"/>
      <c r="AP360" s="1776"/>
      <c r="AQ360" s="1776"/>
      <c r="AR360" s="1776"/>
      <c r="AS360" s="1776"/>
      <c r="AT360" s="1776"/>
      <c r="AU360" s="1776"/>
      <c r="AV360" s="1776"/>
      <c r="AW360" s="1776"/>
      <c r="AX360" s="1776"/>
      <c r="AY360" s="1776"/>
      <c r="AZ360" s="1776">
        <v>1</v>
      </c>
    </row>
    <row r="361" spans="1:52">
      <c r="A361" s="1479" t="s">
        <v>2748</v>
      </c>
      <c r="B361" s="1479" t="s">
        <v>2243</v>
      </c>
      <c r="C361" s="1741" t="s">
        <v>2108</v>
      </c>
      <c r="D361" s="1741">
        <v>1220</v>
      </c>
      <c r="E361" s="1741">
        <v>520</v>
      </c>
      <c r="F361" s="1741" t="s">
        <v>2227</v>
      </c>
      <c r="G361" s="1741" t="s">
        <v>2226</v>
      </c>
      <c r="H361" s="1741" t="s">
        <v>1658</v>
      </c>
      <c r="I361" s="1753" t="s">
        <v>2114</v>
      </c>
      <c r="J361" s="1754" t="s">
        <v>2138</v>
      </c>
      <c r="K361" s="1753" t="s">
        <v>2114</v>
      </c>
      <c r="L361" s="1754" t="s">
        <v>2138</v>
      </c>
      <c r="M361" s="1754"/>
      <c r="N361" s="1756">
        <v>7498.57</v>
      </c>
      <c r="O361" s="1757">
        <v>9551.9599999999991</v>
      </c>
      <c r="P361" s="1758">
        <v>10420.219999999999</v>
      </c>
      <c r="Q361" s="1759">
        <v>24705</v>
      </c>
      <c r="R361" s="1760">
        <v>0</v>
      </c>
      <c r="S361" s="1760">
        <v>0</v>
      </c>
      <c r="T361" s="1760">
        <v>0</v>
      </c>
      <c r="U361" s="1761">
        <v>0</v>
      </c>
      <c r="V361" s="1762">
        <v>28410</v>
      </c>
      <c r="W361" s="1757">
        <v>32670</v>
      </c>
      <c r="Z361" s="1773">
        <f t="shared" si="103"/>
        <v>0</v>
      </c>
      <c r="AA361" s="1773">
        <f t="shared" si="104"/>
        <v>0</v>
      </c>
      <c r="AB361" s="1773">
        <f t="shared" si="105"/>
        <v>0</v>
      </c>
      <c r="AC361" s="1773">
        <f t="shared" si="106"/>
        <v>0</v>
      </c>
      <c r="AD361" s="1773">
        <f t="shared" si="107"/>
        <v>0</v>
      </c>
      <c r="AE361" s="1773">
        <f t="shared" si="108"/>
        <v>0</v>
      </c>
      <c r="AF361" s="1773">
        <f t="shared" si="109"/>
        <v>0</v>
      </c>
      <c r="AG361" s="1773">
        <f t="shared" si="110"/>
        <v>0</v>
      </c>
      <c r="AH361" s="1773">
        <f t="shared" si="111"/>
        <v>0</v>
      </c>
      <c r="AI361" s="1773">
        <f t="shared" si="112"/>
        <v>0</v>
      </c>
      <c r="AJ361" s="1773">
        <f t="shared" si="113"/>
        <v>0</v>
      </c>
      <c r="AK361" s="1773">
        <f t="shared" si="114"/>
        <v>0</v>
      </c>
      <c r="AL361" s="1773">
        <f t="shared" si="115"/>
        <v>0</v>
      </c>
      <c r="AN361" s="1776"/>
      <c r="AO361" s="1776"/>
      <c r="AP361" s="1776"/>
      <c r="AQ361" s="1776"/>
      <c r="AR361" s="1776"/>
      <c r="AS361" s="1776"/>
      <c r="AT361" s="1776"/>
      <c r="AU361" s="1776"/>
      <c r="AV361" s="1776"/>
      <c r="AW361" s="1776"/>
      <c r="AX361" s="1776"/>
      <c r="AY361" s="1776"/>
      <c r="AZ361" s="1776">
        <v>1</v>
      </c>
    </row>
    <row r="362" spans="1:52">
      <c r="A362" s="1479" t="s">
        <v>2749</v>
      </c>
      <c r="B362" s="1479" t="s">
        <v>2546</v>
      </c>
      <c r="C362" s="1741" t="s">
        <v>2108</v>
      </c>
      <c r="D362" s="1741">
        <v>1220</v>
      </c>
      <c r="E362" s="1741">
        <v>1000</v>
      </c>
      <c r="F362" s="1741" t="s">
        <v>2227</v>
      </c>
      <c r="G362" s="1741" t="s">
        <v>2226</v>
      </c>
      <c r="H362" s="1741" t="s">
        <v>1658</v>
      </c>
      <c r="I362" s="1753" t="s">
        <v>2114</v>
      </c>
      <c r="J362" s="1754" t="s">
        <v>2546</v>
      </c>
      <c r="K362" s="1753" t="s">
        <v>2114</v>
      </c>
      <c r="L362" s="1754" t="s">
        <v>3015</v>
      </c>
      <c r="M362" s="1754"/>
      <c r="N362" s="1756">
        <v>0</v>
      </c>
      <c r="O362" s="1757">
        <v>28371.65</v>
      </c>
      <c r="P362" s="1758">
        <v>600</v>
      </c>
      <c r="Q362" s="1759">
        <v>0</v>
      </c>
      <c r="R362" s="1760">
        <v>0</v>
      </c>
      <c r="S362" s="1760">
        <v>0</v>
      </c>
      <c r="T362" s="1760">
        <v>0</v>
      </c>
      <c r="U362" s="1761">
        <v>0</v>
      </c>
      <c r="V362" s="1762">
        <v>0</v>
      </c>
      <c r="W362" s="1757">
        <v>0</v>
      </c>
      <c r="Z362" s="1773">
        <f t="shared" si="103"/>
        <v>0</v>
      </c>
      <c r="AA362" s="1773">
        <f t="shared" si="104"/>
        <v>0</v>
      </c>
      <c r="AB362" s="1773">
        <f t="shared" si="105"/>
        <v>0</v>
      </c>
      <c r="AC362" s="1773">
        <f t="shared" si="106"/>
        <v>0</v>
      </c>
      <c r="AD362" s="1773">
        <f t="shared" si="107"/>
        <v>0</v>
      </c>
      <c r="AE362" s="1773">
        <f t="shared" si="108"/>
        <v>0</v>
      </c>
      <c r="AF362" s="1773">
        <f t="shared" si="109"/>
        <v>0</v>
      </c>
      <c r="AG362" s="1773">
        <f t="shared" si="110"/>
        <v>0</v>
      </c>
      <c r="AH362" s="1773">
        <f t="shared" si="111"/>
        <v>0</v>
      </c>
      <c r="AI362" s="1773">
        <f t="shared" si="112"/>
        <v>0</v>
      </c>
      <c r="AJ362" s="1773">
        <f t="shared" si="113"/>
        <v>0</v>
      </c>
      <c r="AK362" s="1773">
        <f t="shared" si="114"/>
        <v>0</v>
      </c>
      <c r="AL362" s="1773">
        <f t="shared" si="115"/>
        <v>0</v>
      </c>
      <c r="AN362" s="1776"/>
      <c r="AO362" s="1776"/>
      <c r="AP362" s="1776"/>
      <c r="AQ362" s="1776"/>
      <c r="AR362" s="1776"/>
      <c r="AS362" s="1776"/>
      <c r="AT362" s="1776"/>
      <c r="AU362" s="1776"/>
      <c r="AV362" s="1776"/>
      <c r="AW362" s="1776"/>
      <c r="AX362" s="1776"/>
      <c r="AY362" s="1776"/>
      <c r="AZ362" s="1776">
        <v>1</v>
      </c>
    </row>
    <row r="363" spans="1:52">
      <c r="A363" s="1479" t="s">
        <v>2750</v>
      </c>
      <c r="B363" s="1479" t="s">
        <v>2295</v>
      </c>
      <c r="C363" s="1741" t="s">
        <v>2108</v>
      </c>
      <c r="D363" s="1741">
        <v>1220</v>
      </c>
      <c r="E363" s="1741">
        <v>1090</v>
      </c>
      <c r="F363" s="1741" t="s">
        <v>2227</v>
      </c>
      <c r="G363" s="1741" t="s">
        <v>2226</v>
      </c>
      <c r="H363" s="1741" t="s">
        <v>1658</v>
      </c>
      <c r="I363" s="1753" t="s">
        <v>2114</v>
      </c>
      <c r="J363" s="1754" t="s">
        <v>3012</v>
      </c>
      <c r="K363" s="1753" t="s">
        <v>2114</v>
      </c>
      <c r="L363" s="1754" t="s">
        <v>3012</v>
      </c>
      <c r="M363" s="1754"/>
      <c r="N363" s="1756">
        <v>2811.78</v>
      </c>
      <c r="O363" s="1757">
        <v>1787.98</v>
      </c>
      <c r="P363" s="1758">
        <v>4482.25</v>
      </c>
      <c r="Q363" s="1759">
        <v>4500</v>
      </c>
      <c r="R363" s="1760">
        <v>4500</v>
      </c>
      <c r="S363" s="1760">
        <v>4154</v>
      </c>
      <c r="T363" s="1760">
        <v>4154</v>
      </c>
      <c r="U363" s="1761">
        <v>3000</v>
      </c>
      <c r="V363" s="1762">
        <v>4600</v>
      </c>
      <c r="W363" s="1757">
        <v>4700</v>
      </c>
      <c r="Z363" s="1773">
        <f t="shared" si="103"/>
        <v>0</v>
      </c>
      <c r="AA363" s="1773">
        <f t="shared" si="104"/>
        <v>0</v>
      </c>
      <c r="AB363" s="1773">
        <f t="shared" si="105"/>
        <v>0</v>
      </c>
      <c r="AC363" s="1773">
        <f t="shared" si="106"/>
        <v>0</v>
      </c>
      <c r="AD363" s="1773">
        <f t="shared" si="107"/>
        <v>0</v>
      </c>
      <c r="AE363" s="1773">
        <f t="shared" si="108"/>
        <v>0</v>
      </c>
      <c r="AF363" s="1773">
        <f t="shared" si="109"/>
        <v>0</v>
      </c>
      <c r="AG363" s="1773">
        <f t="shared" si="110"/>
        <v>0</v>
      </c>
      <c r="AH363" s="1773">
        <f t="shared" si="111"/>
        <v>0</v>
      </c>
      <c r="AI363" s="1773">
        <f t="shared" si="112"/>
        <v>0</v>
      </c>
      <c r="AJ363" s="1773">
        <f t="shared" si="113"/>
        <v>0</v>
      </c>
      <c r="AK363" s="1773">
        <f t="shared" si="114"/>
        <v>0</v>
      </c>
      <c r="AL363" s="1773">
        <f t="shared" si="115"/>
        <v>3000</v>
      </c>
      <c r="AN363" s="1776"/>
      <c r="AO363" s="1776"/>
      <c r="AP363" s="1776"/>
      <c r="AQ363" s="1776"/>
      <c r="AR363" s="1776"/>
      <c r="AS363" s="1776"/>
      <c r="AT363" s="1776"/>
      <c r="AU363" s="1776"/>
      <c r="AV363" s="1776"/>
      <c r="AW363" s="1776"/>
      <c r="AX363" s="1776"/>
      <c r="AY363" s="1776"/>
      <c r="AZ363" s="1776">
        <v>1</v>
      </c>
    </row>
    <row r="364" spans="1:52">
      <c r="A364" s="1479" t="s">
        <v>2751</v>
      </c>
      <c r="B364" s="1479" t="s">
        <v>2297</v>
      </c>
      <c r="C364" s="1741" t="s">
        <v>2108</v>
      </c>
      <c r="D364" s="1741">
        <v>1220</v>
      </c>
      <c r="E364" s="1741">
        <v>1100</v>
      </c>
      <c r="F364" s="1741" t="s">
        <v>2227</v>
      </c>
      <c r="G364" s="1741" t="s">
        <v>2226</v>
      </c>
      <c r="H364" s="1741" t="s">
        <v>1658</v>
      </c>
      <c r="I364" s="1753" t="s">
        <v>2114</v>
      </c>
      <c r="J364" s="1754" t="s">
        <v>3012</v>
      </c>
      <c r="K364" s="1753" t="s">
        <v>2114</v>
      </c>
      <c r="L364" s="1754" t="s">
        <v>3012</v>
      </c>
      <c r="M364" s="1754"/>
      <c r="N364" s="1756">
        <v>28389.8</v>
      </c>
      <c r="O364" s="1757">
        <v>26441.3</v>
      </c>
      <c r="P364" s="1758">
        <v>35384.83</v>
      </c>
      <c r="Q364" s="1759">
        <v>40000</v>
      </c>
      <c r="R364" s="1760">
        <v>40000</v>
      </c>
      <c r="S364" s="1760">
        <v>47877</v>
      </c>
      <c r="T364" s="1760">
        <v>47877</v>
      </c>
      <c r="U364" s="1761">
        <v>40000</v>
      </c>
      <c r="V364" s="1762">
        <f>U364*120.38%</f>
        <v>48152</v>
      </c>
      <c r="W364" s="1757">
        <f>V364*120.38%</f>
        <v>57965.3776</v>
      </c>
      <c r="Z364" s="1773">
        <f t="shared" si="103"/>
        <v>0</v>
      </c>
      <c r="AA364" s="1773">
        <f t="shared" si="104"/>
        <v>0</v>
      </c>
      <c r="AB364" s="1773">
        <f t="shared" si="105"/>
        <v>0</v>
      </c>
      <c r="AC364" s="1773">
        <f t="shared" si="106"/>
        <v>0</v>
      </c>
      <c r="AD364" s="1773">
        <f t="shared" si="107"/>
        <v>0</v>
      </c>
      <c r="AE364" s="1773">
        <f t="shared" si="108"/>
        <v>0</v>
      </c>
      <c r="AF364" s="1773">
        <f t="shared" si="109"/>
        <v>0</v>
      </c>
      <c r="AG364" s="1773">
        <f t="shared" si="110"/>
        <v>0</v>
      </c>
      <c r="AH364" s="1773">
        <f t="shared" si="111"/>
        <v>0</v>
      </c>
      <c r="AI364" s="1773">
        <f t="shared" si="112"/>
        <v>0</v>
      </c>
      <c r="AJ364" s="1773">
        <f t="shared" si="113"/>
        <v>0</v>
      </c>
      <c r="AK364" s="1773">
        <f t="shared" si="114"/>
        <v>0</v>
      </c>
      <c r="AL364" s="1773">
        <f t="shared" si="115"/>
        <v>40000</v>
      </c>
      <c r="AN364" s="1776"/>
      <c r="AO364" s="1776"/>
      <c r="AP364" s="1776"/>
      <c r="AQ364" s="1776"/>
      <c r="AR364" s="1776"/>
      <c r="AS364" s="1776"/>
      <c r="AT364" s="1776"/>
      <c r="AU364" s="1776"/>
      <c r="AV364" s="1776"/>
      <c r="AW364" s="1776"/>
      <c r="AX364" s="1776"/>
      <c r="AY364" s="1776"/>
      <c r="AZ364" s="1776">
        <v>1</v>
      </c>
    </row>
    <row r="365" spans="1:52">
      <c r="A365" s="1479" t="s">
        <v>2752</v>
      </c>
      <c r="B365" s="1479" t="s">
        <v>2299</v>
      </c>
      <c r="C365" s="1741" t="s">
        <v>2108</v>
      </c>
      <c r="D365" s="1741">
        <v>1220</v>
      </c>
      <c r="E365" s="1741">
        <v>1110</v>
      </c>
      <c r="F365" s="1741" t="s">
        <v>2227</v>
      </c>
      <c r="G365" s="1741" t="s">
        <v>2226</v>
      </c>
      <c r="H365" s="1741" t="s">
        <v>1658</v>
      </c>
      <c r="I365" s="1753" t="s">
        <v>2114</v>
      </c>
      <c r="J365" s="1754" t="s">
        <v>3012</v>
      </c>
      <c r="K365" s="1753" t="s">
        <v>2114</v>
      </c>
      <c r="L365" s="1754" t="s">
        <v>3012</v>
      </c>
      <c r="M365" s="1754"/>
      <c r="N365" s="1756">
        <v>4076.26</v>
      </c>
      <c r="O365" s="1757">
        <v>4313.54</v>
      </c>
      <c r="P365" s="1758">
        <v>4599.8</v>
      </c>
      <c r="Q365" s="1759">
        <v>6000</v>
      </c>
      <c r="R365" s="1760">
        <v>6000</v>
      </c>
      <c r="S365" s="1760">
        <v>5009</v>
      </c>
      <c r="T365" s="1760">
        <v>5009</v>
      </c>
      <c r="U365" s="1761">
        <v>4000</v>
      </c>
      <c r="V365" s="1762">
        <v>6100</v>
      </c>
      <c r="W365" s="1757">
        <v>6200</v>
      </c>
      <c r="Z365" s="1773">
        <f t="shared" si="103"/>
        <v>0</v>
      </c>
      <c r="AA365" s="1773">
        <f t="shared" si="104"/>
        <v>0</v>
      </c>
      <c r="AB365" s="1773">
        <f t="shared" si="105"/>
        <v>0</v>
      </c>
      <c r="AC365" s="1773">
        <f t="shared" si="106"/>
        <v>0</v>
      </c>
      <c r="AD365" s="1773">
        <f t="shared" si="107"/>
        <v>0</v>
      </c>
      <c r="AE365" s="1773">
        <f t="shared" si="108"/>
        <v>0</v>
      </c>
      <c r="AF365" s="1773">
        <f t="shared" si="109"/>
        <v>0</v>
      </c>
      <c r="AG365" s="1773">
        <f t="shared" si="110"/>
        <v>0</v>
      </c>
      <c r="AH365" s="1773">
        <f t="shared" si="111"/>
        <v>0</v>
      </c>
      <c r="AI365" s="1773">
        <f t="shared" si="112"/>
        <v>0</v>
      </c>
      <c r="AJ365" s="1773">
        <f t="shared" si="113"/>
        <v>0</v>
      </c>
      <c r="AK365" s="1773">
        <f t="shared" si="114"/>
        <v>0</v>
      </c>
      <c r="AL365" s="1773">
        <f t="shared" si="115"/>
        <v>4000</v>
      </c>
      <c r="AN365" s="1776"/>
      <c r="AO365" s="1776"/>
      <c r="AP365" s="1776"/>
      <c r="AQ365" s="1776"/>
      <c r="AR365" s="1776"/>
      <c r="AS365" s="1776"/>
      <c r="AT365" s="1776"/>
      <c r="AU365" s="1776"/>
      <c r="AV365" s="1776"/>
      <c r="AW365" s="1776"/>
      <c r="AX365" s="1776"/>
      <c r="AY365" s="1776"/>
      <c r="AZ365" s="1776">
        <v>1</v>
      </c>
    </row>
    <row r="366" spans="1:52">
      <c r="A366" s="1479" t="s">
        <v>2753</v>
      </c>
      <c r="B366" s="1479" t="s">
        <v>2301</v>
      </c>
      <c r="C366" s="1741" t="s">
        <v>2108</v>
      </c>
      <c r="D366" s="1741">
        <v>1220</v>
      </c>
      <c r="E366" s="1741">
        <v>1120</v>
      </c>
      <c r="F366" s="1741" t="s">
        <v>2227</v>
      </c>
      <c r="G366" s="1741" t="s">
        <v>2226</v>
      </c>
      <c r="H366" s="1741" t="s">
        <v>1658</v>
      </c>
      <c r="I366" s="1753" t="s">
        <v>2114</v>
      </c>
      <c r="J366" s="1754" t="s">
        <v>3012</v>
      </c>
      <c r="K366" s="1753" t="s">
        <v>2114</v>
      </c>
      <c r="L366" s="1754" t="s">
        <v>3012</v>
      </c>
      <c r="M366" s="1754"/>
      <c r="N366" s="1756">
        <v>1354.37</v>
      </c>
      <c r="O366" s="1757">
        <v>1434.53</v>
      </c>
      <c r="P366" s="1758">
        <v>1529.3</v>
      </c>
      <c r="Q366" s="1759">
        <v>1600</v>
      </c>
      <c r="R366" s="1760">
        <v>1600</v>
      </c>
      <c r="S366" s="1760">
        <v>1619</v>
      </c>
      <c r="T366" s="1760">
        <v>1619</v>
      </c>
      <c r="U366" s="1761">
        <v>2000</v>
      </c>
      <c r="V366" s="1762">
        <v>2500</v>
      </c>
      <c r="W366" s="1757">
        <v>2900</v>
      </c>
      <c r="Z366" s="1773">
        <f t="shared" si="103"/>
        <v>0</v>
      </c>
      <c r="AA366" s="1773">
        <f t="shared" si="104"/>
        <v>0</v>
      </c>
      <c r="AB366" s="1773">
        <f t="shared" si="105"/>
        <v>0</v>
      </c>
      <c r="AC366" s="1773">
        <f t="shared" si="106"/>
        <v>0</v>
      </c>
      <c r="AD366" s="1773">
        <f t="shared" si="107"/>
        <v>0</v>
      </c>
      <c r="AE366" s="1773">
        <f t="shared" si="108"/>
        <v>0</v>
      </c>
      <c r="AF366" s="1773">
        <f t="shared" si="109"/>
        <v>0</v>
      </c>
      <c r="AG366" s="1773">
        <f t="shared" si="110"/>
        <v>0</v>
      </c>
      <c r="AH366" s="1773">
        <f t="shared" si="111"/>
        <v>0</v>
      </c>
      <c r="AI366" s="1773">
        <f t="shared" si="112"/>
        <v>0</v>
      </c>
      <c r="AJ366" s="1773">
        <f t="shared" si="113"/>
        <v>0</v>
      </c>
      <c r="AK366" s="1773">
        <f t="shared" si="114"/>
        <v>0</v>
      </c>
      <c r="AL366" s="1773">
        <f t="shared" si="115"/>
        <v>2000</v>
      </c>
      <c r="AN366" s="1776"/>
      <c r="AO366" s="1776"/>
      <c r="AP366" s="1776"/>
      <c r="AQ366" s="1776"/>
      <c r="AR366" s="1776"/>
      <c r="AS366" s="1776"/>
      <c r="AT366" s="1776"/>
      <c r="AU366" s="1776"/>
      <c r="AV366" s="1776"/>
      <c r="AW366" s="1776"/>
      <c r="AX366" s="1776"/>
      <c r="AY366" s="1776"/>
      <c r="AZ366" s="1776">
        <v>1</v>
      </c>
    </row>
    <row r="367" spans="1:52">
      <c r="A367" s="1479" t="s">
        <v>2754</v>
      </c>
      <c r="B367" s="1479" t="s">
        <v>2755</v>
      </c>
      <c r="C367" s="1741" t="s">
        <v>2108</v>
      </c>
      <c r="D367" s="1741">
        <v>1220</v>
      </c>
      <c r="E367" s="1741">
        <v>1410</v>
      </c>
      <c r="F367" s="1741" t="s">
        <v>2227</v>
      </c>
      <c r="G367" s="1741" t="s">
        <v>2226</v>
      </c>
      <c r="H367" s="1741" t="s">
        <v>1658</v>
      </c>
      <c r="I367" s="1753" t="s">
        <v>2114</v>
      </c>
      <c r="J367" s="1754"/>
      <c r="K367" s="1753" t="s">
        <v>2114</v>
      </c>
      <c r="L367" s="1754" t="s">
        <v>502</v>
      </c>
      <c r="M367" s="1754"/>
      <c r="N367" s="1756">
        <v>0</v>
      </c>
      <c r="O367" s="1757">
        <v>0</v>
      </c>
      <c r="P367" s="1758">
        <v>9409.26</v>
      </c>
      <c r="Q367" s="1759">
        <v>0</v>
      </c>
      <c r="R367" s="1760">
        <v>0</v>
      </c>
      <c r="S367" s="1760">
        <v>0</v>
      </c>
      <c r="T367" s="1760">
        <v>0</v>
      </c>
      <c r="U367" s="1761">
        <v>0</v>
      </c>
      <c r="V367" s="1762">
        <v>0</v>
      </c>
      <c r="W367" s="1757">
        <v>0</v>
      </c>
      <c r="Z367" s="1773">
        <f t="shared" si="103"/>
        <v>0</v>
      </c>
      <c r="AA367" s="1773">
        <f t="shared" si="104"/>
        <v>0</v>
      </c>
      <c r="AB367" s="1773">
        <f t="shared" si="105"/>
        <v>0</v>
      </c>
      <c r="AC367" s="1773">
        <f t="shared" si="106"/>
        <v>0</v>
      </c>
      <c r="AD367" s="1773">
        <f t="shared" si="107"/>
        <v>0</v>
      </c>
      <c r="AE367" s="1773">
        <f t="shared" si="108"/>
        <v>0</v>
      </c>
      <c r="AF367" s="1773">
        <f t="shared" si="109"/>
        <v>0</v>
      </c>
      <c r="AG367" s="1773">
        <f t="shared" si="110"/>
        <v>0</v>
      </c>
      <c r="AH367" s="1773">
        <f t="shared" si="111"/>
        <v>0</v>
      </c>
      <c r="AI367" s="1773">
        <f t="shared" si="112"/>
        <v>0</v>
      </c>
      <c r="AJ367" s="1773">
        <f t="shared" si="113"/>
        <v>0</v>
      </c>
      <c r="AK367" s="1773">
        <f t="shared" si="114"/>
        <v>0</v>
      </c>
      <c r="AL367" s="1773">
        <f t="shared" si="115"/>
        <v>0</v>
      </c>
      <c r="AN367" s="1776"/>
      <c r="AO367" s="1776"/>
      <c r="AP367" s="1776"/>
      <c r="AQ367" s="1776"/>
      <c r="AR367" s="1776"/>
      <c r="AS367" s="1776"/>
      <c r="AT367" s="1776"/>
      <c r="AU367" s="1776"/>
      <c r="AV367" s="1776"/>
      <c r="AW367" s="1776"/>
      <c r="AX367" s="1776"/>
      <c r="AY367" s="1776"/>
      <c r="AZ367" s="1776">
        <v>1</v>
      </c>
    </row>
    <row r="368" spans="1:52">
      <c r="A368" s="1479" t="s">
        <v>2756</v>
      </c>
      <c r="B368" s="1479" t="s">
        <v>2253</v>
      </c>
      <c r="C368" s="1741" t="s">
        <v>2108</v>
      </c>
      <c r="D368" s="1741">
        <v>1220</v>
      </c>
      <c r="E368" s="1741">
        <v>3510</v>
      </c>
      <c r="F368" s="1741" t="s">
        <v>2227</v>
      </c>
      <c r="G368" s="1741" t="s">
        <v>2226</v>
      </c>
      <c r="H368" s="1741" t="s">
        <v>1658</v>
      </c>
      <c r="I368" s="1753" t="s">
        <v>464</v>
      </c>
      <c r="J368" s="1754"/>
      <c r="K368" s="1753" t="s">
        <v>2114</v>
      </c>
      <c r="L368" s="1754" t="s">
        <v>3029</v>
      </c>
      <c r="M368" s="1754"/>
      <c r="N368" s="1756">
        <v>1762.83</v>
      </c>
      <c r="O368" s="1757">
        <v>2156.1999999999998</v>
      </c>
      <c r="P368" s="1758">
        <v>3308.81</v>
      </c>
      <c r="Q368" s="1759">
        <v>120000</v>
      </c>
      <c r="R368" s="1760">
        <v>120000</v>
      </c>
      <c r="S368" s="1760">
        <v>13973</v>
      </c>
      <c r="T368" s="1760">
        <v>13973</v>
      </c>
      <c r="U368" s="1761">
        <v>120000</v>
      </c>
      <c r="V368" s="1762">
        <v>120000</v>
      </c>
      <c r="W368" s="1757">
        <v>120000</v>
      </c>
      <c r="Z368" s="1773">
        <f t="shared" si="103"/>
        <v>0</v>
      </c>
      <c r="AA368" s="1773">
        <f t="shared" si="104"/>
        <v>0</v>
      </c>
      <c r="AB368" s="1773">
        <f t="shared" si="105"/>
        <v>0</v>
      </c>
      <c r="AC368" s="1773">
        <f t="shared" si="106"/>
        <v>0</v>
      </c>
      <c r="AD368" s="1773">
        <f t="shared" si="107"/>
        <v>0</v>
      </c>
      <c r="AE368" s="1773">
        <f t="shared" si="108"/>
        <v>0</v>
      </c>
      <c r="AF368" s="1773">
        <f t="shared" si="109"/>
        <v>0</v>
      </c>
      <c r="AG368" s="1773">
        <f t="shared" si="110"/>
        <v>0</v>
      </c>
      <c r="AH368" s="1773">
        <f t="shared" si="111"/>
        <v>0</v>
      </c>
      <c r="AI368" s="1773">
        <f t="shared" si="112"/>
        <v>0</v>
      </c>
      <c r="AJ368" s="1773">
        <f t="shared" si="113"/>
        <v>0</v>
      </c>
      <c r="AK368" s="1773">
        <f t="shared" si="114"/>
        <v>0</v>
      </c>
      <c r="AL368" s="1773">
        <f t="shared" si="115"/>
        <v>120000</v>
      </c>
      <c r="AN368" s="1776"/>
      <c r="AO368" s="1776"/>
      <c r="AP368" s="1776"/>
      <c r="AQ368" s="1776"/>
      <c r="AR368" s="1776"/>
      <c r="AS368" s="1776"/>
      <c r="AT368" s="1776"/>
      <c r="AU368" s="1776"/>
      <c r="AV368" s="1776"/>
      <c r="AW368" s="1776"/>
      <c r="AX368" s="1776"/>
      <c r="AY368" s="1776"/>
      <c r="AZ368" s="1776">
        <v>1</v>
      </c>
    </row>
    <row r="369" spans="1:52">
      <c r="A369" s="1479" t="s">
        <v>2757</v>
      </c>
      <c r="B369" s="1479" t="s">
        <v>2316</v>
      </c>
      <c r="C369" s="1741" t="s">
        <v>2108</v>
      </c>
      <c r="D369" s="1741">
        <v>1220</v>
      </c>
      <c r="E369" s="1741">
        <v>5000</v>
      </c>
      <c r="F369" s="1741" t="s">
        <v>2227</v>
      </c>
      <c r="G369" s="1741" t="s">
        <v>2226</v>
      </c>
      <c r="H369" s="1741" t="s">
        <v>1658</v>
      </c>
      <c r="I369" s="1753" t="s">
        <v>3015</v>
      </c>
      <c r="J369" s="1754"/>
      <c r="K369" s="1753" t="s">
        <v>2114</v>
      </c>
      <c r="L369" s="1754" t="s">
        <v>3015</v>
      </c>
      <c r="M369" s="1754"/>
      <c r="N369" s="1756">
        <v>0</v>
      </c>
      <c r="O369" s="1757">
        <v>438638.51</v>
      </c>
      <c r="P369" s="1758">
        <v>0</v>
      </c>
      <c r="Q369" s="1759">
        <v>0</v>
      </c>
      <c r="R369" s="1760">
        <v>0</v>
      </c>
      <c r="S369" s="1760">
        <v>0</v>
      </c>
      <c r="T369" s="1760">
        <v>0</v>
      </c>
      <c r="U369" s="1761">
        <v>0</v>
      </c>
      <c r="V369" s="1762">
        <v>0</v>
      </c>
      <c r="W369" s="1757">
        <v>0</v>
      </c>
      <c r="Z369" s="1773">
        <f t="shared" si="103"/>
        <v>0</v>
      </c>
      <c r="AA369" s="1773">
        <f t="shared" si="104"/>
        <v>0</v>
      </c>
      <c r="AB369" s="1773">
        <f t="shared" si="105"/>
        <v>0</v>
      </c>
      <c r="AC369" s="1773">
        <f t="shared" si="106"/>
        <v>0</v>
      </c>
      <c r="AD369" s="1773">
        <f t="shared" si="107"/>
        <v>0</v>
      </c>
      <c r="AE369" s="1773">
        <f t="shared" si="108"/>
        <v>0</v>
      </c>
      <c r="AF369" s="1773">
        <f t="shared" si="109"/>
        <v>0</v>
      </c>
      <c r="AG369" s="1773">
        <f t="shared" si="110"/>
        <v>0</v>
      </c>
      <c r="AH369" s="1773">
        <f t="shared" si="111"/>
        <v>0</v>
      </c>
      <c r="AI369" s="1773">
        <f t="shared" si="112"/>
        <v>0</v>
      </c>
      <c r="AJ369" s="1773">
        <f t="shared" si="113"/>
        <v>0</v>
      </c>
      <c r="AK369" s="1773">
        <f t="shared" si="114"/>
        <v>0</v>
      </c>
      <c r="AL369" s="1773">
        <f t="shared" si="115"/>
        <v>0</v>
      </c>
      <c r="AN369" s="1776"/>
      <c r="AO369" s="1776"/>
      <c r="AP369" s="1776"/>
      <c r="AQ369" s="1776"/>
      <c r="AR369" s="1776"/>
      <c r="AS369" s="1776"/>
      <c r="AT369" s="1776"/>
      <c r="AU369" s="1776"/>
      <c r="AV369" s="1776"/>
      <c r="AW369" s="1776"/>
      <c r="AX369" s="1776"/>
      <c r="AY369" s="1776"/>
      <c r="AZ369" s="1776">
        <v>1</v>
      </c>
    </row>
    <row r="370" spans="1:52" ht="13.5">
      <c r="A370" s="1479" t="s">
        <v>2758</v>
      </c>
      <c r="B370" s="1479" t="s">
        <v>2318</v>
      </c>
      <c r="C370" s="1741" t="s">
        <v>2108</v>
      </c>
      <c r="D370" s="1741">
        <v>1220</v>
      </c>
      <c r="E370" s="1741">
        <v>5020</v>
      </c>
      <c r="F370" s="1741" t="s">
        <v>2227</v>
      </c>
      <c r="G370" s="1741" t="s">
        <v>2226</v>
      </c>
      <c r="H370" s="1741" t="s">
        <v>586</v>
      </c>
      <c r="I370" s="1753" t="s">
        <v>2121</v>
      </c>
      <c r="J370" s="1754" t="s">
        <v>3016</v>
      </c>
      <c r="K370" s="236" t="s">
        <v>35</v>
      </c>
      <c r="L370" s="1754" t="s">
        <v>2128</v>
      </c>
      <c r="M370" s="1754"/>
      <c r="N370" s="1756">
        <v>0</v>
      </c>
      <c r="O370" s="1757">
        <v>-487251.89</v>
      </c>
      <c r="P370" s="1758">
        <v>0</v>
      </c>
      <c r="Q370" s="1759">
        <v>0</v>
      </c>
      <c r="R370" s="1760">
        <v>0</v>
      </c>
      <c r="S370" s="1760">
        <v>0</v>
      </c>
      <c r="T370" s="1760">
        <v>0</v>
      </c>
      <c r="U370" s="1761">
        <v>0</v>
      </c>
      <c r="V370" s="1762">
        <v>0</v>
      </c>
      <c r="W370" s="1757">
        <v>0</v>
      </c>
      <c r="Z370" s="1773">
        <f t="shared" si="103"/>
        <v>0</v>
      </c>
      <c r="AA370" s="1773">
        <f t="shared" si="104"/>
        <v>0</v>
      </c>
      <c r="AB370" s="1773">
        <f t="shared" si="105"/>
        <v>0</v>
      </c>
      <c r="AC370" s="1773">
        <f t="shared" si="106"/>
        <v>0</v>
      </c>
      <c r="AD370" s="1773">
        <f t="shared" si="107"/>
        <v>0</v>
      </c>
      <c r="AE370" s="1773">
        <f t="shared" si="108"/>
        <v>0</v>
      </c>
      <c r="AF370" s="1773">
        <f t="shared" si="109"/>
        <v>0</v>
      </c>
      <c r="AG370" s="1773">
        <f t="shared" si="110"/>
        <v>0</v>
      </c>
      <c r="AH370" s="1773">
        <f t="shared" si="111"/>
        <v>0</v>
      </c>
      <c r="AI370" s="1773">
        <f t="shared" si="112"/>
        <v>0</v>
      </c>
      <c r="AJ370" s="1773">
        <f t="shared" si="113"/>
        <v>0</v>
      </c>
      <c r="AK370" s="1773">
        <f t="shared" si="114"/>
        <v>0</v>
      </c>
      <c r="AL370" s="1773">
        <f t="shared" si="115"/>
        <v>0</v>
      </c>
      <c r="AN370" s="1776"/>
      <c r="AO370" s="1776"/>
      <c r="AP370" s="1776"/>
      <c r="AQ370" s="1776"/>
      <c r="AR370" s="1776"/>
      <c r="AS370" s="1776"/>
      <c r="AT370" s="1776"/>
      <c r="AU370" s="1776"/>
      <c r="AV370" s="1776"/>
      <c r="AW370" s="1776"/>
      <c r="AX370" s="1776"/>
      <c r="AY370" s="1776"/>
      <c r="AZ370" s="1776">
        <v>1</v>
      </c>
    </row>
    <row r="371" spans="1:52">
      <c r="A371" s="1479" t="s">
        <v>2759</v>
      </c>
      <c r="B371" s="1479" t="s">
        <v>2760</v>
      </c>
      <c r="C371" s="1741" t="s">
        <v>2108</v>
      </c>
      <c r="D371" s="1741">
        <v>1220</v>
      </c>
      <c r="E371" s="1741">
        <v>5080</v>
      </c>
      <c r="F371" s="1741" t="s">
        <v>2227</v>
      </c>
      <c r="G371" s="1741" t="s">
        <v>2226</v>
      </c>
      <c r="H371" s="1741" t="s">
        <v>586</v>
      </c>
      <c r="I371" s="1753" t="s">
        <v>2120</v>
      </c>
      <c r="J371" s="1754"/>
      <c r="K371" s="1754" t="s">
        <v>1666</v>
      </c>
      <c r="L371" s="1754" t="s">
        <v>1666</v>
      </c>
      <c r="M371" s="1754"/>
      <c r="N371" s="1756">
        <v>-5515</v>
      </c>
      <c r="O371" s="1757">
        <v>-5172</v>
      </c>
      <c r="P371" s="1758">
        <v>-21280</v>
      </c>
      <c r="Q371" s="1759">
        <v>-14000</v>
      </c>
      <c r="R371" s="1760">
        <v>-14000</v>
      </c>
      <c r="S371" s="1760">
        <v>-13444</v>
      </c>
      <c r="T371" s="1760">
        <v>-13444</v>
      </c>
      <c r="U371" s="1761">
        <v>-12000</v>
      </c>
      <c r="V371" s="1762">
        <v>-14000</v>
      </c>
      <c r="W371" s="1757">
        <v>-14000</v>
      </c>
      <c r="Z371" s="1773">
        <f t="shared" si="103"/>
        <v>0</v>
      </c>
      <c r="AA371" s="1773">
        <f t="shared" si="104"/>
        <v>0</v>
      </c>
      <c r="AB371" s="1773">
        <f t="shared" si="105"/>
        <v>0</v>
      </c>
      <c r="AC371" s="1773">
        <f t="shared" si="106"/>
        <v>0</v>
      </c>
      <c r="AD371" s="1773">
        <f t="shared" si="107"/>
        <v>0</v>
      </c>
      <c r="AE371" s="1773">
        <f t="shared" si="108"/>
        <v>0</v>
      </c>
      <c r="AF371" s="1773">
        <f t="shared" si="109"/>
        <v>0</v>
      </c>
      <c r="AG371" s="1773">
        <f t="shared" si="110"/>
        <v>0</v>
      </c>
      <c r="AH371" s="1773">
        <f t="shared" si="111"/>
        <v>0</v>
      </c>
      <c r="AI371" s="1773">
        <f t="shared" si="112"/>
        <v>0</v>
      </c>
      <c r="AJ371" s="1773">
        <f t="shared" si="113"/>
        <v>0</v>
      </c>
      <c r="AK371" s="1773">
        <f t="shared" si="114"/>
        <v>0</v>
      </c>
      <c r="AL371" s="1773">
        <f t="shared" si="115"/>
        <v>-12000</v>
      </c>
      <c r="AN371" s="1776"/>
      <c r="AO371" s="1776"/>
      <c r="AP371" s="1776"/>
      <c r="AQ371" s="1776"/>
      <c r="AR371" s="1776"/>
      <c r="AS371" s="1776"/>
      <c r="AT371" s="1776"/>
      <c r="AU371" s="1776"/>
      <c r="AV371" s="1776"/>
      <c r="AW371" s="1776"/>
      <c r="AX371" s="1776"/>
      <c r="AY371" s="1776"/>
      <c r="AZ371" s="1776">
        <v>1</v>
      </c>
    </row>
    <row r="372" spans="1:52">
      <c r="A372" s="1479" t="s">
        <v>2761</v>
      </c>
      <c r="B372" s="1479" t="s">
        <v>2231</v>
      </c>
      <c r="C372" s="1741" t="s">
        <v>2108</v>
      </c>
      <c r="D372" s="1741">
        <v>1300</v>
      </c>
      <c r="E372" s="1741">
        <v>10</v>
      </c>
      <c r="F372" s="1741" t="s">
        <v>2228</v>
      </c>
      <c r="G372" s="1741" t="s">
        <v>1152</v>
      </c>
      <c r="H372" s="1741" t="s">
        <v>1658</v>
      </c>
      <c r="I372" s="1753" t="s">
        <v>3003</v>
      </c>
      <c r="J372" s="1754" t="s">
        <v>2109</v>
      </c>
      <c r="K372" s="1753" t="s">
        <v>497</v>
      </c>
      <c r="L372" s="1754" t="s">
        <v>1158</v>
      </c>
      <c r="M372" s="1754"/>
      <c r="N372" s="1756">
        <v>417067.14</v>
      </c>
      <c r="O372" s="1757">
        <v>444665.74</v>
      </c>
      <c r="P372" s="1758">
        <v>1276694.77</v>
      </c>
      <c r="Q372" s="1759">
        <v>862620</v>
      </c>
      <c r="R372" s="1760">
        <v>862620</v>
      </c>
      <c r="S372" s="1760">
        <v>1319275</v>
      </c>
      <c r="T372" s="1760">
        <v>1319275</v>
      </c>
      <c r="U372" s="1761">
        <v>942750.83519999997</v>
      </c>
      <c r="V372" s="1762">
        <f>U372*108%</f>
        <v>1018170.902016</v>
      </c>
      <c r="W372" s="1757">
        <f>V372*108%</f>
        <v>1099624.5741772801</v>
      </c>
      <c r="Z372" s="1773">
        <f t="shared" si="103"/>
        <v>0</v>
      </c>
      <c r="AA372" s="1773">
        <f t="shared" si="104"/>
        <v>0</v>
      </c>
      <c r="AB372" s="1773">
        <f t="shared" si="105"/>
        <v>0</v>
      </c>
      <c r="AC372" s="1773">
        <f t="shared" si="106"/>
        <v>0</v>
      </c>
      <c r="AD372" s="1773">
        <f t="shared" si="107"/>
        <v>0</v>
      </c>
      <c r="AE372" s="1773">
        <f t="shared" si="108"/>
        <v>0</v>
      </c>
      <c r="AF372" s="1773">
        <f t="shared" si="109"/>
        <v>0</v>
      </c>
      <c r="AG372" s="1773">
        <f t="shared" si="110"/>
        <v>0</v>
      </c>
      <c r="AH372" s="1773">
        <f t="shared" si="111"/>
        <v>0</v>
      </c>
      <c r="AI372" s="1773">
        <f t="shared" si="112"/>
        <v>0</v>
      </c>
      <c r="AJ372" s="1773">
        <f t="shared" si="113"/>
        <v>0</v>
      </c>
      <c r="AK372" s="1773">
        <f t="shared" si="114"/>
        <v>0</v>
      </c>
      <c r="AL372" s="1773">
        <f t="shared" si="115"/>
        <v>942750.83519999997</v>
      </c>
      <c r="AN372" s="1776"/>
      <c r="AO372" s="1776"/>
      <c r="AP372" s="1776"/>
      <c r="AQ372" s="1776"/>
      <c r="AR372" s="1776"/>
      <c r="AS372" s="1776"/>
      <c r="AT372" s="1776"/>
      <c r="AU372" s="1776"/>
      <c r="AV372" s="1776"/>
      <c r="AW372" s="1776"/>
      <c r="AX372" s="1776"/>
      <c r="AY372" s="1776"/>
      <c r="AZ372" s="1776">
        <v>1</v>
      </c>
    </row>
    <row r="373" spans="1:52">
      <c r="A373" s="1479" t="s">
        <v>2762</v>
      </c>
      <c r="B373" s="1479" t="s">
        <v>2262</v>
      </c>
      <c r="C373" s="1741" t="s">
        <v>2108</v>
      </c>
      <c r="D373" s="1741">
        <v>1300</v>
      </c>
      <c r="E373" s="1741">
        <v>20</v>
      </c>
      <c r="F373" s="1741" t="s">
        <v>2228</v>
      </c>
      <c r="G373" s="1741" t="s">
        <v>1152</v>
      </c>
      <c r="H373" s="1741" t="s">
        <v>1658</v>
      </c>
      <c r="I373" s="1753" t="s">
        <v>3003</v>
      </c>
      <c r="J373" s="1754" t="s">
        <v>2109</v>
      </c>
      <c r="K373" s="1753" t="s">
        <v>497</v>
      </c>
      <c r="L373" s="1754" t="s">
        <v>1158</v>
      </c>
      <c r="M373" s="1754"/>
      <c r="N373" s="1756">
        <v>349171.31</v>
      </c>
      <c r="O373" s="1757">
        <v>532277.75</v>
      </c>
      <c r="P373" s="1758">
        <v>0</v>
      </c>
      <c r="Q373" s="1759">
        <v>500000</v>
      </c>
      <c r="R373" s="1760">
        <v>500000</v>
      </c>
      <c r="S373" s="1760">
        <v>56000</v>
      </c>
      <c r="T373" s="1760">
        <v>56000</v>
      </c>
      <c r="U373" s="1761">
        <v>500000</v>
      </c>
      <c r="V373" s="1762">
        <v>500000</v>
      </c>
      <c r="W373" s="1757">
        <v>500000</v>
      </c>
      <c r="Z373" s="1773">
        <f t="shared" si="103"/>
        <v>0</v>
      </c>
      <c r="AA373" s="1773">
        <f t="shared" si="104"/>
        <v>0</v>
      </c>
      <c r="AB373" s="1773">
        <f t="shared" si="105"/>
        <v>0</v>
      </c>
      <c r="AC373" s="1773">
        <f t="shared" si="106"/>
        <v>0</v>
      </c>
      <c r="AD373" s="1773">
        <f t="shared" si="107"/>
        <v>0</v>
      </c>
      <c r="AE373" s="1773">
        <f t="shared" si="108"/>
        <v>0</v>
      </c>
      <c r="AF373" s="1773">
        <f t="shared" si="109"/>
        <v>0</v>
      </c>
      <c r="AG373" s="1773">
        <f t="shared" si="110"/>
        <v>0</v>
      </c>
      <c r="AH373" s="1773">
        <f t="shared" si="111"/>
        <v>0</v>
      </c>
      <c r="AI373" s="1773">
        <f t="shared" si="112"/>
        <v>0</v>
      </c>
      <c r="AJ373" s="1773">
        <f t="shared" si="113"/>
        <v>0</v>
      </c>
      <c r="AK373" s="1773">
        <f t="shared" si="114"/>
        <v>0</v>
      </c>
      <c r="AL373" s="1773">
        <f t="shared" si="115"/>
        <v>500000</v>
      </c>
      <c r="AN373" s="1776"/>
      <c r="AO373" s="1776"/>
      <c r="AP373" s="1776"/>
      <c r="AQ373" s="1776"/>
      <c r="AR373" s="1776"/>
      <c r="AS373" s="1776"/>
      <c r="AT373" s="1776"/>
      <c r="AU373" s="1776"/>
      <c r="AV373" s="1776"/>
      <c r="AW373" s="1776"/>
      <c r="AX373" s="1776"/>
      <c r="AY373" s="1776"/>
      <c r="AZ373" s="1776">
        <v>1</v>
      </c>
    </row>
    <row r="374" spans="1:52">
      <c r="A374" s="1479" t="s">
        <v>2763</v>
      </c>
      <c r="B374" s="1479" t="s">
        <v>2233</v>
      </c>
      <c r="C374" s="1741" t="s">
        <v>2108</v>
      </c>
      <c r="D374" s="1741">
        <v>1300</v>
      </c>
      <c r="E374" s="1741">
        <v>30</v>
      </c>
      <c r="F374" s="1741" t="s">
        <v>2228</v>
      </c>
      <c r="G374" s="1741" t="s">
        <v>1152</v>
      </c>
      <c r="H374" s="1741" t="s">
        <v>1658</v>
      </c>
      <c r="I374" s="1753" t="s">
        <v>3003</v>
      </c>
      <c r="J374" s="1754" t="s">
        <v>3004</v>
      </c>
      <c r="K374" s="1753" t="s">
        <v>497</v>
      </c>
      <c r="L374" s="1754" t="s">
        <v>1159</v>
      </c>
      <c r="M374" s="1754"/>
      <c r="N374" s="1756">
        <v>1036.56</v>
      </c>
      <c r="O374" s="1757">
        <v>1076.8</v>
      </c>
      <c r="P374" s="1758">
        <v>1139.7</v>
      </c>
      <c r="Q374" s="1759">
        <v>880</v>
      </c>
      <c r="R374" s="1760">
        <v>880</v>
      </c>
      <c r="S374" s="1760">
        <v>1165</v>
      </c>
      <c r="T374" s="1760">
        <v>1165</v>
      </c>
      <c r="U374" s="1761">
        <v>956.89610495999978</v>
      </c>
      <c r="V374" s="1762">
        <v>977</v>
      </c>
      <c r="W374" s="1757">
        <v>1010</v>
      </c>
      <c r="Z374" s="1773">
        <f t="shared" si="103"/>
        <v>0</v>
      </c>
      <c r="AA374" s="1773">
        <f t="shared" si="104"/>
        <v>0</v>
      </c>
      <c r="AB374" s="1773">
        <f t="shared" si="105"/>
        <v>0</v>
      </c>
      <c r="AC374" s="1773">
        <f t="shared" si="106"/>
        <v>0</v>
      </c>
      <c r="AD374" s="1773">
        <f t="shared" si="107"/>
        <v>0</v>
      </c>
      <c r="AE374" s="1773">
        <f t="shared" si="108"/>
        <v>0</v>
      </c>
      <c r="AF374" s="1773">
        <f t="shared" si="109"/>
        <v>0</v>
      </c>
      <c r="AG374" s="1773">
        <f t="shared" si="110"/>
        <v>0</v>
      </c>
      <c r="AH374" s="1773">
        <f t="shared" si="111"/>
        <v>0</v>
      </c>
      <c r="AI374" s="1773">
        <f t="shared" si="112"/>
        <v>0</v>
      </c>
      <c r="AJ374" s="1773">
        <f t="shared" si="113"/>
        <v>0</v>
      </c>
      <c r="AK374" s="1773">
        <f t="shared" si="114"/>
        <v>0</v>
      </c>
      <c r="AL374" s="1773">
        <f t="shared" si="115"/>
        <v>956.89610495999978</v>
      </c>
      <c r="AN374" s="1776"/>
      <c r="AO374" s="1776"/>
      <c r="AP374" s="1776"/>
      <c r="AQ374" s="1776"/>
      <c r="AR374" s="1776"/>
      <c r="AS374" s="1776"/>
      <c r="AT374" s="1776"/>
      <c r="AU374" s="1776"/>
      <c r="AV374" s="1776"/>
      <c r="AW374" s="1776"/>
      <c r="AX374" s="1776"/>
      <c r="AY374" s="1776"/>
      <c r="AZ374" s="1776">
        <v>1</v>
      </c>
    </row>
    <row r="375" spans="1:52">
      <c r="A375" s="1479" t="s">
        <v>2764</v>
      </c>
      <c r="B375" s="1479" t="s">
        <v>2265</v>
      </c>
      <c r="C375" s="1741" t="s">
        <v>2108</v>
      </c>
      <c r="D375" s="1741">
        <v>1300</v>
      </c>
      <c r="E375" s="1741">
        <v>40</v>
      </c>
      <c r="F375" s="1741" t="s">
        <v>2228</v>
      </c>
      <c r="G375" s="1741" t="s">
        <v>1152</v>
      </c>
      <c r="H375" s="1741" t="s">
        <v>1658</v>
      </c>
      <c r="I375" s="1753" t="s">
        <v>3003</v>
      </c>
      <c r="J375" s="1754" t="s">
        <v>2110</v>
      </c>
      <c r="K375" s="1753" t="s">
        <v>497</v>
      </c>
      <c r="L375" s="1754" t="s">
        <v>1159</v>
      </c>
      <c r="M375" s="1754"/>
      <c r="N375" s="1756">
        <v>9765.82</v>
      </c>
      <c r="O375" s="1757">
        <v>14647.24</v>
      </c>
      <c r="P375" s="1758">
        <v>6408</v>
      </c>
      <c r="Q375" s="1759">
        <v>9525</v>
      </c>
      <c r="R375" s="1760">
        <v>9525</v>
      </c>
      <c r="S375" s="1760">
        <v>5986</v>
      </c>
      <c r="T375" s="1760">
        <v>5986</v>
      </c>
      <c r="U375" s="1761">
        <v>0</v>
      </c>
      <c r="V375" s="1762">
        <v>10190</v>
      </c>
      <c r="W375" s="1757">
        <v>10905</v>
      </c>
      <c r="Z375" s="1773">
        <f t="shared" si="103"/>
        <v>0</v>
      </c>
      <c r="AA375" s="1773">
        <f t="shared" si="104"/>
        <v>0</v>
      </c>
      <c r="AB375" s="1773">
        <f t="shared" si="105"/>
        <v>0</v>
      </c>
      <c r="AC375" s="1773">
        <f t="shared" si="106"/>
        <v>0</v>
      </c>
      <c r="AD375" s="1773">
        <f t="shared" si="107"/>
        <v>0</v>
      </c>
      <c r="AE375" s="1773">
        <f t="shared" si="108"/>
        <v>0</v>
      </c>
      <c r="AF375" s="1773">
        <f t="shared" si="109"/>
        <v>0</v>
      </c>
      <c r="AG375" s="1773">
        <f t="shared" si="110"/>
        <v>0</v>
      </c>
      <c r="AH375" s="1773">
        <f t="shared" si="111"/>
        <v>0</v>
      </c>
      <c r="AI375" s="1773">
        <f t="shared" si="112"/>
        <v>0</v>
      </c>
      <c r="AJ375" s="1773">
        <f t="shared" si="113"/>
        <v>0</v>
      </c>
      <c r="AK375" s="1773">
        <f t="shared" si="114"/>
        <v>0</v>
      </c>
      <c r="AL375" s="1773">
        <f t="shared" si="115"/>
        <v>0</v>
      </c>
      <c r="AN375" s="1776"/>
      <c r="AO375" s="1776"/>
      <c r="AP375" s="1776"/>
      <c r="AQ375" s="1776"/>
      <c r="AR375" s="1776"/>
      <c r="AS375" s="1776"/>
      <c r="AT375" s="1776"/>
      <c r="AU375" s="1776"/>
      <c r="AV375" s="1776"/>
      <c r="AW375" s="1776"/>
      <c r="AX375" s="1776"/>
      <c r="AY375" s="1776"/>
      <c r="AZ375" s="1776">
        <v>1</v>
      </c>
    </row>
    <row r="376" spans="1:52">
      <c r="A376" s="1479" t="s">
        <v>2765</v>
      </c>
      <c r="B376" s="1479" t="s">
        <v>2235</v>
      </c>
      <c r="C376" s="1741" t="s">
        <v>2108</v>
      </c>
      <c r="D376" s="1741">
        <v>1300</v>
      </c>
      <c r="E376" s="1741">
        <v>50</v>
      </c>
      <c r="F376" s="1741" t="s">
        <v>2228</v>
      </c>
      <c r="G376" s="1741" t="s">
        <v>1152</v>
      </c>
      <c r="H376" s="1741" t="s">
        <v>1658</v>
      </c>
      <c r="I376" s="1753" t="s">
        <v>3003</v>
      </c>
      <c r="J376" s="1754" t="s">
        <v>2110</v>
      </c>
      <c r="K376" s="1753" t="s">
        <v>497</v>
      </c>
      <c r="L376" s="1754" t="s">
        <v>1159</v>
      </c>
      <c r="M376" s="1754"/>
      <c r="N376" s="1756">
        <v>84063.360000000001</v>
      </c>
      <c r="O376" s="1757">
        <v>88890.86</v>
      </c>
      <c r="P376" s="1758">
        <v>245820.42</v>
      </c>
      <c r="Q376" s="1759">
        <v>196250</v>
      </c>
      <c r="R376" s="1760">
        <v>196250</v>
      </c>
      <c r="S376" s="1760">
        <v>270719</v>
      </c>
      <c r="T376" s="1760">
        <v>270719</v>
      </c>
      <c r="U376" s="1761">
        <v>214475.81500799995</v>
      </c>
      <c r="V376" s="1762">
        <f>U376*108%</f>
        <v>231633.88020863995</v>
      </c>
      <c r="W376" s="1757">
        <f>V376*108%</f>
        <v>250164.59062533116</v>
      </c>
      <c r="Z376" s="1773">
        <f t="shared" si="103"/>
        <v>0</v>
      </c>
      <c r="AA376" s="1773">
        <f t="shared" si="104"/>
        <v>0</v>
      </c>
      <c r="AB376" s="1773">
        <f t="shared" si="105"/>
        <v>0</v>
      </c>
      <c r="AC376" s="1773">
        <f t="shared" si="106"/>
        <v>0</v>
      </c>
      <c r="AD376" s="1773">
        <f t="shared" si="107"/>
        <v>0</v>
      </c>
      <c r="AE376" s="1773">
        <f t="shared" si="108"/>
        <v>0</v>
      </c>
      <c r="AF376" s="1773">
        <f t="shared" si="109"/>
        <v>0</v>
      </c>
      <c r="AG376" s="1773">
        <f t="shared" si="110"/>
        <v>0</v>
      </c>
      <c r="AH376" s="1773">
        <f t="shared" si="111"/>
        <v>0</v>
      </c>
      <c r="AI376" s="1773">
        <f t="shared" si="112"/>
        <v>0</v>
      </c>
      <c r="AJ376" s="1773">
        <f t="shared" si="113"/>
        <v>0</v>
      </c>
      <c r="AK376" s="1773">
        <f t="shared" si="114"/>
        <v>0</v>
      </c>
      <c r="AL376" s="1773">
        <f t="shared" si="115"/>
        <v>214475.81500799995</v>
      </c>
      <c r="AN376" s="1776"/>
      <c r="AO376" s="1776"/>
      <c r="AP376" s="1776"/>
      <c r="AQ376" s="1776"/>
      <c r="AR376" s="1776"/>
      <c r="AS376" s="1776"/>
      <c r="AT376" s="1776"/>
      <c r="AU376" s="1776"/>
      <c r="AV376" s="1776"/>
      <c r="AW376" s="1776"/>
      <c r="AX376" s="1776"/>
      <c r="AY376" s="1776"/>
      <c r="AZ376" s="1776">
        <v>1</v>
      </c>
    </row>
    <row r="377" spans="1:52">
      <c r="A377" s="1479" t="s">
        <v>2766</v>
      </c>
      <c r="B377" s="1479" t="s">
        <v>2237</v>
      </c>
      <c r="C377" s="1741" t="s">
        <v>2108</v>
      </c>
      <c r="D377" s="1741">
        <v>1300</v>
      </c>
      <c r="E377" s="1741">
        <v>60</v>
      </c>
      <c r="F377" s="1741" t="s">
        <v>2228</v>
      </c>
      <c r="G377" s="1741" t="s">
        <v>1152</v>
      </c>
      <c r="H377" s="1741" t="s">
        <v>1658</v>
      </c>
      <c r="I377" s="1753" t="s">
        <v>3003</v>
      </c>
      <c r="J377" s="1754" t="s">
        <v>2110</v>
      </c>
      <c r="K377" s="1753" t="s">
        <v>497</v>
      </c>
      <c r="L377" s="1754" t="s">
        <v>1159</v>
      </c>
      <c r="M377" s="1754"/>
      <c r="N377" s="1756">
        <v>8773.42</v>
      </c>
      <c r="O377" s="1757">
        <v>10326.32</v>
      </c>
      <c r="P377" s="1758">
        <v>14794.35</v>
      </c>
      <c r="Q377" s="1759">
        <v>14980</v>
      </c>
      <c r="R377" s="1760">
        <v>14980</v>
      </c>
      <c r="S377" s="1760">
        <v>15747</v>
      </c>
      <c r="T377" s="1760">
        <v>15747</v>
      </c>
      <c r="U377" s="1761">
        <v>10213.134048</v>
      </c>
      <c r="V377" s="1762">
        <v>16030</v>
      </c>
      <c r="W377" s="1757">
        <v>17155</v>
      </c>
      <c r="Z377" s="1773">
        <f t="shared" si="103"/>
        <v>0</v>
      </c>
      <c r="AA377" s="1773">
        <f t="shared" si="104"/>
        <v>0</v>
      </c>
      <c r="AB377" s="1773">
        <f t="shared" si="105"/>
        <v>0</v>
      </c>
      <c r="AC377" s="1773">
        <f t="shared" si="106"/>
        <v>0</v>
      </c>
      <c r="AD377" s="1773">
        <f t="shared" si="107"/>
        <v>0</v>
      </c>
      <c r="AE377" s="1773">
        <f t="shared" si="108"/>
        <v>0</v>
      </c>
      <c r="AF377" s="1773">
        <f t="shared" si="109"/>
        <v>0</v>
      </c>
      <c r="AG377" s="1773">
        <f t="shared" si="110"/>
        <v>0</v>
      </c>
      <c r="AH377" s="1773">
        <f t="shared" si="111"/>
        <v>0</v>
      </c>
      <c r="AI377" s="1773">
        <f t="shared" si="112"/>
        <v>0</v>
      </c>
      <c r="AJ377" s="1773">
        <f t="shared" si="113"/>
        <v>0</v>
      </c>
      <c r="AK377" s="1773">
        <f t="shared" si="114"/>
        <v>0</v>
      </c>
      <c r="AL377" s="1773">
        <f t="shared" si="115"/>
        <v>10213.134048</v>
      </c>
      <c r="AN377" s="1776"/>
      <c r="AO377" s="1776"/>
      <c r="AP377" s="1776"/>
      <c r="AQ377" s="1776"/>
      <c r="AR377" s="1776"/>
      <c r="AS377" s="1776"/>
      <c r="AT377" s="1776"/>
      <c r="AU377" s="1776"/>
      <c r="AV377" s="1776"/>
      <c r="AW377" s="1776"/>
      <c r="AX377" s="1776"/>
      <c r="AY377" s="1776"/>
      <c r="AZ377" s="1776">
        <v>1</v>
      </c>
    </row>
    <row r="378" spans="1:52">
      <c r="A378" s="1479" t="s">
        <v>2767</v>
      </c>
      <c r="B378" s="1479" t="s">
        <v>2271</v>
      </c>
      <c r="C378" s="1741" t="s">
        <v>2108</v>
      </c>
      <c r="D378" s="1741">
        <v>1300</v>
      </c>
      <c r="E378" s="1741">
        <v>100</v>
      </c>
      <c r="F378" s="1741" t="s">
        <v>2228</v>
      </c>
      <c r="G378" s="1741" t="s">
        <v>1152</v>
      </c>
      <c r="H378" s="1741" t="s">
        <v>1658</v>
      </c>
      <c r="I378" s="1753" t="s">
        <v>3003</v>
      </c>
      <c r="J378" s="1754" t="s">
        <v>2145</v>
      </c>
      <c r="K378" s="1753" t="s">
        <v>497</v>
      </c>
      <c r="L378" s="1754" t="s">
        <v>1778</v>
      </c>
      <c r="M378" s="1754"/>
      <c r="N378" s="1756">
        <v>24243.96</v>
      </c>
      <c r="O378" s="1757">
        <v>0</v>
      </c>
      <c r="P378" s="1758">
        <v>0</v>
      </c>
      <c r="Q378" s="1759">
        <v>0</v>
      </c>
      <c r="R378" s="1760">
        <v>0</v>
      </c>
      <c r="S378" s="1760">
        <v>10743</v>
      </c>
      <c r="T378" s="1760">
        <v>10743</v>
      </c>
      <c r="U378" s="1761">
        <v>30000</v>
      </c>
      <c r="V378" s="1762">
        <v>0</v>
      </c>
      <c r="W378" s="1757">
        <v>0</v>
      </c>
      <c r="Z378" s="1773">
        <f t="shared" si="103"/>
        <v>0</v>
      </c>
      <c r="AA378" s="1773">
        <f t="shared" si="104"/>
        <v>0</v>
      </c>
      <c r="AB378" s="1773">
        <f t="shared" si="105"/>
        <v>0</v>
      </c>
      <c r="AC378" s="1773">
        <f t="shared" si="106"/>
        <v>0</v>
      </c>
      <c r="AD378" s="1773">
        <f t="shared" si="107"/>
        <v>0</v>
      </c>
      <c r="AE378" s="1773">
        <f t="shared" si="108"/>
        <v>0</v>
      </c>
      <c r="AF378" s="1773">
        <f t="shared" si="109"/>
        <v>0</v>
      </c>
      <c r="AG378" s="1773">
        <f t="shared" si="110"/>
        <v>0</v>
      </c>
      <c r="AH378" s="1773">
        <f t="shared" si="111"/>
        <v>0</v>
      </c>
      <c r="AI378" s="1773">
        <f t="shared" si="112"/>
        <v>0</v>
      </c>
      <c r="AJ378" s="1773">
        <f t="shared" si="113"/>
        <v>0</v>
      </c>
      <c r="AK378" s="1773">
        <f t="shared" si="114"/>
        <v>0</v>
      </c>
      <c r="AL378" s="1773">
        <f t="shared" si="115"/>
        <v>30000</v>
      </c>
      <c r="AN378" s="1776"/>
      <c r="AO378" s="1776"/>
      <c r="AP378" s="1776"/>
      <c r="AQ378" s="1776"/>
      <c r="AR378" s="1776"/>
      <c r="AS378" s="1776"/>
      <c r="AT378" s="1776"/>
      <c r="AU378" s="1776"/>
      <c r="AV378" s="1776"/>
      <c r="AW378" s="1776"/>
      <c r="AX378" s="1776"/>
      <c r="AY378" s="1776"/>
      <c r="AZ378" s="1776">
        <v>1</v>
      </c>
    </row>
    <row r="379" spans="1:52">
      <c r="A379" s="1479" t="s">
        <v>2768</v>
      </c>
      <c r="B379" s="1479" t="s">
        <v>2241</v>
      </c>
      <c r="C379" s="1741" t="s">
        <v>2108</v>
      </c>
      <c r="D379" s="1741">
        <v>1300</v>
      </c>
      <c r="E379" s="1741">
        <v>140</v>
      </c>
      <c r="F379" s="1741" t="s">
        <v>2228</v>
      </c>
      <c r="G379" s="1741" t="s">
        <v>1152</v>
      </c>
      <c r="H379" s="1741" t="s">
        <v>1658</v>
      </c>
      <c r="I379" s="1753" t="s">
        <v>3003</v>
      </c>
      <c r="J379" s="1754" t="s">
        <v>3005</v>
      </c>
      <c r="K379" s="1753" t="s">
        <v>497</v>
      </c>
      <c r="L379" s="1754" t="s">
        <v>1163</v>
      </c>
      <c r="M379" s="1754"/>
      <c r="N379" s="1756">
        <v>35003.46</v>
      </c>
      <c r="O379" s="1757">
        <v>37020.050000000003</v>
      </c>
      <c r="P379" s="1758">
        <v>77535.58</v>
      </c>
      <c r="Q379" s="1759">
        <v>71885</v>
      </c>
      <c r="R379" s="1760">
        <v>71885</v>
      </c>
      <c r="S379" s="1760">
        <v>103012</v>
      </c>
      <c r="T379" s="1760">
        <v>103012</v>
      </c>
      <c r="U379" s="1761">
        <v>78562.569599999988</v>
      </c>
      <c r="V379" s="1762">
        <f>U379*108%</f>
        <v>84847.575167999996</v>
      </c>
      <c r="W379" s="1757">
        <f>V379*108%</f>
        <v>91635.381181439996</v>
      </c>
      <c r="Z379" s="1773">
        <f t="shared" si="103"/>
        <v>0</v>
      </c>
      <c r="AA379" s="1773">
        <f t="shared" si="104"/>
        <v>0</v>
      </c>
      <c r="AB379" s="1773">
        <f t="shared" si="105"/>
        <v>0</v>
      </c>
      <c r="AC379" s="1773">
        <f t="shared" si="106"/>
        <v>0</v>
      </c>
      <c r="AD379" s="1773">
        <f t="shared" si="107"/>
        <v>0</v>
      </c>
      <c r="AE379" s="1773">
        <f t="shared" si="108"/>
        <v>0</v>
      </c>
      <c r="AF379" s="1773">
        <f t="shared" si="109"/>
        <v>0</v>
      </c>
      <c r="AG379" s="1773">
        <f t="shared" si="110"/>
        <v>0</v>
      </c>
      <c r="AH379" s="1773">
        <f t="shared" si="111"/>
        <v>0</v>
      </c>
      <c r="AI379" s="1773">
        <f t="shared" si="112"/>
        <v>0</v>
      </c>
      <c r="AJ379" s="1773">
        <f t="shared" si="113"/>
        <v>0</v>
      </c>
      <c r="AK379" s="1773">
        <f t="shared" si="114"/>
        <v>0</v>
      </c>
      <c r="AL379" s="1773">
        <f t="shared" si="115"/>
        <v>78562.569599999988</v>
      </c>
      <c r="AN379" s="1776"/>
      <c r="AO379" s="1776"/>
      <c r="AP379" s="1776"/>
      <c r="AQ379" s="1776"/>
      <c r="AR379" s="1776"/>
      <c r="AS379" s="1776"/>
      <c r="AT379" s="1776"/>
      <c r="AU379" s="1776"/>
      <c r="AV379" s="1776"/>
      <c r="AW379" s="1776"/>
      <c r="AX379" s="1776"/>
      <c r="AY379" s="1776"/>
      <c r="AZ379" s="1776">
        <v>1</v>
      </c>
    </row>
    <row r="380" spans="1:52">
      <c r="A380" s="1479" t="s">
        <v>2769</v>
      </c>
      <c r="B380" s="1479" t="s">
        <v>2276</v>
      </c>
      <c r="C380" s="1741" t="s">
        <v>2108</v>
      </c>
      <c r="D380" s="1741">
        <v>1300</v>
      </c>
      <c r="E380" s="1741">
        <v>170</v>
      </c>
      <c r="F380" s="1741" t="s">
        <v>2228</v>
      </c>
      <c r="G380" s="1741" t="s">
        <v>1152</v>
      </c>
      <c r="H380" s="1741" t="s">
        <v>1658</v>
      </c>
      <c r="I380" s="1753" t="s">
        <v>3003</v>
      </c>
      <c r="J380" s="1754" t="s">
        <v>1161</v>
      </c>
      <c r="K380" s="1753" t="s">
        <v>497</v>
      </c>
      <c r="L380" s="1754" t="s">
        <v>1161</v>
      </c>
      <c r="M380" s="1754"/>
      <c r="N380" s="1756">
        <v>55137.58</v>
      </c>
      <c r="O380" s="1757">
        <v>63485.26</v>
      </c>
      <c r="P380" s="1758">
        <v>117030.57</v>
      </c>
      <c r="Q380" s="1759">
        <v>90000</v>
      </c>
      <c r="R380" s="1760">
        <v>90000</v>
      </c>
      <c r="S380" s="1760">
        <v>127288</v>
      </c>
      <c r="T380" s="1760">
        <v>127288</v>
      </c>
      <c r="U380" s="1761">
        <v>90000</v>
      </c>
      <c r="V380" s="1762">
        <v>91000</v>
      </c>
      <c r="W380" s="1757">
        <v>92000</v>
      </c>
      <c r="Z380" s="1773">
        <f t="shared" si="103"/>
        <v>0</v>
      </c>
      <c r="AA380" s="1773">
        <f t="shared" si="104"/>
        <v>0</v>
      </c>
      <c r="AB380" s="1773">
        <f t="shared" si="105"/>
        <v>0</v>
      </c>
      <c r="AC380" s="1773">
        <f t="shared" si="106"/>
        <v>0</v>
      </c>
      <c r="AD380" s="1773">
        <f t="shared" si="107"/>
        <v>0</v>
      </c>
      <c r="AE380" s="1773">
        <f t="shared" si="108"/>
        <v>0</v>
      </c>
      <c r="AF380" s="1773">
        <f t="shared" si="109"/>
        <v>0</v>
      </c>
      <c r="AG380" s="1773">
        <f t="shared" si="110"/>
        <v>0</v>
      </c>
      <c r="AH380" s="1773">
        <f t="shared" si="111"/>
        <v>0</v>
      </c>
      <c r="AI380" s="1773">
        <f t="shared" si="112"/>
        <v>0</v>
      </c>
      <c r="AJ380" s="1773">
        <f t="shared" si="113"/>
        <v>0</v>
      </c>
      <c r="AK380" s="1773">
        <f t="shared" si="114"/>
        <v>0</v>
      </c>
      <c r="AL380" s="1773">
        <f t="shared" si="115"/>
        <v>90000</v>
      </c>
      <c r="AN380" s="1776"/>
      <c r="AO380" s="1776"/>
      <c r="AP380" s="1776"/>
      <c r="AQ380" s="1776"/>
      <c r="AR380" s="1776"/>
      <c r="AS380" s="1776"/>
      <c r="AT380" s="1776"/>
      <c r="AU380" s="1776"/>
      <c r="AV380" s="1776"/>
      <c r="AW380" s="1776"/>
      <c r="AX380" s="1776"/>
      <c r="AY380" s="1776"/>
      <c r="AZ380" s="1776">
        <v>1</v>
      </c>
    </row>
    <row r="381" spans="1:52">
      <c r="A381" s="1479" t="s">
        <v>2770</v>
      </c>
      <c r="B381" s="1479" t="s">
        <v>2278</v>
      </c>
      <c r="C381" s="1741" t="s">
        <v>2108</v>
      </c>
      <c r="D381" s="1741">
        <v>1300</v>
      </c>
      <c r="E381" s="1741">
        <v>200</v>
      </c>
      <c r="F381" s="1741" t="s">
        <v>2228</v>
      </c>
      <c r="G381" s="1741" t="s">
        <v>1152</v>
      </c>
      <c r="H381" s="1741" t="s">
        <v>1658</v>
      </c>
      <c r="I381" s="1753" t="s">
        <v>3003</v>
      </c>
      <c r="J381" s="1754" t="s">
        <v>2113</v>
      </c>
      <c r="K381" s="1753" t="s">
        <v>497</v>
      </c>
      <c r="L381" s="1754" t="s">
        <v>1160</v>
      </c>
      <c r="M381" s="1754"/>
      <c r="N381" s="1756">
        <v>109.9</v>
      </c>
      <c r="O381" s="1757">
        <v>0</v>
      </c>
      <c r="P381" s="1758">
        <v>0</v>
      </c>
      <c r="Q381" s="1759">
        <v>0</v>
      </c>
      <c r="R381" s="1760">
        <v>0</v>
      </c>
      <c r="S381" s="1760">
        <v>0</v>
      </c>
      <c r="T381" s="1760">
        <v>0</v>
      </c>
      <c r="U381" s="1761">
        <v>0</v>
      </c>
      <c r="V381" s="1762">
        <v>0</v>
      </c>
      <c r="W381" s="1757">
        <v>0</v>
      </c>
      <c r="Z381" s="1773">
        <f t="shared" ref="Z381:Z444" si="117">$AL381*AN381</f>
        <v>0</v>
      </c>
      <c r="AA381" s="1773">
        <f t="shared" ref="AA381:AA444" si="118">$AL381*AO381</f>
        <v>0</v>
      </c>
      <c r="AB381" s="1773">
        <f t="shared" ref="AB381:AB444" si="119">$AL381*AP381</f>
        <v>0</v>
      </c>
      <c r="AC381" s="1773">
        <f t="shared" ref="AC381:AC444" si="120">$AL381*AQ381</f>
        <v>0</v>
      </c>
      <c r="AD381" s="1773">
        <f t="shared" ref="AD381:AD444" si="121">$AL381*AR381</f>
        <v>0</v>
      </c>
      <c r="AE381" s="1773">
        <f t="shared" ref="AE381:AE444" si="122">$AL381*AS381</f>
        <v>0</v>
      </c>
      <c r="AF381" s="1773">
        <f t="shared" ref="AF381:AF444" si="123">$AL381*AT381</f>
        <v>0</v>
      </c>
      <c r="AG381" s="1773">
        <f t="shared" ref="AG381:AG444" si="124">$AL381*AU381</f>
        <v>0</v>
      </c>
      <c r="AH381" s="1773">
        <f t="shared" ref="AH381:AH444" si="125">$AL381*AV381</f>
        <v>0</v>
      </c>
      <c r="AI381" s="1773">
        <f t="shared" ref="AI381:AI444" si="126">$AL381*AW381</f>
        <v>0</v>
      </c>
      <c r="AJ381" s="1773">
        <f t="shared" ref="AJ381:AJ444" si="127">$AL381*AX381</f>
        <v>0</v>
      </c>
      <c r="AK381" s="1773">
        <f t="shared" ref="AK381:AK444" si="128">$AL381*AY381</f>
        <v>0</v>
      </c>
      <c r="AL381" s="1773">
        <f t="shared" si="115"/>
        <v>0</v>
      </c>
      <c r="AN381" s="1776"/>
      <c r="AO381" s="1776"/>
      <c r="AP381" s="1776"/>
      <c r="AQ381" s="1776"/>
      <c r="AR381" s="1776"/>
      <c r="AS381" s="1776"/>
      <c r="AT381" s="1776"/>
      <c r="AU381" s="1776"/>
      <c r="AV381" s="1776"/>
      <c r="AW381" s="1776"/>
      <c r="AX381" s="1776"/>
      <c r="AY381" s="1776"/>
      <c r="AZ381" s="1776">
        <v>1</v>
      </c>
    </row>
    <row r="382" spans="1:52">
      <c r="A382" s="1479" t="s">
        <v>2771</v>
      </c>
      <c r="B382" s="1479" t="s">
        <v>2280</v>
      </c>
      <c r="C382" s="1741" t="s">
        <v>2108</v>
      </c>
      <c r="D382" s="1741">
        <v>1300</v>
      </c>
      <c r="E382" s="1741">
        <v>210</v>
      </c>
      <c r="F382" s="1741" t="s">
        <v>2228</v>
      </c>
      <c r="G382" s="1741" t="s">
        <v>1152</v>
      </c>
      <c r="H382" s="1741" t="s">
        <v>1658</v>
      </c>
      <c r="I382" s="1753" t="s">
        <v>3003</v>
      </c>
      <c r="J382" s="1754" t="s">
        <v>2113</v>
      </c>
      <c r="K382" s="1753" t="s">
        <v>497</v>
      </c>
      <c r="L382" s="1754" t="s">
        <v>1160</v>
      </c>
      <c r="M382" s="1754"/>
      <c r="N382" s="1756">
        <v>7603.57</v>
      </c>
      <c r="O382" s="1757">
        <v>12036.26</v>
      </c>
      <c r="P382" s="1758">
        <v>15335.19</v>
      </c>
      <c r="Q382" s="1759">
        <v>20000</v>
      </c>
      <c r="R382" s="1760">
        <v>20000</v>
      </c>
      <c r="S382" s="1760">
        <v>13647</v>
      </c>
      <c r="T382" s="1760">
        <v>13647</v>
      </c>
      <c r="U382" s="1761">
        <v>20000</v>
      </c>
      <c r="V382" s="1762">
        <v>20000</v>
      </c>
      <c r="W382" s="1757">
        <v>20000</v>
      </c>
      <c r="Z382" s="1773">
        <f t="shared" si="117"/>
        <v>0</v>
      </c>
      <c r="AA382" s="1773">
        <f t="shared" si="118"/>
        <v>0</v>
      </c>
      <c r="AB382" s="1773">
        <f t="shared" si="119"/>
        <v>0</v>
      </c>
      <c r="AC382" s="1773">
        <f t="shared" si="120"/>
        <v>0</v>
      </c>
      <c r="AD382" s="1773">
        <f t="shared" si="121"/>
        <v>0</v>
      </c>
      <c r="AE382" s="1773">
        <f t="shared" si="122"/>
        <v>0</v>
      </c>
      <c r="AF382" s="1773">
        <f t="shared" si="123"/>
        <v>0</v>
      </c>
      <c r="AG382" s="1773">
        <f t="shared" si="124"/>
        <v>0</v>
      </c>
      <c r="AH382" s="1773">
        <f t="shared" si="125"/>
        <v>0</v>
      </c>
      <c r="AI382" s="1773">
        <f t="shared" si="126"/>
        <v>0</v>
      </c>
      <c r="AJ382" s="1773">
        <f t="shared" si="127"/>
        <v>0</v>
      </c>
      <c r="AK382" s="1773">
        <f t="shared" si="128"/>
        <v>0</v>
      </c>
      <c r="AL382" s="1773">
        <f t="shared" si="115"/>
        <v>20000</v>
      </c>
      <c r="AN382" s="1776"/>
      <c r="AO382" s="1776"/>
      <c r="AP382" s="1776"/>
      <c r="AQ382" s="1776"/>
      <c r="AR382" s="1776"/>
      <c r="AS382" s="1776"/>
      <c r="AT382" s="1776"/>
      <c r="AU382" s="1776"/>
      <c r="AV382" s="1776"/>
      <c r="AW382" s="1776"/>
      <c r="AX382" s="1776"/>
      <c r="AY382" s="1776"/>
      <c r="AZ382" s="1776">
        <v>1</v>
      </c>
    </row>
    <row r="383" spans="1:52">
      <c r="A383" t="s">
        <v>2772</v>
      </c>
      <c r="B383" t="s">
        <v>2773</v>
      </c>
      <c r="C383" s="1741" t="s">
        <v>2108</v>
      </c>
      <c r="D383" s="1741">
        <v>1300</v>
      </c>
      <c r="E383" s="1741">
        <v>211</v>
      </c>
      <c r="F383" s="1741" t="s">
        <v>2228</v>
      </c>
      <c r="G383" s="1741" t="s">
        <v>1152</v>
      </c>
      <c r="H383" s="1741" t="s">
        <v>1658</v>
      </c>
      <c r="I383" s="1753" t="s">
        <v>3003</v>
      </c>
      <c r="J383" s="1754" t="s">
        <v>2113</v>
      </c>
      <c r="K383" s="1753" t="s">
        <v>497</v>
      </c>
      <c r="L383" s="1754" t="s">
        <v>1160</v>
      </c>
      <c r="M383" s="1754"/>
      <c r="N383" s="1756"/>
      <c r="O383" s="1757"/>
      <c r="P383" s="1758"/>
      <c r="Q383" s="1759">
        <v>7915</v>
      </c>
      <c r="R383" s="1760">
        <v>7915</v>
      </c>
      <c r="S383" s="1760">
        <v>886</v>
      </c>
      <c r="T383" s="1760">
        <v>886</v>
      </c>
      <c r="U383" s="1761">
        <v>10000</v>
      </c>
      <c r="V383" s="1762">
        <v>10000</v>
      </c>
      <c r="W383" s="1757">
        <v>10000</v>
      </c>
      <c r="Z383" s="1773">
        <f t="shared" si="117"/>
        <v>0</v>
      </c>
      <c r="AA383" s="1773">
        <f t="shared" si="118"/>
        <v>0</v>
      </c>
      <c r="AB383" s="1773">
        <f t="shared" si="119"/>
        <v>0</v>
      </c>
      <c r="AC383" s="1773">
        <f t="shared" si="120"/>
        <v>0</v>
      </c>
      <c r="AD383" s="1773">
        <f t="shared" si="121"/>
        <v>0</v>
      </c>
      <c r="AE383" s="1773">
        <f t="shared" si="122"/>
        <v>0</v>
      </c>
      <c r="AF383" s="1773">
        <f t="shared" si="123"/>
        <v>0</v>
      </c>
      <c r="AG383" s="1773">
        <f t="shared" si="124"/>
        <v>0</v>
      </c>
      <c r="AH383" s="1773">
        <f t="shared" si="125"/>
        <v>0</v>
      </c>
      <c r="AI383" s="1773">
        <f t="shared" si="126"/>
        <v>0</v>
      </c>
      <c r="AJ383" s="1773">
        <f t="shared" si="127"/>
        <v>0</v>
      </c>
      <c r="AK383" s="1773">
        <f t="shared" si="128"/>
        <v>0</v>
      </c>
      <c r="AL383" s="1773">
        <f t="shared" si="115"/>
        <v>10000</v>
      </c>
      <c r="AN383" s="1776"/>
      <c r="AO383" s="1776"/>
      <c r="AP383" s="1776"/>
      <c r="AQ383" s="1776"/>
      <c r="AR383" s="1776"/>
      <c r="AS383" s="1776"/>
      <c r="AT383" s="1776"/>
      <c r="AU383" s="1776"/>
      <c r="AV383" s="1776"/>
      <c r="AW383" s="1776"/>
      <c r="AX383" s="1776"/>
      <c r="AY383" s="1776"/>
      <c r="AZ383" s="1776">
        <v>1</v>
      </c>
    </row>
    <row r="384" spans="1:52">
      <c r="A384" s="1479" t="s">
        <v>2774</v>
      </c>
      <c r="B384" s="1479" t="s">
        <v>2243</v>
      </c>
      <c r="C384" s="1741" t="s">
        <v>2108</v>
      </c>
      <c r="D384" s="1741">
        <v>1300</v>
      </c>
      <c r="E384" s="1741">
        <v>520</v>
      </c>
      <c r="F384" s="1741" t="s">
        <v>2228</v>
      </c>
      <c r="G384" s="1741" t="s">
        <v>1152</v>
      </c>
      <c r="H384" s="1741" t="s">
        <v>1658</v>
      </c>
      <c r="I384" s="1753" t="s">
        <v>2114</v>
      </c>
      <c r="J384" s="1754" t="s">
        <v>2138</v>
      </c>
      <c r="K384" s="1753" t="s">
        <v>2114</v>
      </c>
      <c r="L384" s="1754" t="s">
        <v>2138</v>
      </c>
      <c r="M384" s="1754"/>
      <c r="N384" s="1756">
        <v>3749.28</v>
      </c>
      <c r="O384" s="1757">
        <v>14270.31</v>
      </c>
      <c r="P384" s="1758">
        <v>31612.98</v>
      </c>
      <c r="Q384" s="1759">
        <v>40435</v>
      </c>
      <c r="R384" s="1760">
        <v>0</v>
      </c>
      <c r="S384" s="1760">
        <v>0</v>
      </c>
      <c r="T384" s="1760">
        <v>0</v>
      </c>
      <c r="U384" s="1761">
        <v>25000</v>
      </c>
      <c r="V384" s="1762">
        <v>46500</v>
      </c>
      <c r="W384" s="1757">
        <v>53475</v>
      </c>
      <c r="Z384" s="1773">
        <f t="shared" si="117"/>
        <v>0</v>
      </c>
      <c r="AA384" s="1773">
        <f t="shared" si="118"/>
        <v>0</v>
      </c>
      <c r="AB384" s="1773">
        <f t="shared" si="119"/>
        <v>0</v>
      </c>
      <c r="AC384" s="1773">
        <f t="shared" si="120"/>
        <v>0</v>
      </c>
      <c r="AD384" s="1773">
        <f t="shared" si="121"/>
        <v>0</v>
      </c>
      <c r="AE384" s="1773">
        <f t="shared" si="122"/>
        <v>0</v>
      </c>
      <c r="AF384" s="1773">
        <f t="shared" si="123"/>
        <v>0</v>
      </c>
      <c r="AG384" s="1773">
        <f t="shared" si="124"/>
        <v>0</v>
      </c>
      <c r="AH384" s="1773">
        <f t="shared" si="125"/>
        <v>0</v>
      </c>
      <c r="AI384" s="1773">
        <f t="shared" si="126"/>
        <v>0</v>
      </c>
      <c r="AJ384" s="1773">
        <f t="shared" si="127"/>
        <v>0</v>
      </c>
      <c r="AK384" s="1773">
        <f t="shared" si="128"/>
        <v>0</v>
      </c>
      <c r="AL384" s="1773">
        <f t="shared" si="115"/>
        <v>25000</v>
      </c>
      <c r="AN384" s="1776"/>
      <c r="AO384" s="1776"/>
      <c r="AP384" s="1776"/>
      <c r="AQ384" s="1776"/>
      <c r="AR384" s="1776"/>
      <c r="AS384" s="1776"/>
      <c r="AT384" s="1776"/>
      <c r="AU384" s="1776"/>
      <c r="AV384" s="1776"/>
      <c r="AW384" s="1776"/>
      <c r="AX384" s="1776"/>
      <c r="AY384" s="1776"/>
      <c r="AZ384" s="1776">
        <v>1</v>
      </c>
    </row>
    <row r="385" spans="1:52">
      <c r="A385" s="1479" t="s">
        <v>2775</v>
      </c>
      <c r="B385" s="1479" t="s">
        <v>2283</v>
      </c>
      <c r="C385" s="1741" t="s">
        <v>2108</v>
      </c>
      <c r="D385" s="1741">
        <v>1300</v>
      </c>
      <c r="E385" s="1741">
        <v>570</v>
      </c>
      <c r="F385" s="1741" t="s">
        <v>2228</v>
      </c>
      <c r="G385" s="1741" t="s">
        <v>1152</v>
      </c>
      <c r="H385" s="1741" t="s">
        <v>1658</v>
      </c>
      <c r="I385" s="1753" t="s">
        <v>2114</v>
      </c>
      <c r="J385" s="1754" t="s">
        <v>3010</v>
      </c>
      <c r="K385" s="1753" t="s">
        <v>2114</v>
      </c>
      <c r="L385" s="1754" t="s">
        <v>3010</v>
      </c>
      <c r="M385" s="1754"/>
      <c r="N385" s="1756">
        <v>5100.82</v>
      </c>
      <c r="O385" s="1757">
        <v>8674.9500000000007</v>
      </c>
      <c r="P385" s="1758">
        <v>7678.51</v>
      </c>
      <c r="Q385" s="1759">
        <v>20000</v>
      </c>
      <c r="R385" s="1760">
        <v>20000</v>
      </c>
      <c r="S385" s="1760">
        <v>4683</v>
      </c>
      <c r="T385" s="1760">
        <v>4683</v>
      </c>
      <c r="U385" s="1761">
        <v>20000</v>
      </c>
      <c r="V385" s="1762">
        <v>20000</v>
      </c>
      <c r="W385" s="1757">
        <v>20000</v>
      </c>
      <c r="Z385" s="1773">
        <f t="shared" si="117"/>
        <v>0</v>
      </c>
      <c r="AA385" s="1773">
        <f t="shared" si="118"/>
        <v>0</v>
      </c>
      <c r="AB385" s="1773">
        <f t="shared" si="119"/>
        <v>0</v>
      </c>
      <c r="AC385" s="1773">
        <f t="shared" si="120"/>
        <v>0</v>
      </c>
      <c r="AD385" s="1773">
        <f t="shared" si="121"/>
        <v>0</v>
      </c>
      <c r="AE385" s="1773">
        <f t="shared" si="122"/>
        <v>0</v>
      </c>
      <c r="AF385" s="1773">
        <f t="shared" si="123"/>
        <v>0</v>
      </c>
      <c r="AG385" s="1773">
        <f t="shared" si="124"/>
        <v>0</v>
      </c>
      <c r="AH385" s="1773">
        <f t="shared" si="125"/>
        <v>0</v>
      </c>
      <c r="AI385" s="1773">
        <f t="shared" si="126"/>
        <v>0</v>
      </c>
      <c r="AJ385" s="1773">
        <f t="shared" si="127"/>
        <v>0</v>
      </c>
      <c r="AK385" s="1773">
        <f t="shared" si="128"/>
        <v>0</v>
      </c>
      <c r="AL385" s="1773">
        <f t="shared" si="115"/>
        <v>20000</v>
      </c>
      <c r="AN385" s="1776"/>
      <c r="AO385" s="1776"/>
      <c r="AP385" s="1776"/>
      <c r="AQ385" s="1776"/>
      <c r="AR385" s="1776"/>
      <c r="AS385" s="1776"/>
      <c r="AT385" s="1776"/>
      <c r="AU385" s="1776"/>
      <c r="AV385" s="1776"/>
      <c r="AW385" s="1776"/>
      <c r="AX385" s="1776"/>
      <c r="AY385" s="1776"/>
      <c r="AZ385" s="1776">
        <v>1</v>
      </c>
    </row>
    <row r="386" spans="1:52" ht="13.5">
      <c r="A386" s="1479" t="s">
        <v>2776</v>
      </c>
      <c r="B386" s="1479" t="s">
        <v>2288</v>
      </c>
      <c r="C386" s="1741" t="s">
        <v>2108</v>
      </c>
      <c r="D386" s="1741">
        <v>1300</v>
      </c>
      <c r="E386" s="1741">
        <v>690</v>
      </c>
      <c r="F386" s="1741" t="s">
        <v>2228</v>
      </c>
      <c r="G386" s="1741" t="s">
        <v>1152</v>
      </c>
      <c r="H386" s="1741" t="s">
        <v>1658</v>
      </c>
      <c r="I386" s="1753" t="s">
        <v>2114</v>
      </c>
      <c r="J386" s="1754" t="s">
        <v>2124</v>
      </c>
      <c r="K386" s="1753" t="s">
        <v>2114</v>
      </c>
      <c r="L386" s="1754" t="s">
        <v>2124</v>
      </c>
      <c r="M386" s="1763"/>
      <c r="N386" s="1756">
        <v>287650.61</v>
      </c>
      <c r="O386" s="1757">
        <v>353729.14</v>
      </c>
      <c r="P386" s="1758">
        <v>182407.99</v>
      </c>
      <c r="Q386" s="1759">
        <v>160000</v>
      </c>
      <c r="R386" s="1760">
        <v>160000</v>
      </c>
      <c r="S386" s="1760">
        <v>250490</v>
      </c>
      <c r="T386" s="1760">
        <v>250490</v>
      </c>
      <c r="U386" s="1761">
        <v>300000</v>
      </c>
      <c r="V386" s="1762">
        <v>160000</v>
      </c>
      <c r="W386" s="1757">
        <v>160000</v>
      </c>
      <c r="Z386" s="1773">
        <f t="shared" si="117"/>
        <v>0</v>
      </c>
      <c r="AA386" s="1773">
        <f t="shared" si="118"/>
        <v>0</v>
      </c>
      <c r="AB386" s="1773">
        <f t="shared" si="119"/>
        <v>0</v>
      </c>
      <c r="AC386" s="1773">
        <f t="shared" si="120"/>
        <v>0</v>
      </c>
      <c r="AD386" s="1773">
        <f t="shared" si="121"/>
        <v>0</v>
      </c>
      <c r="AE386" s="1773">
        <f t="shared" si="122"/>
        <v>0</v>
      </c>
      <c r="AF386" s="1773">
        <f t="shared" si="123"/>
        <v>0</v>
      </c>
      <c r="AG386" s="1773">
        <f t="shared" si="124"/>
        <v>0</v>
      </c>
      <c r="AH386" s="1773">
        <f t="shared" si="125"/>
        <v>0</v>
      </c>
      <c r="AI386" s="1773">
        <f t="shared" si="126"/>
        <v>0</v>
      </c>
      <c r="AJ386" s="1773">
        <f t="shared" si="127"/>
        <v>0</v>
      </c>
      <c r="AK386" s="1773">
        <f t="shared" si="128"/>
        <v>0</v>
      </c>
      <c r="AL386" s="1773">
        <f t="shared" ref="AL386:AL449" si="129">U386</f>
        <v>300000</v>
      </c>
      <c r="AN386" s="1776"/>
      <c r="AO386" s="1776"/>
      <c r="AP386" s="1776"/>
      <c r="AQ386" s="1776"/>
      <c r="AR386" s="1776"/>
      <c r="AS386" s="1776"/>
      <c r="AT386" s="1776"/>
      <c r="AU386" s="1776"/>
      <c r="AV386" s="1776"/>
      <c r="AW386" s="1776"/>
      <c r="AX386" s="1776"/>
      <c r="AY386" s="1776"/>
      <c r="AZ386" s="1776">
        <v>1</v>
      </c>
    </row>
    <row r="387" spans="1:52" ht="13.5">
      <c r="A387" s="1479" t="s">
        <v>2777</v>
      </c>
      <c r="B387" s="1479" t="s">
        <v>2290</v>
      </c>
      <c r="C387" s="1741" t="s">
        <v>2108</v>
      </c>
      <c r="D387" s="1741">
        <v>1300</v>
      </c>
      <c r="E387" s="1741">
        <v>700</v>
      </c>
      <c r="F387" s="1741" t="s">
        <v>2228</v>
      </c>
      <c r="G387" s="1741" t="s">
        <v>1152</v>
      </c>
      <c r="H387" s="1741" t="s">
        <v>1658</v>
      </c>
      <c r="I387" s="1753" t="s">
        <v>2114</v>
      </c>
      <c r="J387" s="1754" t="s">
        <v>3011</v>
      </c>
      <c r="K387" s="1753" t="s">
        <v>2114</v>
      </c>
      <c r="L387" s="1754" t="s">
        <v>3011</v>
      </c>
      <c r="M387" s="1763"/>
      <c r="N387" s="1756">
        <v>18958.689999999999</v>
      </c>
      <c r="O387" s="1757">
        <v>21911.93</v>
      </c>
      <c r="P387" s="1758">
        <v>57150.54</v>
      </c>
      <c r="Q387" s="1759">
        <v>50000</v>
      </c>
      <c r="R387" s="1760">
        <v>50000</v>
      </c>
      <c r="S387" s="1760">
        <v>5600</v>
      </c>
      <c r="T387" s="1760">
        <v>5600</v>
      </c>
      <c r="U387" s="1761">
        <v>50000</v>
      </c>
      <c r="V387" s="1762">
        <v>50000</v>
      </c>
      <c r="W387" s="1757">
        <v>50000</v>
      </c>
      <c r="Z387" s="1773">
        <f t="shared" si="117"/>
        <v>0</v>
      </c>
      <c r="AA387" s="1773">
        <f t="shared" si="118"/>
        <v>0</v>
      </c>
      <c r="AB387" s="1773">
        <f t="shared" si="119"/>
        <v>0</v>
      </c>
      <c r="AC387" s="1773">
        <f t="shared" si="120"/>
        <v>0</v>
      </c>
      <c r="AD387" s="1773">
        <f t="shared" si="121"/>
        <v>0</v>
      </c>
      <c r="AE387" s="1773">
        <f t="shared" si="122"/>
        <v>0</v>
      </c>
      <c r="AF387" s="1773">
        <f t="shared" si="123"/>
        <v>0</v>
      </c>
      <c r="AG387" s="1773">
        <f t="shared" si="124"/>
        <v>0</v>
      </c>
      <c r="AH387" s="1773">
        <f t="shared" si="125"/>
        <v>0</v>
      </c>
      <c r="AI387" s="1773">
        <f t="shared" si="126"/>
        <v>0</v>
      </c>
      <c r="AJ387" s="1773">
        <f t="shared" si="127"/>
        <v>0</v>
      </c>
      <c r="AK387" s="1773">
        <f t="shared" si="128"/>
        <v>0</v>
      </c>
      <c r="AL387" s="1773">
        <f t="shared" si="129"/>
        <v>50000</v>
      </c>
      <c r="AN387" s="1776"/>
      <c r="AO387" s="1776"/>
      <c r="AP387" s="1776"/>
      <c r="AQ387" s="1776"/>
      <c r="AR387" s="1776"/>
      <c r="AS387" s="1776"/>
      <c r="AT387" s="1776"/>
      <c r="AU387" s="1776"/>
      <c r="AV387" s="1776"/>
      <c r="AW387" s="1776"/>
      <c r="AX387" s="1776"/>
      <c r="AY387" s="1776"/>
      <c r="AZ387" s="1776">
        <v>1</v>
      </c>
    </row>
    <row r="388" spans="1:52" ht="13.5">
      <c r="A388" s="1479" t="s">
        <v>2778</v>
      </c>
      <c r="B388" s="1479" t="s">
        <v>2292</v>
      </c>
      <c r="C388" s="1741" t="s">
        <v>2108</v>
      </c>
      <c r="D388" s="1741">
        <v>1300</v>
      </c>
      <c r="E388" s="1741">
        <v>710</v>
      </c>
      <c r="F388" s="1741" t="s">
        <v>2228</v>
      </c>
      <c r="G388" s="1741" t="s">
        <v>1152</v>
      </c>
      <c r="H388" s="1741" t="s">
        <v>1658</v>
      </c>
      <c r="I388" s="1753" t="s">
        <v>2114</v>
      </c>
      <c r="J388" s="1754"/>
      <c r="K388" s="1753" t="s">
        <v>2114</v>
      </c>
      <c r="L388" s="1754" t="s">
        <v>502</v>
      </c>
      <c r="M388" s="1763"/>
      <c r="N388" s="1756">
        <v>10435</v>
      </c>
      <c r="O388" s="1757">
        <v>5714</v>
      </c>
      <c r="P388" s="1758">
        <v>26288.85</v>
      </c>
      <c r="Q388" s="1759">
        <v>40000</v>
      </c>
      <c r="R388" s="1760">
        <v>40000</v>
      </c>
      <c r="S388" s="1760">
        <v>32488</v>
      </c>
      <c r="T388" s="1760">
        <v>32488</v>
      </c>
      <c r="U388" s="1761">
        <v>40000</v>
      </c>
      <c r="V388" s="1762">
        <v>40000</v>
      </c>
      <c r="W388" s="1757">
        <v>40000</v>
      </c>
      <c r="Z388" s="1773">
        <f t="shared" si="117"/>
        <v>0</v>
      </c>
      <c r="AA388" s="1773">
        <f t="shared" si="118"/>
        <v>0</v>
      </c>
      <c r="AB388" s="1773">
        <f t="shared" si="119"/>
        <v>0</v>
      </c>
      <c r="AC388" s="1773">
        <f t="shared" si="120"/>
        <v>0</v>
      </c>
      <c r="AD388" s="1773">
        <f t="shared" si="121"/>
        <v>0</v>
      </c>
      <c r="AE388" s="1773">
        <f t="shared" si="122"/>
        <v>0</v>
      </c>
      <c r="AF388" s="1773">
        <f t="shared" si="123"/>
        <v>0</v>
      </c>
      <c r="AG388" s="1773">
        <f t="shared" si="124"/>
        <v>0</v>
      </c>
      <c r="AH388" s="1773">
        <f t="shared" si="125"/>
        <v>0</v>
      </c>
      <c r="AI388" s="1773">
        <f t="shared" si="126"/>
        <v>0</v>
      </c>
      <c r="AJ388" s="1773">
        <f t="shared" si="127"/>
        <v>0</v>
      </c>
      <c r="AK388" s="1773">
        <f t="shared" si="128"/>
        <v>0</v>
      </c>
      <c r="AL388" s="1773">
        <f t="shared" si="129"/>
        <v>40000</v>
      </c>
      <c r="AN388" s="1776"/>
      <c r="AO388" s="1776"/>
      <c r="AP388" s="1776"/>
      <c r="AQ388" s="1776"/>
      <c r="AR388" s="1776"/>
      <c r="AS388" s="1776"/>
      <c r="AT388" s="1776"/>
      <c r="AU388" s="1776"/>
      <c r="AV388" s="1776"/>
      <c r="AW388" s="1776"/>
      <c r="AX388" s="1776"/>
      <c r="AY388" s="1776"/>
      <c r="AZ388" s="1776">
        <v>1</v>
      </c>
    </row>
    <row r="389" spans="1:52">
      <c r="A389" s="1479" t="s">
        <v>2779</v>
      </c>
      <c r="B389" s="1479" t="s">
        <v>2247</v>
      </c>
      <c r="C389" s="1741" t="s">
        <v>2108</v>
      </c>
      <c r="D389" s="1741">
        <v>1300</v>
      </c>
      <c r="E389" s="1741">
        <v>790</v>
      </c>
      <c r="F389" s="1741" t="s">
        <v>2228</v>
      </c>
      <c r="G389" s="1741" t="s">
        <v>1152</v>
      </c>
      <c r="H389" s="1741" t="s">
        <v>1658</v>
      </c>
      <c r="I389" s="1753" t="s">
        <v>2114</v>
      </c>
      <c r="J389" s="1754" t="s">
        <v>3007</v>
      </c>
      <c r="K389" s="1753" t="s">
        <v>2114</v>
      </c>
      <c r="L389" s="1754" t="s">
        <v>3007</v>
      </c>
      <c r="M389" s="1754"/>
      <c r="N389" s="1756">
        <v>4644.26</v>
      </c>
      <c r="O389" s="1757">
        <v>13296.67</v>
      </c>
      <c r="P389" s="1758">
        <v>2781.05</v>
      </c>
      <c r="Q389" s="1759">
        <v>35000</v>
      </c>
      <c r="R389" s="1760">
        <v>35000</v>
      </c>
      <c r="S389" s="1760">
        <v>10472</v>
      </c>
      <c r="T389" s="1760">
        <v>10472</v>
      </c>
      <c r="U389" s="1761">
        <v>20000</v>
      </c>
      <c r="V389" s="1762">
        <v>35000</v>
      </c>
      <c r="W389" s="1757">
        <v>35000</v>
      </c>
      <c r="Z389" s="1773">
        <f t="shared" si="117"/>
        <v>0</v>
      </c>
      <c r="AA389" s="1773">
        <f t="shared" si="118"/>
        <v>0</v>
      </c>
      <c r="AB389" s="1773">
        <f t="shared" si="119"/>
        <v>0</v>
      </c>
      <c r="AC389" s="1773">
        <f t="shared" si="120"/>
        <v>0</v>
      </c>
      <c r="AD389" s="1773">
        <f t="shared" si="121"/>
        <v>0</v>
      </c>
      <c r="AE389" s="1773">
        <f t="shared" si="122"/>
        <v>0</v>
      </c>
      <c r="AF389" s="1773">
        <f t="shared" si="123"/>
        <v>0</v>
      </c>
      <c r="AG389" s="1773">
        <f t="shared" si="124"/>
        <v>0</v>
      </c>
      <c r="AH389" s="1773">
        <f t="shared" si="125"/>
        <v>0</v>
      </c>
      <c r="AI389" s="1773">
        <f t="shared" si="126"/>
        <v>0</v>
      </c>
      <c r="AJ389" s="1773">
        <f t="shared" si="127"/>
        <v>0</v>
      </c>
      <c r="AK389" s="1773">
        <f t="shared" si="128"/>
        <v>0</v>
      </c>
      <c r="AL389" s="1773">
        <f t="shared" si="129"/>
        <v>20000</v>
      </c>
      <c r="AN389" s="1776"/>
      <c r="AO389" s="1776"/>
      <c r="AP389" s="1776"/>
      <c r="AQ389" s="1776"/>
      <c r="AR389" s="1776"/>
      <c r="AS389" s="1776"/>
      <c r="AT389" s="1776"/>
      <c r="AU389" s="1776"/>
      <c r="AV389" s="1776"/>
      <c r="AW389" s="1776"/>
      <c r="AX389" s="1776"/>
      <c r="AY389" s="1776"/>
      <c r="AZ389" s="1776">
        <v>1</v>
      </c>
    </row>
    <row r="390" spans="1:52">
      <c r="A390" s="1479" t="s">
        <v>2780</v>
      </c>
      <c r="B390" s="1479" t="s">
        <v>2546</v>
      </c>
      <c r="C390" s="1741" t="s">
        <v>2108</v>
      </c>
      <c r="D390" s="1741">
        <v>1300</v>
      </c>
      <c r="E390" s="1741">
        <v>1000</v>
      </c>
      <c r="F390" s="1741" t="s">
        <v>2228</v>
      </c>
      <c r="G390" s="1741" t="s">
        <v>1152</v>
      </c>
      <c r="H390" s="1741" t="s">
        <v>1658</v>
      </c>
      <c r="I390" s="1753" t="s">
        <v>2114</v>
      </c>
      <c r="J390" s="1754" t="s">
        <v>2546</v>
      </c>
      <c r="K390" s="1753" t="s">
        <v>2114</v>
      </c>
      <c r="L390" s="1754" t="s">
        <v>3015</v>
      </c>
      <c r="M390" s="1754"/>
      <c r="N390" s="1756">
        <v>0</v>
      </c>
      <c r="O390" s="1757">
        <v>26526.63</v>
      </c>
      <c r="P390" s="1758">
        <v>0</v>
      </c>
      <c r="Q390" s="1759">
        <v>0</v>
      </c>
      <c r="R390" s="1760">
        <v>0</v>
      </c>
      <c r="S390" s="1760">
        <v>0</v>
      </c>
      <c r="T390" s="1760">
        <v>0</v>
      </c>
      <c r="U390" s="1761">
        <v>0</v>
      </c>
      <c r="V390" s="1762">
        <v>0</v>
      </c>
      <c r="W390" s="1757">
        <v>0</v>
      </c>
      <c r="Z390" s="1773">
        <f t="shared" si="117"/>
        <v>0</v>
      </c>
      <c r="AA390" s="1773">
        <f t="shared" si="118"/>
        <v>0</v>
      </c>
      <c r="AB390" s="1773">
        <f t="shared" si="119"/>
        <v>0</v>
      </c>
      <c r="AC390" s="1773">
        <f t="shared" si="120"/>
        <v>0</v>
      </c>
      <c r="AD390" s="1773">
        <f t="shared" si="121"/>
        <v>0</v>
      </c>
      <c r="AE390" s="1773">
        <f t="shared" si="122"/>
        <v>0</v>
      </c>
      <c r="AF390" s="1773">
        <f t="shared" si="123"/>
        <v>0</v>
      </c>
      <c r="AG390" s="1773">
        <f t="shared" si="124"/>
        <v>0</v>
      </c>
      <c r="AH390" s="1773">
        <f t="shared" si="125"/>
        <v>0</v>
      </c>
      <c r="AI390" s="1773">
        <f t="shared" si="126"/>
        <v>0</v>
      </c>
      <c r="AJ390" s="1773">
        <f t="shared" si="127"/>
        <v>0</v>
      </c>
      <c r="AK390" s="1773">
        <f t="shared" si="128"/>
        <v>0</v>
      </c>
      <c r="AL390" s="1773">
        <f t="shared" si="129"/>
        <v>0</v>
      </c>
      <c r="AN390" s="1776"/>
      <c r="AO390" s="1776"/>
      <c r="AP390" s="1776"/>
      <c r="AQ390" s="1776"/>
      <c r="AR390" s="1776"/>
      <c r="AS390" s="1776"/>
      <c r="AT390" s="1776"/>
      <c r="AU390" s="1776"/>
      <c r="AV390" s="1776"/>
      <c r="AW390" s="1776"/>
      <c r="AX390" s="1776"/>
      <c r="AY390" s="1776"/>
      <c r="AZ390" s="1776">
        <v>1</v>
      </c>
    </row>
    <row r="391" spans="1:52" ht="13.5">
      <c r="A391" s="1479" t="s">
        <v>2781</v>
      </c>
      <c r="B391" s="1479" t="s">
        <v>2782</v>
      </c>
      <c r="C391" s="1741" t="s">
        <v>2108</v>
      </c>
      <c r="D391" s="1741">
        <v>1300</v>
      </c>
      <c r="E391" s="1741">
        <v>1030</v>
      </c>
      <c r="F391" s="1741" t="s">
        <v>2228</v>
      </c>
      <c r="G391" s="1741" t="s">
        <v>1152</v>
      </c>
      <c r="H391" s="1741" t="s">
        <v>1658</v>
      </c>
      <c r="I391" s="1753" t="s">
        <v>2114</v>
      </c>
      <c r="J391" s="1754"/>
      <c r="K391" s="1753" t="s">
        <v>2114</v>
      </c>
      <c r="L391" s="1754" t="s">
        <v>502</v>
      </c>
      <c r="M391" s="1439"/>
      <c r="N391" s="1756">
        <v>450</v>
      </c>
      <c r="O391" s="1757">
        <v>0</v>
      </c>
      <c r="P391" s="1758">
        <v>4450</v>
      </c>
      <c r="Q391" s="1759">
        <v>1000</v>
      </c>
      <c r="R391" s="1760">
        <v>1000</v>
      </c>
      <c r="S391" s="1760">
        <v>1359</v>
      </c>
      <c r="T391" s="1760">
        <v>1359</v>
      </c>
      <c r="U391" s="1761">
        <v>5000</v>
      </c>
      <c r="V391" s="1762">
        <v>5000</v>
      </c>
      <c r="W391" s="1757">
        <v>6000</v>
      </c>
      <c r="Z391" s="1773">
        <f t="shared" si="117"/>
        <v>0</v>
      </c>
      <c r="AA391" s="1773">
        <f t="shared" si="118"/>
        <v>0</v>
      </c>
      <c r="AB391" s="1773">
        <f t="shared" si="119"/>
        <v>0</v>
      </c>
      <c r="AC391" s="1773">
        <f t="shared" si="120"/>
        <v>0</v>
      </c>
      <c r="AD391" s="1773">
        <f t="shared" si="121"/>
        <v>0</v>
      </c>
      <c r="AE391" s="1773">
        <f t="shared" si="122"/>
        <v>0</v>
      </c>
      <c r="AF391" s="1773">
        <f t="shared" si="123"/>
        <v>0</v>
      </c>
      <c r="AG391" s="1773">
        <f t="shared" si="124"/>
        <v>0</v>
      </c>
      <c r="AH391" s="1773">
        <f t="shared" si="125"/>
        <v>0</v>
      </c>
      <c r="AI391" s="1773">
        <f t="shared" si="126"/>
        <v>0</v>
      </c>
      <c r="AJ391" s="1773">
        <f t="shared" si="127"/>
        <v>0</v>
      </c>
      <c r="AK391" s="1773">
        <f t="shared" si="128"/>
        <v>0</v>
      </c>
      <c r="AL391" s="1773">
        <f t="shared" si="129"/>
        <v>5000</v>
      </c>
      <c r="AN391" s="1776"/>
      <c r="AO391" s="1776"/>
      <c r="AP391" s="1776"/>
      <c r="AQ391" s="1776"/>
      <c r="AR391" s="1776"/>
      <c r="AS391" s="1776"/>
      <c r="AT391" s="1776"/>
      <c r="AU391" s="1776"/>
      <c r="AV391" s="1776"/>
      <c r="AW391" s="1776"/>
      <c r="AX391" s="1776"/>
      <c r="AY391" s="1776"/>
      <c r="AZ391" s="1776">
        <v>1</v>
      </c>
    </row>
    <row r="392" spans="1:52">
      <c r="A392" s="1479" t="s">
        <v>2783</v>
      </c>
      <c r="B392" s="1479" t="s">
        <v>2295</v>
      </c>
      <c r="C392" s="1741" t="s">
        <v>2108</v>
      </c>
      <c r="D392" s="1741">
        <v>1300</v>
      </c>
      <c r="E392" s="1741">
        <v>1090</v>
      </c>
      <c r="F392" s="1741" t="s">
        <v>2228</v>
      </c>
      <c r="G392" s="1741" t="s">
        <v>1152</v>
      </c>
      <c r="H392" s="1741" t="s">
        <v>1658</v>
      </c>
      <c r="I392" s="1753" t="s">
        <v>2114</v>
      </c>
      <c r="J392" s="1754" t="s">
        <v>3012</v>
      </c>
      <c r="K392" s="1753" t="s">
        <v>2114</v>
      </c>
      <c r="L392" s="1754" t="s">
        <v>3012</v>
      </c>
      <c r="M392" s="1754"/>
      <c r="N392" s="1756">
        <v>4462.7700000000004</v>
      </c>
      <c r="O392" s="1757">
        <v>1084.6500000000001</v>
      </c>
      <c r="P392" s="1758">
        <v>953.55</v>
      </c>
      <c r="Q392" s="1759">
        <v>1160</v>
      </c>
      <c r="R392" s="1760">
        <v>500</v>
      </c>
      <c r="S392" s="1760">
        <v>378</v>
      </c>
      <c r="T392" s="1760">
        <v>378</v>
      </c>
      <c r="U392" s="1761">
        <v>2000</v>
      </c>
      <c r="V392" s="1762">
        <v>2500</v>
      </c>
      <c r="W392" s="1757">
        <v>3000</v>
      </c>
      <c r="Z392" s="1773">
        <f t="shared" si="117"/>
        <v>0</v>
      </c>
      <c r="AA392" s="1773">
        <f t="shared" si="118"/>
        <v>0</v>
      </c>
      <c r="AB392" s="1773">
        <f t="shared" si="119"/>
        <v>0</v>
      </c>
      <c r="AC392" s="1773">
        <f t="shared" si="120"/>
        <v>0</v>
      </c>
      <c r="AD392" s="1773">
        <f t="shared" si="121"/>
        <v>0</v>
      </c>
      <c r="AE392" s="1773">
        <f t="shared" si="122"/>
        <v>0</v>
      </c>
      <c r="AF392" s="1773">
        <f t="shared" si="123"/>
        <v>0</v>
      </c>
      <c r="AG392" s="1773">
        <f t="shared" si="124"/>
        <v>0</v>
      </c>
      <c r="AH392" s="1773">
        <f t="shared" si="125"/>
        <v>0</v>
      </c>
      <c r="AI392" s="1773">
        <f t="shared" si="126"/>
        <v>0</v>
      </c>
      <c r="AJ392" s="1773">
        <f t="shared" si="127"/>
        <v>0</v>
      </c>
      <c r="AK392" s="1773">
        <f t="shared" si="128"/>
        <v>0</v>
      </c>
      <c r="AL392" s="1773">
        <f t="shared" si="129"/>
        <v>2000</v>
      </c>
      <c r="AN392" s="1776"/>
      <c r="AO392" s="1776"/>
      <c r="AP392" s="1776"/>
      <c r="AQ392" s="1776"/>
      <c r="AR392" s="1776"/>
      <c r="AS392" s="1776"/>
      <c r="AT392" s="1776"/>
      <c r="AU392" s="1776"/>
      <c r="AV392" s="1776"/>
      <c r="AW392" s="1776"/>
      <c r="AX392" s="1776"/>
      <c r="AY392" s="1776"/>
      <c r="AZ392" s="1776">
        <v>1</v>
      </c>
    </row>
    <row r="393" spans="1:52">
      <c r="A393" s="1479" t="s">
        <v>2784</v>
      </c>
      <c r="B393" s="1479" t="s">
        <v>2297</v>
      </c>
      <c r="C393" s="1741" t="s">
        <v>2108</v>
      </c>
      <c r="D393" s="1741">
        <v>1300</v>
      </c>
      <c r="E393" s="1741">
        <v>1100</v>
      </c>
      <c r="F393" s="1741" t="s">
        <v>2228</v>
      </c>
      <c r="G393" s="1741" t="s">
        <v>1152</v>
      </c>
      <c r="H393" s="1741" t="s">
        <v>1658</v>
      </c>
      <c r="I393" s="1753" t="s">
        <v>2114</v>
      </c>
      <c r="J393" s="1754" t="s">
        <v>3012</v>
      </c>
      <c r="K393" s="1753" t="s">
        <v>2114</v>
      </c>
      <c r="L393" s="1754" t="s">
        <v>3012</v>
      </c>
      <c r="M393" s="1754"/>
      <c r="N393" s="1756">
        <v>2698.7</v>
      </c>
      <c r="O393" s="1757">
        <v>2870.81</v>
      </c>
      <c r="P393" s="1758">
        <v>1938.31</v>
      </c>
      <c r="Q393" s="1759">
        <v>2000</v>
      </c>
      <c r="R393" s="1760">
        <v>2000</v>
      </c>
      <c r="S393" s="1760">
        <v>2134</v>
      </c>
      <c r="T393" s="1760">
        <v>2134</v>
      </c>
      <c r="U393" s="1761">
        <v>2000</v>
      </c>
      <c r="V393" s="1762">
        <v>3500</v>
      </c>
      <c r="W393" s="1757">
        <v>3800</v>
      </c>
      <c r="Z393" s="1773">
        <f t="shared" si="117"/>
        <v>0</v>
      </c>
      <c r="AA393" s="1773">
        <f t="shared" si="118"/>
        <v>0</v>
      </c>
      <c r="AB393" s="1773">
        <f t="shared" si="119"/>
        <v>0</v>
      </c>
      <c r="AC393" s="1773">
        <f t="shared" si="120"/>
        <v>0</v>
      </c>
      <c r="AD393" s="1773">
        <f t="shared" si="121"/>
        <v>0</v>
      </c>
      <c r="AE393" s="1773">
        <f t="shared" si="122"/>
        <v>0</v>
      </c>
      <c r="AF393" s="1773">
        <f t="shared" si="123"/>
        <v>0</v>
      </c>
      <c r="AG393" s="1773">
        <f t="shared" si="124"/>
        <v>0</v>
      </c>
      <c r="AH393" s="1773">
        <f t="shared" si="125"/>
        <v>0</v>
      </c>
      <c r="AI393" s="1773">
        <f t="shared" si="126"/>
        <v>0</v>
      </c>
      <c r="AJ393" s="1773">
        <f t="shared" si="127"/>
        <v>0</v>
      </c>
      <c r="AK393" s="1773">
        <f t="shared" si="128"/>
        <v>0</v>
      </c>
      <c r="AL393" s="1773">
        <f t="shared" si="129"/>
        <v>2000</v>
      </c>
      <c r="AN393" s="1776"/>
      <c r="AO393" s="1776"/>
      <c r="AP393" s="1776"/>
      <c r="AQ393" s="1776"/>
      <c r="AR393" s="1776"/>
      <c r="AS393" s="1776"/>
      <c r="AT393" s="1776"/>
      <c r="AU393" s="1776"/>
      <c r="AV393" s="1776"/>
      <c r="AW393" s="1776"/>
      <c r="AX393" s="1776"/>
      <c r="AY393" s="1776"/>
      <c r="AZ393" s="1776">
        <v>1</v>
      </c>
    </row>
    <row r="394" spans="1:52">
      <c r="A394" s="1479" t="s">
        <v>2785</v>
      </c>
      <c r="B394" s="1479" t="s">
        <v>2299</v>
      </c>
      <c r="C394" s="1741" t="s">
        <v>2108</v>
      </c>
      <c r="D394" s="1741">
        <v>1300</v>
      </c>
      <c r="E394" s="1741">
        <v>1110</v>
      </c>
      <c r="F394" s="1741" t="s">
        <v>2228</v>
      </c>
      <c r="G394" s="1741" t="s">
        <v>1152</v>
      </c>
      <c r="H394" s="1741" t="s">
        <v>1658</v>
      </c>
      <c r="I394" s="1753" t="s">
        <v>2114</v>
      </c>
      <c r="J394" s="1754" t="s">
        <v>3012</v>
      </c>
      <c r="K394" s="1753" t="s">
        <v>2114</v>
      </c>
      <c r="L394" s="1754" t="s">
        <v>3012</v>
      </c>
      <c r="M394" s="1754"/>
      <c r="N394" s="1756">
        <v>2052.23</v>
      </c>
      <c r="O394" s="1757">
        <v>1985.77</v>
      </c>
      <c r="P394" s="1758">
        <v>1090.8499999999999</v>
      </c>
      <c r="Q394" s="1759">
        <v>2170</v>
      </c>
      <c r="R394" s="1760">
        <v>2170</v>
      </c>
      <c r="S394" s="1760">
        <v>970</v>
      </c>
      <c r="T394" s="1760">
        <v>970</v>
      </c>
      <c r="U394" s="1761">
        <v>1200</v>
      </c>
      <c r="V394" s="1762">
        <v>2180</v>
      </c>
      <c r="W394" s="1757">
        <v>2190</v>
      </c>
      <c r="Z394" s="1773">
        <f t="shared" si="117"/>
        <v>0</v>
      </c>
      <c r="AA394" s="1773">
        <f t="shared" si="118"/>
        <v>0</v>
      </c>
      <c r="AB394" s="1773">
        <f t="shared" si="119"/>
        <v>0</v>
      </c>
      <c r="AC394" s="1773">
        <f t="shared" si="120"/>
        <v>0</v>
      </c>
      <c r="AD394" s="1773">
        <f t="shared" si="121"/>
        <v>0</v>
      </c>
      <c r="AE394" s="1773">
        <f t="shared" si="122"/>
        <v>0</v>
      </c>
      <c r="AF394" s="1773">
        <f t="shared" si="123"/>
        <v>0</v>
      </c>
      <c r="AG394" s="1773">
        <f t="shared" si="124"/>
        <v>0</v>
      </c>
      <c r="AH394" s="1773">
        <f t="shared" si="125"/>
        <v>0</v>
      </c>
      <c r="AI394" s="1773">
        <f t="shared" si="126"/>
        <v>0</v>
      </c>
      <c r="AJ394" s="1773">
        <f t="shared" si="127"/>
        <v>0</v>
      </c>
      <c r="AK394" s="1773">
        <f t="shared" si="128"/>
        <v>0</v>
      </c>
      <c r="AL394" s="1773">
        <f t="shared" si="129"/>
        <v>1200</v>
      </c>
      <c r="AN394" s="1776"/>
      <c r="AO394" s="1776"/>
      <c r="AP394" s="1776"/>
      <c r="AQ394" s="1776"/>
      <c r="AR394" s="1776"/>
      <c r="AS394" s="1776"/>
      <c r="AT394" s="1776"/>
      <c r="AU394" s="1776"/>
      <c r="AV394" s="1776"/>
      <c r="AW394" s="1776"/>
      <c r="AX394" s="1776"/>
      <c r="AY394" s="1776"/>
      <c r="AZ394" s="1776">
        <v>1</v>
      </c>
    </row>
    <row r="395" spans="1:52">
      <c r="A395" s="1479" t="s">
        <v>2786</v>
      </c>
      <c r="B395" s="1479" t="s">
        <v>2787</v>
      </c>
      <c r="C395" s="1741" t="s">
        <v>2108</v>
      </c>
      <c r="D395" s="1741">
        <v>1300</v>
      </c>
      <c r="E395" s="1741">
        <v>1140</v>
      </c>
      <c r="F395" s="1741" t="s">
        <v>2228</v>
      </c>
      <c r="G395" s="1741" t="s">
        <v>1152</v>
      </c>
      <c r="H395" s="1741" t="s">
        <v>1658</v>
      </c>
      <c r="I395" s="1753" t="s">
        <v>2114</v>
      </c>
      <c r="J395" s="1754"/>
      <c r="K395" s="1753" t="s">
        <v>2114</v>
      </c>
      <c r="L395" s="1754" t="s">
        <v>502</v>
      </c>
      <c r="M395" s="1754"/>
      <c r="N395" s="1756">
        <v>78423.75</v>
      </c>
      <c r="O395" s="1757">
        <v>18530.8</v>
      </c>
      <c r="P395" s="1758">
        <v>9666.81</v>
      </c>
      <c r="Q395" s="1759">
        <v>31000</v>
      </c>
      <c r="R395" s="1760">
        <v>31000</v>
      </c>
      <c r="S395" s="1760">
        <v>28107</v>
      </c>
      <c r="T395" s="1760">
        <v>28107</v>
      </c>
      <c r="U395" s="1761">
        <v>30000</v>
      </c>
      <c r="V395" s="1762">
        <v>32000</v>
      </c>
      <c r="W395" s="1757">
        <v>33000</v>
      </c>
      <c r="Z395" s="1773">
        <f t="shared" si="117"/>
        <v>0</v>
      </c>
      <c r="AA395" s="1773">
        <f t="shared" si="118"/>
        <v>0</v>
      </c>
      <c r="AB395" s="1773">
        <f t="shared" si="119"/>
        <v>0</v>
      </c>
      <c r="AC395" s="1773">
        <f t="shared" si="120"/>
        <v>0</v>
      </c>
      <c r="AD395" s="1773">
        <f t="shared" si="121"/>
        <v>0</v>
      </c>
      <c r="AE395" s="1773">
        <f t="shared" si="122"/>
        <v>0</v>
      </c>
      <c r="AF395" s="1773">
        <f t="shared" si="123"/>
        <v>0</v>
      </c>
      <c r="AG395" s="1773">
        <f t="shared" si="124"/>
        <v>0</v>
      </c>
      <c r="AH395" s="1773">
        <f t="shared" si="125"/>
        <v>0</v>
      </c>
      <c r="AI395" s="1773">
        <f t="shared" si="126"/>
        <v>0</v>
      </c>
      <c r="AJ395" s="1773">
        <f t="shared" si="127"/>
        <v>0</v>
      </c>
      <c r="AK395" s="1773">
        <f t="shared" si="128"/>
        <v>0</v>
      </c>
      <c r="AL395" s="1773">
        <f t="shared" si="129"/>
        <v>30000</v>
      </c>
      <c r="AN395" s="1776"/>
      <c r="AO395" s="1776"/>
      <c r="AP395" s="1776"/>
      <c r="AQ395" s="1776"/>
      <c r="AR395" s="1776"/>
      <c r="AS395" s="1776"/>
      <c r="AT395" s="1776"/>
      <c r="AU395" s="1776"/>
      <c r="AV395" s="1776"/>
      <c r="AW395" s="1776"/>
      <c r="AX395" s="1776"/>
      <c r="AY395" s="1776"/>
      <c r="AZ395" s="1776">
        <v>1</v>
      </c>
    </row>
    <row r="396" spans="1:52">
      <c r="A396" t="s">
        <v>2788</v>
      </c>
      <c r="B396" t="s">
        <v>2305</v>
      </c>
      <c r="C396" s="1741" t="s">
        <v>2108</v>
      </c>
      <c r="D396" s="1741">
        <v>1300</v>
      </c>
      <c r="E396" s="1741">
        <v>1310</v>
      </c>
      <c r="F396" s="1741" t="s">
        <v>2228</v>
      </c>
      <c r="G396" s="1741" t="s">
        <v>1152</v>
      </c>
      <c r="H396" s="1741" t="s">
        <v>1658</v>
      </c>
      <c r="I396" s="1753" t="s">
        <v>3013</v>
      </c>
      <c r="J396" s="1754"/>
      <c r="K396" s="1754" t="s">
        <v>420</v>
      </c>
      <c r="L396" s="1753" t="s">
        <v>420</v>
      </c>
      <c r="M396" s="1754"/>
      <c r="N396" s="1756"/>
      <c r="O396" s="1757"/>
      <c r="P396" s="1758"/>
      <c r="Q396" s="1759">
        <v>1000</v>
      </c>
      <c r="R396" s="1760">
        <v>1000</v>
      </c>
      <c r="S396" s="1760">
        <v>112</v>
      </c>
      <c r="T396" s="1760">
        <v>112</v>
      </c>
      <c r="U396" s="1761">
        <v>1000</v>
      </c>
      <c r="V396" s="1762">
        <v>1000</v>
      </c>
      <c r="W396" s="1757">
        <v>1000</v>
      </c>
      <c r="Z396" s="1773">
        <f t="shared" si="117"/>
        <v>0</v>
      </c>
      <c r="AA396" s="1773">
        <f t="shared" si="118"/>
        <v>0</v>
      </c>
      <c r="AB396" s="1773">
        <f t="shared" si="119"/>
        <v>0</v>
      </c>
      <c r="AC396" s="1773">
        <f t="shared" si="120"/>
        <v>0</v>
      </c>
      <c r="AD396" s="1773">
        <f t="shared" si="121"/>
        <v>0</v>
      </c>
      <c r="AE396" s="1773">
        <f t="shared" si="122"/>
        <v>0</v>
      </c>
      <c r="AF396" s="1773">
        <f t="shared" si="123"/>
        <v>0</v>
      </c>
      <c r="AG396" s="1773">
        <f t="shared" si="124"/>
        <v>0</v>
      </c>
      <c r="AH396" s="1773">
        <f t="shared" si="125"/>
        <v>0</v>
      </c>
      <c r="AI396" s="1773">
        <f t="shared" si="126"/>
        <v>0</v>
      </c>
      <c r="AJ396" s="1773">
        <f t="shared" si="127"/>
        <v>0</v>
      </c>
      <c r="AK396" s="1773">
        <f t="shared" si="128"/>
        <v>0</v>
      </c>
      <c r="AL396" s="1773">
        <f t="shared" si="129"/>
        <v>1000</v>
      </c>
      <c r="AN396" s="1776"/>
      <c r="AO396" s="1776"/>
      <c r="AP396" s="1776"/>
      <c r="AQ396" s="1776"/>
      <c r="AR396" s="1776"/>
      <c r="AS396" s="1776"/>
      <c r="AT396" s="1776"/>
      <c r="AU396" s="1776"/>
      <c r="AV396" s="1776"/>
      <c r="AW396" s="1776"/>
      <c r="AX396" s="1776"/>
      <c r="AY396" s="1776"/>
      <c r="AZ396" s="1776">
        <v>1</v>
      </c>
    </row>
    <row r="397" spans="1:52">
      <c r="A397" s="1479" t="s">
        <v>2789</v>
      </c>
      <c r="B397" s="1479" t="s">
        <v>2790</v>
      </c>
      <c r="C397" s="1741" t="s">
        <v>2108</v>
      </c>
      <c r="D397" s="1741">
        <v>1300</v>
      </c>
      <c r="E397" s="1741">
        <v>1360</v>
      </c>
      <c r="F397" s="1741" t="s">
        <v>2228</v>
      </c>
      <c r="G397" s="1741" t="s">
        <v>1152</v>
      </c>
      <c r="H397" s="1741" t="s">
        <v>1658</v>
      </c>
      <c r="I397" s="1753" t="s">
        <v>3026</v>
      </c>
      <c r="J397" s="1754" t="s">
        <v>2126</v>
      </c>
      <c r="K397" s="1754" t="s">
        <v>838</v>
      </c>
      <c r="L397" s="1753" t="s">
        <v>838</v>
      </c>
      <c r="M397" s="1754"/>
      <c r="N397" s="1756">
        <v>816316.16</v>
      </c>
      <c r="O397" s="1757">
        <v>1071960.3500000001</v>
      </c>
      <c r="P397" s="1758">
        <v>894750.53</v>
      </c>
      <c r="Q397" s="1759">
        <v>1176000</v>
      </c>
      <c r="R397" s="1760">
        <v>1176000</v>
      </c>
      <c r="S397" s="1760">
        <v>1138989</v>
      </c>
      <c r="T397" s="1760">
        <v>1138989</v>
      </c>
      <c r="U397" s="1761">
        <v>1174974.8400000001</v>
      </c>
      <c r="V397" s="1762">
        <v>1246555</v>
      </c>
      <c r="W397" s="1757">
        <v>1321350</v>
      </c>
      <c r="Z397" s="1773">
        <f t="shared" si="117"/>
        <v>0</v>
      </c>
      <c r="AA397" s="1773">
        <f t="shared" si="118"/>
        <v>0</v>
      </c>
      <c r="AB397" s="1773">
        <f t="shared" si="119"/>
        <v>0</v>
      </c>
      <c r="AC397" s="1773">
        <f t="shared" si="120"/>
        <v>0</v>
      </c>
      <c r="AD397" s="1773">
        <f t="shared" si="121"/>
        <v>0</v>
      </c>
      <c r="AE397" s="1773">
        <f t="shared" si="122"/>
        <v>0</v>
      </c>
      <c r="AF397" s="1773">
        <f t="shared" si="123"/>
        <v>0</v>
      </c>
      <c r="AG397" s="1773">
        <f t="shared" si="124"/>
        <v>0</v>
      </c>
      <c r="AH397" s="1773">
        <f t="shared" si="125"/>
        <v>0</v>
      </c>
      <c r="AI397" s="1773">
        <f t="shared" si="126"/>
        <v>0</v>
      </c>
      <c r="AJ397" s="1773">
        <f t="shared" si="127"/>
        <v>0</v>
      </c>
      <c r="AK397" s="1773">
        <f t="shared" si="128"/>
        <v>0</v>
      </c>
      <c r="AL397" s="1773">
        <f t="shared" si="129"/>
        <v>1174974.8400000001</v>
      </c>
      <c r="AN397" s="1776"/>
      <c r="AO397" s="1776"/>
      <c r="AP397" s="1776"/>
      <c r="AQ397" s="1776"/>
      <c r="AR397" s="1776"/>
      <c r="AS397" s="1776"/>
      <c r="AT397" s="1776"/>
      <c r="AU397" s="1776"/>
      <c r="AV397" s="1776"/>
      <c r="AW397" s="1776"/>
      <c r="AX397" s="1776"/>
      <c r="AY397" s="1776"/>
      <c r="AZ397" s="1776">
        <v>1</v>
      </c>
    </row>
    <row r="398" spans="1:52">
      <c r="A398" s="1479" t="s">
        <v>2791</v>
      </c>
      <c r="B398" s="1479" t="s">
        <v>2249</v>
      </c>
      <c r="C398" s="1741" t="s">
        <v>2108</v>
      </c>
      <c r="D398" s="1741">
        <v>1300</v>
      </c>
      <c r="E398" s="1741">
        <v>1410</v>
      </c>
      <c r="F398" s="1741" t="s">
        <v>2228</v>
      </c>
      <c r="G398" s="1741" t="s">
        <v>1152</v>
      </c>
      <c r="H398" s="1741" t="s">
        <v>1658</v>
      </c>
      <c r="I398" s="1753" t="s">
        <v>2114</v>
      </c>
      <c r="J398" s="1754" t="s">
        <v>3008</v>
      </c>
      <c r="K398" s="1753" t="s">
        <v>2114</v>
      </c>
      <c r="L398" s="1754" t="s">
        <v>3008</v>
      </c>
      <c r="M398" s="1754"/>
      <c r="N398" s="1756">
        <v>16097.51</v>
      </c>
      <c r="O398" s="1757">
        <v>17331.18</v>
      </c>
      <c r="P398" s="1758">
        <v>9790.5300000000007</v>
      </c>
      <c r="Q398" s="1759">
        <v>33000</v>
      </c>
      <c r="R398" s="1760">
        <v>33000</v>
      </c>
      <c r="S398" s="1760">
        <v>38662</v>
      </c>
      <c r="T398" s="1760">
        <v>38662</v>
      </c>
      <c r="U398" s="1761">
        <v>45000</v>
      </c>
      <c r="V398" s="1762">
        <v>34000</v>
      </c>
      <c r="W398" s="1757">
        <v>35750</v>
      </c>
      <c r="Z398" s="1773">
        <f t="shared" si="117"/>
        <v>0</v>
      </c>
      <c r="AA398" s="1773">
        <f t="shared" si="118"/>
        <v>0</v>
      </c>
      <c r="AB398" s="1773">
        <f t="shared" si="119"/>
        <v>0</v>
      </c>
      <c r="AC398" s="1773">
        <f t="shared" si="120"/>
        <v>0</v>
      </c>
      <c r="AD398" s="1773">
        <f t="shared" si="121"/>
        <v>0</v>
      </c>
      <c r="AE398" s="1773">
        <f t="shared" si="122"/>
        <v>0</v>
      </c>
      <c r="AF398" s="1773">
        <f t="shared" si="123"/>
        <v>0</v>
      </c>
      <c r="AG398" s="1773">
        <f t="shared" si="124"/>
        <v>0</v>
      </c>
      <c r="AH398" s="1773">
        <f t="shared" si="125"/>
        <v>0</v>
      </c>
      <c r="AI398" s="1773">
        <f t="shared" si="126"/>
        <v>0</v>
      </c>
      <c r="AJ398" s="1773">
        <f t="shared" si="127"/>
        <v>0</v>
      </c>
      <c r="AK398" s="1773">
        <f t="shared" si="128"/>
        <v>0</v>
      </c>
      <c r="AL398" s="1773">
        <f t="shared" si="129"/>
        <v>45000</v>
      </c>
      <c r="AN398" s="1776"/>
      <c r="AO398" s="1776"/>
      <c r="AP398" s="1776"/>
      <c r="AQ398" s="1776"/>
      <c r="AR398" s="1776"/>
      <c r="AS398" s="1776"/>
      <c r="AT398" s="1776"/>
      <c r="AU398" s="1776"/>
      <c r="AV398" s="1776"/>
      <c r="AW398" s="1776"/>
      <c r="AX398" s="1776"/>
      <c r="AY398" s="1776"/>
      <c r="AZ398" s="1776">
        <v>1</v>
      </c>
    </row>
    <row r="399" spans="1:52">
      <c r="A399" t="s">
        <v>2792</v>
      </c>
      <c r="B399" t="s">
        <v>2251</v>
      </c>
      <c r="C399" s="1741" t="s">
        <v>2108</v>
      </c>
      <c r="D399" s="1741">
        <v>1300</v>
      </c>
      <c r="E399" s="1741">
        <v>1440</v>
      </c>
      <c r="F399" s="1741" t="s">
        <v>2228</v>
      </c>
      <c r="G399" s="1741" t="s">
        <v>1152</v>
      </c>
      <c r="H399" s="1741" t="s">
        <v>1658</v>
      </c>
      <c r="I399" s="1753" t="s">
        <v>2115</v>
      </c>
      <c r="J399" s="1754"/>
      <c r="K399" s="1753" t="s">
        <v>1596</v>
      </c>
      <c r="L399" s="1754" t="s">
        <v>1696</v>
      </c>
      <c r="M399" s="1754"/>
      <c r="N399" s="1756"/>
      <c r="O399" s="1757"/>
      <c r="P399" s="1758"/>
      <c r="Q399" s="1759">
        <v>50000</v>
      </c>
      <c r="R399" s="1760">
        <v>50000</v>
      </c>
      <c r="S399" s="1760">
        <v>5600</v>
      </c>
      <c r="T399" s="1760">
        <v>5600</v>
      </c>
      <c r="U399" s="1761">
        <v>0</v>
      </c>
      <c r="V399" s="1762">
        <v>50000</v>
      </c>
      <c r="W399" s="1757">
        <v>50000</v>
      </c>
      <c r="Z399" s="1773">
        <f t="shared" si="117"/>
        <v>0</v>
      </c>
      <c r="AA399" s="1773">
        <f t="shared" si="118"/>
        <v>0</v>
      </c>
      <c r="AB399" s="1773">
        <f t="shared" si="119"/>
        <v>0</v>
      </c>
      <c r="AC399" s="1773">
        <f t="shared" si="120"/>
        <v>0</v>
      </c>
      <c r="AD399" s="1773">
        <f t="shared" si="121"/>
        <v>0</v>
      </c>
      <c r="AE399" s="1773">
        <f t="shared" si="122"/>
        <v>0</v>
      </c>
      <c r="AF399" s="1773">
        <f t="shared" si="123"/>
        <v>0</v>
      </c>
      <c r="AG399" s="1773">
        <f t="shared" si="124"/>
        <v>0</v>
      </c>
      <c r="AH399" s="1773">
        <f t="shared" si="125"/>
        <v>0</v>
      </c>
      <c r="AI399" s="1773">
        <f t="shared" si="126"/>
        <v>0</v>
      </c>
      <c r="AJ399" s="1773">
        <f t="shared" si="127"/>
        <v>0</v>
      </c>
      <c r="AK399" s="1773">
        <f t="shared" si="128"/>
        <v>0</v>
      </c>
      <c r="AL399" s="1773">
        <f t="shared" si="129"/>
        <v>0</v>
      </c>
      <c r="AN399" s="1776"/>
      <c r="AO399" s="1776"/>
      <c r="AP399" s="1776"/>
      <c r="AQ399" s="1776"/>
      <c r="AR399" s="1776"/>
      <c r="AS399" s="1776"/>
      <c r="AT399" s="1776"/>
      <c r="AU399" s="1776"/>
      <c r="AV399" s="1776"/>
      <c r="AW399" s="1776"/>
      <c r="AX399" s="1776"/>
      <c r="AY399" s="1776"/>
      <c r="AZ399" s="1776">
        <v>1</v>
      </c>
    </row>
    <row r="400" spans="1:52">
      <c r="A400" s="1479" t="s">
        <v>2793</v>
      </c>
      <c r="B400" s="1479" t="s">
        <v>2253</v>
      </c>
      <c r="C400" s="1741" t="s">
        <v>2108</v>
      </c>
      <c r="D400" s="1741">
        <v>1300</v>
      </c>
      <c r="E400" s="1741">
        <v>3510</v>
      </c>
      <c r="F400" s="1741" t="s">
        <v>2228</v>
      </c>
      <c r="G400" s="1741" t="s">
        <v>1152</v>
      </c>
      <c r="H400" s="1741" t="s">
        <v>1658</v>
      </c>
      <c r="I400" s="1753" t="s">
        <v>464</v>
      </c>
      <c r="J400" s="1754"/>
      <c r="K400" s="1753" t="s">
        <v>2114</v>
      </c>
      <c r="L400" s="1754" t="s">
        <v>3029</v>
      </c>
      <c r="M400" s="1754"/>
      <c r="N400" s="1756">
        <v>35656.47</v>
      </c>
      <c r="O400" s="1757">
        <v>57317.56</v>
      </c>
      <c r="P400" s="1758">
        <v>80881.7</v>
      </c>
      <c r="Q400" s="1759">
        <v>100000</v>
      </c>
      <c r="R400" s="1760">
        <v>100000</v>
      </c>
      <c r="S400" s="1760">
        <v>46726</v>
      </c>
      <c r="T400" s="1760">
        <v>46726</v>
      </c>
      <c r="U400" s="1761">
        <v>100000</v>
      </c>
      <c r="V400" s="1762">
        <v>100000</v>
      </c>
      <c r="W400" s="1757">
        <v>100000</v>
      </c>
      <c r="Z400" s="1773">
        <f t="shared" si="117"/>
        <v>0</v>
      </c>
      <c r="AA400" s="1773">
        <f t="shared" si="118"/>
        <v>0</v>
      </c>
      <c r="AB400" s="1773">
        <f t="shared" si="119"/>
        <v>0</v>
      </c>
      <c r="AC400" s="1773">
        <f t="shared" si="120"/>
        <v>0</v>
      </c>
      <c r="AD400" s="1773">
        <f t="shared" si="121"/>
        <v>0</v>
      </c>
      <c r="AE400" s="1773">
        <f t="shared" si="122"/>
        <v>0</v>
      </c>
      <c r="AF400" s="1773">
        <f t="shared" si="123"/>
        <v>0</v>
      </c>
      <c r="AG400" s="1773">
        <f t="shared" si="124"/>
        <v>0</v>
      </c>
      <c r="AH400" s="1773">
        <f t="shared" si="125"/>
        <v>0</v>
      </c>
      <c r="AI400" s="1773">
        <f t="shared" si="126"/>
        <v>0</v>
      </c>
      <c r="AJ400" s="1773">
        <f t="shared" si="127"/>
        <v>0</v>
      </c>
      <c r="AK400" s="1773">
        <f t="shared" si="128"/>
        <v>0</v>
      </c>
      <c r="AL400" s="1773">
        <f t="shared" si="129"/>
        <v>100000</v>
      </c>
      <c r="AN400" s="1776"/>
      <c r="AO400" s="1776"/>
      <c r="AP400" s="1776"/>
      <c r="AQ400" s="1776"/>
      <c r="AR400" s="1776"/>
      <c r="AS400" s="1776"/>
      <c r="AT400" s="1776"/>
      <c r="AU400" s="1776"/>
      <c r="AV400" s="1776"/>
      <c r="AW400" s="1776"/>
      <c r="AX400" s="1776"/>
      <c r="AY400" s="1776"/>
      <c r="AZ400" s="1776">
        <v>1</v>
      </c>
    </row>
    <row r="401" spans="1:52">
      <c r="A401" s="1479" t="s">
        <v>2794</v>
      </c>
      <c r="B401" s="1479" t="s">
        <v>2310</v>
      </c>
      <c r="C401" s="1741" t="s">
        <v>2108</v>
      </c>
      <c r="D401" s="1741">
        <v>1300</v>
      </c>
      <c r="E401" s="1741">
        <v>3520</v>
      </c>
      <c r="F401" s="1741" t="s">
        <v>2228</v>
      </c>
      <c r="G401" s="1741" t="s">
        <v>1152</v>
      </c>
      <c r="H401" s="1741" t="s">
        <v>1658</v>
      </c>
      <c r="I401" s="1753" t="s">
        <v>464</v>
      </c>
      <c r="J401" s="1754"/>
      <c r="K401" s="1753" t="s">
        <v>2114</v>
      </c>
      <c r="L401" s="1754" t="s">
        <v>3029</v>
      </c>
      <c r="M401" s="1754"/>
      <c r="N401" s="1756">
        <v>58817.919999999998</v>
      </c>
      <c r="O401" s="1757">
        <v>88684.03</v>
      </c>
      <c r="P401" s="1758">
        <v>57265.94</v>
      </c>
      <c r="Q401" s="1759">
        <v>116000</v>
      </c>
      <c r="R401" s="1760">
        <v>116000</v>
      </c>
      <c r="S401" s="1760">
        <v>52579</v>
      </c>
      <c r="T401" s="1760">
        <v>52579</v>
      </c>
      <c r="U401" s="1761">
        <v>120000</v>
      </c>
      <c r="V401" s="1762">
        <v>118000</v>
      </c>
      <c r="W401" s="1757">
        <v>120000</v>
      </c>
      <c r="Z401" s="1773">
        <f t="shared" si="117"/>
        <v>0</v>
      </c>
      <c r="AA401" s="1773">
        <f t="shared" si="118"/>
        <v>0</v>
      </c>
      <c r="AB401" s="1773">
        <f t="shared" si="119"/>
        <v>0</v>
      </c>
      <c r="AC401" s="1773">
        <f t="shared" si="120"/>
        <v>0</v>
      </c>
      <c r="AD401" s="1773">
        <f t="shared" si="121"/>
        <v>0</v>
      </c>
      <c r="AE401" s="1773">
        <f t="shared" si="122"/>
        <v>0</v>
      </c>
      <c r="AF401" s="1773">
        <f t="shared" si="123"/>
        <v>0</v>
      </c>
      <c r="AG401" s="1773">
        <f t="shared" si="124"/>
        <v>0</v>
      </c>
      <c r="AH401" s="1773">
        <f t="shared" si="125"/>
        <v>0</v>
      </c>
      <c r="AI401" s="1773">
        <f t="shared" si="126"/>
        <v>0</v>
      </c>
      <c r="AJ401" s="1773">
        <f t="shared" si="127"/>
        <v>0</v>
      </c>
      <c r="AK401" s="1773">
        <f t="shared" si="128"/>
        <v>0</v>
      </c>
      <c r="AL401" s="1773">
        <f t="shared" si="129"/>
        <v>120000</v>
      </c>
      <c r="AN401" s="1776"/>
      <c r="AO401" s="1776"/>
      <c r="AP401" s="1776"/>
      <c r="AQ401" s="1776"/>
      <c r="AR401" s="1776"/>
      <c r="AS401" s="1776"/>
      <c r="AT401" s="1776"/>
      <c r="AU401" s="1776"/>
      <c r="AV401" s="1776"/>
      <c r="AW401" s="1776"/>
      <c r="AX401" s="1776"/>
      <c r="AY401" s="1776"/>
      <c r="AZ401" s="1776">
        <v>1</v>
      </c>
    </row>
    <row r="402" spans="1:52">
      <c r="A402" s="1479" t="s">
        <v>2795</v>
      </c>
      <c r="B402" t="s">
        <v>2796</v>
      </c>
      <c r="C402" s="1741" t="s">
        <v>2108</v>
      </c>
      <c r="D402" s="1741">
        <v>1300</v>
      </c>
      <c r="E402" s="1741">
        <v>3530</v>
      </c>
      <c r="F402" s="1741" t="s">
        <v>2228</v>
      </c>
      <c r="G402" s="1741" t="s">
        <v>1152</v>
      </c>
      <c r="H402" s="1741" t="s">
        <v>1658</v>
      </c>
      <c r="I402" s="1753" t="s">
        <v>464</v>
      </c>
      <c r="J402" s="1754"/>
      <c r="K402" s="1753" t="s">
        <v>2114</v>
      </c>
      <c r="L402" s="1753" t="s">
        <v>3029</v>
      </c>
      <c r="M402" s="1754"/>
      <c r="N402" s="1756"/>
      <c r="O402" s="1757"/>
      <c r="P402" s="1758"/>
      <c r="Q402" s="1759"/>
      <c r="R402" s="1760">
        <v>0</v>
      </c>
      <c r="S402" s="1760">
        <v>0</v>
      </c>
      <c r="T402" s="1760">
        <v>0</v>
      </c>
      <c r="U402" s="1761">
        <v>0</v>
      </c>
      <c r="V402" s="1762">
        <v>0</v>
      </c>
      <c r="W402" s="1757">
        <v>0</v>
      </c>
      <c r="Z402" s="1773">
        <f t="shared" si="117"/>
        <v>0</v>
      </c>
      <c r="AA402" s="1773">
        <f t="shared" si="118"/>
        <v>0</v>
      </c>
      <c r="AB402" s="1773">
        <f t="shared" si="119"/>
        <v>0</v>
      </c>
      <c r="AC402" s="1773">
        <f t="shared" si="120"/>
        <v>0</v>
      </c>
      <c r="AD402" s="1773">
        <f t="shared" si="121"/>
        <v>0</v>
      </c>
      <c r="AE402" s="1773">
        <f t="shared" si="122"/>
        <v>0</v>
      </c>
      <c r="AF402" s="1773">
        <f t="shared" si="123"/>
        <v>0</v>
      </c>
      <c r="AG402" s="1773">
        <f t="shared" si="124"/>
        <v>0</v>
      </c>
      <c r="AH402" s="1773">
        <f t="shared" si="125"/>
        <v>0</v>
      </c>
      <c r="AI402" s="1773">
        <f t="shared" si="126"/>
        <v>0</v>
      </c>
      <c r="AJ402" s="1773">
        <f t="shared" si="127"/>
        <v>0</v>
      </c>
      <c r="AK402" s="1773">
        <f t="shared" si="128"/>
        <v>0</v>
      </c>
      <c r="AL402" s="1773">
        <f t="shared" si="129"/>
        <v>0</v>
      </c>
      <c r="AN402" s="1776"/>
      <c r="AO402" s="1776"/>
      <c r="AP402" s="1776"/>
      <c r="AQ402" s="1776"/>
      <c r="AR402" s="1776"/>
      <c r="AS402" s="1776"/>
      <c r="AT402" s="1776"/>
      <c r="AU402" s="1776"/>
      <c r="AV402" s="1776"/>
      <c r="AW402" s="1776"/>
      <c r="AX402" s="1776"/>
      <c r="AY402" s="1776"/>
      <c r="AZ402" s="1776">
        <v>1</v>
      </c>
    </row>
    <row r="403" spans="1:52">
      <c r="A403" s="1479" t="s">
        <v>2797</v>
      </c>
      <c r="B403" s="1479" t="s">
        <v>2314</v>
      </c>
      <c r="C403" s="1741" t="s">
        <v>2108</v>
      </c>
      <c r="D403" s="1741">
        <v>1300</v>
      </c>
      <c r="E403" s="1741">
        <v>4120</v>
      </c>
      <c r="F403" s="1741" t="s">
        <v>2228</v>
      </c>
      <c r="G403" s="1741" t="s">
        <v>1152</v>
      </c>
      <c r="H403" s="1741" t="s">
        <v>1658</v>
      </c>
      <c r="I403" s="1753" t="s">
        <v>2114</v>
      </c>
      <c r="J403" s="1754" t="s">
        <v>3014</v>
      </c>
      <c r="K403" s="1753" t="s">
        <v>2114</v>
      </c>
      <c r="L403" s="1753" t="s">
        <v>3029</v>
      </c>
      <c r="M403" s="1754"/>
      <c r="N403" s="1756">
        <v>0</v>
      </c>
      <c r="O403" s="1757">
        <v>0</v>
      </c>
      <c r="P403" s="1758">
        <v>0</v>
      </c>
      <c r="Q403" s="1759">
        <v>0</v>
      </c>
      <c r="R403" s="1760">
        <v>0</v>
      </c>
      <c r="S403" s="1760">
        <v>0</v>
      </c>
      <c r="T403" s="1760">
        <v>0</v>
      </c>
      <c r="U403" s="1761">
        <v>0</v>
      </c>
      <c r="V403" s="1762">
        <v>0</v>
      </c>
      <c r="W403" s="1757">
        <v>0</v>
      </c>
      <c r="Z403" s="1773">
        <f t="shared" si="117"/>
        <v>0</v>
      </c>
      <c r="AA403" s="1773">
        <f t="shared" si="118"/>
        <v>0</v>
      </c>
      <c r="AB403" s="1773">
        <f t="shared" si="119"/>
        <v>0</v>
      </c>
      <c r="AC403" s="1773">
        <f t="shared" si="120"/>
        <v>0</v>
      </c>
      <c r="AD403" s="1773">
        <f t="shared" si="121"/>
        <v>0</v>
      </c>
      <c r="AE403" s="1773">
        <f t="shared" si="122"/>
        <v>0</v>
      </c>
      <c r="AF403" s="1773">
        <f t="shared" si="123"/>
        <v>0</v>
      </c>
      <c r="AG403" s="1773">
        <f t="shared" si="124"/>
        <v>0</v>
      </c>
      <c r="AH403" s="1773">
        <f t="shared" si="125"/>
        <v>0</v>
      </c>
      <c r="AI403" s="1773">
        <f t="shared" si="126"/>
        <v>0</v>
      </c>
      <c r="AJ403" s="1773">
        <f t="shared" si="127"/>
        <v>0</v>
      </c>
      <c r="AK403" s="1773">
        <f t="shared" si="128"/>
        <v>0</v>
      </c>
      <c r="AL403" s="1773">
        <f t="shared" si="129"/>
        <v>0</v>
      </c>
      <c r="AN403" s="1776"/>
      <c r="AO403" s="1776"/>
      <c r="AP403" s="1776"/>
      <c r="AQ403" s="1776"/>
      <c r="AR403" s="1776"/>
      <c r="AS403" s="1776"/>
      <c r="AT403" s="1776"/>
      <c r="AU403" s="1776"/>
      <c r="AV403" s="1776"/>
      <c r="AW403" s="1776"/>
      <c r="AX403" s="1776"/>
      <c r="AY403" s="1776"/>
      <c r="AZ403" s="1776">
        <v>1</v>
      </c>
    </row>
    <row r="404" spans="1:52">
      <c r="A404" s="1479" t="s">
        <v>2798</v>
      </c>
      <c r="B404" s="1479" t="s">
        <v>2799</v>
      </c>
      <c r="C404" s="1741" t="s">
        <v>2108</v>
      </c>
      <c r="D404" s="1741">
        <v>1300</v>
      </c>
      <c r="E404" s="1741">
        <v>4130</v>
      </c>
      <c r="F404" s="1741" t="s">
        <v>2228</v>
      </c>
      <c r="G404" s="1741" t="s">
        <v>1152</v>
      </c>
      <c r="H404" s="1741" t="s">
        <v>1658</v>
      </c>
      <c r="I404" s="1753" t="s">
        <v>2117</v>
      </c>
      <c r="J404" s="1754" t="s">
        <v>2118</v>
      </c>
      <c r="K404" s="1754" t="s">
        <v>1665</v>
      </c>
      <c r="L404" s="1754" t="s">
        <v>1665</v>
      </c>
      <c r="M404" s="1754"/>
      <c r="N404" s="1756">
        <v>496330.48</v>
      </c>
      <c r="O404" s="1757">
        <v>220400.83999999997</v>
      </c>
      <c r="P404" s="1758">
        <v>216546.00999999986</v>
      </c>
      <c r="Q404" s="1759">
        <v>485000</v>
      </c>
      <c r="R404" s="1760">
        <v>140000</v>
      </c>
      <c r="S404" s="1760">
        <v>235904</v>
      </c>
      <c r="T404" s="1760">
        <v>235904</v>
      </c>
      <c r="U404" s="1761">
        <v>348000</v>
      </c>
      <c r="V404" s="1762">
        <v>495000</v>
      </c>
      <c r="W404" s="1757">
        <v>500000</v>
      </c>
      <c r="Z404" s="1773">
        <f t="shared" si="117"/>
        <v>0</v>
      </c>
      <c r="AA404" s="1773">
        <f t="shared" si="118"/>
        <v>0</v>
      </c>
      <c r="AB404" s="1773">
        <f t="shared" si="119"/>
        <v>0</v>
      </c>
      <c r="AC404" s="1773">
        <f t="shared" si="120"/>
        <v>0</v>
      </c>
      <c r="AD404" s="1773">
        <f t="shared" si="121"/>
        <v>0</v>
      </c>
      <c r="AE404" s="1773">
        <f t="shared" si="122"/>
        <v>0</v>
      </c>
      <c r="AF404" s="1773">
        <f t="shared" si="123"/>
        <v>0</v>
      </c>
      <c r="AG404" s="1773">
        <f t="shared" si="124"/>
        <v>0</v>
      </c>
      <c r="AH404" s="1773">
        <f t="shared" si="125"/>
        <v>0</v>
      </c>
      <c r="AI404" s="1773">
        <f t="shared" si="126"/>
        <v>0</v>
      </c>
      <c r="AJ404" s="1773">
        <f t="shared" si="127"/>
        <v>0</v>
      </c>
      <c r="AK404" s="1773">
        <f t="shared" si="128"/>
        <v>0</v>
      </c>
      <c r="AL404" s="1773">
        <f t="shared" si="129"/>
        <v>348000</v>
      </c>
      <c r="AN404" s="1776"/>
      <c r="AO404" s="1776"/>
      <c r="AP404" s="1776"/>
      <c r="AQ404" s="1776"/>
      <c r="AR404" s="1776"/>
      <c r="AS404" s="1776"/>
      <c r="AT404" s="1776"/>
      <c r="AU404" s="1776"/>
      <c r="AV404" s="1776"/>
      <c r="AW404" s="1776"/>
      <c r="AX404" s="1776"/>
      <c r="AY404" s="1776"/>
      <c r="AZ404" s="1776">
        <v>1</v>
      </c>
    </row>
    <row r="405" spans="1:52">
      <c r="A405" s="1479" t="s">
        <v>2800</v>
      </c>
      <c r="B405" s="1479" t="s">
        <v>2569</v>
      </c>
      <c r="C405" s="1741" t="s">
        <v>2108</v>
      </c>
      <c r="D405" s="1741">
        <v>1300</v>
      </c>
      <c r="E405" s="1741">
        <v>4390</v>
      </c>
      <c r="F405" s="1741" t="s">
        <v>2228</v>
      </c>
      <c r="G405" s="1741" t="s">
        <v>1152</v>
      </c>
      <c r="H405" s="1741" t="s">
        <v>1658</v>
      </c>
      <c r="I405" s="1753" t="s">
        <v>2146</v>
      </c>
      <c r="J405" s="1754"/>
      <c r="K405" s="1754" t="s">
        <v>1563</v>
      </c>
      <c r="L405" s="1754" t="s">
        <v>1563</v>
      </c>
      <c r="M405" s="1754"/>
      <c r="N405" s="1756">
        <v>1774978.72</v>
      </c>
      <c r="O405" s="1757">
        <v>-27552.190000000002</v>
      </c>
      <c r="P405" s="1758">
        <v>498989.36351466086</v>
      </c>
      <c r="Q405" s="1759">
        <v>110000</v>
      </c>
      <c r="R405" s="1760">
        <v>110000</v>
      </c>
      <c r="S405" s="1760">
        <v>12320</v>
      </c>
      <c r="T405" s="1760">
        <v>12320</v>
      </c>
      <c r="U405" s="1761">
        <v>0</v>
      </c>
      <c r="V405" s="1762">
        <v>110000</v>
      </c>
      <c r="W405" s="1757">
        <v>110000</v>
      </c>
      <c r="Z405" s="1773">
        <f t="shared" si="117"/>
        <v>0</v>
      </c>
      <c r="AA405" s="1773">
        <f t="shared" si="118"/>
        <v>0</v>
      </c>
      <c r="AB405" s="1773">
        <f t="shared" si="119"/>
        <v>0</v>
      </c>
      <c r="AC405" s="1773">
        <f t="shared" si="120"/>
        <v>0</v>
      </c>
      <c r="AD405" s="1773">
        <f t="shared" si="121"/>
        <v>0</v>
      </c>
      <c r="AE405" s="1773">
        <f t="shared" si="122"/>
        <v>0</v>
      </c>
      <c r="AF405" s="1773">
        <f t="shared" si="123"/>
        <v>0</v>
      </c>
      <c r="AG405" s="1773">
        <f t="shared" si="124"/>
        <v>0</v>
      </c>
      <c r="AH405" s="1773">
        <f t="shared" si="125"/>
        <v>0</v>
      </c>
      <c r="AI405" s="1773">
        <f t="shared" si="126"/>
        <v>0</v>
      </c>
      <c r="AJ405" s="1773">
        <f t="shared" si="127"/>
        <v>0</v>
      </c>
      <c r="AK405" s="1773">
        <f t="shared" si="128"/>
        <v>0</v>
      </c>
      <c r="AL405" s="1773">
        <f t="shared" si="129"/>
        <v>0</v>
      </c>
      <c r="AN405" s="1776"/>
      <c r="AO405" s="1776"/>
      <c r="AP405" s="1776"/>
      <c r="AQ405" s="1776"/>
      <c r="AR405" s="1776"/>
      <c r="AS405" s="1776"/>
      <c r="AT405" s="1776"/>
      <c r="AU405" s="1776"/>
      <c r="AV405" s="1776"/>
      <c r="AW405" s="1776"/>
      <c r="AX405" s="1776"/>
      <c r="AY405" s="1776"/>
      <c r="AZ405" s="1776">
        <v>1</v>
      </c>
    </row>
    <row r="406" spans="1:52">
      <c r="A406" s="1479" t="s">
        <v>2801</v>
      </c>
      <c r="B406" s="1479" t="s">
        <v>2316</v>
      </c>
      <c r="C406" s="1741" t="s">
        <v>2108</v>
      </c>
      <c r="D406" s="1741">
        <v>1300</v>
      </c>
      <c r="E406" s="1741">
        <v>5000</v>
      </c>
      <c r="F406" s="1741" t="s">
        <v>2228</v>
      </c>
      <c r="G406" s="1741" t="s">
        <v>1152</v>
      </c>
      <c r="H406" s="1741" t="s">
        <v>1658</v>
      </c>
      <c r="I406" s="1753" t="s">
        <v>3015</v>
      </c>
      <c r="J406" s="1754"/>
      <c r="K406" s="1753" t="s">
        <v>2114</v>
      </c>
      <c r="L406" s="1754" t="s">
        <v>3015</v>
      </c>
      <c r="M406" s="1754"/>
      <c r="N406" s="1756">
        <v>0</v>
      </c>
      <c r="O406" s="1757">
        <v>16943.52</v>
      </c>
      <c r="P406" s="1758">
        <v>0</v>
      </c>
      <c r="Q406" s="1759">
        <v>0</v>
      </c>
      <c r="R406" s="1760">
        <v>0</v>
      </c>
      <c r="S406" s="1760">
        <v>0</v>
      </c>
      <c r="T406" s="1760">
        <v>0</v>
      </c>
      <c r="U406" s="1761">
        <v>0</v>
      </c>
      <c r="V406" s="1762">
        <v>0</v>
      </c>
      <c r="W406" s="1757">
        <v>0</v>
      </c>
      <c r="Z406" s="1773">
        <f t="shared" si="117"/>
        <v>0</v>
      </c>
      <c r="AA406" s="1773">
        <f t="shared" si="118"/>
        <v>0</v>
      </c>
      <c r="AB406" s="1773">
        <f t="shared" si="119"/>
        <v>0</v>
      </c>
      <c r="AC406" s="1773">
        <f t="shared" si="120"/>
        <v>0</v>
      </c>
      <c r="AD406" s="1773">
        <f t="shared" si="121"/>
        <v>0</v>
      </c>
      <c r="AE406" s="1773">
        <f t="shared" si="122"/>
        <v>0</v>
      </c>
      <c r="AF406" s="1773">
        <f t="shared" si="123"/>
        <v>0</v>
      </c>
      <c r="AG406" s="1773">
        <f t="shared" si="124"/>
        <v>0</v>
      </c>
      <c r="AH406" s="1773">
        <f t="shared" si="125"/>
        <v>0</v>
      </c>
      <c r="AI406" s="1773">
        <f t="shared" si="126"/>
        <v>0</v>
      </c>
      <c r="AJ406" s="1773">
        <f t="shared" si="127"/>
        <v>0</v>
      </c>
      <c r="AK406" s="1773">
        <f t="shared" si="128"/>
        <v>0</v>
      </c>
      <c r="AL406" s="1773">
        <f t="shared" si="129"/>
        <v>0</v>
      </c>
      <c r="AN406" s="1776"/>
      <c r="AO406" s="1776"/>
      <c r="AP406" s="1776"/>
      <c r="AQ406" s="1776"/>
      <c r="AR406" s="1776"/>
      <c r="AS406" s="1776"/>
      <c r="AT406" s="1776"/>
      <c r="AU406" s="1776"/>
      <c r="AV406" s="1776"/>
      <c r="AW406" s="1776"/>
      <c r="AX406" s="1776"/>
      <c r="AY406" s="1776"/>
      <c r="AZ406" s="1776">
        <v>1</v>
      </c>
    </row>
    <row r="407" spans="1:52" ht="13.5">
      <c r="A407" s="1479" t="s">
        <v>2802</v>
      </c>
      <c r="B407" s="1479" t="s">
        <v>2318</v>
      </c>
      <c r="C407" s="1741" t="s">
        <v>2108</v>
      </c>
      <c r="D407" s="1741">
        <v>1300</v>
      </c>
      <c r="E407" s="1741">
        <v>5020</v>
      </c>
      <c r="F407" s="1741" t="s">
        <v>2228</v>
      </c>
      <c r="G407" s="1741" t="s">
        <v>1152</v>
      </c>
      <c r="H407" s="1741" t="s">
        <v>586</v>
      </c>
      <c r="I407" s="1753" t="s">
        <v>2121</v>
      </c>
      <c r="J407" s="1754" t="s">
        <v>3016</v>
      </c>
      <c r="K407" s="236" t="s">
        <v>35</v>
      </c>
      <c r="L407" s="1753" t="s">
        <v>2128</v>
      </c>
      <c r="M407" s="1754"/>
      <c r="N407" s="1756">
        <v>0</v>
      </c>
      <c r="O407" s="1757">
        <v>-203427.31999999998</v>
      </c>
      <c r="P407" s="1758">
        <v>-159075.6</v>
      </c>
      <c r="Q407" s="1759">
        <v>0</v>
      </c>
      <c r="R407" s="1760">
        <v>0</v>
      </c>
      <c r="S407" s="1760">
        <v>0</v>
      </c>
      <c r="T407" s="1760">
        <v>0</v>
      </c>
      <c r="U407" s="1761">
        <v>0</v>
      </c>
      <c r="V407" s="1762">
        <v>0</v>
      </c>
      <c r="W407" s="1757">
        <v>0</v>
      </c>
      <c r="Z407" s="1773">
        <f t="shared" si="117"/>
        <v>0</v>
      </c>
      <c r="AA407" s="1773">
        <f t="shared" si="118"/>
        <v>0</v>
      </c>
      <c r="AB407" s="1773">
        <f t="shared" si="119"/>
        <v>0</v>
      </c>
      <c r="AC407" s="1773">
        <f t="shared" si="120"/>
        <v>0</v>
      </c>
      <c r="AD407" s="1773">
        <f t="shared" si="121"/>
        <v>0</v>
      </c>
      <c r="AE407" s="1773">
        <f t="shared" si="122"/>
        <v>0</v>
      </c>
      <c r="AF407" s="1773">
        <f t="shared" si="123"/>
        <v>0</v>
      </c>
      <c r="AG407" s="1773">
        <f t="shared" si="124"/>
        <v>0</v>
      </c>
      <c r="AH407" s="1773">
        <f t="shared" si="125"/>
        <v>0</v>
      </c>
      <c r="AI407" s="1773">
        <f t="shared" si="126"/>
        <v>0</v>
      </c>
      <c r="AJ407" s="1773">
        <f t="shared" si="127"/>
        <v>0</v>
      </c>
      <c r="AK407" s="1773">
        <f t="shared" si="128"/>
        <v>0</v>
      </c>
      <c r="AL407" s="1773">
        <f t="shared" si="129"/>
        <v>0</v>
      </c>
      <c r="AN407" s="1776"/>
      <c r="AO407" s="1776"/>
      <c r="AP407" s="1776"/>
      <c r="AQ407" s="1776"/>
      <c r="AR407" s="1776"/>
      <c r="AS407" s="1776"/>
      <c r="AT407" s="1776"/>
      <c r="AU407" s="1776"/>
      <c r="AV407" s="1776"/>
      <c r="AW407" s="1776"/>
      <c r="AX407" s="1776"/>
      <c r="AY407" s="1776"/>
      <c r="AZ407" s="1776">
        <v>1</v>
      </c>
    </row>
    <row r="408" spans="1:52" ht="13.5">
      <c r="A408" s="1479" t="s">
        <v>2803</v>
      </c>
      <c r="B408" s="1479" t="s">
        <v>2804</v>
      </c>
      <c r="C408" s="1741" t="s">
        <v>2108</v>
      </c>
      <c r="D408" s="1741">
        <v>1300</v>
      </c>
      <c r="E408" s="1741">
        <v>5040</v>
      </c>
      <c r="F408" s="1741" t="s">
        <v>2228</v>
      </c>
      <c r="G408" s="1741" t="s">
        <v>1152</v>
      </c>
      <c r="H408" s="1741" t="s">
        <v>1658</v>
      </c>
      <c r="I408" s="1753" t="s">
        <v>2114</v>
      </c>
      <c r="J408" s="1754" t="s">
        <v>3028</v>
      </c>
      <c r="K408" s="1753" t="s">
        <v>2114</v>
      </c>
      <c r="L408" s="1777" t="s">
        <v>3012</v>
      </c>
      <c r="M408" s="1755"/>
      <c r="N408" s="1756">
        <v>-350000</v>
      </c>
      <c r="O408" s="1757">
        <v>0</v>
      </c>
      <c r="P408" s="1758">
        <v>0</v>
      </c>
      <c r="Q408" s="1759">
        <v>0</v>
      </c>
      <c r="R408" s="1760">
        <v>0</v>
      </c>
      <c r="S408" s="1760">
        <v>0</v>
      </c>
      <c r="T408" s="1760">
        <v>0</v>
      </c>
      <c r="U408" s="1761">
        <v>0</v>
      </c>
      <c r="V408" s="1762">
        <v>0</v>
      </c>
      <c r="W408" s="1757">
        <v>0</v>
      </c>
      <c r="Z408" s="1773">
        <f t="shared" si="117"/>
        <v>0</v>
      </c>
      <c r="AA408" s="1773">
        <f t="shared" si="118"/>
        <v>0</v>
      </c>
      <c r="AB408" s="1773">
        <f t="shared" si="119"/>
        <v>0</v>
      </c>
      <c r="AC408" s="1773">
        <f t="shared" si="120"/>
        <v>0</v>
      </c>
      <c r="AD408" s="1773">
        <f t="shared" si="121"/>
        <v>0</v>
      </c>
      <c r="AE408" s="1773">
        <f t="shared" si="122"/>
        <v>0</v>
      </c>
      <c r="AF408" s="1773">
        <f t="shared" si="123"/>
        <v>0</v>
      </c>
      <c r="AG408" s="1773">
        <f t="shared" si="124"/>
        <v>0</v>
      </c>
      <c r="AH408" s="1773">
        <f t="shared" si="125"/>
        <v>0</v>
      </c>
      <c r="AI408" s="1773">
        <f t="shared" si="126"/>
        <v>0</v>
      </c>
      <c r="AJ408" s="1773">
        <f t="shared" si="127"/>
        <v>0</v>
      </c>
      <c r="AK408" s="1773">
        <f t="shared" si="128"/>
        <v>0</v>
      </c>
      <c r="AL408" s="1773">
        <f t="shared" si="129"/>
        <v>0</v>
      </c>
      <c r="AN408" s="1776"/>
      <c r="AO408" s="1776"/>
      <c r="AP408" s="1776"/>
      <c r="AQ408" s="1776"/>
      <c r="AR408" s="1776"/>
      <c r="AS408" s="1776"/>
      <c r="AT408" s="1776"/>
      <c r="AU408" s="1776"/>
      <c r="AV408" s="1776"/>
      <c r="AW408" s="1776"/>
      <c r="AX408" s="1776"/>
      <c r="AY408" s="1776"/>
      <c r="AZ408" s="1776">
        <v>1</v>
      </c>
    </row>
    <row r="409" spans="1:52" ht="13.5">
      <c r="A409" s="1479" t="s">
        <v>2805</v>
      </c>
      <c r="B409" s="1479" t="s">
        <v>2806</v>
      </c>
      <c r="C409" s="1741" t="s">
        <v>2108</v>
      </c>
      <c r="D409" s="1741">
        <v>1300</v>
      </c>
      <c r="E409" s="1741">
        <v>5170</v>
      </c>
      <c r="F409" s="1741" t="s">
        <v>2228</v>
      </c>
      <c r="G409" s="1741" t="s">
        <v>1152</v>
      </c>
      <c r="H409" s="1741" t="s">
        <v>586</v>
      </c>
      <c r="I409" s="1753" t="s">
        <v>2125</v>
      </c>
      <c r="J409" s="1754"/>
      <c r="K409" s="1753" t="s">
        <v>995</v>
      </c>
      <c r="L409" s="1754" t="s">
        <v>2173</v>
      </c>
      <c r="M409" s="1755"/>
      <c r="N409" s="1756">
        <v>-286758.98</v>
      </c>
      <c r="O409" s="1757">
        <v>-515561.64</v>
      </c>
      <c r="P409" s="1758">
        <v>-338275.72</v>
      </c>
      <c r="Q409" s="1759">
        <v>-443015</v>
      </c>
      <c r="R409" s="1760">
        <v>-443015</v>
      </c>
      <c r="S409" s="1760">
        <v>-390427</v>
      </c>
      <c r="T409" s="1760">
        <v>-390427</v>
      </c>
      <c r="U409" s="1761">
        <v>-384099.48</v>
      </c>
      <c r="V409" s="1762">
        <v>-469595</v>
      </c>
      <c r="W409" s="1757">
        <v>-497770</v>
      </c>
      <c r="Z409" s="1773">
        <f t="shared" si="117"/>
        <v>0</v>
      </c>
      <c r="AA409" s="1773">
        <f t="shared" si="118"/>
        <v>0</v>
      </c>
      <c r="AB409" s="1773">
        <f t="shared" si="119"/>
        <v>0</v>
      </c>
      <c r="AC409" s="1773">
        <f t="shared" si="120"/>
        <v>0</v>
      </c>
      <c r="AD409" s="1773">
        <f t="shared" si="121"/>
        <v>0</v>
      </c>
      <c r="AE409" s="1773">
        <f t="shared" si="122"/>
        <v>0</v>
      </c>
      <c r="AF409" s="1773">
        <f t="shared" si="123"/>
        <v>0</v>
      </c>
      <c r="AG409" s="1773">
        <f t="shared" si="124"/>
        <v>0</v>
      </c>
      <c r="AH409" s="1773">
        <f t="shared" si="125"/>
        <v>0</v>
      </c>
      <c r="AI409" s="1773">
        <f t="shared" si="126"/>
        <v>0</v>
      </c>
      <c r="AJ409" s="1773">
        <f t="shared" si="127"/>
        <v>0</v>
      </c>
      <c r="AK409" s="1773">
        <f t="shared" si="128"/>
        <v>0</v>
      </c>
      <c r="AL409" s="1773">
        <f t="shared" si="129"/>
        <v>-384099.48</v>
      </c>
      <c r="AN409" s="1776"/>
      <c r="AO409" s="1776"/>
      <c r="AP409" s="1776"/>
      <c r="AQ409" s="1776"/>
      <c r="AR409" s="1776"/>
      <c r="AS409" s="1776"/>
      <c r="AT409" s="1776"/>
      <c r="AU409" s="1776"/>
      <c r="AV409" s="1776"/>
      <c r="AW409" s="1776"/>
      <c r="AX409" s="1776"/>
      <c r="AY409" s="1776"/>
      <c r="AZ409" s="1776">
        <v>1</v>
      </c>
    </row>
    <row r="410" spans="1:52" ht="13.5">
      <c r="A410" s="1479" t="s">
        <v>2807</v>
      </c>
      <c r="B410" s="1479" t="s">
        <v>2808</v>
      </c>
      <c r="C410" s="1741" t="s">
        <v>2108</v>
      </c>
      <c r="D410" s="1741">
        <v>1300</v>
      </c>
      <c r="E410" s="1741">
        <v>5310</v>
      </c>
      <c r="F410" s="1741" t="s">
        <v>2228</v>
      </c>
      <c r="G410" s="1741" t="s">
        <v>1152</v>
      </c>
      <c r="H410" s="1741" t="s">
        <v>586</v>
      </c>
      <c r="I410" s="1753" t="s">
        <v>2120</v>
      </c>
      <c r="J410" s="1754"/>
      <c r="K410" s="1754" t="s">
        <v>1666</v>
      </c>
      <c r="L410" s="1754" t="s">
        <v>1666</v>
      </c>
      <c r="M410" s="1755"/>
      <c r="N410" s="1756">
        <v>0</v>
      </c>
      <c r="O410" s="1757">
        <v>-526.32000000000005</v>
      </c>
      <c r="P410" s="1758">
        <v>13160.56</v>
      </c>
      <c r="Q410" s="1759">
        <v>0</v>
      </c>
      <c r="R410" s="1760">
        <v>0</v>
      </c>
      <c r="S410" s="1760">
        <v>-789</v>
      </c>
      <c r="T410" s="1760">
        <v>-789</v>
      </c>
      <c r="U410" s="1761">
        <v>0</v>
      </c>
      <c r="V410" s="1762">
        <v>0</v>
      </c>
      <c r="W410" s="1757">
        <v>0</v>
      </c>
      <c r="Z410" s="1773">
        <f t="shared" si="117"/>
        <v>0</v>
      </c>
      <c r="AA410" s="1773">
        <f t="shared" si="118"/>
        <v>0</v>
      </c>
      <c r="AB410" s="1773">
        <f t="shared" si="119"/>
        <v>0</v>
      </c>
      <c r="AC410" s="1773">
        <f t="shared" si="120"/>
        <v>0</v>
      </c>
      <c r="AD410" s="1773">
        <f t="shared" si="121"/>
        <v>0</v>
      </c>
      <c r="AE410" s="1773">
        <f t="shared" si="122"/>
        <v>0</v>
      </c>
      <c r="AF410" s="1773">
        <f t="shared" si="123"/>
        <v>0</v>
      </c>
      <c r="AG410" s="1773">
        <f t="shared" si="124"/>
        <v>0</v>
      </c>
      <c r="AH410" s="1773">
        <f t="shared" si="125"/>
        <v>0</v>
      </c>
      <c r="AI410" s="1773">
        <f t="shared" si="126"/>
        <v>0</v>
      </c>
      <c r="AJ410" s="1773">
        <f t="shared" si="127"/>
        <v>0</v>
      </c>
      <c r="AK410" s="1773">
        <f t="shared" si="128"/>
        <v>0</v>
      </c>
      <c r="AL410" s="1773">
        <f t="shared" si="129"/>
        <v>0</v>
      </c>
      <c r="AN410" s="1776"/>
      <c r="AO410" s="1776"/>
      <c r="AP410" s="1776"/>
      <c r="AQ410" s="1776"/>
      <c r="AR410" s="1776"/>
      <c r="AS410" s="1776"/>
      <c r="AT410" s="1776"/>
      <c r="AU410" s="1776"/>
      <c r="AV410" s="1776"/>
      <c r="AW410" s="1776"/>
      <c r="AX410" s="1776"/>
      <c r="AY410" s="1776"/>
      <c r="AZ410" s="1776">
        <v>1</v>
      </c>
    </row>
    <row r="411" spans="1:52" ht="13.5">
      <c r="A411" s="1479" t="s">
        <v>2809</v>
      </c>
      <c r="B411" s="1479" t="s">
        <v>2810</v>
      </c>
      <c r="C411" s="1741" t="s">
        <v>2108</v>
      </c>
      <c r="D411" s="1741">
        <v>1300</v>
      </c>
      <c r="E411" s="1741">
        <v>5490</v>
      </c>
      <c r="F411" s="1741" t="s">
        <v>2228</v>
      </c>
      <c r="G411" s="1741" t="s">
        <v>1152</v>
      </c>
      <c r="H411" s="1741" t="s">
        <v>586</v>
      </c>
      <c r="I411" s="1753" t="s">
        <v>2120</v>
      </c>
      <c r="J411" s="1754"/>
      <c r="K411" s="1754" t="s">
        <v>1666</v>
      </c>
      <c r="L411" s="1754" t="s">
        <v>1666</v>
      </c>
      <c r="M411" s="1755"/>
      <c r="N411" s="1756">
        <v>0</v>
      </c>
      <c r="O411" s="1757">
        <v>0</v>
      </c>
      <c r="P411" s="1758">
        <v>100.83</v>
      </c>
      <c r="Q411" s="1759">
        <v>0</v>
      </c>
      <c r="R411" s="1760">
        <v>0</v>
      </c>
      <c r="S411" s="1760">
        <v>0</v>
      </c>
      <c r="T411" s="1760">
        <v>0</v>
      </c>
      <c r="U411" s="1761">
        <v>0</v>
      </c>
      <c r="V411" s="1762">
        <v>0</v>
      </c>
      <c r="W411" s="1757">
        <v>0</v>
      </c>
      <c r="Z411" s="1773">
        <f t="shared" si="117"/>
        <v>0</v>
      </c>
      <c r="AA411" s="1773">
        <f t="shared" si="118"/>
        <v>0</v>
      </c>
      <c r="AB411" s="1773">
        <f t="shared" si="119"/>
        <v>0</v>
      </c>
      <c r="AC411" s="1773">
        <f t="shared" si="120"/>
        <v>0</v>
      </c>
      <c r="AD411" s="1773">
        <f t="shared" si="121"/>
        <v>0</v>
      </c>
      <c r="AE411" s="1773">
        <f t="shared" si="122"/>
        <v>0</v>
      </c>
      <c r="AF411" s="1773">
        <f t="shared" si="123"/>
        <v>0</v>
      </c>
      <c r="AG411" s="1773">
        <f t="shared" si="124"/>
        <v>0</v>
      </c>
      <c r="AH411" s="1773">
        <f t="shared" si="125"/>
        <v>0</v>
      </c>
      <c r="AI411" s="1773">
        <f t="shared" si="126"/>
        <v>0</v>
      </c>
      <c r="AJ411" s="1773">
        <f t="shared" si="127"/>
        <v>0</v>
      </c>
      <c r="AK411" s="1773">
        <f t="shared" si="128"/>
        <v>0</v>
      </c>
      <c r="AL411" s="1773">
        <f t="shared" si="129"/>
        <v>0</v>
      </c>
      <c r="AN411" s="1776"/>
      <c r="AO411" s="1776"/>
      <c r="AP411" s="1776"/>
      <c r="AQ411" s="1776"/>
      <c r="AR411" s="1776"/>
      <c r="AS411" s="1776"/>
      <c r="AT411" s="1776"/>
      <c r="AU411" s="1776"/>
      <c r="AV411" s="1776"/>
      <c r="AW411" s="1776"/>
      <c r="AX411" s="1776"/>
      <c r="AY411" s="1776"/>
      <c r="AZ411" s="1776">
        <v>1</v>
      </c>
    </row>
    <row r="412" spans="1:52" ht="13.5">
      <c r="A412" s="1479" t="s">
        <v>2811</v>
      </c>
      <c r="B412" s="1479" t="s">
        <v>2812</v>
      </c>
      <c r="C412" s="1741" t="s">
        <v>2108</v>
      </c>
      <c r="D412" s="1741">
        <v>1300</v>
      </c>
      <c r="E412" s="1741">
        <v>5620</v>
      </c>
      <c r="F412" s="1741" t="s">
        <v>2228</v>
      </c>
      <c r="G412" s="1741" t="s">
        <v>1152</v>
      </c>
      <c r="H412" s="1741" t="s">
        <v>586</v>
      </c>
      <c r="I412" s="1753" t="s">
        <v>2120</v>
      </c>
      <c r="J412" s="1754"/>
      <c r="K412" s="1754" t="s">
        <v>1666</v>
      </c>
      <c r="L412" s="1754" t="s">
        <v>1666</v>
      </c>
      <c r="M412" s="1755"/>
      <c r="N412" s="1756">
        <v>-1382.6</v>
      </c>
      <c r="O412" s="1757">
        <v>-1421.04</v>
      </c>
      <c r="P412" s="1758">
        <v>-1421.04</v>
      </c>
      <c r="Q412" s="1759">
        <v>0</v>
      </c>
      <c r="R412" s="1760">
        <v>0</v>
      </c>
      <c r="S412" s="1760">
        <v>-1004</v>
      </c>
      <c r="T412" s="1760">
        <v>-1004</v>
      </c>
      <c r="U412" s="1761">
        <v>0</v>
      </c>
      <c r="V412" s="1762">
        <v>0</v>
      </c>
      <c r="W412" s="1757">
        <v>0</v>
      </c>
      <c r="Z412" s="1773">
        <f t="shared" si="117"/>
        <v>0</v>
      </c>
      <c r="AA412" s="1773">
        <f t="shared" si="118"/>
        <v>0</v>
      </c>
      <c r="AB412" s="1773">
        <f t="shared" si="119"/>
        <v>0</v>
      </c>
      <c r="AC412" s="1773">
        <f t="shared" si="120"/>
        <v>0</v>
      </c>
      <c r="AD412" s="1773">
        <f t="shared" si="121"/>
        <v>0</v>
      </c>
      <c r="AE412" s="1773">
        <f t="shared" si="122"/>
        <v>0</v>
      </c>
      <c r="AF412" s="1773">
        <f t="shared" si="123"/>
        <v>0</v>
      </c>
      <c r="AG412" s="1773">
        <f t="shared" si="124"/>
        <v>0</v>
      </c>
      <c r="AH412" s="1773">
        <f t="shared" si="125"/>
        <v>0</v>
      </c>
      <c r="AI412" s="1773">
        <f t="shared" si="126"/>
        <v>0</v>
      </c>
      <c r="AJ412" s="1773">
        <f t="shared" si="127"/>
        <v>0</v>
      </c>
      <c r="AK412" s="1773">
        <f t="shared" si="128"/>
        <v>0</v>
      </c>
      <c r="AL412" s="1773">
        <f t="shared" si="129"/>
        <v>0</v>
      </c>
      <c r="AN412" s="1776"/>
      <c r="AO412" s="1776"/>
      <c r="AP412" s="1776"/>
      <c r="AQ412" s="1776"/>
      <c r="AR412" s="1776"/>
      <c r="AS412" s="1776"/>
      <c r="AT412" s="1776"/>
      <c r="AU412" s="1776"/>
      <c r="AV412" s="1776"/>
      <c r="AW412" s="1776"/>
      <c r="AX412" s="1776"/>
      <c r="AY412" s="1776"/>
      <c r="AZ412" s="1776">
        <v>1</v>
      </c>
    </row>
    <row r="413" spans="1:52" ht="13.5">
      <c r="A413" s="1479" t="s">
        <v>2813</v>
      </c>
      <c r="B413" s="1479" t="s">
        <v>2814</v>
      </c>
      <c r="C413" s="1741" t="s">
        <v>2108</v>
      </c>
      <c r="D413" s="1741">
        <v>1300</v>
      </c>
      <c r="E413" s="1741">
        <v>5760</v>
      </c>
      <c r="F413" s="1741" t="s">
        <v>2228</v>
      </c>
      <c r="G413" s="1741" t="s">
        <v>1152</v>
      </c>
      <c r="H413" s="1741" t="s">
        <v>586</v>
      </c>
      <c r="I413" s="1753" t="s">
        <v>2125</v>
      </c>
      <c r="J413" s="1754"/>
      <c r="K413" s="1753" t="s">
        <v>995</v>
      </c>
      <c r="L413" s="1754" t="s">
        <v>2173</v>
      </c>
      <c r="M413" s="1755"/>
      <c r="N413" s="1756">
        <v>-1654065.32</v>
      </c>
      <c r="O413" s="1757">
        <v>-1754722.1</v>
      </c>
      <c r="P413" s="1758">
        <v>-1309201.0299999998</v>
      </c>
      <c r="Q413" s="1759">
        <v>-1967460</v>
      </c>
      <c r="R413" s="1760">
        <v>-1967460</v>
      </c>
      <c r="S413" s="1760">
        <v>-2038297</v>
      </c>
      <c r="T413" s="1760">
        <v>-2038297</v>
      </c>
      <c r="U413" s="1761">
        <v>-1218902.7149999999</v>
      </c>
      <c r="V413" s="1762">
        <v>-2085505</v>
      </c>
      <c r="W413" s="1757">
        <v>-2210640</v>
      </c>
      <c r="Z413" s="1773">
        <f t="shared" si="117"/>
        <v>0</v>
      </c>
      <c r="AA413" s="1773">
        <f t="shared" si="118"/>
        <v>0</v>
      </c>
      <c r="AB413" s="1773">
        <f t="shared" si="119"/>
        <v>0</v>
      </c>
      <c r="AC413" s="1773">
        <f t="shared" si="120"/>
        <v>0</v>
      </c>
      <c r="AD413" s="1773">
        <f t="shared" si="121"/>
        <v>0</v>
      </c>
      <c r="AE413" s="1773">
        <f t="shared" si="122"/>
        <v>0</v>
      </c>
      <c r="AF413" s="1773">
        <f t="shared" si="123"/>
        <v>0</v>
      </c>
      <c r="AG413" s="1773">
        <f t="shared" si="124"/>
        <v>0</v>
      </c>
      <c r="AH413" s="1773">
        <f t="shared" si="125"/>
        <v>0</v>
      </c>
      <c r="AI413" s="1773">
        <f t="shared" si="126"/>
        <v>0</v>
      </c>
      <c r="AJ413" s="1773">
        <f t="shared" si="127"/>
        <v>0</v>
      </c>
      <c r="AK413" s="1773">
        <f t="shared" si="128"/>
        <v>0</v>
      </c>
      <c r="AL413" s="1773">
        <f t="shared" si="129"/>
        <v>-1218902.7149999999</v>
      </c>
      <c r="AN413" s="1776"/>
      <c r="AO413" s="1776"/>
      <c r="AP413" s="1776"/>
      <c r="AQ413" s="1776"/>
      <c r="AR413" s="1776"/>
      <c r="AS413" s="1776"/>
      <c r="AT413" s="1776"/>
      <c r="AU413" s="1776"/>
      <c r="AV413" s="1776"/>
      <c r="AW413" s="1776"/>
      <c r="AX413" s="1776"/>
      <c r="AY413" s="1776"/>
      <c r="AZ413" s="1776">
        <v>1</v>
      </c>
    </row>
    <row r="414" spans="1:52" ht="13.5">
      <c r="A414" s="1479" t="s">
        <v>2815</v>
      </c>
      <c r="B414" s="1479" t="s">
        <v>2816</v>
      </c>
      <c r="C414" s="1741" t="s">
        <v>2108</v>
      </c>
      <c r="D414" s="1741">
        <v>1300</v>
      </c>
      <c r="E414" s="1741">
        <v>5770</v>
      </c>
      <c r="F414" s="1741" t="s">
        <v>2228</v>
      </c>
      <c r="G414" s="1741" t="s">
        <v>1152</v>
      </c>
      <c r="H414" s="1741" t="s">
        <v>586</v>
      </c>
      <c r="I414" s="1753" t="s">
        <v>2120</v>
      </c>
      <c r="J414" s="1754"/>
      <c r="K414" s="1754" t="s">
        <v>1666</v>
      </c>
      <c r="L414" s="1754" t="s">
        <v>1666</v>
      </c>
      <c r="M414" s="1755"/>
      <c r="N414" s="1756">
        <v>0</v>
      </c>
      <c r="O414" s="1757">
        <v>-68</v>
      </c>
      <c r="P414" s="1758">
        <v>0</v>
      </c>
      <c r="Q414" s="1759">
        <v>0</v>
      </c>
      <c r="R414" s="1760">
        <v>0</v>
      </c>
      <c r="S414" s="1760">
        <v>0</v>
      </c>
      <c r="T414" s="1760">
        <v>0</v>
      </c>
      <c r="U414" s="1761">
        <v>0</v>
      </c>
      <c r="V414" s="1762">
        <v>0</v>
      </c>
      <c r="W414" s="1757">
        <v>0</v>
      </c>
      <c r="Z414" s="1773">
        <f t="shared" si="117"/>
        <v>0</v>
      </c>
      <c r="AA414" s="1773">
        <f t="shared" si="118"/>
        <v>0</v>
      </c>
      <c r="AB414" s="1773">
        <f t="shared" si="119"/>
        <v>0</v>
      </c>
      <c r="AC414" s="1773">
        <f t="shared" si="120"/>
        <v>0</v>
      </c>
      <c r="AD414" s="1773">
        <f t="shared" si="121"/>
        <v>0</v>
      </c>
      <c r="AE414" s="1773">
        <f t="shared" si="122"/>
        <v>0</v>
      </c>
      <c r="AF414" s="1773">
        <f t="shared" si="123"/>
        <v>0</v>
      </c>
      <c r="AG414" s="1773">
        <f t="shared" si="124"/>
        <v>0</v>
      </c>
      <c r="AH414" s="1773">
        <f t="shared" si="125"/>
        <v>0</v>
      </c>
      <c r="AI414" s="1773">
        <f t="shared" si="126"/>
        <v>0</v>
      </c>
      <c r="AJ414" s="1773">
        <f t="shared" si="127"/>
        <v>0</v>
      </c>
      <c r="AK414" s="1773">
        <f t="shared" si="128"/>
        <v>0</v>
      </c>
      <c r="AL414" s="1773">
        <f t="shared" si="129"/>
        <v>0</v>
      </c>
      <c r="AN414" s="1776"/>
      <c r="AO414" s="1776"/>
      <c r="AP414" s="1776"/>
      <c r="AQ414" s="1776"/>
      <c r="AR414" s="1776"/>
      <c r="AS414" s="1776"/>
      <c r="AT414" s="1776"/>
      <c r="AU414" s="1776"/>
      <c r="AV414" s="1776"/>
      <c r="AW414" s="1776"/>
      <c r="AX414" s="1776"/>
      <c r="AY414" s="1776"/>
      <c r="AZ414" s="1776">
        <v>1</v>
      </c>
    </row>
    <row r="415" spans="1:52" ht="13.5">
      <c r="A415" s="1479" t="s">
        <v>2817</v>
      </c>
      <c r="B415" s="1479" t="s">
        <v>2231</v>
      </c>
      <c r="C415" s="1741" t="s">
        <v>2108</v>
      </c>
      <c r="D415" s="1741">
        <v>1310</v>
      </c>
      <c r="E415" s="1741">
        <v>10</v>
      </c>
      <c r="F415" s="1741" t="s">
        <v>2218</v>
      </c>
      <c r="G415" s="1741" t="s">
        <v>2214</v>
      </c>
      <c r="H415" s="1741" t="s">
        <v>1658</v>
      </c>
      <c r="I415" s="1753" t="s">
        <v>3003</v>
      </c>
      <c r="J415" s="1754" t="s">
        <v>2109</v>
      </c>
      <c r="K415" s="1753" t="s">
        <v>497</v>
      </c>
      <c r="L415" s="1754" t="s">
        <v>1158</v>
      </c>
      <c r="M415" s="1755"/>
      <c r="N415" s="1756">
        <v>800</v>
      </c>
      <c r="O415" s="1757">
        <v>0</v>
      </c>
      <c r="P415" s="1758">
        <v>0</v>
      </c>
      <c r="Q415" s="1759">
        <v>383475</v>
      </c>
      <c r="R415" s="1760">
        <v>100000</v>
      </c>
      <c r="S415" s="1760">
        <v>40746</v>
      </c>
      <c r="T415" s="1760">
        <v>40746</v>
      </c>
      <c r="U415" s="1761">
        <v>423700.76159999997</v>
      </c>
      <c r="V415" s="1762">
        <f>U415*108%</f>
        <v>457596.82252799999</v>
      </c>
      <c r="W415" s="1757">
        <f>V415*108%</f>
        <v>494204.56833024003</v>
      </c>
      <c r="Z415" s="1773">
        <f t="shared" si="117"/>
        <v>0</v>
      </c>
      <c r="AA415" s="1773">
        <f t="shared" si="118"/>
        <v>0</v>
      </c>
      <c r="AB415" s="1773">
        <f t="shared" si="119"/>
        <v>0</v>
      </c>
      <c r="AC415" s="1773">
        <f t="shared" si="120"/>
        <v>0</v>
      </c>
      <c r="AD415" s="1773">
        <f t="shared" si="121"/>
        <v>0</v>
      </c>
      <c r="AE415" s="1773">
        <f t="shared" si="122"/>
        <v>0</v>
      </c>
      <c r="AF415" s="1773">
        <f t="shared" si="123"/>
        <v>0</v>
      </c>
      <c r="AG415" s="1773">
        <f t="shared" si="124"/>
        <v>0</v>
      </c>
      <c r="AH415" s="1773">
        <f t="shared" si="125"/>
        <v>0</v>
      </c>
      <c r="AI415" s="1773">
        <f t="shared" si="126"/>
        <v>0</v>
      </c>
      <c r="AJ415" s="1773">
        <f t="shared" si="127"/>
        <v>0</v>
      </c>
      <c r="AK415" s="1773">
        <f t="shared" si="128"/>
        <v>0</v>
      </c>
      <c r="AL415" s="1773">
        <f t="shared" si="129"/>
        <v>423700.76159999997</v>
      </c>
      <c r="AN415" s="1776"/>
      <c r="AO415" s="1776"/>
      <c r="AP415" s="1776"/>
      <c r="AQ415" s="1776"/>
      <c r="AR415" s="1776"/>
      <c r="AS415" s="1776"/>
      <c r="AT415" s="1776"/>
      <c r="AU415" s="1776"/>
      <c r="AV415" s="1776"/>
      <c r="AW415" s="1776"/>
      <c r="AX415" s="1776"/>
      <c r="AY415" s="1776"/>
      <c r="AZ415" s="1776">
        <v>1</v>
      </c>
    </row>
    <row r="416" spans="1:52" ht="13.5">
      <c r="A416" t="s">
        <v>2818</v>
      </c>
      <c r="B416" t="s">
        <v>2233</v>
      </c>
      <c r="C416" s="1741" t="s">
        <v>2108</v>
      </c>
      <c r="D416" s="1741">
        <v>1310</v>
      </c>
      <c r="E416" s="1741">
        <v>30</v>
      </c>
      <c r="F416" s="1741" t="s">
        <v>2218</v>
      </c>
      <c r="G416" s="1741" t="s">
        <v>2214</v>
      </c>
      <c r="H416" s="1741" t="s">
        <v>1658</v>
      </c>
      <c r="I416" s="1753" t="s">
        <v>3003</v>
      </c>
      <c r="J416" s="1754" t="s">
        <v>3004</v>
      </c>
      <c r="K416" s="1753" t="s">
        <v>497</v>
      </c>
      <c r="L416" s="1754" t="s">
        <v>1159</v>
      </c>
      <c r="M416" s="1755"/>
      <c r="N416" s="1756"/>
      <c r="O416" s="1757"/>
      <c r="P416" s="1758"/>
      <c r="Q416" s="1759">
        <v>390</v>
      </c>
      <c r="R416" s="1760">
        <v>390</v>
      </c>
      <c r="S416" s="1760">
        <v>45</v>
      </c>
      <c r="T416" s="1760">
        <v>45</v>
      </c>
      <c r="U416" s="1761">
        <v>426.79154534400004</v>
      </c>
      <c r="V416" s="1762">
        <v>435</v>
      </c>
      <c r="W416" s="1757">
        <v>442</v>
      </c>
      <c r="Z416" s="1773">
        <f t="shared" si="117"/>
        <v>0</v>
      </c>
      <c r="AA416" s="1773">
        <f t="shared" si="118"/>
        <v>0</v>
      </c>
      <c r="AB416" s="1773">
        <f t="shared" si="119"/>
        <v>0</v>
      </c>
      <c r="AC416" s="1773">
        <f t="shared" si="120"/>
        <v>0</v>
      </c>
      <c r="AD416" s="1773">
        <f t="shared" si="121"/>
        <v>0</v>
      </c>
      <c r="AE416" s="1773">
        <f t="shared" si="122"/>
        <v>0</v>
      </c>
      <c r="AF416" s="1773">
        <f t="shared" si="123"/>
        <v>0</v>
      </c>
      <c r="AG416" s="1773">
        <f t="shared" si="124"/>
        <v>0</v>
      </c>
      <c r="AH416" s="1773">
        <f t="shared" si="125"/>
        <v>0</v>
      </c>
      <c r="AI416" s="1773">
        <f t="shared" si="126"/>
        <v>0</v>
      </c>
      <c r="AJ416" s="1773">
        <f t="shared" si="127"/>
        <v>0</v>
      </c>
      <c r="AK416" s="1773">
        <f t="shared" si="128"/>
        <v>0</v>
      </c>
      <c r="AL416" s="1773">
        <f t="shared" si="129"/>
        <v>426.79154534400004</v>
      </c>
      <c r="AN416" s="1776"/>
      <c r="AO416" s="1776"/>
      <c r="AP416" s="1776"/>
      <c r="AQ416" s="1776"/>
      <c r="AR416" s="1776"/>
      <c r="AS416" s="1776"/>
      <c r="AT416" s="1776"/>
      <c r="AU416" s="1776"/>
      <c r="AV416" s="1776"/>
      <c r="AW416" s="1776"/>
      <c r="AX416" s="1776"/>
      <c r="AY416" s="1776"/>
      <c r="AZ416" s="1776">
        <v>1</v>
      </c>
    </row>
    <row r="417" spans="1:52">
      <c r="A417" t="s">
        <v>2819</v>
      </c>
      <c r="B417" t="s">
        <v>2235</v>
      </c>
      <c r="C417" s="1741" t="s">
        <v>2108</v>
      </c>
      <c r="D417" s="1741">
        <v>1310</v>
      </c>
      <c r="E417" s="1741">
        <v>50</v>
      </c>
      <c r="F417" s="1741" t="s">
        <v>2218</v>
      </c>
      <c r="G417" s="1741" t="s">
        <v>2214</v>
      </c>
      <c r="H417" s="1741" t="s">
        <v>1658</v>
      </c>
      <c r="I417" s="1753" t="s">
        <v>3003</v>
      </c>
      <c r="J417" s="1754" t="s">
        <v>2110</v>
      </c>
      <c r="K417" s="1753" t="s">
        <v>497</v>
      </c>
      <c r="L417" s="1754" t="s">
        <v>1159</v>
      </c>
      <c r="M417" s="1754"/>
      <c r="N417" s="1756"/>
      <c r="O417" s="1757"/>
      <c r="P417" s="1758"/>
      <c r="Q417" s="1759">
        <v>87240</v>
      </c>
      <c r="R417" s="1760">
        <v>30000</v>
      </c>
      <c r="S417" s="1760">
        <v>9771</v>
      </c>
      <c r="T417" s="1760">
        <v>9771</v>
      </c>
      <c r="U417" s="1761">
        <v>96391.923263999983</v>
      </c>
      <c r="V417" s="1762">
        <f>U417*108%</f>
        <v>104103.27712511999</v>
      </c>
      <c r="W417" s="1757">
        <f>V417*108%</f>
        <v>112431.53929512959</v>
      </c>
      <c r="Z417" s="1773">
        <f t="shared" si="117"/>
        <v>0</v>
      </c>
      <c r="AA417" s="1773">
        <f t="shared" si="118"/>
        <v>0</v>
      </c>
      <c r="AB417" s="1773">
        <f t="shared" si="119"/>
        <v>0</v>
      </c>
      <c r="AC417" s="1773">
        <f t="shared" si="120"/>
        <v>0</v>
      </c>
      <c r="AD417" s="1773">
        <f t="shared" si="121"/>
        <v>0</v>
      </c>
      <c r="AE417" s="1773">
        <f t="shared" si="122"/>
        <v>0</v>
      </c>
      <c r="AF417" s="1773">
        <f t="shared" si="123"/>
        <v>0</v>
      </c>
      <c r="AG417" s="1773">
        <f t="shared" si="124"/>
        <v>0</v>
      </c>
      <c r="AH417" s="1773">
        <f t="shared" si="125"/>
        <v>0</v>
      </c>
      <c r="AI417" s="1773">
        <f t="shared" si="126"/>
        <v>0</v>
      </c>
      <c r="AJ417" s="1773">
        <f t="shared" si="127"/>
        <v>0</v>
      </c>
      <c r="AK417" s="1773">
        <f t="shared" si="128"/>
        <v>0</v>
      </c>
      <c r="AL417" s="1773">
        <f t="shared" si="129"/>
        <v>96391.923263999983</v>
      </c>
      <c r="AN417" s="1776"/>
      <c r="AO417" s="1776"/>
      <c r="AP417" s="1776"/>
      <c r="AQ417" s="1776"/>
      <c r="AR417" s="1776"/>
      <c r="AS417" s="1776"/>
      <c r="AT417" s="1776"/>
      <c r="AU417" s="1776"/>
      <c r="AV417" s="1776"/>
      <c r="AW417" s="1776"/>
      <c r="AX417" s="1776"/>
      <c r="AY417" s="1776"/>
      <c r="AZ417" s="1776">
        <v>1</v>
      </c>
    </row>
    <row r="418" spans="1:52">
      <c r="A418" t="s">
        <v>2820</v>
      </c>
      <c r="B418" t="s">
        <v>2237</v>
      </c>
      <c r="C418" s="1741" t="s">
        <v>2108</v>
      </c>
      <c r="D418" s="1741">
        <v>1310</v>
      </c>
      <c r="E418" s="1741">
        <v>60</v>
      </c>
      <c r="F418" s="1741" t="s">
        <v>2218</v>
      </c>
      <c r="G418" s="1741" t="s">
        <v>2214</v>
      </c>
      <c r="H418" s="1741" t="s">
        <v>1658</v>
      </c>
      <c r="I418" s="1753" t="s">
        <v>3003</v>
      </c>
      <c r="J418" s="1754" t="s">
        <v>2110</v>
      </c>
      <c r="K418" s="1753" t="s">
        <v>497</v>
      </c>
      <c r="L418" s="1754" t="s">
        <v>1159</v>
      </c>
      <c r="M418" s="1754"/>
      <c r="N418" s="1756"/>
      <c r="O418" s="1757"/>
      <c r="P418" s="1758"/>
      <c r="Q418" s="1759">
        <v>2485</v>
      </c>
      <c r="R418" s="1760">
        <v>2485</v>
      </c>
      <c r="S418" s="1760">
        <v>279</v>
      </c>
      <c r="T418" s="1760">
        <v>279</v>
      </c>
      <c r="U418" s="1761">
        <v>2713.5894240000002</v>
      </c>
      <c r="V418" s="1762">
        <v>2660</v>
      </c>
      <c r="W418" s="1757">
        <v>2845</v>
      </c>
      <c r="Z418" s="1773">
        <f t="shared" si="117"/>
        <v>0</v>
      </c>
      <c r="AA418" s="1773">
        <f t="shared" si="118"/>
        <v>0</v>
      </c>
      <c r="AB418" s="1773">
        <f t="shared" si="119"/>
        <v>0</v>
      </c>
      <c r="AC418" s="1773">
        <f t="shared" si="120"/>
        <v>0</v>
      </c>
      <c r="AD418" s="1773">
        <f t="shared" si="121"/>
        <v>0</v>
      </c>
      <c r="AE418" s="1773">
        <f t="shared" si="122"/>
        <v>0</v>
      </c>
      <c r="AF418" s="1773">
        <f t="shared" si="123"/>
        <v>0</v>
      </c>
      <c r="AG418" s="1773">
        <f t="shared" si="124"/>
        <v>0</v>
      </c>
      <c r="AH418" s="1773">
        <f t="shared" si="125"/>
        <v>0</v>
      </c>
      <c r="AI418" s="1773">
        <f t="shared" si="126"/>
        <v>0</v>
      </c>
      <c r="AJ418" s="1773">
        <f t="shared" si="127"/>
        <v>0</v>
      </c>
      <c r="AK418" s="1773">
        <f t="shared" si="128"/>
        <v>0</v>
      </c>
      <c r="AL418" s="1773">
        <f t="shared" si="129"/>
        <v>2713.5894240000002</v>
      </c>
      <c r="AN418" s="1776"/>
      <c r="AO418" s="1776"/>
      <c r="AP418" s="1776"/>
      <c r="AQ418" s="1776"/>
      <c r="AR418" s="1776"/>
      <c r="AS418" s="1776"/>
      <c r="AT418" s="1776"/>
      <c r="AU418" s="1776"/>
      <c r="AV418" s="1776"/>
      <c r="AW418" s="1776"/>
      <c r="AX418" s="1776"/>
      <c r="AY418" s="1776"/>
      <c r="AZ418" s="1776">
        <v>1</v>
      </c>
    </row>
    <row r="419" spans="1:52">
      <c r="A419" t="s">
        <v>2821</v>
      </c>
      <c r="B419" t="s">
        <v>2241</v>
      </c>
      <c r="C419" s="1741" t="s">
        <v>2108</v>
      </c>
      <c r="D419" s="1741">
        <v>1310</v>
      </c>
      <c r="E419" s="1741">
        <v>140</v>
      </c>
      <c r="F419" s="1741" t="s">
        <v>2218</v>
      </c>
      <c r="G419" s="1741" t="s">
        <v>2214</v>
      </c>
      <c r="H419" s="1741" t="s">
        <v>1658</v>
      </c>
      <c r="I419" s="1753" t="s">
        <v>3003</v>
      </c>
      <c r="J419" s="1754" t="s">
        <v>3005</v>
      </c>
      <c r="K419" s="1753" t="s">
        <v>497</v>
      </c>
      <c r="L419" s="1754" t="s">
        <v>1163</v>
      </c>
      <c r="M419" s="1754"/>
      <c r="N419" s="1756"/>
      <c r="O419" s="1757"/>
      <c r="P419" s="1758"/>
      <c r="Q419" s="1759">
        <v>31960</v>
      </c>
      <c r="R419" s="1760">
        <v>0</v>
      </c>
      <c r="S419" s="1760">
        <v>0</v>
      </c>
      <c r="T419" s="1760">
        <v>0</v>
      </c>
      <c r="U419" s="1761">
        <v>35308.396800000002</v>
      </c>
      <c r="V419" s="1762">
        <f>U419*108%</f>
        <v>38133.068544000002</v>
      </c>
      <c r="W419" s="1757">
        <f>V419*108%</f>
        <v>41183.714027520007</v>
      </c>
      <c r="Z419" s="1773">
        <f t="shared" si="117"/>
        <v>0</v>
      </c>
      <c r="AA419" s="1773">
        <f t="shared" si="118"/>
        <v>0</v>
      </c>
      <c r="AB419" s="1773">
        <f t="shared" si="119"/>
        <v>0</v>
      </c>
      <c r="AC419" s="1773">
        <f t="shared" si="120"/>
        <v>0</v>
      </c>
      <c r="AD419" s="1773">
        <f t="shared" si="121"/>
        <v>0</v>
      </c>
      <c r="AE419" s="1773">
        <f t="shared" si="122"/>
        <v>0</v>
      </c>
      <c r="AF419" s="1773">
        <f t="shared" si="123"/>
        <v>0</v>
      </c>
      <c r="AG419" s="1773">
        <f t="shared" si="124"/>
        <v>0</v>
      </c>
      <c r="AH419" s="1773">
        <f t="shared" si="125"/>
        <v>0</v>
      </c>
      <c r="AI419" s="1773">
        <f t="shared" si="126"/>
        <v>0</v>
      </c>
      <c r="AJ419" s="1773">
        <f t="shared" si="127"/>
        <v>0</v>
      </c>
      <c r="AK419" s="1773">
        <f t="shared" si="128"/>
        <v>0</v>
      </c>
      <c r="AL419" s="1773">
        <f t="shared" si="129"/>
        <v>35308.396800000002</v>
      </c>
      <c r="AN419" s="1776"/>
      <c r="AO419" s="1776"/>
      <c r="AP419" s="1776"/>
      <c r="AQ419" s="1776"/>
      <c r="AR419" s="1776"/>
      <c r="AS419" s="1776"/>
      <c r="AT419" s="1776"/>
      <c r="AU419" s="1776"/>
      <c r="AV419" s="1776"/>
      <c r="AW419" s="1776"/>
      <c r="AX419" s="1776"/>
      <c r="AY419" s="1776"/>
      <c r="AZ419" s="1776">
        <v>1</v>
      </c>
    </row>
    <row r="420" spans="1:52">
      <c r="A420" s="1479" t="s">
        <v>2822</v>
      </c>
      <c r="B420" s="1479" t="s">
        <v>2243</v>
      </c>
      <c r="C420" s="1741" t="s">
        <v>2108</v>
      </c>
      <c r="D420" s="1741">
        <v>1310</v>
      </c>
      <c r="E420" s="1741">
        <v>520</v>
      </c>
      <c r="F420" s="1741" t="s">
        <v>2218</v>
      </c>
      <c r="G420" s="1741" t="s">
        <v>2214</v>
      </c>
      <c r="H420" s="1741" t="s">
        <v>1658</v>
      </c>
      <c r="I420" s="1753" t="s">
        <v>2114</v>
      </c>
      <c r="J420" s="1754" t="s">
        <v>2138</v>
      </c>
      <c r="K420" s="1753" t="s">
        <v>2114</v>
      </c>
      <c r="L420" s="1754" t="s">
        <v>2138</v>
      </c>
      <c r="M420" s="1754"/>
      <c r="N420" s="1756">
        <v>11083.43</v>
      </c>
      <c r="O420" s="1757">
        <v>11212.98</v>
      </c>
      <c r="P420" s="1758">
        <v>10420.32</v>
      </c>
      <c r="Q420" s="1759">
        <v>14000</v>
      </c>
      <c r="R420" s="1760">
        <v>0</v>
      </c>
      <c r="S420" s="1760">
        <v>0</v>
      </c>
      <c r="T420" s="1760">
        <v>0</v>
      </c>
      <c r="U420" s="1761">
        <v>0</v>
      </c>
      <c r="V420" s="1762">
        <v>16095</v>
      </c>
      <c r="W420" s="1757">
        <v>18510</v>
      </c>
      <c r="Z420" s="1773">
        <f t="shared" si="117"/>
        <v>0</v>
      </c>
      <c r="AA420" s="1773">
        <f t="shared" si="118"/>
        <v>0</v>
      </c>
      <c r="AB420" s="1773">
        <f t="shared" si="119"/>
        <v>0</v>
      </c>
      <c r="AC420" s="1773">
        <f t="shared" si="120"/>
        <v>0</v>
      </c>
      <c r="AD420" s="1773">
        <f t="shared" si="121"/>
        <v>0</v>
      </c>
      <c r="AE420" s="1773">
        <f t="shared" si="122"/>
        <v>0</v>
      </c>
      <c r="AF420" s="1773">
        <f t="shared" si="123"/>
        <v>0</v>
      </c>
      <c r="AG420" s="1773">
        <f t="shared" si="124"/>
        <v>0</v>
      </c>
      <c r="AH420" s="1773">
        <f t="shared" si="125"/>
        <v>0</v>
      </c>
      <c r="AI420" s="1773">
        <f t="shared" si="126"/>
        <v>0</v>
      </c>
      <c r="AJ420" s="1773">
        <f t="shared" si="127"/>
        <v>0</v>
      </c>
      <c r="AK420" s="1773">
        <f t="shared" si="128"/>
        <v>0</v>
      </c>
      <c r="AL420" s="1773">
        <f t="shared" si="129"/>
        <v>0</v>
      </c>
      <c r="AN420" s="1776"/>
      <c r="AO420" s="1776"/>
      <c r="AP420" s="1776"/>
      <c r="AQ420" s="1776"/>
      <c r="AR420" s="1776"/>
      <c r="AS420" s="1776"/>
      <c r="AT420" s="1776"/>
      <c r="AU420" s="1776"/>
      <c r="AV420" s="1776"/>
      <c r="AW420" s="1776"/>
      <c r="AX420" s="1776"/>
      <c r="AY420" s="1776"/>
      <c r="AZ420" s="1776">
        <v>1</v>
      </c>
    </row>
    <row r="421" spans="1:52">
      <c r="A421" s="1479" t="s">
        <v>2823</v>
      </c>
      <c r="B421" s="1479" t="s">
        <v>2295</v>
      </c>
      <c r="C421" s="1741" t="s">
        <v>2108</v>
      </c>
      <c r="D421" s="1741">
        <v>1310</v>
      </c>
      <c r="E421" s="1741">
        <v>1090</v>
      </c>
      <c r="F421" s="1741" t="s">
        <v>2218</v>
      </c>
      <c r="G421" s="1741" t="s">
        <v>2214</v>
      </c>
      <c r="H421" s="1741" t="s">
        <v>1658</v>
      </c>
      <c r="I421" s="1753" t="s">
        <v>2114</v>
      </c>
      <c r="J421" s="1754" t="s">
        <v>3012</v>
      </c>
      <c r="K421" s="1753" t="s">
        <v>2114</v>
      </c>
      <c r="L421" s="1754" t="s">
        <v>3012</v>
      </c>
      <c r="M421" s="1754"/>
      <c r="N421" s="1756">
        <v>10513.48</v>
      </c>
      <c r="O421" s="1757">
        <v>9161.94</v>
      </c>
      <c r="P421" s="1758">
        <v>11051.67</v>
      </c>
      <c r="Q421" s="1759">
        <v>9010</v>
      </c>
      <c r="R421" s="1760">
        <v>15000</v>
      </c>
      <c r="S421" s="1760">
        <v>10593</v>
      </c>
      <c r="T421" s="1760">
        <v>10593</v>
      </c>
      <c r="U421" s="1761">
        <v>10000</v>
      </c>
      <c r="V421" s="1762">
        <v>12000</v>
      </c>
      <c r="W421" s="1757">
        <v>14000</v>
      </c>
      <c r="Z421" s="1773">
        <f t="shared" si="117"/>
        <v>0</v>
      </c>
      <c r="AA421" s="1773">
        <f t="shared" si="118"/>
        <v>0</v>
      </c>
      <c r="AB421" s="1773">
        <f t="shared" si="119"/>
        <v>0</v>
      </c>
      <c r="AC421" s="1773">
        <f t="shared" si="120"/>
        <v>0</v>
      </c>
      <c r="AD421" s="1773">
        <f t="shared" si="121"/>
        <v>0</v>
      </c>
      <c r="AE421" s="1773">
        <f t="shared" si="122"/>
        <v>0</v>
      </c>
      <c r="AF421" s="1773">
        <f t="shared" si="123"/>
        <v>0</v>
      </c>
      <c r="AG421" s="1773">
        <f t="shared" si="124"/>
        <v>0</v>
      </c>
      <c r="AH421" s="1773">
        <f t="shared" si="125"/>
        <v>0</v>
      </c>
      <c r="AI421" s="1773">
        <f t="shared" si="126"/>
        <v>0</v>
      </c>
      <c r="AJ421" s="1773">
        <f t="shared" si="127"/>
        <v>0</v>
      </c>
      <c r="AK421" s="1773">
        <f t="shared" si="128"/>
        <v>0</v>
      </c>
      <c r="AL421" s="1773">
        <f t="shared" si="129"/>
        <v>10000</v>
      </c>
      <c r="AN421" s="1776"/>
      <c r="AO421" s="1776"/>
      <c r="AP421" s="1776"/>
      <c r="AQ421" s="1776"/>
      <c r="AR421" s="1776"/>
      <c r="AS421" s="1776"/>
      <c r="AT421" s="1776"/>
      <c r="AU421" s="1776"/>
      <c r="AV421" s="1776"/>
      <c r="AW421" s="1776"/>
      <c r="AX421" s="1776"/>
      <c r="AY421" s="1776"/>
      <c r="AZ421" s="1776">
        <v>1</v>
      </c>
    </row>
    <row r="422" spans="1:52">
      <c r="A422" s="1479" t="s">
        <v>2824</v>
      </c>
      <c r="B422" s="1479" t="s">
        <v>2297</v>
      </c>
      <c r="C422" s="1741" t="s">
        <v>2108</v>
      </c>
      <c r="D422" s="1741">
        <v>1310</v>
      </c>
      <c r="E422" s="1741">
        <v>1100</v>
      </c>
      <c r="F422" s="1741" t="s">
        <v>2218</v>
      </c>
      <c r="G422" s="1741" t="s">
        <v>2214</v>
      </c>
      <c r="H422" s="1741" t="s">
        <v>1658</v>
      </c>
      <c r="I422" s="1753" t="s">
        <v>2114</v>
      </c>
      <c r="J422" s="1754" t="s">
        <v>3012</v>
      </c>
      <c r="K422" s="1753" t="s">
        <v>2114</v>
      </c>
      <c r="L422" s="1754" t="s">
        <v>3012</v>
      </c>
      <c r="M422" s="1754"/>
      <c r="N422" s="1756">
        <v>32983.089999999997</v>
      </c>
      <c r="O422" s="1757">
        <v>32544.25</v>
      </c>
      <c r="P422" s="1758">
        <v>35041.5</v>
      </c>
      <c r="Q422" s="1759">
        <v>43965</v>
      </c>
      <c r="R422" s="1760">
        <v>60000</v>
      </c>
      <c r="S422" s="1760">
        <v>40343</v>
      </c>
      <c r="T422" s="1760">
        <v>40343</v>
      </c>
      <c r="U422" s="1761">
        <v>35000</v>
      </c>
      <c r="V422" s="1762">
        <v>46605</v>
      </c>
      <c r="W422" s="1757">
        <v>49400</v>
      </c>
      <c r="Z422" s="1773">
        <f t="shared" si="117"/>
        <v>0</v>
      </c>
      <c r="AA422" s="1773">
        <f t="shared" si="118"/>
        <v>0</v>
      </c>
      <c r="AB422" s="1773">
        <f t="shared" si="119"/>
        <v>0</v>
      </c>
      <c r="AC422" s="1773">
        <f t="shared" si="120"/>
        <v>0</v>
      </c>
      <c r="AD422" s="1773">
        <f t="shared" si="121"/>
        <v>0</v>
      </c>
      <c r="AE422" s="1773">
        <f t="shared" si="122"/>
        <v>0</v>
      </c>
      <c r="AF422" s="1773">
        <f t="shared" si="123"/>
        <v>0</v>
      </c>
      <c r="AG422" s="1773">
        <f t="shared" si="124"/>
        <v>0</v>
      </c>
      <c r="AH422" s="1773">
        <f t="shared" si="125"/>
        <v>0</v>
      </c>
      <c r="AI422" s="1773">
        <f t="shared" si="126"/>
        <v>0</v>
      </c>
      <c r="AJ422" s="1773">
        <f t="shared" si="127"/>
        <v>0</v>
      </c>
      <c r="AK422" s="1773">
        <f t="shared" si="128"/>
        <v>0</v>
      </c>
      <c r="AL422" s="1773">
        <f t="shared" si="129"/>
        <v>35000</v>
      </c>
      <c r="AN422" s="1776"/>
      <c r="AO422" s="1776"/>
      <c r="AP422" s="1776"/>
      <c r="AQ422" s="1776"/>
      <c r="AR422" s="1776"/>
      <c r="AS422" s="1776"/>
      <c r="AT422" s="1776"/>
      <c r="AU422" s="1776"/>
      <c r="AV422" s="1776"/>
      <c r="AW422" s="1776"/>
      <c r="AX422" s="1776"/>
      <c r="AY422" s="1776"/>
      <c r="AZ422" s="1776">
        <v>1</v>
      </c>
    </row>
    <row r="423" spans="1:52">
      <c r="A423" s="1479" t="s">
        <v>2825</v>
      </c>
      <c r="B423" s="1479" t="s">
        <v>2299</v>
      </c>
      <c r="C423" s="1741" t="s">
        <v>2108</v>
      </c>
      <c r="D423" s="1741">
        <v>1310</v>
      </c>
      <c r="E423" s="1741">
        <v>1110</v>
      </c>
      <c r="F423" s="1741" t="s">
        <v>2218</v>
      </c>
      <c r="G423" s="1741" t="s">
        <v>2214</v>
      </c>
      <c r="H423" s="1741" t="s">
        <v>1658</v>
      </c>
      <c r="I423" s="1753" t="s">
        <v>2114</v>
      </c>
      <c r="J423" s="1754" t="s">
        <v>3012</v>
      </c>
      <c r="K423" s="1753" t="s">
        <v>2114</v>
      </c>
      <c r="L423" s="1754" t="s">
        <v>3012</v>
      </c>
      <c r="M423" s="1754"/>
      <c r="N423" s="1756">
        <v>10659.2</v>
      </c>
      <c r="O423" s="1757">
        <v>10793.8</v>
      </c>
      <c r="P423" s="1758">
        <v>11511.4</v>
      </c>
      <c r="Q423" s="1759">
        <v>15000</v>
      </c>
      <c r="R423" s="1760">
        <v>20000</v>
      </c>
      <c r="S423" s="1760">
        <v>12266</v>
      </c>
      <c r="T423" s="1760">
        <v>12266</v>
      </c>
      <c r="U423" s="1761">
        <v>15000</v>
      </c>
      <c r="V423" s="1762">
        <v>15100</v>
      </c>
      <c r="W423" s="1757">
        <v>15200</v>
      </c>
      <c r="Z423" s="1773">
        <f t="shared" si="117"/>
        <v>0</v>
      </c>
      <c r="AA423" s="1773">
        <f t="shared" si="118"/>
        <v>0</v>
      </c>
      <c r="AB423" s="1773">
        <f t="shared" si="119"/>
        <v>0</v>
      </c>
      <c r="AC423" s="1773">
        <f t="shared" si="120"/>
        <v>0</v>
      </c>
      <c r="AD423" s="1773">
        <f t="shared" si="121"/>
        <v>0</v>
      </c>
      <c r="AE423" s="1773">
        <f t="shared" si="122"/>
        <v>0</v>
      </c>
      <c r="AF423" s="1773">
        <f t="shared" si="123"/>
        <v>0</v>
      </c>
      <c r="AG423" s="1773">
        <f t="shared" si="124"/>
        <v>0</v>
      </c>
      <c r="AH423" s="1773">
        <f t="shared" si="125"/>
        <v>0</v>
      </c>
      <c r="AI423" s="1773">
        <f t="shared" si="126"/>
        <v>0</v>
      </c>
      <c r="AJ423" s="1773">
        <f t="shared" si="127"/>
        <v>0</v>
      </c>
      <c r="AK423" s="1773">
        <f t="shared" si="128"/>
        <v>0</v>
      </c>
      <c r="AL423" s="1773">
        <f t="shared" si="129"/>
        <v>15000</v>
      </c>
      <c r="AN423" s="1776"/>
      <c r="AO423" s="1776"/>
      <c r="AP423" s="1776"/>
      <c r="AQ423" s="1776"/>
      <c r="AR423" s="1776"/>
      <c r="AS423" s="1776"/>
      <c r="AT423" s="1776"/>
      <c r="AU423" s="1776"/>
      <c r="AV423" s="1776"/>
      <c r="AW423" s="1776"/>
      <c r="AX423" s="1776"/>
      <c r="AY423" s="1776"/>
      <c r="AZ423" s="1776">
        <v>1</v>
      </c>
    </row>
    <row r="424" spans="1:52" ht="13.5">
      <c r="A424" s="1479" t="s">
        <v>2826</v>
      </c>
      <c r="B424" s="1479" t="s">
        <v>2301</v>
      </c>
      <c r="C424" s="1741" t="s">
        <v>2108</v>
      </c>
      <c r="D424" s="1741">
        <v>1310</v>
      </c>
      <c r="E424" s="1741">
        <v>1120</v>
      </c>
      <c r="F424" s="1741" t="s">
        <v>2218</v>
      </c>
      <c r="G424" s="1741" t="s">
        <v>2214</v>
      </c>
      <c r="H424" s="1741" t="s">
        <v>1658</v>
      </c>
      <c r="I424" s="1753" t="s">
        <v>2114</v>
      </c>
      <c r="J424" s="1754" t="s">
        <v>3012</v>
      </c>
      <c r="K424" s="1753" t="s">
        <v>2114</v>
      </c>
      <c r="L424" s="1754" t="s">
        <v>3012</v>
      </c>
      <c r="M424" s="1763"/>
      <c r="N424" s="1756">
        <v>9646.0400000000009</v>
      </c>
      <c r="O424" s="1757">
        <v>13437.83</v>
      </c>
      <c r="P424" s="1758">
        <v>12943.76</v>
      </c>
      <c r="Q424" s="1759">
        <v>20000</v>
      </c>
      <c r="R424" s="1760">
        <v>30000</v>
      </c>
      <c r="S424" s="1760">
        <v>15246</v>
      </c>
      <c r="T424" s="1760">
        <v>15246</v>
      </c>
      <c r="U424" s="1761">
        <v>20000</v>
      </c>
      <c r="V424" s="1762">
        <v>21000</v>
      </c>
      <c r="W424" s="1757">
        <v>22000</v>
      </c>
      <c r="Z424" s="1773">
        <f t="shared" si="117"/>
        <v>0</v>
      </c>
      <c r="AA424" s="1773">
        <f t="shared" si="118"/>
        <v>0</v>
      </c>
      <c r="AB424" s="1773">
        <f t="shared" si="119"/>
        <v>0</v>
      </c>
      <c r="AC424" s="1773">
        <f t="shared" si="120"/>
        <v>0</v>
      </c>
      <c r="AD424" s="1773">
        <f t="shared" si="121"/>
        <v>0</v>
      </c>
      <c r="AE424" s="1773">
        <f t="shared" si="122"/>
        <v>0</v>
      </c>
      <c r="AF424" s="1773">
        <f t="shared" si="123"/>
        <v>0</v>
      </c>
      <c r="AG424" s="1773">
        <f t="shared" si="124"/>
        <v>0</v>
      </c>
      <c r="AH424" s="1773">
        <f t="shared" si="125"/>
        <v>0</v>
      </c>
      <c r="AI424" s="1773">
        <f t="shared" si="126"/>
        <v>0</v>
      </c>
      <c r="AJ424" s="1773">
        <f t="shared" si="127"/>
        <v>0</v>
      </c>
      <c r="AK424" s="1773">
        <f t="shared" si="128"/>
        <v>0</v>
      </c>
      <c r="AL424" s="1773">
        <f t="shared" si="129"/>
        <v>20000</v>
      </c>
      <c r="AN424" s="1776"/>
      <c r="AO424" s="1776"/>
      <c r="AP424" s="1776"/>
      <c r="AQ424" s="1776"/>
      <c r="AR424" s="1776"/>
      <c r="AS424" s="1776"/>
      <c r="AT424" s="1776"/>
      <c r="AU424" s="1776"/>
      <c r="AV424" s="1776"/>
      <c r="AW424" s="1776"/>
      <c r="AX424" s="1776"/>
      <c r="AY424" s="1776"/>
      <c r="AZ424" s="1776">
        <v>1</v>
      </c>
    </row>
    <row r="425" spans="1:52" ht="13.5">
      <c r="A425" s="1479" t="s">
        <v>2827</v>
      </c>
      <c r="B425" s="1479" t="s">
        <v>2251</v>
      </c>
      <c r="C425" s="1741" t="s">
        <v>2108</v>
      </c>
      <c r="D425" s="1741">
        <v>1310</v>
      </c>
      <c r="E425" s="1741">
        <v>1440</v>
      </c>
      <c r="F425" s="1741" t="s">
        <v>2218</v>
      </c>
      <c r="G425" s="1741" t="s">
        <v>2214</v>
      </c>
      <c r="H425" s="1741" t="s">
        <v>1658</v>
      </c>
      <c r="I425" s="1753" t="s">
        <v>2115</v>
      </c>
      <c r="J425" s="1754"/>
      <c r="K425" s="1753" t="s">
        <v>1596</v>
      </c>
      <c r="L425" s="1754" t="s">
        <v>1696</v>
      </c>
      <c r="M425" s="1763"/>
      <c r="N425" s="1756">
        <v>0</v>
      </c>
      <c r="O425" s="1757">
        <v>494044</v>
      </c>
      <c r="P425" s="1758">
        <v>0</v>
      </c>
      <c r="Q425" s="1759">
        <v>4000</v>
      </c>
      <c r="R425" s="1760">
        <v>4000</v>
      </c>
      <c r="S425" s="1760">
        <v>448</v>
      </c>
      <c r="T425" s="1760">
        <v>448</v>
      </c>
      <c r="U425" s="1761">
        <v>0</v>
      </c>
      <c r="V425" s="1762">
        <v>5000</v>
      </c>
      <c r="W425" s="1757">
        <v>6000</v>
      </c>
      <c r="Z425" s="1773">
        <f t="shared" si="117"/>
        <v>0</v>
      </c>
      <c r="AA425" s="1773">
        <f t="shared" si="118"/>
        <v>0</v>
      </c>
      <c r="AB425" s="1773">
        <f t="shared" si="119"/>
        <v>0</v>
      </c>
      <c r="AC425" s="1773">
        <f t="shared" si="120"/>
        <v>0</v>
      </c>
      <c r="AD425" s="1773">
        <f t="shared" si="121"/>
        <v>0</v>
      </c>
      <c r="AE425" s="1773">
        <f t="shared" si="122"/>
        <v>0</v>
      </c>
      <c r="AF425" s="1773">
        <f t="shared" si="123"/>
        <v>0</v>
      </c>
      <c r="AG425" s="1773">
        <f t="shared" si="124"/>
        <v>0</v>
      </c>
      <c r="AH425" s="1773">
        <f t="shared" si="125"/>
        <v>0</v>
      </c>
      <c r="AI425" s="1773">
        <f t="shared" si="126"/>
        <v>0</v>
      </c>
      <c r="AJ425" s="1773">
        <f t="shared" si="127"/>
        <v>0</v>
      </c>
      <c r="AK425" s="1773">
        <f t="shared" si="128"/>
        <v>0</v>
      </c>
      <c r="AL425" s="1773">
        <f t="shared" si="129"/>
        <v>0</v>
      </c>
      <c r="AN425" s="1776"/>
      <c r="AO425" s="1776"/>
      <c r="AP425" s="1776"/>
      <c r="AQ425" s="1776"/>
      <c r="AR425" s="1776"/>
      <c r="AS425" s="1776"/>
      <c r="AT425" s="1776"/>
      <c r="AU425" s="1776"/>
      <c r="AV425" s="1776"/>
      <c r="AW425" s="1776"/>
      <c r="AX425" s="1776"/>
      <c r="AY425" s="1776"/>
      <c r="AZ425" s="1776">
        <v>1</v>
      </c>
    </row>
    <row r="426" spans="1:52">
      <c r="A426" s="1479" t="s">
        <v>2828</v>
      </c>
      <c r="B426" s="1479" t="s">
        <v>2253</v>
      </c>
      <c r="C426" s="1741" t="s">
        <v>2108</v>
      </c>
      <c r="D426" s="1741">
        <v>1310</v>
      </c>
      <c r="E426" s="1741">
        <v>3510</v>
      </c>
      <c r="F426" s="1741" t="s">
        <v>2218</v>
      </c>
      <c r="G426" s="1741" t="s">
        <v>2214</v>
      </c>
      <c r="H426" s="1741" t="s">
        <v>1658</v>
      </c>
      <c r="I426" s="1753" t="s">
        <v>464</v>
      </c>
      <c r="J426" s="1754"/>
      <c r="K426" s="1753" t="s">
        <v>2114</v>
      </c>
      <c r="L426" s="1754" t="s">
        <v>3029</v>
      </c>
      <c r="M426" s="1754"/>
      <c r="N426" s="1756">
        <v>41197.919999999998</v>
      </c>
      <c r="O426" s="1757">
        <v>123568.31</v>
      </c>
      <c r="P426" s="1758">
        <v>175162.62</v>
      </c>
      <c r="Q426" s="1759">
        <v>400000</v>
      </c>
      <c r="R426" s="1760">
        <v>200000</v>
      </c>
      <c r="S426" s="1760">
        <v>298902</v>
      </c>
      <c r="T426" s="1760">
        <v>298902</v>
      </c>
      <c r="U426" s="1761">
        <v>350000</v>
      </c>
      <c r="V426" s="1762">
        <v>400000</v>
      </c>
      <c r="W426" s="1757">
        <v>400000</v>
      </c>
      <c r="Z426" s="1773">
        <f t="shared" si="117"/>
        <v>0</v>
      </c>
      <c r="AA426" s="1773">
        <f t="shared" si="118"/>
        <v>0</v>
      </c>
      <c r="AB426" s="1773">
        <f t="shared" si="119"/>
        <v>0</v>
      </c>
      <c r="AC426" s="1773">
        <f t="shared" si="120"/>
        <v>0</v>
      </c>
      <c r="AD426" s="1773">
        <f t="shared" si="121"/>
        <v>0</v>
      </c>
      <c r="AE426" s="1773">
        <f t="shared" si="122"/>
        <v>0</v>
      </c>
      <c r="AF426" s="1773">
        <f t="shared" si="123"/>
        <v>0</v>
      </c>
      <c r="AG426" s="1773">
        <f t="shared" si="124"/>
        <v>0</v>
      </c>
      <c r="AH426" s="1773">
        <f t="shared" si="125"/>
        <v>0</v>
      </c>
      <c r="AI426" s="1773">
        <f t="shared" si="126"/>
        <v>0</v>
      </c>
      <c r="AJ426" s="1773">
        <f t="shared" si="127"/>
        <v>0</v>
      </c>
      <c r="AK426" s="1773">
        <f t="shared" si="128"/>
        <v>0</v>
      </c>
      <c r="AL426" s="1773">
        <f t="shared" si="129"/>
        <v>350000</v>
      </c>
      <c r="AN426" s="1776"/>
      <c r="AO426" s="1776"/>
      <c r="AP426" s="1776"/>
      <c r="AQ426" s="1776"/>
      <c r="AR426" s="1776"/>
      <c r="AS426" s="1776"/>
      <c r="AT426" s="1776"/>
      <c r="AU426" s="1776"/>
      <c r="AV426" s="1776"/>
      <c r="AW426" s="1776"/>
      <c r="AX426" s="1776"/>
      <c r="AY426" s="1776"/>
      <c r="AZ426" s="1776">
        <v>1</v>
      </c>
    </row>
    <row r="427" spans="1:52">
      <c r="A427" s="1479" t="s">
        <v>2829</v>
      </c>
      <c r="B427" s="1479" t="s">
        <v>2314</v>
      </c>
      <c r="C427" s="1741" t="s">
        <v>2108</v>
      </c>
      <c r="D427" s="1741">
        <v>1310</v>
      </c>
      <c r="E427" s="1741">
        <v>4120</v>
      </c>
      <c r="F427" s="1741" t="s">
        <v>2218</v>
      </c>
      <c r="G427" s="1741" t="s">
        <v>2214</v>
      </c>
      <c r="H427" s="1741" t="s">
        <v>1658</v>
      </c>
      <c r="I427" s="1753" t="s">
        <v>2114</v>
      </c>
      <c r="J427" s="1754" t="s">
        <v>3014</v>
      </c>
      <c r="K427" s="1753" t="s">
        <v>2114</v>
      </c>
      <c r="L427" s="1754" t="s">
        <v>3029</v>
      </c>
      <c r="M427" s="1754"/>
      <c r="N427" s="1756">
        <v>0</v>
      </c>
      <c r="O427" s="1757">
        <v>0</v>
      </c>
      <c r="P427" s="1758">
        <v>0</v>
      </c>
      <c r="Q427" s="1759">
        <v>0</v>
      </c>
      <c r="R427" s="1760">
        <v>630000</v>
      </c>
      <c r="S427" s="1760">
        <v>614248</v>
      </c>
      <c r="T427" s="1760">
        <v>614248</v>
      </c>
      <c r="U427" s="1761">
        <v>0</v>
      </c>
      <c r="V427" s="1762">
        <v>0</v>
      </c>
      <c r="W427" s="1757">
        <v>0</v>
      </c>
      <c r="Z427" s="1773">
        <f t="shared" si="117"/>
        <v>0</v>
      </c>
      <c r="AA427" s="1773">
        <f t="shared" si="118"/>
        <v>0</v>
      </c>
      <c r="AB427" s="1773">
        <f t="shared" si="119"/>
        <v>0</v>
      </c>
      <c r="AC427" s="1773">
        <f t="shared" si="120"/>
        <v>0</v>
      </c>
      <c r="AD427" s="1773">
        <f t="shared" si="121"/>
        <v>0</v>
      </c>
      <c r="AE427" s="1773">
        <f t="shared" si="122"/>
        <v>0</v>
      </c>
      <c r="AF427" s="1773">
        <f t="shared" si="123"/>
        <v>0</v>
      </c>
      <c r="AG427" s="1773">
        <f t="shared" si="124"/>
        <v>0</v>
      </c>
      <c r="AH427" s="1773">
        <f t="shared" si="125"/>
        <v>0</v>
      </c>
      <c r="AI427" s="1773">
        <f t="shared" si="126"/>
        <v>0</v>
      </c>
      <c r="AJ427" s="1773">
        <f t="shared" si="127"/>
        <v>0</v>
      </c>
      <c r="AK427" s="1773">
        <f t="shared" si="128"/>
        <v>0</v>
      </c>
      <c r="AL427" s="1773">
        <f t="shared" si="129"/>
        <v>0</v>
      </c>
      <c r="AN427" s="1776"/>
      <c r="AO427" s="1776"/>
      <c r="AP427" s="1776"/>
      <c r="AQ427" s="1776"/>
      <c r="AR427" s="1776"/>
      <c r="AS427" s="1776"/>
      <c r="AT427" s="1776"/>
      <c r="AU427" s="1776"/>
      <c r="AV427" s="1776"/>
      <c r="AW427" s="1776"/>
      <c r="AX427" s="1776"/>
      <c r="AY427" s="1776"/>
      <c r="AZ427" s="1776">
        <v>1</v>
      </c>
    </row>
    <row r="428" spans="1:52">
      <c r="A428" s="1479" t="s">
        <v>2830</v>
      </c>
      <c r="B428" s="1479" t="s">
        <v>2527</v>
      </c>
      <c r="C428" s="1741" t="s">
        <v>2108</v>
      </c>
      <c r="D428" s="1741">
        <v>1310</v>
      </c>
      <c r="E428" s="1741">
        <v>5410</v>
      </c>
      <c r="F428" s="1741" t="s">
        <v>2218</v>
      </c>
      <c r="G428" s="1741" t="s">
        <v>2214</v>
      </c>
      <c r="H428" s="1741" t="s">
        <v>586</v>
      </c>
      <c r="I428" s="1753" t="s">
        <v>2131</v>
      </c>
      <c r="J428" s="1754"/>
      <c r="K428" s="1754" t="s">
        <v>1723</v>
      </c>
      <c r="L428" s="1754" t="s">
        <v>1723</v>
      </c>
      <c r="M428" s="1754"/>
      <c r="N428" s="1756">
        <v>-25015</v>
      </c>
      <c r="O428" s="1757">
        <v>-21131.48</v>
      </c>
      <c r="P428" s="1758">
        <v>-136276.53</v>
      </c>
      <c r="Q428" s="1759">
        <v>-162670</v>
      </c>
      <c r="R428" s="1760">
        <v>-162670</v>
      </c>
      <c r="S428" s="1760">
        <v>-151324</v>
      </c>
      <c r="T428" s="1760">
        <v>-151324</v>
      </c>
      <c r="U428" s="1761">
        <v>-181130</v>
      </c>
      <c r="V428" s="1762">
        <f>U428*108%</f>
        <v>-195620.40000000002</v>
      </c>
      <c r="W428" s="1757">
        <f>V428*108%</f>
        <v>-211270.03200000004</v>
      </c>
      <c r="Z428" s="1773">
        <f t="shared" si="117"/>
        <v>0</v>
      </c>
      <c r="AA428" s="1773">
        <f t="shared" si="118"/>
        <v>0</v>
      </c>
      <c r="AB428" s="1773">
        <f t="shared" si="119"/>
        <v>0</v>
      </c>
      <c r="AC428" s="1773">
        <f t="shared" si="120"/>
        <v>0</v>
      </c>
      <c r="AD428" s="1773">
        <f t="shared" si="121"/>
        <v>0</v>
      </c>
      <c r="AE428" s="1773">
        <f t="shared" si="122"/>
        <v>0</v>
      </c>
      <c r="AF428" s="1773">
        <f t="shared" si="123"/>
        <v>0</v>
      </c>
      <c r="AG428" s="1773">
        <f t="shared" si="124"/>
        <v>0</v>
      </c>
      <c r="AH428" s="1773">
        <f t="shared" si="125"/>
        <v>0</v>
      </c>
      <c r="AI428" s="1773">
        <f t="shared" si="126"/>
        <v>0</v>
      </c>
      <c r="AJ428" s="1773">
        <f t="shared" si="127"/>
        <v>0</v>
      </c>
      <c r="AK428" s="1773">
        <f t="shared" si="128"/>
        <v>0</v>
      </c>
      <c r="AL428" s="1773">
        <f t="shared" si="129"/>
        <v>-181130</v>
      </c>
      <c r="AN428" s="1776"/>
      <c r="AO428" s="1776"/>
      <c r="AP428" s="1776"/>
      <c r="AQ428" s="1776"/>
      <c r="AR428" s="1776"/>
      <c r="AS428" s="1776"/>
      <c r="AT428" s="1776"/>
      <c r="AU428" s="1776"/>
      <c r="AV428" s="1776"/>
      <c r="AW428" s="1776"/>
      <c r="AX428" s="1776"/>
      <c r="AY428" s="1776"/>
      <c r="AZ428" s="1776">
        <v>1</v>
      </c>
    </row>
    <row r="429" spans="1:52">
      <c r="A429" s="1479" t="s">
        <v>2831</v>
      </c>
      <c r="B429" s="1479" t="s">
        <v>2832</v>
      </c>
      <c r="C429" s="1741" t="s">
        <v>2108</v>
      </c>
      <c r="D429" s="1741">
        <v>1310</v>
      </c>
      <c r="E429" s="1741">
        <v>5420</v>
      </c>
      <c r="F429" s="1741" t="s">
        <v>2218</v>
      </c>
      <c r="G429" s="1741" t="s">
        <v>2214</v>
      </c>
      <c r="H429" s="1741" t="s">
        <v>586</v>
      </c>
      <c r="I429" s="1753" t="s">
        <v>2131</v>
      </c>
      <c r="J429" s="1754"/>
      <c r="K429" s="1754" t="s">
        <v>1723</v>
      </c>
      <c r="L429" s="1754" t="s">
        <v>1723</v>
      </c>
      <c r="M429" s="1754"/>
      <c r="N429" s="1756">
        <v>-124845.1</v>
      </c>
      <c r="O429" s="1757">
        <v>-111572.56</v>
      </c>
      <c r="P429" s="1758">
        <v>-134312.26</v>
      </c>
      <c r="Q429" s="1759">
        <v>-124150</v>
      </c>
      <c r="R429" s="1760">
        <v>-124150</v>
      </c>
      <c r="S429" s="1760">
        <v>-128005</v>
      </c>
      <c r="T429" s="1760">
        <v>-128005</v>
      </c>
      <c r="U429" s="1761">
        <v>-92000</v>
      </c>
      <c r="V429" s="1762">
        <v>-124200</v>
      </c>
      <c r="W429" s="1757">
        <v>-124300</v>
      </c>
      <c r="Z429" s="1773">
        <f t="shared" si="117"/>
        <v>0</v>
      </c>
      <c r="AA429" s="1773">
        <f t="shared" si="118"/>
        <v>0</v>
      </c>
      <c r="AB429" s="1773">
        <f t="shared" si="119"/>
        <v>0</v>
      </c>
      <c r="AC429" s="1773">
        <f t="shared" si="120"/>
        <v>0</v>
      </c>
      <c r="AD429" s="1773">
        <f t="shared" si="121"/>
        <v>0</v>
      </c>
      <c r="AE429" s="1773">
        <f t="shared" si="122"/>
        <v>0</v>
      </c>
      <c r="AF429" s="1773">
        <f t="shared" si="123"/>
        <v>0</v>
      </c>
      <c r="AG429" s="1773">
        <f t="shared" si="124"/>
        <v>0</v>
      </c>
      <c r="AH429" s="1773">
        <f t="shared" si="125"/>
        <v>0</v>
      </c>
      <c r="AI429" s="1773">
        <f t="shared" si="126"/>
        <v>0</v>
      </c>
      <c r="AJ429" s="1773">
        <f t="shared" si="127"/>
        <v>0</v>
      </c>
      <c r="AK429" s="1773">
        <f t="shared" si="128"/>
        <v>0</v>
      </c>
      <c r="AL429" s="1773">
        <f t="shared" si="129"/>
        <v>-92000</v>
      </c>
      <c r="AN429" s="1776"/>
      <c r="AO429" s="1776"/>
      <c r="AP429" s="1776"/>
      <c r="AQ429" s="1776"/>
      <c r="AR429" s="1776"/>
      <c r="AS429" s="1776"/>
      <c r="AT429" s="1776"/>
      <c r="AU429" s="1776"/>
      <c r="AV429" s="1776"/>
      <c r="AW429" s="1776"/>
      <c r="AX429" s="1776"/>
      <c r="AY429" s="1776"/>
      <c r="AZ429" s="1776">
        <v>1</v>
      </c>
    </row>
    <row r="430" spans="1:52">
      <c r="A430" s="1479" t="s">
        <v>2833</v>
      </c>
      <c r="B430" s="1479" t="s">
        <v>2834</v>
      </c>
      <c r="C430" s="1741" t="s">
        <v>2108</v>
      </c>
      <c r="D430" s="1741">
        <v>1310</v>
      </c>
      <c r="E430" s="1741">
        <v>5470</v>
      </c>
      <c r="F430" s="1741" t="s">
        <v>2218</v>
      </c>
      <c r="G430" s="1741" t="s">
        <v>2214</v>
      </c>
      <c r="H430" s="1741" t="s">
        <v>586</v>
      </c>
      <c r="I430" s="1753" t="s">
        <v>2131</v>
      </c>
      <c r="J430" s="1754"/>
      <c r="K430" s="1754" t="s">
        <v>1723</v>
      </c>
      <c r="L430" s="1754" t="s">
        <v>1723</v>
      </c>
      <c r="M430" s="1754"/>
      <c r="N430" s="1756">
        <v>-16506</v>
      </c>
      <c r="O430" s="1757">
        <v>-28453</v>
      </c>
      <c r="P430" s="1758">
        <v>-19935.59</v>
      </c>
      <c r="Q430" s="1759">
        <v>-30100</v>
      </c>
      <c r="R430" s="1760">
        <v>-30100</v>
      </c>
      <c r="S430" s="1760">
        <v>-25950</v>
      </c>
      <c r="T430" s="1760">
        <v>-25950</v>
      </c>
      <c r="U430" s="1761">
        <v>-30000</v>
      </c>
      <c r="V430" s="1762">
        <v>-30200</v>
      </c>
      <c r="W430" s="1757">
        <v>-30300</v>
      </c>
      <c r="Z430" s="1773">
        <f t="shared" si="117"/>
        <v>0</v>
      </c>
      <c r="AA430" s="1773">
        <f t="shared" si="118"/>
        <v>0</v>
      </c>
      <c r="AB430" s="1773">
        <f t="shared" si="119"/>
        <v>0</v>
      </c>
      <c r="AC430" s="1773">
        <f t="shared" si="120"/>
        <v>0</v>
      </c>
      <c r="AD430" s="1773">
        <f t="shared" si="121"/>
        <v>0</v>
      </c>
      <c r="AE430" s="1773">
        <f t="shared" si="122"/>
        <v>0</v>
      </c>
      <c r="AF430" s="1773">
        <f t="shared" si="123"/>
        <v>0</v>
      </c>
      <c r="AG430" s="1773">
        <f t="shared" si="124"/>
        <v>0</v>
      </c>
      <c r="AH430" s="1773">
        <f t="shared" si="125"/>
        <v>0</v>
      </c>
      <c r="AI430" s="1773">
        <f t="shared" si="126"/>
        <v>0</v>
      </c>
      <c r="AJ430" s="1773">
        <f t="shared" si="127"/>
        <v>0</v>
      </c>
      <c r="AK430" s="1773">
        <f t="shared" si="128"/>
        <v>0</v>
      </c>
      <c r="AL430" s="1773">
        <f t="shared" si="129"/>
        <v>-30000</v>
      </c>
      <c r="AN430" s="1776"/>
      <c r="AO430" s="1776"/>
      <c r="AP430" s="1776"/>
      <c r="AQ430" s="1776"/>
      <c r="AR430" s="1776"/>
      <c r="AS430" s="1776"/>
      <c r="AT430" s="1776"/>
      <c r="AU430" s="1776"/>
      <c r="AV430" s="1776"/>
      <c r="AW430" s="1776"/>
      <c r="AX430" s="1776"/>
      <c r="AY430" s="1776"/>
      <c r="AZ430" s="1776">
        <v>1</v>
      </c>
    </row>
    <row r="431" spans="1:52" ht="13.5">
      <c r="A431" s="1479" t="s">
        <v>2835</v>
      </c>
      <c r="B431" s="1479" t="s">
        <v>2836</v>
      </c>
      <c r="C431" s="1741" t="s">
        <v>2108</v>
      </c>
      <c r="D431" s="1741">
        <v>1310</v>
      </c>
      <c r="E431" s="1741">
        <v>6592</v>
      </c>
      <c r="F431" s="1741" t="s">
        <v>2218</v>
      </c>
      <c r="G431" s="1741" t="s">
        <v>2214</v>
      </c>
      <c r="H431" s="1741" t="s">
        <v>586</v>
      </c>
      <c r="I431" s="1753" t="s">
        <v>2131</v>
      </c>
      <c r="J431" s="1754"/>
      <c r="K431" s="1754" t="s">
        <v>1723</v>
      </c>
      <c r="L431" s="1754" t="s">
        <v>1723</v>
      </c>
      <c r="M431" s="1755"/>
      <c r="N431" s="1756">
        <v>0</v>
      </c>
      <c r="O431" s="1757">
        <v>-89315.79</v>
      </c>
      <c r="P431" s="1758">
        <v>-10271.93</v>
      </c>
      <c r="Q431" s="1759">
        <v>-77000</v>
      </c>
      <c r="R431" s="1760">
        <v>-77000</v>
      </c>
      <c r="S431" s="1760">
        <v>-25872</v>
      </c>
      <c r="T431" s="1760">
        <v>-25872</v>
      </c>
      <c r="U431" s="1761">
        <v>0</v>
      </c>
      <c r="V431" s="1762">
        <v>-78000</v>
      </c>
      <c r="W431" s="1757">
        <v>-79000</v>
      </c>
      <c r="Z431" s="1773">
        <f t="shared" si="117"/>
        <v>0</v>
      </c>
      <c r="AA431" s="1773">
        <f t="shared" si="118"/>
        <v>0</v>
      </c>
      <c r="AB431" s="1773">
        <f t="shared" si="119"/>
        <v>0</v>
      </c>
      <c r="AC431" s="1773">
        <f t="shared" si="120"/>
        <v>0</v>
      </c>
      <c r="AD431" s="1773">
        <f t="shared" si="121"/>
        <v>0</v>
      </c>
      <c r="AE431" s="1773">
        <f t="shared" si="122"/>
        <v>0</v>
      </c>
      <c r="AF431" s="1773">
        <f t="shared" si="123"/>
        <v>0</v>
      </c>
      <c r="AG431" s="1773">
        <f t="shared" si="124"/>
        <v>0</v>
      </c>
      <c r="AH431" s="1773">
        <f t="shared" si="125"/>
        <v>0</v>
      </c>
      <c r="AI431" s="1773">
        <f t="shared" si="126"/>
        <v>0</v>
      </c>
      <c r="AJ431" s="1773">
        <f t="shared" si="127"/>
        <v>0</v>
      </c>
      <c r="AK431" s="1773">
        <f t="shared" si="128"/>
        <v>0</v>
      </c>
      <c r="AL431" s="1773">
        <f t="shared" si="129"/>
        <v>0</v>
      </c>
      <c r="AN431" s="1776"/>
      <c r="AO431" s="1776"/>
      <c r="AP431" s="1776"/>
      <c r="AQ431" s="1776"/>
      <c r="AR431" s="1776"/>
      <c r="AS431" s="1776"/>
      <c r="AT431" s="1776"/>
      <c r="AU431" s="1776"/>
      <c r="AV431" s="1776"/>
      <c r="AW431" s="1776"/>
      <c r="AX431" s="1776"/>
      <c r="AY431" s="1776"/>
      <c r="AZ431" s="1776">
        <v>1</v>
      </c>
    </row>
    <row r="432" spans="1:52">
      <c r="A432" s="1479" t="s">
        <v>2837</v>
      </c>
      <c r="B432" s="1479" t="s">
        <v>2243</v>
      </c>
      <c r="C432" s="1741" t="s">
        <v>2108</v>
      </c>
      <c r="D432" s="1741">
        <v>1320</v>
      </c>
      <c r="E432" s="1741">
        <v>520</v>
      </c>
      <c r="F432" s="1741" t="s">
        <v>2212</v>
      </c>
      <c r="G432" s="1741" t="s">
        <v>2209</v>
      </c>
      <c r="H432" s="1741" t="s">
        <v>1658</v>
      </c>
      <c r="I432" s="1753" t="s">
        <v>2114</v>
      </c>
      <c r="J432" s="1754" t="s">
        <v>2138</v>
      </c>
      <c r="K432" s="1753" t="s">
        <v>2114</v>
      </c>
      <c r="L432" s="1754" t="s">
        <v>2138</v>
      </c>
      <c r="M432" s="1754"/>
      <c r="N432" s="1756">
        <v>7498.57</v>
      </c>
      <c r="O432" s="1757">
        <v>9551.9599999999991</v>
      </c>
      <c r="P432" s="1758">
        <v>10420.32</v>
      </c>
      <c r="Q432" s="1759">
        <v>14055</v>
      </c>
      <c r="R432" s="1760">
        <v>0</v>
      </c>
      <c r="S432" s="1760">
        <v>0</v>
      </c>
      <c r="T432" s="1760">
        <v>0</v>
      </c>
      <c r="U432" s="1761">
        <v>0</v>
      </c>
      <c r="V432" s="1762">
        <v>16160</v>
      </c>
      <c r="W432" s="1757">
        <v>18585</v>
      </c>
      <c r="Z432" s="1773">
        <f t="shared" si="117"/>
        <v>0</v>
      </c>
      <c r="AA432" s="1773">
        <f t="shared" si="118"/>
        <v>0</v>
      </c>
      <c r="AB432" s="1773">
        <f t="shared" si="119"/>
        <v>0</v>
      </c>
      <c r="AC432" s="1773">
        <f t="shared" si="120"/>
        <v>0</v>
      </c>
      <c r="AD432" s="1773">
        <f t="shared" si="121"/>
        <v>0</v>
      </c>
      <c r="AE432" s="1773">
        <f t="shared" si="122"/>
        <v>0</v>
      </c>
      <c r="AF432" s="1773">
        <f t="shared" si="123"/>
        <v>0</v>
      </c>
      <c r="AG432" s="1773">
        <f t="shared" si="124"/>
        <v>0</v>
      </c>
      <c r="AH432" s="1773">
        <f t="shared" si="125"/>
        <v>0</v>
      </c>
      <c r="AI432" s="1773">
        <f t="shared" si="126"/>
        <v>0</v>
      </c>
      <c r="AJ432" s="1773">
        <f t="shared" si="127"/>
        <v>0</v>
      </c>
      <c r="AK432" s="1773">
        <f t="shared" si="128"/>
        <v>0</v>
      </c>
      <c r="AL432" s="1773">
        <f t="shared" si="129"/>
        <v>0</v>
      </c>
      <c r="AN432" s="1776"/>
      <c r="AO432" s="1776"/>
      <c r="AP432" s="1776"/>
      <c r="AQ432" s="1776"/>
      <c r="AR432" s="1776"/>
      <c r="AS432" s="1776"/>
      <c r="AT432" s="1776"/>
      <c r="AU432" s="1776"/>
      <c r="AV432" s="1776"/>
      <c r="AW432" s="1776"/>
      <c r="AX432" s="1776"/>
      <c r="AY432" s="1776"/>
      <c r="AZ432" s="1776">
        <v>1</v>
      </c>
    </row>
    <row r="433" spans="1:52">
      <c r="A433" s="1479" t="s">
        <v>2838</v>
      </c>
      <c r="B433" s="1479" t="s">
        <v>2839</v>
      </c>
      <c r="C433" s="1741" t="s">
        <v>2108</v>
      </c>
      <c r="D433" s="1741">
        <v>1320</v>
      </c>
      <c r="E433" s="1741">
        <v>770</v>
      </c>
      <c r="F433" s="1741" t="s">
        <v>2212</v>
      </c>
      <c r="G433" s="1741" t="s">
        <v>2209</v>
      </c>
      <c r="H433" s="1741" t="s">
        <v>1658</v>
      </c>
      <c r="I433" s="1753" t="s">
        <v>2114</v>
      </c>
      <c r="J433" s="1754"/>
      <c r="K433" s="1753" t="s">
        <v>2114</v>
      </c>
      <c r="L433" s="1754" t="s">
        <v>502</v>
      </c>
      <c r="M433" s="1754"/>
      <c r="N433" s="1756">
        <v>0</v>
      </c>
      <c r="O433" s="1757">
        <v>0</v>
      </c>
      <c r="P433" s="1758">
        <v>2197.75</v>
      </c>
      <c r="Q433" s="1759">
        <v>2000</v>
      </c>
      <c r="R433" s="1760">
        <v>2000</v>
      </c>
      <c r="S433" s="1760">
        <v>1191</v>
      </c>
      <c r="T433" s="1760">
        <v>1191</v>
      </c>
      <c r="U433" s="1761">
        <v>2000</v>
      </c>
      <c r="V433" s="1762">
        <v>2000</v>
      </c>
      <c r="W433" s="1757">
        <v>2000</v>
      </c>
      <c r="Z433" s="1773">
        <f t="shared" si="117"/>
        <v>0</v>
      </c>
      <c r="AA433" s="1773">
        <f t="shared" si="118"/>
        <v>0</v>
      </c>
      <c r="AB433" s="1773">
        <f t="shared" si="119"/>
        <v>0</v>
      </c>
      <c r="AC433" s="1773">
        <f t="shared" si="120"/>
        <v>0</v>
      </c>
      <c r="AD433" s="1773">
        <f t="shared" si="121"/>
        <v>0</v>
      </c>
      <c r="AE433" s="1773">
        <f t="shared" si="122"/>
        <v>0</v>
      </c>
      <c r="AF433" s="1773">
        <f t="shared" si="123"/>
        <v>0</v>
      </c>
      <c r="AG433" s="1773">
        <f t="shared" si="124"/>
        <v>0</v>
      </c>
      <c r="AH433" s="1773">
        <f t="shared" si="125"/>
        <v>0</v>
      </c>
      <c r="AI433" s="1773">
        <f t="shared" si="126"/>
        <v>0</v>
      </c>
      <c r="AJ433" s="1773">
        <f t="shared" si="127"/>
        <v>0</v>
      </c>
      <c r="AK433" s="1773">
        <f t="shared" si="128"/>
        <v>0</v>
      </c>
      <c r="AL433" s="1773">
        <f t="shared" si="129"/>
        <v>2000</v>
      </c>
      <c r="AN433" s="1776"/>
      <c r="AO433" s="1776"/>
      <c r="AP433" s="1776"/>
      <c r="AQ433" s="1776"/>
      <c r="AR433" s="1776"/>
      <c r="AS433" s="1776"/>
      <c r="AT433" s="1776"/>
      <c r="AU433" s="1776"/>
      <c r="AV433" s="1776"/>
      <c r="AW433" s="1776"/>
      <c r="AX433" s="1776"/>
      <c r="AY433" s="1776"/>
      <c r="AZ433" s="1776">
        <v>1</v>
      </c>
    </row>
    <row r="434" spans="1:52">
      <c r="A434" s="1479" t="s">
        <v>2840</v>
      </c>
      <c r="B434" s="1479" t="s">
        <v>2251</v>
      </c>
      <c r="C434" s="1741" t="s">
        <v>2108</v>
      </c>
      <c r="D434" s="1741">
        <v>1320</v>
      </c>
      <c r="E434" s="1741">
        <v>1440</v>
      </c>
      <c r="F434" s="1741" t="s">
        <v>2212</v>
      </c>
      <c r="G434" s="1741" t="s">
        <v>2209</v>
      </c>
      <c r="H434" s="1741" t="s">
        <v>1658</v>
      </c>
      <c r="I434" s="1753" t="s">
        <v>2115</v>
      </c>
      <c r="J434" s="1754"/>
      <c r="K434" s="1753" t="s">
        <v>1596</v>
      </c>
      <c r="L434" s="1753" t="s">
        <v>1696</v>
      </c>
      <c r="M434" s="1754"/>
      <c r="N434" s="1756">
        <v>0</v>
      </c>
      <c r="O434" s="1757">
        <v>1609</v>
      </c>
      <c r="P434" s="1758">
        <v>0</v>
      </c>
      <c r="Q434" s="1759">
        <v>20000</v>
      </c>
      <c r="R434" s="1760">
        <v>20000</v>
      </c>
      <c r="S434" s="1760">
        <v>2240</v>
      </c>
      <c r="T434" s="1760">
        <v>2240</v>
      </c>
      <c r="U434" s="1761">
        <v>0</v>
      </c>
      <c r="V434" s="1762">
        <v>20000</v>
      </c>
      <c r="W434" s="1757">
        <v>20000</v>
      </c>
      <c r="Z434" s="1773">
        <f t="shared" si="117"/>
        <v>0</v>
      </c>
      <c r="AA434" s="1773">
        <f t="shared" si="118"/>
        <v>0</v>
      </c>
      <c r="AB434" s="1773">
        <f t="shared" si="119"/>
        <v>0</v>
      </c>
      <c r="AC434" s="1773">
        <f t="shared" si="120"/>
        <v>0</v>
      </c>
      <c r="AD434" s="1773">
        <f t="shared" si="121"/>
        <v>0</v>
      </c>
      <c r="AE434" s="1773">
        <f t="shared" si="122"/>
        <v>0</v>
      </c>
      <c r="AF434" s="1773">
        <f t="shared" si="123"/>
        <v>0</v>
      </c>
      <c r="AG434" s="1773">
        <f t="shared" si="124"/>
        <v>0</v>
      </c>
      <c r="AH434" s="1773">
        <f t="shared" si="125"/>
        <v>0</v>
      </c>
      <c r="AI434" s="1773">
        <f t="shared" si="126"/>
        <v>0</v>
      </c>
      <c r="AJ434" s="1773">
        <f t="shared" si="127"/>
        <v>0</v>
      </c>
      <c r="AK434" s="1773">
        <f t="shared" si="128"/>
        <v>0</v>
      </c>
      <c r="AL434" s="1773">
        <f t="shared" si="129"/>
        <v>0</v>
      </c>
      <c r="AN434" s="1776"/>
      <c r="AO434" s="1776"/>
      <c r="AP434" s="1776"/>
      <c r="AQ434" s="1776"/>
      <c r="AR434" s="1776"/>
      <c r="AS434" s="1776"/>
      <c r="AT434" s="1776"/>
      <c r="AU434" s="1776"/>
      <c r="AV434" s="1776"/>
      <c r="AW434" s="1776"/>
      <c r="AX434" s="1776"/>
      <c r="AY434" s="1776"/>
      <c r="AZ434" s="1776">
        <v>1</v>
      </c>
    </row>
    <row r="435" spans="1:52">
      <c r="A435" s="1479" t="s">
        <v>2841</v>
      </c>
      <c r="B435" s="1479" t="s">
        <v>2253</v>
      </c>
      <c r="C435" s="1741" t="s">
        <v>2108</v>
      </c>
      <c r="D435" s="1741">
        <v>1320</v>
      </c>
      <c r="E435" s="1741">
        <v>3510</v>
      </c>
      <c r="F435" s="1741" t="s">
        <v>2212</v>
      </c>
      <c r="G435" s="1741" t="s">
        <v>2209</v>
      </c>
      <c r="H435" s="1741" t="s">
        <v>1658</v>
      </c>
      <c r="I435" s="1753" t="s">
        <v>464</v>
      </c>
      <c r="J435" s="1754"/>
      <c r="K435" s="1753" t="s">
        <v>2114</v>
      </c>
      <c r="L435" s="1754" t="s">
        <v>3029</v>
      </c>
      <c r="M435" s="1754"/>
      <c r="N435" s="1756">
        <v>849.45</v>
      </c>
      <c r="O435" s="1757">
        <v>0</v>
      </c>
      <c r="P435" s="1758">
        <v>6065.23</v>
      </c>
      <c r="Q435" s="1759">
        <v>10000</v>
      </c>
      <c r="R435" s="1760">
        <v>10000</v>
      </c>
      <c r="S435" s="1760">
        <v>4210</v>
      </c>
      <c r="T435" s="1760">
        <v>4210</v>
      </c>
      <c r="U435" s="1761">
        <v>5000</v>
      </c>
      <c r="V435" s="1762">
        <v>10000</v>
      </c>
      <c r="W435" s="1757">
        <v>10000</v>
      </c>
      <c r="Z435" s="1773">
        <f t="shared" si="117"/>
        <v>0</v>
      </c>
      <c r="AA435" s="1773">
        <f t="shared" si="118"/>
        <v>0</v>
      </c>
      <c r="AB435" s="1773">
        <f t="shared" si="119"/>
        <v>0</v>
      </c>
      <c r="AC435" s="1773">
        <f t="shared" si="120"/>
        <v>0</v>
      </c>
      <c r="AD435" s="1773">
        <f t="shared" si="121"/>
        <v>0</v>
      </c>
      <c r="AE435" s="1773">
        <f t="shared" si="122"/>
        <v>0</v>
      </c>
      <c r="AF435" s="1773">
        <f t="shared" si="123"/>
        <v>0</v>
      </c>
      <c r="AG435" s="1773">
        <f t="shared" si="124"/>
        <v>0</v>
      </c>
      <c r="AH435" s="1773">
        <f t="shared" si="125"/>
        <v>0</v>
      </c>
      <c r="AI435" s="1773">
        <f t="shared" si="126"/>
        <v>0</v>
      </c>
      <c r="AJ435" s="1773">
        <f t="shared" si="127"/>
        <v>0</v>
      </c>
      <c r="AK435" s="1773">
        <f t="shared" si="128"/>
        <v>0</v>
      </c>
      <c r="AL435" s="1773">
        <f t="shared" si="129"/>
        <v>5000</v>
      </c>
      <c r="AN435" s="1776"/>
      <c r="AO435" s="1776"/>
      <c r="AP435" s="1776"/>
      <c r="AQ435" s="1776"/>
      <c r="AR435" s="1776"/>
      <c r="AS435" s="1776"/>
      <c r="AT435" s="1776"/>
      <c r="AU435" s="1776"/>
      <c r="AV435" s="1776"/>
      <c r="AW435" s="1776"/>
      <c r="AX435" s="1776"/>
      <c r="AY435" s="1776"/>
      <c r="AZ435" s="1776">
        <v>1</v>
      </c>
    </row>
    <row r="436" spans="1:52">
      <c r="A436" s="1479" t="s">
        <v>2842</v>
      </c>
      <c r="B436" s="1479" t="s">
        <v>2843</v>
      </c>
      <c r="C436" s="1741" t="s">
        <v>2108</v>
      </c>
      <c r="D436" s="1741">
        <v>1320</v>
      </c>
      <c r="E436" s="1741">
        <v>5360</v>
      </c>
      <c r="F436" s="1741" t="s">
        <v>2212</v>
      </c>
      <c r="G436" s="1741" t="s">
        <v>2209</v>
      </c>
      <c r="H436" s="1741" t="s">
        <v>586</v>
      </c>
      <c r="I436" s="1753" t="s">
        <v>2131</v>
      </c>
      <c r="J436" s="1754"/>
      <c r="K436" s="1754" t="s">
        <v>1723</v>
      </c>
      <c r="L436" s="1754" t="s">
        <v>1723</v>
      </c>
      <c r="M436" s="1754"/>
      <c r="N436" s="1756">
        <v>-3920.44</v>
      </c>
      <c r="O436" s="1757">
        <v>-433.39</v>
      </c>
      <c r="P436" s="1758">
        <v>-7639.67</v>
      </c>
      <c r="Q436" s="1759">
        <v>-6000</v>
      </c>
      <c r="R436" s="1760">
        <v>-6000</v>
      </c>
      <c r="S436" s="1760">
        <v>-2061</v>
      </c>
      <c r="T436" s="1760">
        <v>-2061</v>
      </c>
      <c r="U436" s="1761">
        <v>-1000</v>
      </c>
      <c r="V436" s="1762">
        <v>-6000</v>
      </c>
      <c r="W436" s="1757">
        <v>-6000</v>
      </c>
      <c r="Z436" s="1773">
        <f t="shared" si="117"/>
        <v>0</v>
      </c>
      <c r="AA436" s="1773">
        <f t="shared" si="118"/>
        <v>0</v>
      </c>
      <c r="AB436" s="1773">
        <f t="shared" si="119"/>
        <v>0</v>
      </c>
      <c r="AC436" s="1773">
        <f t="shared" si="120"/>
        <v>0</v>
      </c>
      <c r="AD436" s="1773">
        <f t="shared" si="121"/>
        <v>0</v>
      </c>
      <c r="AE436" s="1773">
        <f t="shared" si="122"/>
        <v>0</v>
      </c>
      <c r="AF436" s="1773">
        <f t="shared" si="123"/>
        <v>0</v>
      </c>
      <c r="AG436" s="1773">
        <f t="shared" si="124"/>
        <v>0</v>
      </c>
      <c r="AH436" s="1773">
        <f t="shared" si="125"/>
        <v>0</v>
      </c>
      <c r="AI436" s="1773">
        <f t="shared" si="126"/>
        <v>0</v>
      </c>
      <c r="AJ436" s="1773">
        <f t="shared" si="127"/>
        <v>0</v>
      </c>
      <c r="AK436" s="1773">
        <f t="shared" si="128"/>
        <v>0</v>
      </c>
      <c r="AL436" s="1773">
        <f t="shared" si="129"/>
        <v>-1000</v>
      </c>
      <c r="AN436" s="1776"/>
      <c r="AO436" s="1776"/>
      <c r="AP436" s="1776"/>
      <c r="AQ436" s="1776"/>
      <c r="AR436" s="1776"/>
      <c r="AS436" s="1776"/>
      <c r="AT436" s="1776"/>
      <c r="AU436" s="1776"/>
      <c r="AV436" s="1776"/>
      <c r="AW436" s="1776"/>
      <c r="AX436" s="1776"/>
      <c r="AY436" s="1776"/>
      <c r="AZ436" s="1776">
        <v>1</v>
      </c>
    </row>
    <row r="437" spans="1:52">
      <c r="A437" s="1479" t="s">
        <v>2844</v>
      </c>
      <c r="B437" s="1479" t="s">
        <v>2845</v>
      </c>
      <c r="C437" s="1741" t="s">
        <v>2108</v>
      </c>
      <c r="D437" s="1741">
        <v>1320</v>
      </c>
      <c r="E437" s="1741">
        <v>5520</v>
      </c>
      <c r="F437" s="1741" t="s">
        <v>2212</v>
      </c>
      <c r="G437" s="1741" t="s">
        <v>2209</v>
      </c>
      <c r="H437" s="1741" t="s">
        <v>586</v>
      </c>
      <c r="I437" s="1753" t="s">
        <v>2120</v>
      </c>
      <c r="J437" s="1754"/>
      <c r="K437" s="1754" t="s">
        <v>1666</v>
      </c>
      <c r="L437" s="1754" t="s">
        <v>1666</v>
      </c>
      <c r="M437" s="1754"/>
      <c r="N437" s="1756">
        <v>0</v>
      </c>
      <c r="O437" s="1757">
        <v>0</v>
      </c>
      <c r="P437" s="1758">
        <v>-502.02</v>
      </c>
      <c r="Q437" s="1759">
        <v>-915</v>
      </c>
      <c r="R437" s="1760">
        <v>-915</v>
      </c>
      <c r="S437" s="1760">
        <v>-877</v>
      </c>
      <c r="T437" s="1760">
        <v>-877</v>
      </c>
      <c r="U437" s="1761">
        <v>-1000</v>
      </c>
      <c r="V437" s="1762">
        <v>-1100</v>
      </c>
      <c r="W437" s="1757">
        <v>-1200</v>
      </c>
      <c r="Z437" s="1773">
        <f t="shared" si="117"/>
        <v>0</v>
      </c>
      <c r="AA437" s="1773">
        <f t="shared" si="118"/>
        <v>0</v>
      </c>
      <c r="AB437" s="1773">
        <f t="shared" si="119"/>
        <v>0</v>
      </c>
      <c r="AC437" s="1773">
        <f t="shared" si="120"/>
        <v>0</v>
      </c>
      <c r="AD437" s="1773">
        <f t="shared" si="121"/>
        <v>0</v>
      </c>
      <c r="AE437" s="1773">
        <f t="shared" si="122"/>
        <v>0</v>
      </c>
      <c r="AF437" s="1773">
        <f t="shared" si="123"/>
        <v>0</v>
      </c>
      <c r="AG437" s="1773">
        <f t="shared" si="124"/>
        <v>0</v>
      </c>
      <c r="AH437" s="1773">
        <f t="shared" si="125"/>
        <v>0</v>
      </c>
      <c r="AI437" s="1773">
        <f t="shared" si="126"/>
        <v>0</v>
      </c>
      <c r="AJ437" s="1773">
        <f t="shared" si="127"/>
        <v>0</v>
      </c>
      <c r="AK437" s="1773">
        <f t="shared" si="128"/>
        <v>0</v>
      </c>
      <c r="AL437" s="1773">
        <f t="shared" si="129"/>
        <v>-1000</v>
      </c>
      <c r="AN437" s="1776"/>
      <c r="AO437" s="1776"/>
      <c r="AP437" s="1776"/>
      <c r="AQ437" s="1776"/>
      <c r="AR437" s="1776"/>
      <c r="AS437" s="1776"/>
      <c r="AT437" s="1776"/>
      <c r="AU437" s="1776"/>
      <c r="AV437" s="1776"/>
      <c r="AW437" s="1776"/>
      <c r="AX437" s="1776"/>
      <c r="AY437" s="1776"/>
      <c r="AZ437" s="1776">
        <v>1</v>
      </c>
    </row>
    <row r="438" spans="1:52">
      <c r="A438" s="1479" t="s">
        <v>2846</v>
      </c>
      <c r="B438" s="1479" t="s">
        <v>2847</v>
      </c>
      <c r="C438" s="1741" t="s">
        <v>2108</v>
      </c>
      <c r="D438" s="1741">
        <v>1320</v>
      </c>
      <c r="E438" s="1741">
        <v>5940</v>
      </c>
      <c r="F438" s="1741" t="s">
        <v>2212</v>
      </c>
      <c r="G438" s="1741" t="s">
        <v>2209</v>
      </c>
      <c r="H438" s="1741" t="s">
        <v>586</v>
      </c>
      <c r="I438" s="1753" t="s">
        <v>2120</v>
      </c>
      <c r="J438" s="1754"/>
      <c r="K438" s="1754" t="s">
        <v>1666</v>
      </c>
      <c r="L438" s="1754" t="s">
        <v>1666</v>
      </c>
      <c r="M438" s="1754"/>
      <c r="N438" s="1756">
        <v>-13104</v>
      </c>
      <c r="O438" s="1757">
        <v>-11781</v>
      </c>
      <c r="P438" s="1758">
        <v>-5512</v>
      </c>
      <c r="Q438" s="1759">
        <v>-6400</v>
      </c>
      <c r="R438" s="1760">
        <v>-12000</v>
      </c>
      <c r="S438" s="1760">
        <v>-11123</v>
      </c>
      <c r="T438" s="1760">
        <v>-11123</v>
      </c>
      <c r="U438" s="1761">
        <v>-12000</v>
      </c>
      <c r="V438" s="1762">
        <v>-6410</v>
      </c>
      <c r="W438" s="1757">
        <v>-6415</v>
      </c>
      <c r="Z438" s="1773">
        <f t="shared" si="117"/>
        <v>0</v>
      </c>
      <c r="AA438" s="1773">
        <f t="shared" si="118"/>
        <v>0</v>
      </c>
      <c r="AB438" s="1773">
        <f t="shared" si="119"/>
        <v>0</v>
      </c>
      <c r="AC438" s="1773">
        <f t="shared" si="120"/>
        <v>0</v>
      </c>
      <c r="AD438" s="1773">
        <f t="shared" si="121"/>
        <v>0</v>
      </c>
      <c r="AE438" s="1773">
        <f t="shared" si="122"/>
        <v>0</v>
      </c>
      <c r="AF438" s="1773">
        <f t="shared" si="123"/>
        <v>0</v>
      </c>
      <c r="AG438" s="1773">
        <f t="shared" si="124"/>
        <v>0</v>
      </c>
      <c r="AH438" s="1773">
        <f t="shared" si="125"/>
        <v>0</v>
      </c>
      <c r="AI438" s="1773">
        <f t="shared" si="126"/>
        <v>0</v>
      </c>
      <c r="AJ438" s="1773">
        <f t="shared" si="127"/>
        <v>0</v>
      </c>
      <c r="AK438" s="1773">
        <f t="shared" si="128"/>
        <v>0</v>
      </c>
      <c r="AL438" s="1773">
        <f t="shared" si="129"/>
        <v>-12000</v>
      </c>
      <c r="AN438" s="1776"/>
      <c r="AO438" s="1776"/>
      <c r="AP438" s="1776"/>
      <c r="AQ438" s="1776"/>
      <c r="AR438" s="1776"/>
      <c r="AS438" s="1776"/>
      <c r="AT438" s="1776"/>
      <c r="AU438" s="1776"/>
      <c r="AV438" s="1776"/>
      <c r="AW438" s="1776"/>
      <c r="AX438" s="1776"/>
      <c r="AY438" s="1776"/>
      <c r="AZ438" s="1776">
        <v>1</v>
      </c>
    </row>
    <row r="439" spans="1:52">
      <c r="A439" s="1479" t="s">
        <v>2848</v>
      </c>
      <c r="B439" s="1479" t="s">
        <v>2849</v>
      </c>
      <c r="C439" s="1741" t="s">
        <v>2108</v>
      </c>
      <c r="D439" s="1741">
        <v>1330</v>
      </c>
      <c r="E439" s="1741">
        <v>3510</v>
      </c>
      <c r="F439" s="1741" t="s">
        <v>2213</v>
      </c>
      <c r="G439" s="1741" t="s">
        <v>2209</v>
      </c>
      <c r="H439" s="1741" t="s">
        <v>1658</v>
      </c>
      <c r="I439" s="1753" t="s">
        <v>464</v>
      </c>
      <c r="J439" s="1754"/>
      <c r="K439" s="1753" t="s">
        <v>2114</v>
      </c>
      <c r="L439" s="1754" t="s">
        <v>3029</v>
      </c>
      <c r="M439" s="1754"/>
      <c r="N439" s="1756"/>
      <c r="O439" s="1757"/>
      <c r="P439" s="1758"/>
      <c r="Q439" s="1759">
        <v>0</v>
      </c>
      <c r="R439" s="1760">
        <v>500</v>
      </c>
      <c r="S439" s="1760">
        <v>249</v>
      </c>
      <c r="T439" s="1760">
        <v>249</v>
      </c>
      <c r="U439" s="1761">
        <v>0</v>
      </c>
      <c r="V439" s="1762">
        <v>0</v>
      </c>
      <c r="W439" s="1757">
        <v>0</v>
      </c>
      <c r="Z439" s="1773">
        <f t="shared" si="117"/>
        <v>0</v>
      </c>
      <c r="AA439" s="1773">
        <f t="shared" si="118"/>
        <v>0</v>
      </c>
      <c r="AB439" s="1773">
        <f t="shared" si="119"/>
        <v>0</v>
      </c>
      <c r="AC439" s="1773">
        <f t="shared" si="120"/>
        <v>0</v>
      </c>
      <c r="AD439" s="1773">
        <f t="shared" si="121"/>
        <v>0</v>
      </c>
      <c r="AE439" s="1773">
        <f t="shared" si="122"/>
        <v>0</v>
      </c>
      <c r="AF439" s="1773">
        <f t="shared" si="123"/>
        <v>0</v>
      </c>
      <c r="AG439" s="1773">
        <f t="shared" si="124"/>
        <v>0</v>
      </c>
      <c r="AH439" s="1773">
        <f t="shared" si="125"/>
        <v>0</v>
      </c>
      <c r="AI439" s="1773">
        <f t="shared" si="126"/>
        <v>0</v>
      </c>
      <c r="AJ439" s="1773">
        <f t="shared" si="127"/>
        <v>0</v>
      </c>
      <c r="AK439" s="1773">
        <f t="shared" si="128"/>
        <v>0</v>
      </c>
      <c r="AL439" s="1773">
        <f t="shared" si="129"/>
        <v>0</v>
      </c>
      <c r="AN439" s="1776"/>
      <c r="AO439" s="1776"/>
      <c r="AP439" s="1776"/>
      <c r="AQ439" s="1776"/>
      <c r="AR439" s="1776"/>
      <c r="AS439" s="1776"/>
      <c r="AT439" s="1776"/>
      <c r="AU439" s="1776"/>
      <c r="AV439" s="1776"/>
      <c r="AW439" s="1776"/>
      <c r="AX439" s="1776"/>
      <c r="AY439" s="1776"/>
      <c r="AZ439" s="1776">
        <v>1</v>
      </c>
    </row>
    <row r="440" spans="1:52">
      <c r="A440" s="1479" t="s">
        <v>2850</v>
      </c>
      <c r="B440" s="1479" t="s">
        <v>2231</v>
      </c>
      <c r="C440" s="1741" t="s">
        <v>2108</v>
      </c>
      <c r="D440" s="1741">
        <v>1360</v>
      </c>
      <c r="E440" s="1741">
        <v>10</v>
      </c>
      <c r="F440" s="1741" t="s">
        <v>2229</v>
      </c>
      <c r="G440" s="1741" t="s">
        <v>1152</v>
      </c>
      <c r="H440" s="1741" t="s">
        <v>1658</v>
      </c>
      <c r="I440" s="1753" t="s">
        <v>3003</v>
      </c>
      <c r="J440" s="1754" t="s">
        <v>2109</v>
      </c>
      <c r="K440" s="1753" t="s">
        <v>497</v>
      </c>
      <c r="L440" s="1754" t="s">
        <v>1158</v>
      </c>
      <c r="M440" s="1754"/>
      <c r="N440" s="1756">
        <v>475866.93</v>
      </c>
      <c r="O440" s="1757">
        <v>506709.49</v>
      </c>
      <c r="P440" s="1758">
        <v>535432.98</v>
      </c>
      <c r="Q440" s="1759">
        <v>714980</v>
      </c>
      <c r="R440" s="1760">
        <v>714980</v>
      </c>
      <c r="S440" s="1760">
        <v>526922</v>
      </c>
      <c r="T440" s="1760">
        <v>526922</v>
      </c>
      <c r="U440" s="1761">
        <v>772615.7135999999</v>
      </c>
      <c r="V440" s="1762">
        <f>U440*108%</f>
        <v>834424.97068799997</v>
      </c>
      <c r="W440" s="1757">
        <f>V440*108%</f>
        <v>901178.96834303997</v>
      </c>
      <c r="Z440" s="1773">
        <f t="shared" si="117"/>
        <v>0</v>
      </c>
      <c r="AA440" s="1773">
        <f t="shared" si="118"/>
        <v>0</v>
      </c>
      <c r="AB440" s="1773">
        <f t="shared" si="119"/>
        <v>0</v>
      </c>
      <c r="AC440" s="1773">
        <f t="shared" si="120"/>
        <v>0</v>
      </c>
      <c r="AD440" s="1773">
        <f t="shared" si="121"/>
        <v>0</v>
      </c>
      <c r="AE440" s="1773">
        <f t="shared" si="122"/>
        <v>0</v>
      </c>
      <c r="AF440" s="1773">
        <f t="shared" si="123"/>
        <v>0</v>
      </c>
      <c r="AG440" s="1773">
        <f t="shared" si="124"/>
        <v>0</v>
      </c>
      <c r="AH440" s="1773">
        <f t="shared" si="125"/>
        <v>0</v>
      </c>
      <c r="AI440" s="1773">
        <f t="shared" si="126"/>
        <v>0</v>
      </c>
      <c r="AJ440" s="1773">
        <f t="shared" si="127"/>
        <v>0</v>
      </c>
      <c r="AK440" s="1773">
        <f t="shared" si="128"/>
        <v>0</v>
      </c>
      <c r="AL440" s="1773">
        <f t="shared" si="129"/>
        <v>772615.7135999999</v>
      </c>
      <c r="AN440" s="1776"/>
      <c r="AO440" s="1776"/>
      <c r="AP440" s="1776"/>
      <c r="AQ440" s="1776"/>
      <c r="AR440" s="1776"/>
      <c r="AS440" s="1776"/>
      <c r="AT440" s="1776"/>
      <c r="AU440" s="1776"/>
      <c r="AV440" s="1776"/>
      <c r="AW440" s="1776"/>
      <c r="AX440" s="1776"/>
      <c r="AY440" s="1776"/>
      <c r="AZ440" s="1776">
        <v>1</v>
      </c>
    </row>
    <row r="441" spans="1:52">
      <c r="A441" s="1479" t="s">
        <v>2851</v>
      </c>
      <c r="B441" s="1479" t="s">
        <v>2262</v>
      </c>
      <c r="C441" s="1741" t="s">
        <v>2108</v>
      </c>
      <c r="D441" s="1741">
        <v>1360</v>
      </c>
      <c r="E441" s="1741">
        <v>20</v>
      </c>
      <c r="F441" s="1741" t="s">
        <v>2229</v>
      </c>
      <c r="G441" s="1741" t="s">
        <v>1152</v>
      </c>
      <c r="H441" s="1741" t="s">
        <v>1658</v>
      </c>
      <c r="I441" s="1753" t="s">
        <v>3003</v>
      </c>
      <c r="J441" s="1754" t="s">
        <v>2109</v>
      </c>
      <c r="K441" s="1753" t="s">
        <v>497</v>
      </c>
      <c r="L441" s="1754" t="s">
        <v>1158</v>
      </c>
      <c r="M441" s="1754"/>
      <c r="N441" s="1756">
        <v>98529.24</v>
      </c>
      <c r="O441" s="1757">
        <v>42097.84</v>
      </c>
      <c r="P441" s="1758">
        <v>96431.5</v>
      </c>
      <c r="Q441" s="1759">
        <v>65000</v>
      </c>
      <c r="R441" s="1760">
        <v>65000</v>
      </c>
      <c r="S441" s="1760">
        <v>111169</v>
      </c>
      <c r="T441" s="1760">
        <v>111169</v>
      </c>
      <c r="U441" s="1761">
        <v>80000</v>
      </c>
      <c r="V441" s="1762">
        <v>66000</v>
      </c>
      <c r="W441" s="1757">
        <v>67000</v>
      </c>
      <c r="Z441" s="1773">
        <f t="shared" si="117"/>
        <v>0</v>
      </c>
      <c r="AA441" s="1773">
        <f t="shared" si="118"/>
        <v>0</v>
      </c>
      <c r="AB441" s="1773">
        <f t="shared" si="119"/>
        <v>0</v>
      </c>
      <c r="AC441" s="1773">
        <f t="shared" si="120"/>
        <v>0</v>
      </c>
      <c r="AD441" s="1773">
        <f t="shared" si="121"/>
        <v>0</v>
      </c>
      <c r="AE441" s="1773">
        <f t="shared" si="122"/>
        <v>0</v>
      </c>
      <c r="AF441" s="1773">
        <f t="shared" si="123"/>
        <v>0</v>
      </c>
      <c r="AG441" s="1773">
        <f t="shared" si="124"/>
        <v>0</v>
      </c>
      <c r="AH441" s="1773">
        <f t="shared" si="125"/>
        <v>0</v>
      </c>
      <c r="AI441" s="1773">
        <f t="shared" si="126"/>
        <v>0</v>
      </c>
      <c r="AJ441" s="1773">
        <f t="shared" si="127"/>
        <v>0</v>
      </c>
      <c r="AK441" s="1773">
        <f t="shared" si="128"/>
        <v>0</v>
      </c>
      <c r="AL441" s="1773">
        <f t="shared" si="129"/>
        <v>80000</v>
      </c>
      <c r="AN441" s="1776"/>
      <c r="AO441" s="1776"/>
      <c r="AP441" s="1776"/>
      <c r="AQ441" s="1776"/>
      <c r="AR441" s="1776"/>
      <c r="AS441" s="1776"/>
      <c r="AT441" s="1776"/>
      <c r="AU441" s="1776"/>
      <c r="AV441" s="1776"/>
      <c r="AW441" s="1776"/>
      <c r="AX441" s="1776"/>
      <c r="AY441" s="1776"/>
      <c r="AZ441" s="1776">
        <v>1</v>
      </c>
    </row>
    <row r="442" spans="1:52">
      <c r="A442" s="1479" t="s">
        <v>2852</v>
      </c>
      <c r="B442" s="1479" t="s">
        <v>2233</v>
      </c>
      <c r="C442" s="1741" t="s">
        <v>2108</v>
      </c>
      <c r="D442" s="1741">
        <v>1360</v>
      </c>
      <c r="E442" s="1741">
        <v>30</v>
      </c>
      <c r="F442" s="1741" t="s">
        <v>2229</v>
      </c>
      <c r="G442" s="1741" t="s">
        <v>1152</v>
      </c>
      <c r="H442" s="1741" t="s">
        <v>1658</v>
      </c>
      <c r="I442" s="1753" t="s">
        <v>3003</v>
      </c>
      <c r="J442" s="1754" t="s">
        <v>3004</v>
      </c>
      <c r="K442" s="1753" t="s">
        <v>497</v>
      </c>
      <c r="L442" s="1754" t="s">
        <v>1159</v>
      </c>
      <c r="M442" s="1754"/>
      <c r="N442" s="1756">
        <v>499.68</v>
      </c>
      <c r="O442" s="1757">
        <v>526.12</v>
      </c>
      <c r="P442" s="1758">
        <v>458.04</v>
      </c>
      <c r="Q442" s="1759">
        <v>715</v>
      </c>
      <c r="R442" s="1760">
        <v>715</v>
      </c>
      <c r="S442" s="1760">
        <v>464</v>
      </c>
      <c r="T442" s="1760">
        <v>464</v>
      </c>
      <c r="U442" s="1761">
        <v>8370.0035639999987</v>
      </c>
      <c r="V442" s="1762">
        <f>U442*108%</f>
        <v>9039.6038491199997</v>
      </c>
      <c r="W442" s="1757">
        <f>V442*108%</f>
        <v>9762.7721570495996</v>
      </c>
      <c r="Z442" s="1773">
        <f t="shared" si="117"/>
        <v>0</v>
      </c>
      <c r="AA442" s="1773">
        <f t="shared" si="118"/>
        <v>0</v>
      </c>
      <c r="AB442" s="1773">
        <f t="shared" si="119"/>
        <v>0</v>
      </c>
      <c r="AC442" s="1773">
        <f t="shared" si="120"/>
        <v>0</v>
      </c>
      <c r="AD442" s="1773">
        <f t="shared" si="121"/>
        <v>0</v>
      </c>
      <c r="AE442" s="1773">
        <f t="shared" si="122"/>
        <v>0</v>
      </c>
      <c r="AF442" s="1773">
        <f t="shared" si="123"/>
        <v>0</v>
      </c>
      <c r="AG442" s="1773">
        <f t="shared" si="124"/>
        <v>0</v>
      </c>
      <c r="AH442" s="1773">
        <f t="shared" si="125"/>
        <v>0</v>
      </c>
      <c r="AI442" s="1773">
        <f t="shared" si="126"/>
        <v>0</v>
      </c>
      <c r="AJ442" s="1773">
        <f t="shared" si="127"/>
        <v>0</v>
      </c>
      <c r="AK442" s="1773">
        <f t="shared" si="128"/>
        <v>0</v>
      </c>
      <c r="AL442" s="1773">
        <f t="shared" si="129"/>
        <v>8370.0035639999987</v>
      </c>
      <c r="AN442" s="1776"/>
      <c r="AO442" s="1776"/>
      <c r="AP442" s="1776"/>
      <c r="AQ442" s="1776"/>
      <c r="AR442" s="1776"/>
      <c r="AS442" s="1776"/>
      <c r="AT442" s="1776"/>
      <c r="AU442" s="1776"/>
      <c r="AV442" s="1776"/>
      <c r="AW442" s="1776"/>
      <c r="AX442" s="1776"/>
      <c r="AY442" s="1776"/>
      <c r="AZ442" s="1776">
        <v>1</v>
      </c>
    </row>
    <row r="443" spans="1:52">
      <c r="A443" s="1479" t="s">
        <v>2853</v>
      </c>
      <c r="B443" s="1479" t="s">
        <v>2265</v>
      </c>
      <c r="C443" s="1741" t="s">
        <v>2108</v>
      </c>
      <c r="D443" s="1741">
        <v>1360</v>
      </c>
      <c r="E443" s="1741">
        <v>40</v>
      </c>
      <c r="F443" s="1741" t="s">
        <v>2229</v>
      </c>
      <c r="G443" s="1741" t="s">
        <v>1152</v>
      </c>
      <c r="H443" s="1741" t="s">
        <v>1658</v>
      </c>
      <c r="I443" s="1753" t="s">
        <v>3003</v>
      </c>
      <c r="J443" s="1754" t="s">
        <v>2110</v>
      </c>
      <c r="K443" s="1753" t="s">
        <v>497</v>
      </c>
      <c r="L443" s="1754" t="s">
        <v>1159</v>
      </c>
      <c r="M443" s="1754"/>
      <c r="N443" s="1756">
        <v>3539.56</v>
      </c>
      <c r="O443" s="1757">
        <v>4370.32</v>
      </c>
      <c r="P443" s="1758">
        <v>5668.2</v>
      </c>
      <c r="Q443" s="1759">
        <v>3310</v>
      </c>
      <c r="R443" s="1760">
        <v>3310</v>
      </c>
      <c r="S443" s="1760">
        <v>5380</v>
      </c>
      <c r="T443" s="1760">
        <v>5380</v>
      </c>
      <c r="U443" s="1761">
        <v>3617.3951999999999</v>
      </c>
      <c r="V443" s="1762">
        <v>3545</v>
      </c>
      <c r="W443" s="1757">
        <v>3790</v>
      </c>
      <c r="Z443" s="1773">
        <f t="shared" si="117"/>
        <v>0</v>
      </c>
      <c r="AA443" s="1773">
        <f t="shared" si="118"/>
        <v>0</v>
      </c>
      <c r="AB443" s="1773">
        <f t="shared" si="119"/>
        <v>0</v>
      </c>
      <c r="AC443" s="1773">
        <f t="shared" si="120"/>
        <v>0</v>
      </c>
      <c r="AD443" s="1773">
        <f t="shared" si="121"/>
        <v>0</v>
      </c>
      <c r="AE443" s="1773">
        <f t="shared" si="122"/>
        <v>0</v>
      </c>
      <c r="AF443" s="1773">
        <f t="shared" si="123"/>
        <v>0</v>
      </c>
      <c r="AG443" s="1773">
        <f t="shared" si="124"/>
        <v>0</v>
      </c>
      <c r="AH443" s="1773">
        <f t="shared" si="125"/>
        <v>0</v>
      </c>
      <c r="AI443" s="1773">
        <f t="shared" si="126"/>
        <v>0</v>
      </c>
      <c r="AJ443" s="1773">
        <f t="shared" si="127"/>
        <v>0</v>
      </c>
      <c r="AK443" s="1773">
        <f t="shared" si="128"/>
        <v>0</v>
      </c>
      <c r="AL443" s="1773">
        <f t="shared" si="129"/>
        <v>3617.3951999999999</v>
      </c>
      <c r="AN443" s="1776"/>
      <c r="AO443" s="1776"/>
      <c r="AP443" s="1776"/>
      <c r="AQ443" s="1776"/>
      <c r="AR443" s="1776"/>
      <c r="AS443" s="1776"/>
      <c r="AT443" s="1776"/>
      <c r="AU443" s="1776"/>
      <c r="AV443" s="1776"/>
      <c r="AW443" s="1776"/>
      <c r="AX443" s="1776"/>
      <c r="AY443" s="1776"/>
      <c r="AZ443" s="1776">
        <v>1</v>
      </c>
    </row>
    <row r="444" spans="1:52">
      <c r="A444" s="1479" t="s">
        <v>2854</v>
      </c>
      <c r="B444" s="1479" t="s">
        <v>2235</v>
      </c>
      <c r="C444" s="1741" t="s">
        <v>2108</v>
      </c>
      <c r="D444" s="1741">
        <v>1360</v>
      </c>
      <c r="E444" s="1741">
        <v>50</v>
      </c>
      <c r="F444" s="1741" t="s">
        <v>2229</v>
      </c>
      <c r="G444" s="1741" t="s">
        <v>1152</v>
      </c>
      <c r="H444" s="1741" t="s">
        <v>1658</v>
      </c>
      <c r="I444" s="1753" t="s">
        <v>3003</v>
      </c>
      <c r="J444" s="1754" t="s">
        <v>2110</v>
      </c>
      <c r="K444" s="1753" t="s">
        <v>497</v>
      </c>
      <c r="L444" s="1754" t="s">
        <v>1159</v>
      </c>
      <c r="M444" s="1754"/>
      <c r="N444" s="1756">
        <v>98170.2</v>
      </c>
      <c r="O444" s="1757">
        <v>105206.25</v>
      </c>
      <c r="P444" s="1758">
        <v>116638.71</v>
      </c>
      <c r="Q444" s="1759">
        <v>162660</v>
      </c>
      <c r="R444" s="1760">
        <v>162660</v>
      </c>
      <c r="S444" s="1760">
        <v>109124</v>
      </c>
      <c r="T444" s="1760">
        <v>109124</v>
      </c>
      <c r="U444" s="1761">
        <v>175770.07484399999</v>
      </c>
      <c r="V444" s="1762">
        <f>U444*108%</f>
        <v>189831.68083152</v>
      </c>
      <c r="W444" s="1757">
        <f>V444*108%</f>
        <v>205018.21529804161</v>
      </c>
      <c r="Z444" s="1773">
        <f t="shared" si="117"/>
        <v>0</v>
      </c>
      <c r="AA444" s="1773">
        <f t="shared" si="118"/>
        <v>0</v>
      </c>
      <c r="AB444" s="1773">
        <f t="shared" si="119"/>
        <v>0</v>
      </c>
      <c r="AC444" s="1773">
        <f t="shared" si="120"/>
        <v>0</v>
      </c>
      <c r="AD444" s="1773">
        <f t="shared" si="121"/>
        <v>0</v>
      </c>
      <c r="AE444" s="1773">
        <f t="shared" si="122"/>
        <v>0</v>
      </c>
      <c r="AF444" s="1773">
        <f t="shared" si="123"/>
        <v>0</v>
      </c>
      <c r="AG444" s="1773">
        <f t="shared" si="124"/>
        <v>0</v>
      </c>
      <c r="AH444" s="1773">
        <f t="shared" si="125"/>
        <v>0</v>
      </c>
      <c r="AI444" s="1773">
        <f t="shared" si="126"/>
        <v>0</v>
      </c>
      <c r="AJ444" s="1773">
        <f t="shared" si="127"/>
        <v>0</v>
      </c>
      <c r="AK444" s="1773">
        <f t="shared" si="128"/>
        <v>0</v>
      </c>
      <c r="AL444" s="1773">
        <f t="shared" si="129"/>
        <v>175770.07484399999</v>
      </c>
      <c r="AN444" s="1776"/>
      <c r="AO444" s="1776"/>
      <c r="AP444" s="1776"/>
      <c r="AQ444" s="1776"/>
      <c r="AR444" s="1776"/>
      <c r="AS444" s="1776"/>
      <c r="AT444" s="1776"/>
      <c r="AU444" s="1776"/>
      <c r="AV444" s="1776"/>
      <c r="AW444" s="1776"/>
      <c r="AX444" s="1776"/>
      <c r="AY444" s="1776"/>
      <c r="AZ444" s="1776">
        <v>1</v>
      </c>
    </row>
    <row r="445" spans="1:52">
      <c r="A445" s="1479" t="s">
        <v>2855</v>
      </c>
      <c r="B445" s="1479" t="s">
        <v>2237</v>
      </c>
      <c r="C445" s="1741" t="s">
        <v>2108</v>
      </c>
      <c r="D445" s="1741">
        <v>1360</v>
      </c>
      <c r="E445" s="1741">
        <v>60</v>
      </c>
      <c r="F445" s="1741" t="s">
        <v>2229</v>
      </c>
      <c r="G445" s="1741" t="s">
        <v>1152</v>
      </c>
      <c r="H445" s="1741" t="s">
        <v>1658</v>
      </c>
      <c r="I445" s="1753" t="s">
        <v>3003</v>
      </c>
      <c r="J445" s="1754" t="s">
        <v>2110</v>
      </c>
      <c r="K445" s="1753" t="s">
        <v>497</v>
      </c>
      <c r="L445" s="1754" t="s">
        <v>1159</v>
      </c>
      <c r="M445" s="1754"/>
      <c r="N445" s="1756">
        <v>5846.17</v>
      </c>
      <c r="O445" s="1757">
        <v>6211.68</v>
      </c>
      <c r="P445" s="1758">
        <v>6051.04</v>
      </c>
      <c r="Q445" s="1759">
        <v>7750</v>
      </c>
      <c r="R445" s="1760">
        <v>7750</v>
      </c>
      <c r="S445" s="1760">
        <v>5811</v>
      </c>
      <c r="T445" s="1760">
        <v>5811</v>
      </c>
      <c r="U445" s="1761">
        <v>8370.0035639999987</v>
      </c>
      <c r="V445" s="1762">
        <f>U445*108%</f>
        <v>9039.6038491199997</v>
      </c>
      <c r="W445" s="1757">
        <f>V445*108%</f>
        <v>9762.7721570495996</v>
      </c>
      <c r="Z445" s="1773">
        <f t="shared" ref="Z445:Z508" si="130">$AL445*AN445</f>
        <v>0</v>
      </c>
      <c r="AA445" s="1773">
        <f t="shared" ref="AA445:AA508" si="131">$AL445*AO445</f>
        <v>0</v>
      </c>
      <c r="AB445" s="1773">
        <f t="shared" ref="AB445:AB508" si="132">$AL445*AP445</f>
        <v>0</v>
      </c>
      <c r="AC445" s="1773">
        <f t="shared" ref="AC445:AC508" si="133">$AL445*AQ445</f>
        <v>0</v>
      </c>
      <c r="AD445" s="1773">
        <f t="shared" ref="AD445:AD508" si="134">$AL445*AR445</f>
        <v>0</v>
      </c>
      <c r="AE445" s="1773">
        <f t="shared" ref="AE445:AE508" si="135">$AL445*AS445</f>
        <v>0</v>
      </c>
      <c r="AF445" s="1773">
        <f t="shared" ref="AF445:AF508" si="136">$AL445*AT445</f>
        <v>0</v>
      </c>
      <c r="AG445" s="1773">
        <f t="shared" ref="AG445:AG508" si="137">$AL445*AU445</f>
        <v>0</v>
      </c>
      <c r="AH445" s="1773">
        <f t="shared" ref="AH445:AH508" si="138">$AL445*AV445</f>
        <v>0</v>
      </c>
      <c r="AI445" s="1773">
        <f t="shared" ref="AI445:AI508" si="139">$AL445*AW445</f>
        <v>0</v>
      </c>
      <c r="AJ445" s="1773">
        <f t="shared" ref="AJ445:AJ508" si="140">$AL445*AX445</f>
        <v>0</v>
      </c>
      <c r="AK445" s="1773">
        <f t="shared" ref="AK445:AK508" si="141">$AL445*AY445</f>
        <v>0</v>
      </c>
      <c r="AL445" s="1773">
        <f t="shared" si="129"/>
        <v>8370.0035639999987</v>
      </c>
      <c r="AN445" s="1776"/>
      <c r="AO445" s="1776"/>
      <c r="AP445" s="1776"/>
      <c r="AQ445" s="1776"/>
      <c r="AR445" s="1776"/>
      <c r="AS445" s="1776"/>
      <c r="AT445" s="1776"/>
      <c r="AU445" s="1776"/>
      <c r="AV445" s="1776"/>
      <c r="AW445" s="1776"/>
      <c r="AX445" s="1776"/>
      <c r="AY445" s="1776"/>
      <c r="AZ445" s="1776">
        <v>1</v>
      </c>
    </row>
    <row r="446" spans="1:52" ht="13.5">
      <c r="A446" t="s">
        <v>2856</v>
      </c>
      <c r="B446" t="s">
        <v>2269</v>
      </c>
      <c r="C446" s="1741" t="s">
        <v>2108</v>
      </c>
      <c r="D446" s="1741">
        <v>1360</v>
      </c>
      <c r="E446" s="1741">
        <v>80</v>
      </c>
      <c r="F446" s="1741" t="s">
        <v>2229</v>
      </c>
      <c r="G446" s="1741" t="s">
        <v>1152</v>
      </c>
      <c r="H446" s="1741" t="s">
        <v>1658</v>
      </c>
      <c r="I446" s="1753" t="s">
        <v>3003</v>
      </c>
      <c r="J446" s="1754" t="s">
        <v>2112</v>
      </c>
      <c r="K446" s="1753" t="s">
        <v>497</v>
      </c>
      <c r="L446" s="1754" t="s">
        <v>807</v>
      </c>
      <c r="M446" s="1755"/>
      <c r="N446" s="1756"/>
      <c r="O446" s="1757"/>
      <c r="P446" s="1758"/>
      <c r="Q446" s="1759">
        <v>0</v>
      </c>
      <c r="R446" s="1760">
        <v>0</v>
      </c>
      <c r="S446" s="1760">
        <v>821</v>
      </c>
      <c r="T446" s="1760">
        <v>821</v>
      </c>
      <c r="U446" s="1761">
        <v>0</v>
      </c>
      <c r="V446" s="1762">
        <v>0</v>
      </c>
      <c r="W446" s="1757">
        <v>0</v>
      </c>
      <c r="Z446" s="1773">
        <f t="shared" si="130"/>
        <v>0</v>
      </c>
      <c r="AA446" s="1773">
        <f t="shared" si="131"/>
        <v>0</v>
      </c>
      <c r="AB446" s="1773">
        <f t="shared" si="132"/>
        <v>0</v>
      </c>
      <c r="AC446" s="1773">
        <f t="shared" si="133"/>
        <v>0</v>
      </c>
      <c r="AD446" s="1773">
        <f t="shared" si="134"/>
        <v>0</v>
      </c>
      <c r="AE446" s="1773">
        <f t="shared" si="135"/>
        <v>0</v>
      </c>
      <c r="AF446" s="1773">
        <f t="shared" si="136"/>
        <v>0</v>
      </c>
      <c r="AG446" s="1773">
        <f t="shared" si="137"/>
        <v>0</v>
      </c>
      <c r="AH446" s="1773">
        <f t="shared" si="138"/>
        <v>0</v>
      </c>
      <c r="AI446" s="1773">
        <f t="shared" si="139"/>
        <v>0</v>
      </c>
      <c r="AJ446" s="1773">
        <f t="shared" si="140"/>
        <v>0</v>
      </c>
      <c r="AK446" s="1773">
        <f t="shared" si="141"/>
        <v>0</v>
      </c>
      <c r="AL446" s="1773">
        <f t="shared" si="129"/>
        <v>0</v>
      </c>
      <c r="AN446" s="1776"/>
      <c r="AO446" s="1776"/>
      <c r="AP446" s="1776"/>
      <c r="AQ446" s="1776"/>
      <c r="AR446" s="1776"/>
      <c r="AS446" s="1776"/>
      <c r="AT446" s="1776"/>
      <c r="AU446" s="1776"/>
      <c r="AV446" s="1776"/>
      <c r="AW446" s="1776"/>
      <c r="AX446" s="1776"/>
      <c r="AY446" s="1776"/>
      <c r="AZ446" s="1776">
        <v>1</v>
      </c>
    </row>
    <row r="447" spans="1:52" ht="13.5">
      <c r="A447" s="1479" t="s">
        <v>2857</v>
      </c>
      <c r="B447" s="1479" t="s">
        <v>2271</v>
      </c>
      <c r="C447" s="1741" t="s">
        <v>2108</v>
      </c>
      <c r="D447" s="1741">
        <v>1360</v>
      </c>
      <c r="E447" s="1741">
        <v>100</v>
      </c>
      <c r="F447" s="1741" t="s">
        <v>2229</v>
      </c>
      <c r="G447" s="1741" t="s">
        <v>1152</v>
      </c>
      <c r="H447" s="1741" t="s">
        <v>1658</v>
      </c>
      <c r="I447" s="1753" t="s">
        <v>3003</v>
      </c>
      <c r="J447" s="1754" t="s">
        <v>2145</v>
      </c>
      <c r="K447" s="1753" t="s">
        <v>497</v>
      </c>
      <c r="L447" s="1754" t="s">
        <v>1778</v>
      </c>
      <c r="M447" s="1755"/>
      <c r="N447" s="1756">
        <v>3608</v>
      </c>
      <c r="O447" s="1757">
        <v>0</v>
      </c>
      <c r="P447" s="1758">
        <v>1167.72</v>
      </c>
      <c r="Q447" s="1759">
        <v>5000</v>
      </c>
      <c r="R447" s="1760">
        <v>5000</v>
      </c>
      <c r="S447" s="1760">
        <v>11939</v>
      </c>
      <c r="T447" s="1760">
        <v>11939</v>
      </c>
      <c r="U447" s="1761">
        <v>5000</v>
      </c>
      <c r="V447" s="1762">
        <v>5000</v>
      </c>
      <c r="W447" s="1757">
        <v>5000</v>
      </c>
      <c r="Z447" s="1773">
        <f t="shared" si="130"/>
        <v>0</v>
      </c>
      <c r="AA447" s="1773">
        <f t="shared" si="131"/>
        <v>0</v>
      </c>
      <c r="AB447" s="1773">
        <f t="shared" si="132"/>
        <v>0</v>
      </c>
      <c r="AC447" s="1773">
        <f t="shared" si="133"/>
        <v>0</v>
      </c>
      <c r="AD447" s="1773">
        <f t="shared" si="134"/>
        <v>0</v>
      </c>
      <c r="AE447" s="1773">
        <f t="shared" si="135"/>
        <v>0</v>
      </c>
      <c r="AF447" s="1773">
        <f t="shared" si="136"/>
        <v>0</v>
      </c>
      <c r="AG447" s="1773">
        <f t="shared" si="137"/>
        <v>0</v>
      </c>
      <c r="AH447" s="1773">
        <f t="shared" si="138"/>
        <v>0</v>
      </c>
      <c r="AI447" s="1773">
        <f t="shared" si="139"/>
        <v>0</v>
      </c>
      <c r="AJ447" s="1773">
        <f t="shared" si="140"/>
        <v>0</v>
      </c>
      <c r="AK447" s="1773">
        <f t="shared" si="141"/>
        <v>0</v>
      </c>
      <c r="AL447" s="1773">
        <f t="shared" si="129"/>
        <v>5000</v>
      </c>
      <c r="AN447" s="1776"/>
      <c r="AO447" s="1776"/>
      <c r="AP447" s="1776"/>
      <c r="AQ447" s="1776"/>
      <c r="AR447" s="1776"/>
      <c r="AS447" s="1776"/>
      <c r="AT447" s="1776"/>
      <c r="AU447" s="1776"/>
      <c r="AV447" s="1776"/>
      <c r="AW447" s="1776"/>
      <c r="AX447" s="1776"/>
      <c r="AY447" s="1776"/>
      <c r="AZ447" s="1776">
        <v>1</v>
      </c>
    </row>
    <row r="448" spans="1:52" ht="13.5">
      <c r="A448" s="1479" t="s">
        <v>2858</v>
      </c>
      <c r="B448" s="1479" t="s">
        <v>2241</v>
      </c>
      <c r="C448" s="1741" t="s">
        <v>2108</v>
      </c>
      <c r="D448" s="1741">
        <v>1360</v>
      </c>
      <c r="E448" s="1741">
        <v>140</v>
      </c>
      <c r="F448" s="1741" t="s">
        <v>2229</v>
      </c>
      <c r="G448" s="1741" t="s">
        <v>1152</v>
      </c>
      <c r="H448" s="1741" t="s">
        <v>1658</v>
      </c>
      <c r="I448" s="1753" t="s">
        <v>3003</v>
      </c>
      <c r="J448" s="1754" t="s">
        <v>3005</v>
      </c>
      <c r="K448" s="1753" t="s">
        <v>497</v>
      </c>
      <c r="L448" s="1754" t="s">
        <v>1163</v>
      </c>
      <c r="M448" s="1755"/>
      <c r="N448" s="1756">
        <v>39837.58</v>
      </c>
      <c r="O448" s="1757">
        <v>43146.400000000001</v>
      </c>
      <c r="P448" s="1758">
        <v>40194.5</v>
      </c>
      <c r="Q448" s="1759">
        <v>59585</v>
      </c>
      <c r="R448" s="1760">
        <v>59585</v>
      </c>
      <c r="S448" s="1760">
        <v>44144</v>
      </c>
      <c r="T448" s="1760">
        <v>44144</v>
      </c>
      <c r="U448" s="1761">
        <v>64384.642799999987</v>
      </c>
      <c r="V448" s="1762">
        <f>U448*108%</f>
        <v>69535.414223999993</v>
      </c>
      <c r="W448" s="1757">
        <f>V448*108%</f>
        <v>75098.247361920003</v>
      </c>
      <c r="Z448" s="1773">
        <f t="shared" si="130"/>
        <v>0</v>
      </c>
      <c r="AA448" s="1773">
        <f t="shared" si="131"/>
        <v>0</v>
      </c>
      <c r="AB448" s="1773">
        <f t="shared" si="132"/>
        <v>0</v>
      </c>
      <c r="AC448" s="1773">
        <f t="shared" si="133"/>
        <v>0</v>
      </c>
      <c r="AD448" s="1773">
        <f t="shared" si="134"/>
        <v>0</v>
      </c>
      <c r="AE448" s="1773">
        <f t="shared" si="135"/>
        <v>0</v>
      </c>
      <c r="AF448" s="1773">
        <f t="shared" si="136"/>
        <v>0</v>
      </c>
      <c r="AG448" s="1773">
        <f t="shared" si="137"/>
        <v>0</v>
      </c>
      <c r="AH448" s="1773">
        <f t="shared" si="138"/>
        <v>0</v>
      </c>
      <c r="AI448" s="1773">
        <f t="shared" si="139"/>
        <v>0</v>
      </c>
      <c r="AJ448" s="1773">
        <f t="shared" si="140"/>
        <v>0</v>
      </c>
      <c r="AK448" s="1773">
        <f t="shared" si="141"/>
        <v>0</v>
      </c>
      <c r="AL448" s="1773">
        <f t="shared" si="129"/>
        <v>64384.642799999987</v>
      </c>
      <c r="AN448" s="1776"/>
      <c r="AO448" s="1776"/>
      <c r="AP448" s="1776"/>
      <c r="AQ448" s="1776"/>
      <c r="AR448" s="1776"/>
      <c r="AS448" s="1776"/>
      <c r="AT448" s="1776"/>
      <c r="AU448" s="1776"/>
      <c r="AV448" s="1776"/>
      <c r="AW448" s="1776"/>
      <c r="AX448" s="1776"/>
      <c r="AY448" s="1776"/>
      <c r="AZ448" s="1776">
        <v>1</v>
      </c>
    </row>
    <row r="449" spans="1:52" ht="13.5">
      <c r="A449" s="1479" t="s">
        <v>2859</v>
      </c>
      <c r="B449" s="1479" t="s">
        <v>2276</v>
      </c>
      <c r="C449" s="1741" t="s">
        <v>2108</v>
      </c>
      <c r="D449" s="1741">
        <v>1360</v>
      </c>
      <c r="E449" s="1741">
        <v>170</v>
      </c>
      <c r="F449" s="1741" t="s">
        <v>2229</v>
      </c>
      <c r="G449" s="1741" t="s">
        <v>1152</v>
      </c>
      <c r="H449" s="1741" t="s">
        <v>1658</v>
      </c>
      <c r="I449" s="1753" t="s">
        <v>3003</v>
      </c>
      <c r="J449" s="1754" t="s">
        <v>1161</v>
      </c>
      <c r="K449" s="1753" t="s">
        <v>497</v>
      </c>
      <c r="L449" s="1754" t="s">
        <v>1161</v>
      </c>
      <c r="M449" s="1755"/>
      <c r="N449" s="1756">
        <v>22987.119999999999</v>
      </c>
      <c r="O449" s="1757">
        <v>33276.1</v>
      </c>
      <c r="P449" s="1758">
        <v>29423.25</v>
      </c>
      <c r="Q449" s="1759">
        <v>25000</v>
      </c>
      <c r="R449" s="1760">
        <v>25000</v>
      </c>
      <c r="S449" s="1760">
        <v>13732</v>
      </c>
      <c r="T449" s="1760">
        <v>13732</v>
      </c>
      <c r="U449" s="1761">
        <v>25000</v>
      </c>
      <c r="V449" s="1762">
        <v>26000</v>
      </c>
      <c r="W449" s="1757">
        <v>27000</v>
      </c>
      <c r="Z449" s="1773">
        <f t="shared" si="130"/>
        <v>0</v>
      </c>
      <c r="AA449" s="1773">
        <f t="shared" si="131"/>
        <v>0</v>
      </c>
      <c r="AB449" s="1773">
        <f t="shared" si="132"/>
        <v>0</v>
      </c>
      <c r="AC449" s="1773">
        <f t="shared" si="133"/>
        <v>0</v>
      </c>
      <c r="AD449" s="1773">
        <f t="shared" si="134"/>
        <v>0</v>
      </c>
      <c r="AE449" s="1773">
        <f t="shared" si="135"/>
        <v>0</v>
      </c>
      <c r="AF449" s="1773">
        <f t="shared" si="136"/>
        <v>0</v>
      </c>
      <c r="AG449" s="1773">
        <f t="shared" si="137"/>
        <v>0</v>
      </c>
      <c r="AH449" s="1773">
        <f t="shared" si="138"/>
        <v>0</v>
      </c>
      <c r="AI449" s="1773">
        <f t="shared" si="139"/>
        <v>0</v>
      </c>
      <c r="AJ449" s="1773">
        <f t="shared" si="140"/>
        <v>0</v>
      </c>
      <c r="AK449" s="1773">
        <f t="shared" si="141"/>
        <v>0</v>
      </c>
      <c r="AL449" s="1773">
        <f t="shared" si="129"/>
        <v>25000</v>
      </c>
      <c r="AN449" s="1776"/>
      <c r="AO449" s="1776"/>
      <c r="AP449" s="1776"/>
      <c r="AQ449" s="1776"/>
      <c r="AR449" s="1776"/>
      <c r="AS449" s="1776"/>
      <c r="AT449" s="1776"/>
      <c r="AU449" s="1776"/>
      <c r="AV449" s="1776"/>
      <c r="AW449" s="1776"/>
      <c r="AX449" s="1776"/>
      <c r="AY449" s="1776"/>
      <c r="AZ449" s="1776">
        <v>1</v>
      </c>
    </row>
    <row r="450" spans="1:52" ht="13.5">
      <c r="A450" s="1479" t="s">
        <v>2860</v>
      </c>
      <c r="B450" s="1479" t="s">
        <v>2278</v>
      </c>
      <c r="C450" s="1741" t="s">
        <v>2108</v>
      </c>
      <c r="D450" s="1741">
        <v>1360</v>
      </c>
      <c r="E450" s="1741">
        <v>200</v>
      </c>
      <c r="F450" s="1741" t="s">
        <v>2229</v>
      </c>
      <c r="G450" s="1741" t="s">
        <v>1152</v>
      </c>
      <c r="H450" s="1741" t="s">
        <v>1658</v>
      </c>
      <c r="I450" s="1753" t="s">
        <v>3003</v>
      </c>
      <c r="J450" s="1754" t="s">
        <v>2113</v>
      </c>
      <c r="K450" s="1753" t="s">
        <v>497</v>
      </c>
      <c r="L450" s="1754" t="s">
        <v>1160</v>
      </c>
      <c r="M450" s="1755"/>
      <c r="N450" s="1756">
        <v>109.9</v>
      </c>
      <c r="O450" s="1757">
        <v>0</v>
      </c>
      <c r="P450" s="1758">
        <v>0</v>
      </c>
      <c r="Q450" s="1759">
        <v>0</v>
      </c>
      <c r="R450" s="1760">
        <v>0</v>
      </c>
      <c r="S450" s="1760">
        <v>0</v>
      </c>
      <c r="T450" s="1760">
        <v>0</v>
      </c>
      <c r="U450" s="1761">
        <v>0</v>
      </c>
      <c r="V450" s="1762">
        <v>0</v>
      </c>
      <c r="W450" s="1757">
        <v>0</v>
      </c>
      <c r="Z450" s="1773">
        <f t="shared" si="130"/>
        <v>0</v>
      </c>
      <c r="AA450" s="1773">
        <f t="shared" si="131"/>
        <v>0</v>
      </c>
      <c r="AB450" s="1773">
        <f t="shared" si="132"/>
        <v>0</v>
      </c>
      <c r="AC450" s="1773">
        <f t="shared" si="133"/>
        <v>0</v>
      </c>
      <c r="AD450" s="1773">
        <f t="shared" si="134"/>
        <v>0</v>
      </c>
      <c r="AE450" s="1773">
        <f t="shared" si="135"/>
        <v>0</v>
      </c>
      <c r="AF450" s="1773">
        <f t="shared" si="136"/>
        <v>0</v>
      </c>
      <c r="AG450" s="1773">
        <f t="shared" si="137"/>
        <v>0</v>
      </c>
      <c r="AH450" s="1773">
        <f t="shared" si="138"/>
        <v>0</v>
      </c>
      <c r="AI450" s="1773">
        <f t="shared" si="139"/>
        <v>0</v>
      </c>
      <c r="AJ450" s="1773">
        <f t="shared" si="140"/>
        <v>0</v>
      </c>
      <c r="AK450" s="1773">
        <f t="shared" si="141"/>
        <v>0</v>
      </c>
      <c r="AL450" s="1773">
        <f t="shared" ref="AL450:AL513" si="142">U450</f>
        <v>0</v>
      </c>
      <c r="AN450" s="1776"/>
      <c r="AO450" s="1776"/>
      <c r="AP450" s="1776"/>
      <c r="AQ450" s="1776"/>
      <c r="AR450" s="1776"/>
      <c r="AS450" s="1776"/>
      <c r="AT450" s="1776"/>
      <c r="AU450" s="1776"/>
      <c r="AV450" s="1776"/>
      <c r="AW450" s="1776"/>
      <c r="AX450" s="1776"/>
      <c r="AY450" s="1776"/>
      <c r="AZ450" s="1776">
        <v>1</v>
      </c>
    </row>
    <row r="451" spans="1:52" ht="13.5">
      <c r="A451" s="1479" t="s">
        <v>2861</v>
      </c>
      <c r="B451" s="1479" t="s">
        <v>2280</v>
      </c>
      <c r="C451" s="1741" t="s">
        <v>2108</v>
      </c>
      <c r="D451" s="1741">
        <v>1360</v>
      </c>
      <c r="E451" s="1741">
        <v>210</v>
      </c>
      <c r="F451" s="1741" t="s">
        <v>2229</v>
      </c>
      <c r="G451" s="1741" t="s">
        <v>1152</v>
      </c>
      <c r="H451" s="1741" t="s">
        <v>1658</v>
      </c>
      <c r="I451" s="1753" t="s">
        <v>3003</v>
      </c>
      <c r="J451" s="1754" t="s">
        <v>2113</v>
      </c>
      <c r="K451" s="1753" t="s">
        <v>497</v>
      </c>
      <c r="L451" s="1754" t="s">
        <v>1160</v>
      </c>
      <c r="M451" s="1755"/>
      <c r="N451" s="1756">
        <v>1538.2</v>
      </c>
      <c r="O451" s="1757">
        <v>1520.29</v>
      </c>
      <c r="P451" s="1758">
        <v>1545.35</v>
      </c>
      <c r="Q451" s="1759">
        <v>1200</v>
      </c>
      <c r="R451" s="1760">
        <v>1200</v>
      </c>
      <c r="S451" s="1760">
        <v>793</v>
      </c>
      <c r="T451" s="1760">
        <v>793</v>
      </c>
      <c r="U451" s="1761">
        <v>1200</v>
      </c>
      <c r="V451" s="1762">
        <v>1300</v>
      </c>
      <c r="W451" s="1757">
        <v>1400</v>
      </c>
      <c r="Z451" s="1773">
        <f t="shared" si="130"/>
        <v>0</v>
      </c>
      <c r="AA451" s="1773">
        <f t="shared" si="131"/>
        <v>0</v>
      </c>
      <c r="AB451" s="1773">
        <f t="shared" si="132"/>
        <v>0</v>
      </c>
      <c r="AC451" s="1773">
        <f t="shared" si="133"/>
        <v>0</v>
      </c>
      <c r="AD451" s="1773">
        <f t="shared" si="134"/>
        <v>0</v>
      </c>
      <c r="AE451" s="1773">
        <f t="shared" si="135"/>
        <v>0</v>
      </c>
      <c r="AF451" s="1773">
        <f t="shared" si="136"/>
        <v>0</v>
      </c>
      <c r="AG451" s="1773">
        <f t="shared" si="137"/>
        <v>0</v>
      </c>
      <c r="AH451" s="1773">
        <f t="shared" si="138"/>
        <v>0</v>
      </c>
      <c r="AI451" s="1773">
        <f t="shared" si="139"/>
        <v>0</v>
      </c>
      <c r="AJ451" s="1773">
        <f t="shared" si="140"/>
        <v>0</v>
      </c>
      <c r="AK451" s="1773">
        <f t="shared" si="141"/>
        <v>0</v>
      </c>
      <c r="AL451" s="1773">
        <f t="shared" si="142"/>
        <v>1200</v>
      </c>
      <c r="AN451" s="1776"/>
      <c r="AO451" s="1776"/>
      <c r="AP451" s="1776"/>
      <c r="AQ451" s="1776"/>
      <c r="AR451" s="1776"/>
      <c r="AS451" s="1776"/>
      <c r="AT451" s="1776"/>
      <c r="AU451" s="1776"/>
      <c r="AV451" s="1776"/>
      <c r="AW451" s="1776"/>
      <c r="AX451" s="1776"/>
      <c r="AY451" s="1776"/>
      <c r="AZ451" s="1776">
        <v>1</v>
      </c>
    </row>
    <row r="452" spans="1:52" ht="13.5">
      <c r="A452" s="1479" t="s">
        <v>2862</v>
      </c>
      <c r="B452" s="1479" t="s">
        <v>2243</v>
      </c>
      <c r="C452" s="1741" t="s">
        <v>2108</v>
      </c>
      <c r="D452" s="1741">
        <v>1360</v>
      </c>
      <c r="E452" s="1741">
        <v>520</v>
      </c>
      <c r="F452" s="1741" t="s">
        <v>2229</v>
      </c>
      <c r="G452" s="1741" t="s">
        <v>1152</v>
      </c>
      <c r="H452" s="1741" t="s">
        <v>1658</v>
      </c>
      <c r="I452" s="1753" t="s">
        <v>2114</v>
      </c>
      <c r="J452" s="1754" t="s">
        <v>2138</v>
      </c>
      <c r="K452" s="1753" t="s">
        <v>2114</v>
      </c>
      <c r="L452" s="1754" t="s">
        <v>2138</v>
      </c>
      <c r="M452" s="1755"/>
      <c r="N452" s="1756">
        <v>3749.28</v>
      </c>
      <c r="O452" s="1757">
        <v>4775.9799999999996</v>
      </c>
      <c r="P452" s="1758">
        <v>7450.68</v>
      </c>
      <c r="Q452" s="1759">
        <v>7890</v>
      </c>
      <c r="R452" s="1760">
        <v>0</v>
      </c>
      <c r="S452" s="1760">
        <v>0</v>
      </c>
      <c r="T452" s="1760">
        <v>0</v>
      </c>
      <c r="U452" s="1761">
        <v>0</v>
      </c>
      <c r="V452" s="1762">
        <v>9075</v>
      </c>
      <c r="W452" s="1757">
        <v>10435</v>
      </c>
      <c r="Z452" s="1773">
        <f t="shared" si="130"/>
        <v>0</v>
      </c>
      <c r="AA452" s="1773">
        <f t="shared" si="131"/>
        <v>0</v>
      </c>
      <c r="AB452" s="1773">
        <f t="shared" si="132"/>
        <v>0</v>
      </c>
      <c r="AC452" s="1773">
        <f t="shared" si="133"/>
        <v>0</v>
      </c>
      <c r="AD452" s="1773">
        <f t="shared" si="134"/>
        <v>0</v>
      </c>
      <c r="AE452" s="1773">
        <f t="shared" si="135"/>
        <v>0</v>
      </c>
      <c r="AF452" s="1773">
        <f t="shared" si="136"/>
        <v>0</v>
      </c>
      <c r="AG452" s="1773">
        <f t="shared" si="137"/>
        <v>0</v>
      </c>
      <c r="AH452" s="1773">
        <f t="shared" si="138"/>
        <v>0</v>
      </c>
      <c r="AI452" s="1773">
        <f t="shared" si="139"/>
        <v>0</v>
      </c>
      <c r="AJ452" s="1773">
        <f t="shared" si="140"/>
        <v>0</v>
      </c>
      <c r="AK452" s="1773">
        <f t="shared" si="141"/>
        <v>0</v>
      </c>
      <c r="AL452" s="1773">
        <f t="shared" si="142"/>
        <v>0</v>
      </c>
      <c r="AN452" s="1776"/>
      <c r="AO452" s="1776"/>
      <c r="AP452" s="1776"/>
      <c r="AQ452" s="1776"/>
      <c r="AR452" s="1776"/>
      <c r="AS452" s="1776"/>
      <c r="AT452" s="1776"/>
      <c r="AU452" s="1776"/>
      <c r="AV452" s="1776"/>
      <c r="AW452" s="1776"/>
      <c r="AX452" s="1776"/>
      <c r="AY452" s="1776"/>
      <c r="AZ452" s="1776">
        <v>1</v>
      </c>
    </row>
    <row r="453" spans="1:52" ht="13.5">
      <c r="A453" s="1479" t="s">
        <v>2863</v>
      </c>
      <c r="B453" s="1479" t="s">
        <v>2283</v>
      </c>
      <c r="C453" s="1741" t="s">
        <v>2108</v>
      </c>
      <c r="D453" s="1741">
        <v>1360</v>
      </c>
      <c r="E453" s="1741">
        <v>570</v>
      </c>
      <c r="F453" s="1741" t="s">
        <v>2229</v>
      </c>
      <c r="G453" s="1741" t="s">
        <v>1152</v>
      </c>
      <c r="H453" s="1741" t="s">
        <v>1658</v>
      </c>
      <c r="I453" s="1753" t="s">
        <v>2114</v>
      </c>
      <c r="J453" s="1754" t="s">
        <v>3010</v>
      </c>
      <c r="K453" s="1753" t="s">
        <v>2114</v>
      </c>
      <c r="L453" s="1754" t="s">
        <v>3010</v>
      </c>
      <c r="M453" s="1755"/>
      <c r="N453" s="1756">
        <v>5709.44</v>
      </c>
      <c r="O453" s="1757">
        <v>8592.7900000000009</v>
      </c>
      <c r="P453" s="1758">
        <v>6274.78</v>
      </c>
      <c r="Q453" s="1759">
        <v>12000</v>
      </c>
      <c r="R453" s="1760">
        <v>12000</v>
      </c>
      <c r="S453" s="1760">
        <v>3241</v>
      </c>
      <c r="T453" s="1760">
        <v>3241</v>
      </c>
      <c r="U453" s="1761">
        <v>12000</v>
      </c>
      <c r="V453" s="1762">
        <v>12000</v>
      </c>
      <c r="W453" s="1757">
        <v>12000</v>
      </c>
      <c r="Z453" s="1773">
        <f t="shared" si="130"/>
        <v>0</v>
      </c>
      <c r="AA453" s="1773">
        <f t="shared" si="131"/>
        <v>0</v>
      </c>
      <c r="AB453" s="1773">
        <f t="shared" si="132"/>
        <v>0</v>
      </c>
      <c r="AC453" s="1773">
        <f t="shared" si="133"/>
        <v>0</v>
      </c>
      <c r="AD453" s="1773">
        <f t="shared" si="134"/>
        <v>0</v>
      </c>
      <c r="AE453" s="1773">
        <f t="shared" si="135"/>
        <v>0</v>
      </c>
      <c r="AF453" s="1773">
        <f t="shared" si="136"/>
        <v>0</v>
      </c>
      <c r="AG453" s="1773">
        <f t="shared" si="137"/>
        <v>0</v>
      </c>
      <c r="AH453" s="1773">
        <f t="shared" si="138"/>
        <v>0</v>
      </c>
      <c r="AI453" s="1773">
        <f t="shared" si="139"/>
        <v>0</v>
      </c>
      <c r="AJ453" s="1773">
        <f t="shared" si="140"/>
        <v>0</v>
      </c>
      <c r="AK453" s="1773">
        <f t="shared" si="141"/>
        <v>0</v>
      </c>
      <c r="AL453" s="1773">
        <f t="shared" si="142"/>
        <v>12000</v>
      </c>
      <c r="AN453" s="1776"/>
      <c r="AO453" s="1776"/>
      <c r="AP453" s="1776"/>
      <c r="AQ453" s="1776"/>
      <c r="AR453" s="1776"/>
      <c r="AS453" s="1776"/>
      <c r="AT453" s="1776"/>
      <c r="AU453" s="1776"/>
      <c r="AV453" s="1776"/>
      <c r="AW453" s="1776"/>
      <c r="AX453" s="1776"/>
      <c r="AY453" s="1776"/>
      <c r="AZ453" s="1776">
        <v>1</v>
      </c>
    </row>
    <row r="454" spans="1:52" ht="13.5">
      <c r="A454" s="1479" t="s">
        <v>2864</v>
      </c>
      <c r="B454" s="1479" t="s">
        <v>2288</v>
      </c>
      <c r="C454" s="1741" t="s">
        <v>2108</v>
      </c>
      <c r="D454" s="1741">
        <v>1360</v>
      </c>
      <c r="E454" s="1741">
        <v>690</v>
      </c>
      <c r="F454" s="1741" t="s">
        <v>2229</v>
      </c>
      <c r="G454" s="1741" t="s">
        <v>1152</v>
      </c>
      <c r="H454" s="1741" t="s">
        <v>1658</v>
      </c>
      <c r="I454" s="1753" t="s">
        <v>2114</v>
      </c>
      <c r="J454" s="1754" t="s">
        <v>2124</v>
      </c>
      <c r="K454" s="1753" t="s">
        <v>2114</v>
      </c>
      <c r="L454" s="1754" t="s">
        <v>2124</v>
      </c>
      <c r="M454" s="1755"/>
      <c r="N454" s="1756">
        <v>96637.81</v>
      </c>
      <c r="O454" s="1757">
        <v>52434.65</v>
      </c>
      <c r="P454" s="1758">
        <v>177713.8</v>
      </c>
      <c r="Q454" s="1759">
        <v>160000</v>
      </c>
      <c r="R454" s="1760">
        <v>160000</v>
      </c>
      <c r="S454" s="1760">
        <v>238541</v>
      </c>
      <c r="T454" s="1760">
        <v>238541</v>
      </c>
      <c r="U454" s="1761">
        <v>250000</v>
      </c>
      <c r="V454" s="1762">
        <v>160000</v>
      </c>
      <c r="W454" s="1757">
        <v>160000</v>
      </c>
      <c r="Z454" s="1773">
        <f t="shared" si="130"/>
        <v>0</v>
      </c>
      <c r="AA454" s="1773">
        <f t="shared" si="131"/>
        <v>0</v>
      </c>
      <c r="AB454" s="1773">
        <f t="shared" si="132"/>
        <v>0</v>
      </c>
      <c r="AC454" s="1773">
        <f t="shared" si="133"/>
        <v>0</v>
      </c>
      <c r="AD454" s="1773">
        <f t="shared" si="134"/>
        <v>0</v>
      </c>
      <c r="AE454" s="1773">
        <f t="shared" si="135"/>
        <v>0</v>
      </c>
      <c r="AF454" s="1773">
        <f t="shared" si="136"/>
        <v>0</v>
      </c>
      <c r="AG454" s="1773">
        <f t="shared" si="137"/>
        <v>0</v>
      </c>
      <c r="AH454" s="1773">
        <f t="shared" si="138"/>
        <v>0</v>
      </c>
      <c r="AI454" s="1773">
        <f t="shared" si="139"/>
        <v>0</v>
      </c>
      <c r="AJ454" s="1773">
        <f t="shared" si="140"/>
        <v>0</v>
      </c>
      <c r="AK454" s="1773">
        <f t="shared" si="141"/>
        <v>0</v>
      </c>
      <c r="AL454" s="1773">
        <f t="shared" si="142"/>
        <v>250000</v>
      </c>
      <c r="AN454" s="1776"/>
      <c r="AO454" s="1776"/>
      <c r="AP454" s="1776"/>
      <c r="AQ454" s="1776"/>
      <c r="AR454" s="1776"/>
      <c r="AS454" s="1776"/>
      <c r="AT454" s="1776"/>
      <c r="AU454" s="1776"/>
      <c r="AV454" s="1776"/>
      <c r="AW454" s="1776"/>
      <c r="AX454" s="1776"/>
      <c r="AY454" s="1776"/>
      <c r="AZ454" s="1776">
        <v>1</v>
      </c>
    </row>
    <row r="455" spans="1:52" ht="13.5">
      <c r="A455" s="1479" t="s">
        <v>2865</v>
      </c>
      <c r="B455" s="1479" t="s">
        <v>2290</v>
      </c>
      <c r="C455" s="1741" t="s">
        <v>2108</v>
      </c>
      <c r="D455" s="1741">
        <v>1360</v>
      </c>
      <c r="E455" s="1741">
        <v>700</v>
      </c>
      <c r="F455" s="1741" t="s">
        <v>2229</v>
      </c>
      <c r="G455" s="1741" t="s">
        <v>1152</v>
      </c>
      <c r="H455" s="1741" t="s">
        <v>1658</v>
      </c>
      <c r="I455" s="1753" t="s">
        <v>2114</v>
      </c>
      <c r="J455" s="1754" t="s">
        <v>3011</v>
      </c>
      <c r="K455" s="1753" t="s">
        <v>2114</v>
      </c>
      <c r="L455" s="1754" t="s">
        <v>3011</v>
      </c>
      <c r="M455" s="1755"/>
      <c r="N455" s="1756">
        <v>8808.94</v>
      </c>
      <c r="O455" s="1757">
        <v>1586.79</v>
      </c>
      <c r="P455" s="1758">
        <v>87182.23</v>
      </c>
      <c r="Q455" s="1759">
        <v>15200</v>
      </c>
      <c r="R455" s="1760">
        <v>15200</v>
      </c>
      <c r="S455" s="1760">
        <v>1701</v>
      </c>
      <c r="T455" s="1760">
        <v>1701</v>
      </c>
      <c r="U455" s="1761">
        <v>20000</v>
      </c>
      <c r="V455" s="1762">
        <v>15300</v>
      </c>
      <c r="W455" s="1757">
        <v>15400</v>
      </c>
      <c r="Z455" s="1773">
        <f t="shared" si="130"/>
        <v>0</v>
      </c>
      <c r="AA455" s="1773">
        <f t="shared" si="131"/>
        <v>0</v>
      </c>
      <c r="AB455" s="1773">
        <f t="shared" si="132"/>
        <v>0</v>
      </c>
      <c r="AC455" s="1773">
        <f t="shared" si="133"/>
        <v>0</v>
      </c>
      <c r="AD455" s="1773">
        <f t="shared" si="134"/>
        <v>0</v>
      </c>
      <c r="AE455" s="1773">
        <f t="shared" si="135"/>
        <v>0</v>
      </c>
      <c r="AF455" s="1773">
        <f t="shared" si="136"/>
        <v>0</v>
      </c>
      <c r="AG455" s="1773">
        <f t="shared" si="137"/>
        <v>0</v>
      </c>
      <c r="AH455" s="1773">
        <f t="shared" si="138"/>
        <v>0</v>
      </c>
      <c r="AI455" s="1773">
        <f t="shared" si="139"/>
        <v>0</v>
      </c>
      <c r="AJ455" s="1773">
        <f t="shared" si="140"/>
        <v>0</v>
      </c>
      <c r="AK455" s="1773">
        <f t="shared" si="141"/>
        <v>0</v>
      </c>
      <c r="AL455" s="1773">
        <f t="shared" si="142"/>
        <v>20000</v>
      </c>
      <c r="AN455" s="1776"/>
      <c r="AO455" s="1776"/>
      <c r="AP455" s="1776"/>
      <c r="AQ455" s="1776"/>
      <c r="AR455" s="1776"/>
      <c r="AS455" s="1776"/>
      <c r="AT455" s="1776"/>
      <c r="AU455" s="1776"/>
      <c r="AV455" s="1776"/>
      <c r="AW455" s="1776"/>
      <c r="AX455" s="1776"/>
      <c r="AY455" s="1776"/>
      <c r="AZ455" s="1776">
        <v>1</v>
      </c>
    </row>
    <row r="456" spans="1:52">
      <c r="A456" s="1479" t="s">
        <v>2866</v>
      </c>
      <c r="B456" s="1479" t="s">
        <v>2292</v>
      </c>
      <c r="C456" s="1741" t="s">
        <v>2108</v>
      </c>
      <c r="D456" s="1741">
        <v>1360</v>
      </c>
      <c r="E456" s="1741">
        <v>710</v>
      </c>
      <c r="F456" s="1741" t="s">
        <v>2229</v>
      </c>
      <c r="G456" s="1741" t="s">
        <v>1152</v>
      </c>
      <c r="H456" s="1741" t="s">
        <v>1658</v>
      </c>
      <c r="I456" s="1753" t="s">
        <v>2114</v>
      </c>
      <c r="J456" s="1754"/>
      <c r="K456" s="1753" t="s">
        <v>2114</v>
      </c>
      <c r="L456" s="1754" t="s">
        <v>502</v>
      </c>
      <c r="M456" s="1754"/>
      <c r="N456" s="1756">
        <v>5333.4</v>
      </c>
      <c r="O456" s="1757">
        <v>8822.9</v>
      </c>
      <c r="P456" s="1758">
        <v>10033.75</v>
      </c>
      <c r="Q456" s="1759">
        <v>3800</v>
      </c>
      <c r="R456" s="1760">
        <v>3800</v>
      </c>
      <c r="S456" s="1760">
        <v>12384</v>
      </c>
      <c r="T456" s="1760">
        <v>12384</v>
      </c>
      <c r="U456" s="1761">
        <v>12000</v>
      </c>
      <c r="V456" s="1762">
        <v>12500</v>
      </c>
      <c r="W456" s="1757">
        <v>13000</v>
      </c>
      <c r="Z456" s="1773">
        <f t="shared" si="130"/>
        <v>0</v>
      </c>
      <c r="AA456" s="1773">
        <f t="shared" si="131"/>
        <v>0</v>
      </c>
      <c r="AB456" s="1773">
        <f t="shared" si="132"/>
        <v>0</v>
      </c>
      <c r="AC456" s="1773">
        <f t="shared" si="133"/>
        <v>0</v>
      </c>
      <c r="AD456" s="1773">
        <f t="shared" si="134"/>
        <v>0</v>
      </c>
      <c r="AE456" s="1773">
        <f t="shared" si="135"/>
        <v>0</v>
      </c>
      <c r="AF456" s="1773">
        <f t="shared" si="136"/>
        <v>0</v>
      </c>
      <c r="AG456" s="1773">
        <f t="shared" si="137"/>
        <v>0</v>
      </c>
      <c r="AH456" s="1773">
        <f t="shared" si="138"/>
        <v>0</v>
      </c>
      <c r="AI456" s="1773">
        <f t="shared" si="139"/>
        <v>0</v>
      </c>
      <c r="AJ456" s="1773">
        <f t="shared" si="140"/>
        <v>0</v>
      </c>
      <c r="AK456" s="1773">
        <f t="shared" si="141"/>
        <v>0</v>
      </c>
      <c r="AL456" s="1773">
        <f t="shared" si="142"/>
        <v>12000</v>
      </c>
      <c r="AN456" s="1776"/>
      <c r="AO456" s="1776"/>
      <c r="AP456" s="1776"/>
      <c r="AQ456" s="1776"/>
      <c r="AR456" s="1776"/>
      <c r="AS456" s="1776"/>
      <c r="AT456" s="1776"/>
      <c r="AU456" s="1776"/>
      <c r="AV456" s="1776"/>
      <c r="AW456" s="1776"/>
      <c r="AX456" s="1776"/>
      <c r="AY456" s="1776"/>
      <c r="AZ456" s="1776">
        <v>1</v>
      </c>
    </row>
    <row r="457" spans="1:52">
      <c r="A457" s="1479" t="s">
        <v>2867</v>
      </c>
      <c r="B457" s="1479" t="s">
        <v>2247</v>
      </c>
      <c r="C457" s="1741" t="s">
        <v>2108</v>
      </c>
      <c r="D457" s="1741">
        <v>1360</v>
      </c>
      <c r="E457" s="1741">
        <v>790</v>
      </c>
      <c r="F457" s="1741" t="s">
        <v>2229</v>
      </c>
      <c r="G457" s="1741" t="s">
        <v>1152</v>
      </c>
      <c r="H457" s="1741" t="s">
        <v>1658</v>
      </c>
      <c r="I457" s="1753" t="s">
        <v>2114</v>
      </c>
      <c r="J457" s="1754" t="s">
        <v>3007</v>
      </c>
      <c r="K457" s="1753" t="s">
        <v>2114</v>
      </c>
      <c r="L457" s="1754" t="s">
        <v>3007</v>
      </c>
      <c r="M457" s="1754"/>
      <c r="N457" s="1756">
        <v>8293.36</v>
      </c>
      <c r="O457" s="1757">
        <v>4623.76</v>
      </c>
      <c r="P457" s="1758">
        <v>3126.36</v>
      </c>
      <c r="Q457" s="1759">
        <v>15000</v>
      </c>
      <c r="R457" s="1760">
        <v>15000</v>
      </c>
      <c r="S457" s="1760">
        <v>11471</v>
      </c>
      <c r="T457" s="1760">
        <v>11471</v>
      </c>
      <c r="U457" s="1761">
        <v>25000</v>
      </c>
      <c r="V457" s="1762">
        <v>25000</v>
      </c>
      <c r="W457" s="1757">
        <v>30000</v>
      </c>
      <c r="Z457" s="1773">
        <f t="shared" si="130"/>
        <v>0</v>
      </c>
      <c r="AA457" s="1773">
        <f t="shared" si="131"/>
        <v>0</v>
      </c>
      <c r="AB457" s="1773">
        <f t="shared" si="132"/>
        <v>0</v>
      </c>
      <c r="AC457" s="1773">
        <f t="shared" si="133"/>
        <v>0</v>
      </c>
      <c r="AD457" s="1773">
        <f t="shared" si="134"/>
        <v>0</v>
      </c>
      <c r="AE457" s="1773">
        <f t="shared" si="135"/>
        <v>0</v>
      </c>
      <c r="AF457" s="1773">
        <f t="shared" si="136"/>
        <v>0</v>
      </c>
      <c r="AG457" s="1773">
        <f t="shared" si="137"/>
        <v>0</v>
      </c>
      <c r="AH457" s="1773">
        <f t="shared" si="138"/>
        <v>0</v>
      </c>
      <c r="AI457" s="1773">
        <f t="shared" si="139"/>
        <v>0</v>
      </c>
      <c r="AJ457" s="1773">
        <f t="shared" si="140"/>
        <v>0</v>
      </c>
      <c r="AK457" s="1773">
        <f t="shared" si="141"/>
        <v>0</v>
      </c>
      <c r="AL457" s="1773">
        <f t="shared" si="142"/>
        <v>25000</v>
      </c>
      <c r="AN457" s="1776"/>
      <c r="AO457" s="1776"/>
      <c r="AP457" s="1776"/>
      <c r="AQ457" s="1776"/>
      <c r="AR457" s="1776"/>
      <c r="AS457" s="1776"/>
      <c r="AT457" s="1776"/>
      <c r="AU457" s="1776"/>
      <c r="AV457" s="1776"/>
      <c r="AW457" s="1776"/>
      <c r="AX457" s="1776"/>
      <c r="AY457" s="1776"/>
      <c r="AZ457" s="1776">
        <v>1</v>
      </c>
    </row>
    <row r="458" spans="1:52">
      <c r="A458" s="1479" t="s">
        <v>2868</v>
      </c>
      <c r="B458" s="1479" t="s">
        <v>2869</v>
      </c>
      <c r="C458" s="1741" t="s">
        <v>2108</v>
      </c>
      <c r="D458" s="1741">
        <v>1360</v>
      </c>
      <c r="E458" s="1741">
        <v>880</v>
      </c>
      <c r="F458" s="1741" t="s">
        <v>2229</v>
      </c>
      <c r="G458" s="1741" t="s">
        <v>1152</v>
      </c>
      <c r="H458" s="1741" t="s">
        <v>1658</v>
      </c>
      <c r="I458" s="1753" t="s">
        <v>2114</v>
      </c>
      <c r="J458" s="1754"/>
      <c r="K458" s="1753" t="s">
        <v>2114</v>
      </c>
      <c r="L458" s="1754" t="s">
        <v>502</v>
      </c>
      <c r="M458" s="1754"/>
      <c r="N458" s="1756">
        <v>3445.13</v>
      </c>
      <c r="O458" s="1757">
        <v>7087.49</v>
      </c>
      <c r="P458" s="1758">
        <v>5227.58</v>
      </c>
      <c r="Q458" s="1759">
        <v>9000</v>
      </c>
      <c r="R458" s="1760">
        <v>9000</v>
      </c>
      <c r="S458" s="1760">
        <v>9385</v>
      </c>
      <c r="T458" s="1760">
        <v>9385</v>
      </c>
      <c r="U458" s="1761">
        <v>50000</v>
      </c>
      <c r="V458" s="1762">
        <v>9050</v>
      </c>
      <c r="W458" s="1757">
        <v>9100</v>
      </c>
      <c r="Z458" s="1773">
        <f t="shared" si="130"/>
        <v>0</v>
      </c>
      <c r="AA458" s="1773">
        <f t="shared" si="131"/>
        <v>0</v>
      </c>
      <c r="AB458" s="1773">
        <f t="shared" si="132"/>
        <v>0</v>
      </c>
      <c r="AC458" s="1773">
        <f t="shared" si="133"/>
        <v>0</v>
      </c>
      <c r="AD458" s="1773">
        <f t="shared" si="134"/>
        <v>0</v>
      </c>
      <c r="AE458" s="1773">
        <f t="shared" si="135"/>
        <v>0</v>
      </c>
      <c r="AF458" s="1773">
        <f t="shared" si="136"/>
        <v>0</v>
      </c>
      <c r="AG458" s="1773">
        <f t="shared" si="137"/>
        <v>0</v>
      </c>
      <c r="AH458" s="1773">
        <f t="shared" si="138"/>
        <v>0</v>
      </c>
      <c r="AI458" s="1773">
        <f t="shared" si="139"/>
        <v>0</v>
      </c>
      <c r="AJ458" s="1773">
        <f t="shared" si="140"/>
        <v>0</v>
      </c>
      <c r="AK458" s="1773">
        <f t="shared" si="141"/>
        <v>0</v>
      </c>
      <c r="AL458" s="1773">
        <f t="shared" si="142"/>
        <v>50000</v>
      </c>
      <c r="AN458" s="1776"/>
      <c r="AO458" s="1776"/>
      <c r="AP458" s="1776"/>
      <c r="AQ458" s="1776"/>
      <c r="AR458" s="1776"/>
      <c r="AS458" s="1776"/>
      <c r="AT458" s="1776"/>
      <c r="AU458" s="1776"/>
      <c r="AV458" s="1776"/>
      <c r="AW458" s="1776"/>
      <c r="AX458" s="1776"/>
      <c r="AY458" s="1776"/>
      <c r="AZ458" s="1776">
        <v>1</v>
      </c>
    </row>
    <row r="459" spans="1:52">
      <c r="A459" s="1479" t="s">
        <v>2870</v>
      </c>
      <c r="B459" s="1479" t="s">
        <v>2782</v>
      </c>
      <c r="C459" s="1741" t="s">
        <v>2108</v>
      </c>
      <c r="D459" s="1741">
        <v>1360</v>
      </c>
      <c r="E459" s="1741">
        <v>1030</v>
      </c>
      <c r="F459" s="1741" t="s">
        <v>2229</v>
      </c>
      <c r="G459" s="1741" t="s">
        <v>1152</v>
      </c>
      <c r="H459" s="1741" t="s">
        <v>1658</v>
      </c>
      <c r="I459" s="1753" t="s">
        <v>2114</v>
      </c>
      <c r="J459" s="1754"/>
      <c r="K459" s="1753" t="s">
        <v>2114</v>
      </c>
      <c r="L459" s="1754" t="s">
        <v>502</v>
      </c>
      <c r="M459" s="1754"/>
      <c r="N459" s="1756">
        <v>0</v>
      </c>
      <c r="O459" s="1757">
        <v>7250</v>
      </c>
      <c r="P459" s="1758">
        <v>3140</v>
      </c>
      <c r="Q459" s="1759">
        <v>8000</v>
      </c>
      <c r="R459" s="1760">
        <v>8000</v>
      </c>
      <c r="S459" s="1760">
        <v>896</v>
      </c>
      <c r="T459" s="1760">
        <v>896</v>
      </c>
      <c r="U459" s="1761">
        <v>8000</v>
      </c>
      <c r="V459" s="1762">
        <v>8000</v>
      </c>
      <c r="W459" s="1757">
        <v>8000</v>
      </c>
      <c r="Z459" s="1773">
        <f t="shared" si="130"/>
        <v>0</v>
      </c>
      <c r="AA459" s="1773">
        <f t="shared" si="131"/>
        <v>0</v>
      </c>
      <c r="AB459" s="1773">
        <f t="shared" si="132"/>
        <v>0</v>
      </c>
      <c r="AC459" s="1773">
        <f t="shared" si="133"/>
        <v>0</v>
      </c>
      <c r="AD459" s="1773">
        <f t="shared" si="134"/>
        <v>0</v>
      </c>
      <c r="AE459" s="1773">
        <f t="shared" si="135"/>
        <v>0</v>
      </c>
      <c r="AF459" s="1773">
        <f t="shared" si="136"/>
        <v>0</v>
      </c>
      <c r="AG459" s="1773">
        <f t="shared" si="137"/>
        <v>0</v>
      </c>
      <c r="AH459" s="1773">
        <f t="shared" si="138"/>
        <v>0</v>
      </c>
      <c r="AI459" s="1773">
        <f t="shared" si="139"/>
        <v>0</v>
      </c>
      <c r="AJ459" s="1773">
        <f t="shared" si="140"/>
        <v>0</v>
      </c>
      <c r="AK459" s="1773">
        <f t="shared" si="141"/>
        <v>0</v>
      </c>
      <c r="AL459" s="1773">
        <f t="shared" si="142"/>
        <v>8000</v>
      </c>
      <c r="AN459" s="1776"/>
      <c r="AO459" s="1776"/>
      <c r="AP459" s="1776"/>
      <c r="AQ459" s="1776"/>
      <c r="AR459" s="1776"/>
      <c r="AS459" s="1776"/>
      <c r="AT459" s="1776"/>
      <c r="AU459" s="1776"/>
      <c r="AV459" s="1776"/>
      <c r="AW459" s="1776"/>
      <c r="AX459" s="1776"/>
      <c r="AY459" s="1776"/>
      <c r="AZ459" s="1776">
        <v>1</v>
      </c>
    </row>
    <row r="460" spans="1:52">
      <c r="A460" s="1479" t="s">
        <v>2871</v>
      </c>
      <c r="B460" s="1479" t="s">
        <v>2787</v>
      </c>
      <c r="C460" s="1741" t="s">
        <v>2108</v>
      </c>
      <c r="D460" s="1741">
        <v>1360</v>
      </c>
      <c r="E460" s="1741">
        <v>1140</v>
      </c>
      <c r="F460" s="1741" t="s">
        <v>2229</v>
      </c>
      <c r="G460" s="1741" t="s">
        <v>1152</v>
      </c>
      <c r="H460" s="1741" t="s">
        <v>1658</v>
      </c>
      <c r="I460" s="1753" t="s">
        <v>2114</v>
      </c>
      <c r="J460" s="1754"/>
      <c r="K460" s="1753" t="s">
        <v>2114</v>
      </c>
      <c r="L460" s="1754" t="s">
        <v>502</v>
      </c>
      <c r="M460" s="1754"/>
      <c r="N460" s="1756">
        <v>8858.7000000000007</v>
      </c>
      <c r="O460" s="1757">
        <v>5333.8</v>
      </c>
      <c r="P460" s="1758">
        <v>11772.82</v>
      </c>
      <c r="Q460" s="1759">
        <v>30000</v>
      </c>
      <c r="R460" s="1760">
        <v>30000</v>
      </c>
      <c r="S460" s="1760">
        <v>17847</v>
      </c>
      <c r="T460" s="1760">
        <v>17847</v>
      </c>
      <c r="U460" s="1761">
        <v>30000</v>
      </c>
      <c r="V460" s="1762">
        <v>30000</v>
      </c>
      <c r="W460" s="1757">
        <v>30000</v>
      </c>
      <c r="Z460" s="1773">
        <f t="shared" si="130"/>
        <v>0</v>
      </c>
      <c r="AA460" s="1773">
        <f t="shared" si="131"/>
        <v>0</v>
      </c>
      <c r="AB460" s="1773">
        <f t="shared" si="132"/>
        <v>0</v>
      </c>
      <c r="AC460" s="1773">
        <f t="shared" si="133"/>
        <v>0</v>
      </c>
      <c r="AD460" s="1773">
        <f t="shared" si="134"/>
        <v>0</v>
      </c>
      <c r="AE460" s="1773">
        <f t="shared" si="135"/>
        <v>0</v>
      </c>
      <c r="AF460" s="1773">
        <f t="shared" si="136"/>
        <v>0</v>
      </c>
      <c r="AG460" s="1773">
        <f t="shared" si="137"/>
        <v>0</v>
      </c>
      <c r="AH460" s="1773">
        <f t="shared" si="138"/>
        <v>0</v>
      </c>
      <c r="AI460" s="1773">
        <f t="shared" si="139"/>
        <v>0</v>
      </c>
      <c r="AJ460" s="1773">
        <f t="shared" si="140"/>
        <v>0</v>
      </c>
      <c r="AK460" s="1773">
        <f t="shared" si="141"/>
        <v>0</v>
      </c>
      <c r="AL460" s="1773">
        <f t="shared" si="142"/>
        <v>30000</v>
      </c>
      <c r="AN460" s="1776"/>
      <c r="AO460" s="1776"/>
      <c r="AP460" s="1776"/>
      <c r="AQ460" s="1776"/>
      <c r="AR460" s="1776"/>
      <c r="AS460" s="1776"/>
      <c r="AT460" s="1776"/>
      <c r="AU460" s="1776"/>
      <c r="AV460" s="1776"/>
      <c r="AW460" s="1776"/>
      <c r="AX460" s="1776"/>
      <c r="AY460" s="1776"/>
      <c r="AZ460" s="1776">
        <v>1</v>
      </c>
    </row>
    <row r="461" spans="1:52">
      <c r="A461" t="s">
        <v>2872</v>
      </c>
      <c r="B461" t="s">
        <v>2305</v>
      </c>
      <c r="C461" s="1741" t="s">
        <v>2108</v>
      </c>
      <c r="D461" s="1741">
        <v>1360</v>
      </c>
      <c r="E461" s="1741">
        <v>1310</v>
      </c>
      <c r="F461" s="1741" t="s">
        <v>2229</v>
      </c>
      <c r="G461" s="1741" t="s">
        <v>1152</v>
      </c>
      <c r="H461" s="1741" t="s">
        <v>1658</v>
      </c>
      <c r="I461" s="1753" t="s">
        <v>3013</v>
      </c>
      <c r="J461" s="1754"/>
      <c r="K461" s="1754" t="s">
        <v>420</v>
      </c>
      <c r="L461" s="1754" t="s">
        <v>420</v>
      </c>
      <c r="M461" s="1754"/>
      <c r="N461" s="1756"/>
      <c r="O461" s="1757"/>
      <c r="P461" s="1758"/>
      <c r="Q461" s="1759">
        <v>1000</v>
      </c>
      <c r="R461" s="1760">
        <v>1000</v>
      </c>
      <c r="S461" s="1760">
        <v>112</v>
      </c>
      <c r="T461" s="1760">
        <v>112</v>
      </c>
      <c r="U461" s="1761">
        <v>0</v>
      </c>
      <c r="V461" s="1762">
        <v>1000</v>
      </c>
      <c r="W461" s="1757">
        <v>1000</v>
      </c>
      <c r="Z461" s="1773">
        <f t="shared" si="130"/>
        <v>0</v>
      </c>
      <c r="AA461" s="1773">
        <f t="shared" si="131"/>
        <v>0</v>
      </c>
      <c r="AB461" s="1773">
        <f t="shared" si="132"/>
        <v>0</v>
      </c>
      <c r="AC461" s="1773">
        <f t="shared" si="133"/>
        <v>0</v>
      </c>
      <c r="AD461" s="1773">
        <f t="shared" si="134"/>
        <v>0</v>
      </c>
      <c r="AE461" s="1773">
        <f t="shared" si="135"/>
        <v>0</v>
      </c>
      <c r="AF461" s="1773">
        <f t="shared" si="136"/>
        <v>0</v>
      </c>
      <c r="AG461" s="1773">
        <f t="shared" si="137"/>
        <v>0</v>
      </c>
      <c r="AH461" s="1773">
        <f t="shared" si="138"/>
        <v>0</v>
      </c>
      <c r="AI461" s="1773">
        <f t="shared" si="139"/>
        <v>0</v>
      </c>
      <c r="AJ461" s="1773">
        <f t="shared" si="140"/>
        <v>0</v>
      </c>
      <c r="AK461" s="1773">
        <f t="shared" si="141"/>
        <v>0</v>
      </c>
      <c r="AL461" s="1773">
        <f t="shared" si="142"/>
        <v>0</v>
      </c>
      <c r="AN461" s="1776"/>
      <c r="AO461" s="1776"/>
      <c r="AP461" s="1776"/>
      <c r="AQ461" s="1776"/>
      <c r="AR461" s="1776"/>
      <c r="AS461" s="1776"/>
      <c r="AT461" s="1776"/>
      <c r="AU461" s="1776"/>
      <c r="AV461" s="1776"/>
      <c r="AW461" s="1776"/>
      <c r="AX461" s="1776"/>
      <c r="AY461" s="1776"/>
      <c r="AZ461" s="1776">
        <v>1</v>
      </c>
    </row>
    <row r="462" spans="1:52">
      <c r="A462" s="1479" t="s">
        <v>2873</v>
      </c>
      <c r="B462" s="1479" t="s">
        <v>2874</v>
      </c>
      <c r="C462" s="1741" t="s">
        <v>2108</v>
      </c>
      <c r="D462" s="1741">
        <v>1360</v>
      </c>
      <c r="E462" s="1741">
        <v>1390</v>
      </c>
      <c r="F462" s="1741" t="s">
        <v>2229</v>
      </c>
      <c r="G462" s="1741" t="s">
        <v>1152</v>
      </c>
      <c r="H462" s="1741" t="s">
        <v>1658</v>
      </c>
      <c r="I462" s="1753" t="s">
        <v>3026</v>
      </c>
      <c r="J462" s="1754" t="s">
        <v>2126</v>
      </c>
      <c r="K462" s="1754" t="s">
        <v>838</v>
      </c>
      <c r="L462" s="1754" t="s">
        <v>838</v>
      </c>
      <c r="M462" s="1754"/>
      <c r="N462" s="1756">
        <v>824596.8</v>
      </c>
      <c r="O462" s="1757">
        <v>1078428.18</v>
      </c>
      <c r="P462" s="1758">
        <v>809533.55</v>
      </c>
      <c r="Q462" s="1759">
        <v>1179650</v>
      </c>
      <c r="R462" s="1760">
        <v>1179650</v>
      </c>
      <c r="S462" s="1760">
        <v>1139260</v>
      </c>
      <c r="T462" s="1760">
        <v>1139260</v>
      </c>
      <c r="U462" s="1761">
        <v>1564010.4959999998</v>
      </c>
      <c r="V462" s="1762">
        <f>U462*106%</f>
        <v>1657851.12576</v>
      </c>
      <c r="W462" s="1757">
        <f>V462*106%</f>
        <v>1757322.1933056</v>
      </c>
      <c r="Z462" s="1773">
        <f t="shared" si="130"/>
        <v>0</v>
      </c>
      <c r="AA462" s="1773">
        <f t="shared" si="131"/>
        <v>0</v>
      </c>
      <c r="AB462" s="1773">
        <f t="shared" si="132"/>
        <v>0</v>
      </c>
      <c r="AC462" s="1773">
        <f t="shared" si="133"/>
        <v>0</v>
      </c>
      <c r="AD462" s="1773">
        <f t="shared" si="134"/>
        <v>0</v>
      </c>
      <c r="AE462" s="1773">
        <f t="shared" si="135"/>
        <v>0</v>
      </c>
      <c r="AF462" s="1773">
        <f t="shared" si="136"/>
        <v>0</v>
      </c>
      <c r="AG462" s="1773">
        <f t="shared" si="137"/>
        <v>0</v>
      </c>
      <c r="AH462" s="1773">
        <f t="shared" si="138"/>
        <v>0</v>
      </c>
      <c r="AI462" s="1773">
        <f t="shared" si="139"/>
        <v>0</v>
      </c>
      <c r="AJ462" s="1773">
        <f t="shared" si="140"/>
        <v>0</v>
      </c>
      <c r="AK462" s="1773">
        <f t="shared" si="141"/>
        <v>0</v>
      </c>
      <c r="AL462" s="1773">
        <f t="shared" si="142"/>
        <v>1564010.4959999998</v>
      </c>
      <c r="AN462" s="1776"/>
      <c r="AO462" s="1776"/>
      <c r="AP462" s="1776"/>
      <c r="AQ462" s="1776"/>
      <c r="AR462" s="1776"/>
      <c r="AS462" s="1776"/>
      <c r="AT462" s="1776"/>
      <c r="AU462" s="1776"/>
      <c r="AV462" s="1776"/>
      <c r="AW462" s="1776"/>
      <c r="AX462" s="1776"/>
      <c r="AY462" s="1776"/>
      <c r="AZ462" s="1776">
        <v>1</v>
      </c>
    </row>
    <row r="463" spans="1:52">
      <c r="A463" s="1479" t="s">
        <v>2875</v>
      </c>
      <c r="B463" s="1479" t="s">
        <v>2249</v>
      </c>
      <c r="C463" s="1741" t="s">
        <v>2108</v>
      </c>
      <c r="D463" s="1741">
        <v>1360</v>
      </c>
      <c r="E463" s="1741">
        <v>1410</v>
      </c>
      <c r="F463" s="1741" t="s">
        <v>2229</v>
      </c>
      <c r="G463" s="1741" t="s">
        <v>1152</v>
      </c>
      <c r="H463" s="1741" t="s">
        <v>1658</v>
      </c>
      <c r="I463" s="1753" t="s">
        <v>2114</v>
      </c>
      <c r="J463" s="1754" t="s">
        <v>3008</v>
      </c>
      <c r="K463" s="1753" t="s">
        <v>2114</v>
      </c>
      <c r="L463" s="1754" t="s">
        <v>3008</v>
      </c>
      <c r="M463" s="1754"/>
      <c r="N463" s="1756">
        <v>15580.84</v>
      </c>
      <c r="O463" s="1757">
        <v>16856.11</v>
      </c>
      <c r="P463" s="1758">
        <v>9549.91</v>
      </c>
      <c r="Q463" s="1759">
        <v>32000</v>
      </c>
      <c r="R463" s="1760">
        <v>32000</v>
      </c>
      <c r="S463" s="1760">
        <v>38090</v>
      </c>
      <c r="T463" s="1760">
        <v>38090</v>
      </c>
      <c r="U463" s="1761">
        <v>45000</v>
      </c>
      <c r="V463" s="1762">
        <v>32000</v>
      </c>
      <c r="W463" s="1757">
        <v>32000</v>
      </c>
      <c r="Z463" s="1773">
        <f t="shared" si="130"/>
        <v>0</v>
      </c>
      <c r="AA463" s="1773">
        <f t="shared" si="131"/>
        <v>0</v>
      </c>
      <c r="AB463" s="1773">
        <f t="shared" si="132"/>
        <v>0</v>
      </c>
      <c r="AC463" s="1773">
        <f t="shared" si="133"/>
        <v>0</v>
      </c>
      <c r="AD463" s="1773">
        <f t="shared" si="134"/>
        <v>0</v>
      </c>
      <c r="AE463" s="1773">
        <f t="shared" si="135"/>
        <v>0</v>
      </c>
      <c r="AF463" s="1773">
        <f t="shared" si="136"/>
        <v>0</v>
      </c>
      <c r="AG463" s="1773">
        <f t="shared" si="137"/>
        <v>0</v>
      </c>
      <c r="AH463" s="1773">
        <f t="shared" si="138"/>
        <v>0</v>
      </c>
      <c r="AI463" s="1773">
        <f t="shared" si="139"/>
        <v>0</v>
      </c>
      <c r="AJ463" s="1773">
        <f t="shared" si="140"/>
        <v>0</v>
      </c>
      <c r="AK463" s="1773">
        <f t="shared" si="141"/>
        <v>0</v>
      </c>
      <c r="AL463" s="1773">
        <f t="shared" si="142"/>
        <v>45000</v>
      </c>
      <c r="AN463" s="1776"/>
      <c r="AO463" s="1776"/>
      <c r="AP463" s="1776"/>
      <c r="AQ463" s="1776"/>
      <c r="AR463" s="1776"/>
      <c r="AS463" s="1776"/>
      <c r="AT463" s="1776"/>
      <c r="AU463" s="1776"/>
      <c r="AV463" s="1776"/>
      <c r="AW463" s="1776"/>
      <c r="AX463" s="1776"/>
      <c r="AY463" s="1776"/>
      <c r="AZ463" s="1776">
        <v>1</v>
      </c>
    </row>
    <row r="464" spans="1:52">
      <c r="A464" t="s">
        <v>2876</v>
      </c>
      <c r="B464" t="s">
        <v>2251</v>
      </c>
      <c r="C464" s="1741" t="s">
        <v>2108</v>
      </c>
      <c r="D464" s="1741">
        <v>1360</v>
      </c>
      <c r="E464" s="1741">
        <v>1440</v>
      </c>
      <c r="F464" s="1741" t="s">
        <v>2229</v>
      </c>
      <c r="G464" s="1741" t="s">
        <v>1152</v>
      </c>
      <c r="H464" s="1741" t="s">
        <v>1658</v>
      </c>
      <c r="I464" s="1753" t="s">
        <v>2115</v>
      </c>
      <c r="J464" s="1754"/>
      <c r="K464" s="1753" t="s">
        <v>1596</v>
      </c>
      <c r="L464" s="1754" t="s">
        <v>1696</v>
      </c>
      <c r="M464" s="1754"/>
      <c r="N464" s="1756"/>
      <c r="O464" s="1757"/>
      <c r="P464" s="1758"/>
      <c r="Q464" s="1759">
        <v>4000</v>
      </c>
      <c r="R464" s="1760">
        <v>4000</v>
      </c>
      <c r="S464" s="1760">
        <v>448</v>
      </c>
      <c r="T464" s="1760">
        <v>448</v>
      </c>
      <c r="U464" s="1761">
        <v>4000</v>
      </c>
      <c r="V464" s="1762">
        <v>4000</v>
      </c>
      <c r="W464" s="1757">
        <v>4000</v>
      </c>
      <c r="Z464" s="1773">
        <f t="shared" si="130"/>
        <v>0</v>
      </c>
      <c r="AA464" s="1773">
        <f t="shared" si="131"/>
        <v>0</v>
      </c>
      <c r="AB464" s="1773">
        <f t="shared" si="132"/>
        <v>0</v>
      </c>
      <c r="AC464" s="1773">
        <f t="shared" si="133"/>
        <v>0</v>
      </c>
      <c r="AD464" s="1773">
        <f t="shared" si="134"/>
        <v>0</v>
      </c>
      <c r="AE464" s="1773">
        <f t="shared" si="135"/>
        <v>0</v>
      </c>
      <c r="AF464" s="1773">
        <f t="shared" si="136"/>
        <v>0</v>
      </c>
      <c r="AG464" s="1773">
        <f t="shared" si="137"/>
        <v>0</v>
      </c>
      <c r="AH464" s="1773">
        <f t="shared" si="138"/>
        <v>0</v>
      </c>
      <c r="AI464" s="1773">
        <f t="shared" si="139"/>
        <v>0</v>
      </c>
      <c r="AJ464" s="1773">
        <f t="shared" si="140"/>
        <v>0</v>
      </c>
      <c r="AK464" s="1773">
        <f t="shared" si="141"/>
        <v>0</v>
      </c>
      <c r="AL464" s="1773">
        <f t="shared" si="142"/>
        <v>4000</v>
      </c>
      <c r="AN464" s="1776"/>
      <c r="AO464" s="1776"/>
      <c r="AP464" s="1776"/>
      <c r="AQ464" s="1776"/>
      <c r="AR464" s="1776"/>
      <c r="AS464" s="1776"/>
      <c r="AT464" s="1776"/>
      <c r="AU464" s="1776"/>
      <c r="AV464" s="1776"/>
      <c r="AW464" s="1776"/>
      <c r="AX464" s="1776"/>
      <c r="AY464" s="1776"/>
      <c r="AZ464" s="1776">
        <v>1</v>
      </c>
    </row>
    <row r="465" spans="1:52">
      <c r="A465" s="1479" t="s">
        <v>2877</v>
      </c>
      <c r="B465" s="1479" t="s">
        <v>2253</v>
      </c>
      <c r="C465" s="1741" t="s">
        <v>2108</v>
      </c>
      <c r="D465" s="1741">
        <v>1360</v>
      </c>
      <c r="E465" s="1741">
        <v>3510</v>
      </c>
      <c r="F465" s="1741" t="s">
        <v>2229</v>
      </c>
      <c r="G465" s="1741" t="s">
        <v>1152</v>
      </c>
      <c r="H465" s="1741" t="s">
        <v>1658</v>
      </c>
      <c r="I465" s="1753" t="s">
        <v>464</v>
      </c>
      <c r="J465" s="1754"/>
      <c r="K465" s="1753" t="s">
        <v>2114</v>
      </c>
      <c r="L465" s="1754" t="s">
        <v>3029</v>
      </c>
      <c r="M465" s="1754"/>
      <c r="N465" s="1756">
        <v>16138.12</v>
      </c>
      <c r="O465" s="1757">
        <v>10003.370000000001</v>
      </c>
      <c r="P465" s="1758">
        <v>67856.67</v>
      </c>
      <c r="Q465" s="1759">
        <v>100000</v>
      </c>
      <c r="R465" s="1760">
        <v>100000</v>
      </c>
      <c r="S465" s="1760">
        <v>39838</v>
      </c>
      <c r="T465" s="1760">
        <v>39838</v>
      </c>
      <c r="U465" s="1761">
        <v>100000</v>
      </c>
      <c r="V465" s="1762">
        <v>100000</v>
      </c>
      <c r="W465" s="1757">
        <v>100000</v>
      </c>
      <c r="Z465" s="1773">
        <f t="shared" si="130"/>
        <v>0</v>
      </c>
      <c r="AA465" s="1773">
        <f t="shared" si="131"/>
        <v>0</v>
      </c>
      <c r="AB465" s="1773">
        <f t="shared" si="132"/>
        <v>0</v>
      </c>
      <c r="AC465" s="1773">
        <f t="shared" si="133"/>
        <v>0</v>
      </c>
      <c r="AD465" s="1773">
        <f t="shared" si="134"/>
        <v>0</v>
      </c>
      <c r="AE465" s="1773">
        <f t="shared" si="135"/>
        <v>0</v>
      </c>
      <c r="AF465" s="1773">
        <f t="shared" si="136"/>
        <v>0</v>
      </c>
      <c r="AG465" s="1773">
        <f t="shared" si="137"/>
        <v>0</v>
      </c>
      <c r="AH465" s="1773">
        <f t="shared" si="138"/>
        <v>0</v>
      </c>
      <c r="AI465" s="1773">
        <f t="shared" si="139"/>
        <v>0</v>
      </c>
      <c r="AJ465" s="1773">
        <f t="shared" si="140"/>
        <v>0</v>
      </c>
      <c r="AK465" s="1773">
        <f t="shared" si="141"/>
        <v>0</v>
      </c>
      <c r="AL465" s="1773">
        <f t="shared" si="142"/>
        <v>100000</v>
      </c>
      <c r="AN465" s="1776"/>
      <c r="AO465" s="1776"/>
      <c r="AP465" s="1776"/>
      <c r="AQ465" s="1776"/>
      <c r="AR465" s="1776"/>
      <c r="AS465" s="1776"/>
      <c r="AT465" s="1776"/>
      <c r="AU465" s="1776"/>
      <c r="AV465" s="1776"/>
      <c r="AW465" s="1776"/>
      <c r="AX465" s="1776"/>
      <c r="AY465" s="1776"/>
      <c r="AZ465" s="1776">
        <v>1</v>
      </c>
    </row>
    <row r="466" spans="1:52" ht="13.5">
      <c r="A466" s="1479" t="s">
        <v>2878</v>
      </c>
      <c r="B466" s="1479" t="s">
        <v>2310</v>
      </c>
      <c r="C466" s="1741" t="s">
        <v>2108</v>
      </c>
      <c r="D466" s="1741">
        <v>1360</v>
      </c>
      <c r="E466" s="1741">
        <v>3520</v>
      </c>
      <c r="F466" s="1741" t="s">
        <v>2229</v>
      </c>
      <c r="G466" s="1741" t="s">
        <v>1152</v>
      </c>
      <c r="H466" s="1741" t="s">
        <v>1658</v>
      </c>
      <c r="I466" s="1753" t="s">
        <v>464</v>
      </c>
      <c r="J466" s="1754"/>
      <c r="K466" s="1753" t="s">
        <v>2114</v>
      </c>
      <c r="L466" s="1754" t="s">
        <v>3029</v>
      </c>
      <c r="M466" s="1763"/>
      <c r="N466" s="1756">
        <v>36550.53</v>
      </c>
      <c r="O466" s="1757">
        <v>145419.9</v>
      </c>
      <c r="P466" s="1758">
        <v>107755.84</v>
      </c>
      <c r="Q466" s="1759">
        <v>180000</v>
      </c>
      <c r="R466" s="1760">
        <v>180000</v>
      </c>
      <c r="S466" s="1760">
        <v>214576</v>
      </c>
      <c r="T466" s="1760">
        <v>214576</v>
      </c>
      <c r="U466" s="1761">
        <v>200000</v>
      </c>
      <c r="V466" s="1762">
        <v>180000</v>
      </c>
      <c r="W466" s="1757">
        <v>126000</v>
      </c>
      <c r="Z466" s="1773">
        <f t="shared" si="130"/>
        <v>0</v>
      </c>
      <c r="AA466" s="1773">
        <f t="shared" si="131"/>
        <v>0</v>
      </c>
      <c r="AB466" s="1773">
        <f t="shared" si="132"/>
        <v>0</v>
      </c>
      <c r="AC466" s="1773">
        <f t="shared" si="133"/>
        <v>0</v>
      </c>
      <c r="AD466" s="1773">
        <f t="shared" si="134"/>
        <v>0</v>
      </c>
      <c r="AE466" s="1773">
        <f t="shared" si="135"/>
        <v>0</v>
      </c>
      <c r="AF466" s="1773">
        <f t="shared" si="136"/>
        <v>0</v>
      </c>
      <c r="AG466" s="1773">
        <f t="shared" si="137"/>
        <v>0</v>
      </c>
      <c r="AH466" s="1773">
        <f t="shared" si="138"/>
        <v>0</v>
      </c>
      <c r="AI466" s="1773">
        <f t="shared" si="139"/>
        <v>0</v>
      </c>
      <c r="AJ466" s="1773">
        <f t="shared" si="140"/>
        <v>0</v>
      </c>
      <c r="AK466" s="1773">
        <f t="shared" si="141"/>
        <v>0</v>
      </c>
      <c r="AL466" s="1773">
        <f t="shared" si="142"/>
        <v>200000</v>
      </c>
      <c r="AN466" s="1776"/>
      <c r="AO466" s="1776"/>
      <c r="AP466" s="1776"/>
      <c r="AQ466" s="1776"/>
      <c r="AR466" s="1776"/>
      <c r="AS466" s="1776"/>
      <c r="AT466" s="1776"/>
      <c r="AU466" s="1776"/>
      <c r="AV466" s="1776"/>
      <c r="AW466" s="1776"/>
      <c r="AX466" s="1776"/>
      <c r="AY466" s="1776"/>
      <c r="AZ466" s="1776">
        <v>1</v>
      </c>
    </row>
    <row r="467" spans="1:52" ht="13.5">
      <c r="A467" s="1479" t="s">
        <v>2879</v>
      </c>
      <c r="B467" s="1479" t="s">
        <v>2314</v>
      </c>
      <c r="C467" s="1741" t="s">
        <v>2108</v>
      </c>
      <c r="D467" s="1741">
        <v>1360</v>
      </c>
      <c r="E467" s="1741">
        <v>4120</v>
      </c>
      <c r="F467" s="1741" t="s">
        <v>2229</v>
      </c>
      <c r="G467" s="1741" t="s">
        <v>1152</v>
      </c>
      <c r="H467" s="1741" t="s">
        <v>1658</v>
      </c>
      <c r="I467" s="1753" t="s">
        <v>2114</v>
      </c>
      <c r="J467" s="1754" t="s">
        <v>3014</v>
      </c>
      <c r="K467" s="1753" t="s">
        <v>2114</v>
      </c>
      <c r="L467" s="1754" t="s">
        <v>3029</v>
      </c>
      <c r="M467" s="1763"/>
      <c r="N467" s="1756">
        <v>8421.0499999999993</v>
      </c>
      <c r="O467" s="1757">
        <v>0</v>
      </c>
      <c r="P467" s="1758">
        <v>0</v>
      </c>
      <c r="Q467" s="1759">
        <v>0</v>
      </c>
      <c r="R467" s="1760">
        <v>0</v>
      </c>
      <c r="S467" s="1760">
        <v>0</v>
      </c>
      <c r="T467" s="1760">
        <v>0</v>
      </c>
      <c r="U467" s="1761">
        <v>0</v>
      </c>
      <c r="V467" s="1762">
        <v>0</v>
      </c>
      <c r="W467" s="1757">
        <v>0</v>
      </c>
      <c r="Z467" s="1773">
        <f t="shared" si="130"/>
        <v>0</v>
      </c>
      <c r="AA467" s="1773">
        <f t="shared" si="131"/>
        <v>0</v>
      </c>
      <c r="AB467" s="1773">
        <f t="shared" si="132"/>
        <v>0</v>
      </c>
      <c r="AC467" s="1773">
        <f t="shared" si="133"/>
        <v>0</v>
      </c>
      <c r="AD467" s="1773">
        <f t="shared" si="134"/>
        <v>0</v>
      </c>
      <c r="AE467" s="1773">
        <f t="shared" si="135"/>
        <v>0</v>
      </c>
      <c r="AF467" s="1773">
        <f t="shared" si="136"/>
        <v>0</v>
      </c>
      <c r="AG467" s="1773">
        <f t="shared" si="137"/>
        <v>0</v>
      </c>
      <c r="AH467" s="1773">
        <f t="shared" si="138"/>
        <v>0</v>
      </c>
      <c r="AI467" s="1773">
        <f t="shared" si="139"/>
        <v>0</v>
      </c>
      <c r="AJ467" s="1773">
        <f t="shared" si="140"/>
        <v>0</v>
      </c>
      <c r="AK467" s="1773">
        <f t="shared" si="141"/>
        <v>0</v>
      </c>
      <c r="AL467" s="1773">
        <f t="shared" si="142"/>
        <v>0</v>
      </c>
      <c r="AN467" s="1776"/>
      <c r="AO467" s="1776"/>
      <c r="AP467" s="1776"/>
      <c r="AQ467" s="1776"/>
      <c r="AR467" s="1776"/>
      <c r="AS467" s="1776"/>
      <c r="AT467" s="1776"/>
      <c r="AU467" s="1776"/>
      <c r="AV467" s="1776"/>
      <c r="AW467" s="1776"/>
      <c r="AX467" s="1776"/>
      <c r="AY467" s="1776"/>
      <c r="AZ467" s="1776">
        <v>1</v>
      </c>
    </row>
    <row r="468" spans="1:52">
      <c r="A468" s="1479" t="s">
        <v>2880</v>
      </c>
      <c r="B468" s="1479" t="s">
        <v>2569</v>
      </c>
      <c r="C468" s="1741" t="s">
        <v>2108</v>
      </c>
      <c r="D468" s="1741">
        <v>1360</v>
      </c>
      <c r="E468" s="1741">
        <v>4390</v>
      </c>
      <c r="F468" s="1741" t="s">
        <v>2229</v>
      </c>
      <c r="G468" s="1741" t="s">
        <v>1152</v>
      </c>
      <c r="H468" s="1741" t="s">
        <v>1658</v>
      </c>
      <c r="I468" s="1753" t="s">
        <v>2146</v>
      </c>
      <c r="J468" s="1754"/>
      <c r="K468" s="1754" t="s">
        <v>1563</v>
      </c>
      <c r="L468" s="1754" t="s">
        <v>1563</v>
      </c>
      <c r="M468" s="1754"/>
      <c r="N468" s="1756">
        <v>50000</v>
      </c>
      <c r="O468" s="1757">
        <v>-27552.190000000002</v>
      </c>
      <c r="P468" s="1758">
        <v>671199.95738874772</v>
      </c>
      <c r="Q468" s="1759">
        <v>110000</v>
      </c>
      <c r="R468" s="1760">
        <v>110000</v>
      </c>
      <c r="S468" s="1760">
        <v>12320</v>
      </c>
      <c r="T468" s="1760">
        <v>12320</v>
      </c>
      <c r="U468" s="1761">
        <v>0</v>
      </c>
      <c r="V468" s="1762">
        <v>110000</v>
      </c>
      <c r="W468" s="1757">
        <v>110000</v>
      </c>
      <c r="Z468" s="1773">
        <f t="shared" si="130"/>
        <v>0</v>
      </c>
      <c r="AA468" s="1773">
        <f t="shared" si="131"/>
        <v>0</v>
      </c>
      <c r="AB468" s="1773">
        <f t="shared" si="132"/>
        <v>0</v>
      </c>
      <c r="AC468" s="1773">
        <f t="shared" si="133"/>
        <v>0</v>
      </c>
      <c r="AD468" s="1773">
        <f t="shared" si="134"/>
        <v>0</v>
      </c>
      <c r="AE468" s="1773">
        <f t="shared" si="135"/>
        <v>0</v>
      </c>
      <c r="AF468" s="1773">
        <f t="shared" si="136"/>
        <v>0</v>
      </c>
      <c r="AG468" s="1773">
        <f t="shared" si="137"/>
        <v>0</v>
      </c>
      <c r="AH468" s="1773">
        <f t="shared" si="138"/>
        <v>0</v>
      </c>
      <c r="AI468" s="1773">
        <f t="shared" si="139"/>
        <v>0</v>
      </c>
      <c r="AJ468" s="1773">
        <f t="shared" si="140"/>
        <v>0</v>
      </c>
      <c r="AK468" s="1773">
        <f t="shared" si="141"/>
        <v>0</v>
      </c>
      <c r="AL468" s="1773">
        <f t="shared" si="142"/>
        <v>0</v>
      </c>
      <c r="AN468" s="1776"/>
      <c r="AO468" s="1776"/>
      <c r="AP468" s="1776"/>
      <c r="AQ468" s="1776"/>
      <c r="AR468" s="1776"/>
      <c r="AS468" s="1776"/>
      <c r="AT468" s="1776"/>
      <c r="AU468" s="1776"/>
      <c r="AV468" s="1776"/>
      <c r="AW468" s="1776"/>
      <c r="AX468" s="1776"/>
      <c r="AY468" s="1776"/>
      <c r="AZ468" s="1776">
        <v>1</v>
      </c>
    </row>
    <row r="469" spans="1:52">
      <c r="A469" s="1479" t="s">
        <v>2881</v>
      </c>
      <c r="B469" s="1479" t="s">
        <v>2806</v>
      </c>
      <c r="C469" s="1741" t="s">
        <v>2108</v>
      </c>
      <c r="D469" s="1741">
        <v>1360</v>
      </c>
      <c r="E469" s="1741">
        <v>5170</v>
      </c>
      <c r="F469" s="1741" t="s">
        <v>2229</v>
      </c>
      <c r="G469" s="1741" t="s">
        <v>1152</v>
      </c>
      <c r="H469" s="1741" t="s">
        <v>586</v>
      </c>
      <c r="I469" s="1753" t="s">
        <v>2120</v>
      </c>
      <c r="J469" s="1754"/>
      <c r="K469" s="1754" t="s">
        <v>1666</v>
      </c>
      <c r="L469" s="1754" t="s">
        <v>1666</v>
      </c>
      <c r="M469" s="1754"/>
      <c r="N469" s="1756">
        <v>-222.6</v>
      </c>
      <c r="O469" s="1757">
        <v>-8.73</v>
      </c>
      <c r="P469" s="1758">
        <v>-723.78</v>
      </c>
      <c r="Q469" s="1759">
        <v>0</v>
      </c>
      <c r="R469" s="1760">
        <v>0</v>
      </c>
      <c r="S469" s="1760">
        <v>8701</v>
      </c>
      <c r="T469" s="1760">
        <v>8701</v>
      </c>
      <c r="U469" s="1761">
        <v>0</v>
      </c>
      <c r="V469" s="1762">
        <v>0</v>
      </c>
      <c r="W469" s="1757">
        <v>0</v>
      </c>
      <c r="Z469" s="1773">
        <f t="shared" si="130"/>
        <v>0</v>
      </c>
      <c r="AA469" s="1773">
        <f t="shared" si="131"/>
        <v>0</v>
      </c>
      <c r="AB469" s="1773">
        <f t="shared" si="132"/>
        <v>0</v>
      </c>
      <c r="AC469" s="1773">
        <f t="shared" si="133"/>
        <v>0</v>
      </c>
      <c r="AD469" s="1773">
        <f t="shared" si="134"/>
        <v>0</v>
      </c>
      <c r="AE469" s="1773">
        <f t="shared" si="135"/>
        <v>0</v>
      </c>
      <c r="AF469" s="1773">
        <f t="shared" si="136"/>
        <v>0</v>
      </c>
      <c r="AG469" s="1773">
        <f t="shared" si="137"/>
        <v>0</v>
      </c>
      <c r="AH469" s="1773">
        <f t="shared" si="138"/>
        <v>0</v>
      </c>
      <c r="AI469" s="1773">
        <f t="shared" si="139"/>
        <v>0</v>
      </c>
      <c r="AJ469" s="1773">
        <f t="shared" si="140"/>
        <v>0</v>
      </c>
      <c r="AK469" s="1773">
        <f t="shared" si="141"/>
        <v>0</v>
      </c>
      <c r="AL469" s="1773">
        <f t="shared" si="142"/>
        <v>0</v>
      </c>
      <c r="AN469" s="1776"/>
      <c r="AO469" s="1776"/>
      <c r="AP469" s="1776"/>
      <c r="AQ469" s="1776"/>
      <c r="AR469" s="1776"/>
      <c r="AS469" s="1776"/>
      <c r="AT469" s="1776"/>
      <c r="AU469" s="1776"/>
      <c r="AV469" s="1776"/>
      <c r="AW469" s="1776"/>
      <c r="AX469" s="1776"/>
      <c r="AY469" s="1776"/>
      <c r="AZ469" s="1776">
        <v>1</v>
      </c>
    </row>
    <row r="470" spans="1:52" ht="13.5">
      <c r="A470" s="1479" t="s">
        <v>2882</v>
      </c>
      <c r="B470" s="1479" t="s">
        <v>2808</v>
      </c>
      <c r="C470" s="1741" t="s">
        <v>2108</v>
      </c>
      <c r="D470" s="1741">
        <v>1360</v>
      </c>
      <c r="E470" s="1741">
        <v>5310</v>
      </c>
      <c r="F470" s="1741" t="s">
        <v>2229</v>
      </c>
      <c r="G470" s="1741" t="s">
        <v>1152</v>
      </c>
      <c r="H470" s="1741" t="s">
        <v>586</v>
      </c>
      <c r="I470" s="1753" t="s">
        <v>2125</v>
      </c>
      <c r="J470" s="1754"/>
      <c r="K470" s="1753" t="s">
        <v>1109</v>
      </c>
      <c r="L470" s="1754" t="s">
        <v>1673</v>
      </c>
      <c r="M470" s="1439"/>
      <c r="N470" s="1756">
        <v>-614.04</v>
      </c>
      <c r="O470" s="1757">
        <v>0</v>
      </c>
      <c r="P470" s="1758">
        <v>-9828.07</v>
      </c>
      <c r="Q470" s="1759">
        <v>-1200</v>
      </c>
      <c r="R470" s="1760">
        <v>-1200</v>
      </c>
      <c r="S470" s="1760">
        <v>-1129</v>
      </c>
      <c r="T470" s="1760">
        <v>-1129</v>
      </c>
      <c r="U470" s="1761">
        <v>-1200</v>
      </c>
      <c r="V470" s="1762">
        <v>-1200</v>
      </c>
      <c r="W470" s="1757">
        <v>-1300</v>
      </c>
      <c r="Z470" s="1773">
        <f t="shared" si="130"/>
        <v>0</v>
      </c>
      <c r="AA470" s="1773">
        <f t="shared" si="131"/>
        <v>0</v>
      </c>
      <c r="AB470" s="1773">
        <f t="shared" si="132"/>
        <v>0</v>
      </c>
      <c r="AC470" s="1773">
        <f t="shared" si="133"/>
        <v>0</v>
      </c>
      <c r="AD470" s="1773">
        <f t="shared" si="134"/>
        <v>0</v>
      </c>
      <c r="AE470" s="1773">
        <f t="shared" si="135"/>
        <v>0</v>
      </c>
      <c r="AF470" s="1773">
        <f t="shared" si="136"/>
        <v>0</v>
      </c>
      <c r="AG470" s="1773">
        <f t="shared" si="137"/>
        <v>0</v>
      </c>
      <c r="AH470" s="1773">
        <f t="shared" si="138"/>
        <v>0</v>
      </c>
      <c r="AI470" s="1773">
        <f t="shared" si="139"/>
        <v>0</v>
      </c>
      <c r="AJ470" s="1773">
        <f t="shared" si="140"/>
        <v>0</v>
      </c>
      <c r="AK470" s="1773">
        <f t="shared" si="141"/>
        <v>0</v>
      </c>
      <c r="AL470" s="1773">
        <f t="shared" si="142"/>
        <v>-1200</v>
      </c>
      <c r="AN470" s="1776"/>
      <c r="AO470" s="1776"/>
      <c r="AP470" s="1776"/>
      <c r="AQ470" s="1776"/>
      <c r="AR470" s="1776"/>
      <c r="AS470" s="1776"/>
      <c r="AT470" s="1776"/>
      <c r="AU470" s="1776"/>
      <c r="AV470" s="1776"/>
      <c r="AW470" s="1776"/>
      <c r="AX470" s="1776"/>
      <c r="AY470" s="1776"/>
      <c r="AZ470" s="1776">
        <v>1</v>
      </c>
    </row>
    <row r="471" spans="1:52">
      <c r="A471" s="1479" t="s">
        <v>2883</v>
      </c>
      <c r="B471" s="1479" t="s">
        <v>2810</v>
      </c>
      <c r="C471" s="1741" t="s">
        <v>2108</v>
      </c>
      <c r="D471" s="1741">
        <v>1360</v>
      </c>
      <c r="E471" s="1741">
        <v>5490</v>
      </c>
      <c r="F471" s="1741" t="s">
        <v>2229</v>
      </c>
      <c r="G471" s="1741" t="s">
        <v>1152</v>
      </c>
      <c r="H471" s="1741" t="s">
        <v>586</v>
      </c>
      <c r="I471" s="1753" t="s">
        <v>2125</v>
      </c>
      <c r="J471" s="1754"/>
      <c r="K471" s="1753" t="s">
        <v>1109</v>
      </c>
      <c r="L471" s="1754" t="s">
        <v>1673</v>
      </c>
      <c r="M471" s="1754"/>
      <c r="N471" s="1756">
        <v>-1844959.94</v>
      </c>
      <c r="O471" s="1757">
        <v>-1996840.48</v>
      </c>
      <c r="P471" s="1758">
        <v>-2270958.77</v>
      </c>
      <c r="Q471" s="1759">
        <v>-2328460</v>
      </c>
      <c r="R471" s="1760">
        <v>-2328460</v>
      </c>
      <c r="S471" s="1760">
        <v>-2412342</v>
      </c>
      <c r="T471" s="1760">
        <v>-2412342</v>
      </c>
      <c r="U471" s="1761">
        <v>-2591665.02</v>
      </c>
      <c r="V471" s="1762">
        <f>U471*105%</f>
        <v>-2721248.2710000002</v>
      </c>
      <c r="W471" s="1757">
        <f>V471*105%</f>
        <v>-2857310.6845500004</v>
      </c>
      <c r="Z471" s="1773">
        <f t="shared" si="130"/>
        <v>0</v>
      </c>
      <c r="AA471" s="1773">
        <f t="shared" si="131"/>
        <v>0</v>
      </c>
      <c r="AB471" s="1773">
        <f t="shared" si="132"/>
        <v>0</v>
      </c>
      <c r="AC471" s="1773">
        <f t="shared" si="133"/>
        <v>0</v>
      </c>
      <c r="AD471" s="1773">
        <f t="shared" si="134"/>
        <v>0</v>
      </c>
      <c r="AE471" s="1773">
        <f t="shared" si="135"/>
        <v>0</v>
      </c>
      <c r="AF471" s="1773">
        <f t="shared" si="136"/>
        <v>0</v>
      </c>
      <c r="AG471" s="1773">
        <f t="shared" si="137"/>
        <v>0</v>
      </c>
      <c r="AH471" s="1773">
        <f t="shared" si="138"/>
        <v>0</v>
      </c>
      <c r="AI471" s="1773">
        <f t="shared" si="139"/>
        <v>0</v>
      </c>
      <c r="AJ471" s="1773">
        <f t="shared" si="140"/>
        <v>0</v>
      </c>
      <c r="AK471" s="1773">
        <f t="shared" si="141"/>
        <v>0</v>
      </c>
      <c r="AL471" s="1773">
        <f t="shared" si="142"/>
        <v>-2591665.02</v>
      </c>
      <c r="AN471" s="1776"/>
      <c r="AO471" s="1776"/>
      <c r="AP471" s="1776"/>
      <c r="AQ471" s="1776"/>
      <c r="AR471" s="1776"/>
      <c r="AS471" s="1776"/>
      <c r="AT471" s="1776"/>
      <c r="AU471" s="1776"/>
      <c r="AV471" s="1776"/>
      <c r="AW471" s="1776"/>
      <c r="AX471" s="1776"/>
      <c r="AY471" s="1776"/>
      <c r="AZ471" s="1776">
        <v>1</v>
      </c>
    </row>
    <row r="472" spans="1:52">
      <c r="A472" s="1479" t="s">
        <v>2884</v>
      </c>
      <c r="B472" s="1479" t="s">
        <v>2885</v>
      </c>
      <c r="C472" s="1741" t="s">
        <v>2108</v>
      </c>
      <c r="D472" s="1741">
        <v>1360</v>
      </c>
      <c r="E472" s="1741">
        <v>6320</v>
      </c>
      <c r="F472" s="1741" t="s">
        <v>2229</v>
      </c>
      <c r="G472" s="1741" t="s">
        <v>1152</v>
      </c>
      <c r="H472" s="1741" t="s">
        <v>586</v>
      </c>
      <c r="I472" s="1753" t="s">
        <v>2120</v>
      </c>
      <c r="J472" s="1754"/>
      <c r="K472" s="1754" t="s">
        <v>1666</v>
      </c>
      <c r="L472" s="1754" t="s">
        <v>1666</v>
      </c>
      <c r="M472" s="1754"/>
      <c r="N472" s="1756">
        <v>0</v>
      </c>
      <c r="O472" s="1757">
        <v>-453.6</v>
      </c>
      <c r="P472" s="1758">
        <v>0</v>
      </c>
      <c r="Q472" s="1759">
        <v>0</v>
      </c>
      <c r="R472" s="1760">
        <v>0</v>
      </c>
      <c r="S472" s="1760">
        <v>0</v>
      </c>
      <c r="T472" s="1760">
        <v>0</v>
      </c>
      <c r="U472" s="1761">
        <v>0</v>
      </c>
      <c r="V472" s="1762">
        <v>0</v>
      </c>
      <c r="W472" s="1757">
        <v>0</v>
      </c>
      <c r="Z472" s="1773">
        <f t="shared" si="130"/>
        <v>0</v>
      </c>
      <c r="AA472" s="1773">
        <f t="shared" si="131"/>
        <v>0</v>
      </c>
      <c r="AB472" s="1773">
        <f t="shared" si="132"/>
        <v>0</v>
      </c>
      <c r="AC472" s="1773">
        <f t="shared" si="133"/>
        <v>0</v>
      </c>
      <c r="AD472" s="1773">
        <f t="shared" si="134"/>
        <v>0</v>
      </c>
      <c r="AE472" s="1773">
        <f t="shared" si="135"/>
        <v>0</v>
      </c>
      <c r="AF472" s="1773">
        <f t="shared" si="136"/>
        <v>0</v>
      </c>
      <c r="AG472" s="1773">
        <f t="shared" si="137"/>
        <v>0</v>
      </c>
      <c r="AH472" s="1773">
        <f t="shared" si="138"/>
        <v>0</v>
      </c>
      <c r="AI472" s="1773">
        <f t="shared" si="139"/>
        <v>0</v>
      </c>
      <c r="AJ472" s="1773">
        <f t="shared" si="140"/>
        <v>0</v>
      </c>
      <c r="AK472" s="1773">
        <f t="shared" si="141"/>
        <v>0</v>
      </c>
      <c r="AL472" s="1773">
        <f t="shared" si="142"/>
        <v>0</v>
      </c>
      <c r="AN472" s="1776"/>
      <c r="AO472" s="1776"/>
      <c r="AP472" s="1776"/>
      <c r="AQ472" s="1776"/>
      <c r="AR472" s="1776"/>
      <c r="AS472" s="1776"/>
      <c r="AT472" s="1776"/>
      <c r="AU472" s="1776"/>
      <c r="AV472" s="1776"/>
      <c r="AW472" s="1776"/>
      <c r="AX472" s="1776"/>
      <c r="AY472" s="1776"/>
      <c r="AZ472" s="1776">
        <v>1</v>
      </c>
    </row>
    <row r="473" spans="1:52">
      <c r="A473" s="1479" t="s">
        <v>2886</v>
      </c>
      <c r="B473" s="1479" t="s">
        <v>2231</v>
      </c>
      <c r="C473" s="1741" t="s">
        <v>2108</v>
      </c>
      <c r="D473" s="1741">
        <v>2000</v>
      </c>
      <c r="E473" s="1741">
        <v>10</v>
      </c>
      <c r="F473" s="1741" t="s">
        <v>684</v>
      </c>
      <c r="G473" s="1741" t="s">
        <v>684</v>
      </c>
      <c r="H473" s="1741" t="s">
        <v>1658</v>
      </c>
      <c r="I473" s="1753" t="s">
        <v>3003</v>
      </c>
      <c r="J473" s="1754" t="s">
        <v>2109</v>
      </c>
      <c r="K473" s="1753" t="s">
        <v>497</v>
      </c>
      <c r="L473" s="1754" t="s">
        <v>1158</v>
      </c>
      <c r="M473" s="1754"/>
      <c r="N473" s="1756">
        <v>294370.59000000003</v>
      </c>
      <c r="O473" s="1757">
        <v>416898.99</v>
      </c>
      <c r="P473" s="1758">
        <v>432356.33</v>
      </c>
      <c r="Q473" s="1759">
        <v>662050</v>
      </c>
      <c r="R473" s="1760">
        <v>662050</v>
      </c>
      <c r="S473" s="1760">
        <v>510585</v>
      </c>
      <c r="T473" s="1760">
        <v>510585</v>
      </c>
      <c r="U473" s="1761">
        <v>712085.38559999992</v>
      </c>
      <c r="V473" s="1762">
        <f>U473*108%</f>
        <v>769052.21644799993</v>
      </c>
      <c r="W473" s="1757">
        <f>V473*108%</f>
        <v>830576.39376383997</v>
      </c>
      <c r="Z473" s="1773">
        <f t="shared" si="130"/>
        <v>0</v>
      </c>
      <c r="AA473" s="1773">
        <f t="shared" si="131"/>
        <v>0</v>
      </c>
      <c r="AB473" s="1773">
        <f t="shared" si="132"/>
        <v>0</v>
      </c>
      <c r="AC473" s="1773">
        <f t="shared" si="133"/>
        <v>0</v>
      </c>
      <c r="AD473" s="1773">
        <f t="shared" si="134"/>
        <v>0</v>
      </c>
      <c r="AE473" s="1773">
        <f t="shared" si="135"/>
        <v>0</v>
      </c>
      <c r="AF473" s="1773">
        <f t="shared" si="136"/>
        <v>0</v>
      </c>
      <c r="AG473" s="1773">
        <f t="shared" si="137"/>
        <v>0</v>
      </c>
      <c r="AH473" s="1773">
        <f t="shared" si="138"/>
        <v>0</v>
      </c>
      <c r="AI473" s="1773">
        <f t="shared" si="139"/>
        <v>0</v>
      </c>
      <c r="AJ473" s="1773">
        <f t="shared" si="140"/>
        <v>0</v>
      </c>
      <c r="AK473" s="1773">
        <f t="shared" si="141"/>
        <v>0</v>
      </c>
      <c r="AL473" s="1773">
        <f t="shared" si="142"/>
        <v>712085.38559999992</v>
      </c>
      <c r="AN473" s="1776"/>
      <c r="AO473" s="1776"/>
      <c r="AP473" s="1776"/>
      <c r="AQ473" s="1776"/>
      <c r="AR473" s="1776"/>
      <c r="AS473" s="1776"/>
      <c r="AT473" s="1776"/>
      <c r="AU473" s="1776"/>
      <c r="AV473" s="1776"/>
      <c r="AW473" s="1776"/>
      <c r="AX473" s="1776"/>
      <c r="AY473" s="1776"/>
      <c r="AZ473" s="1776">
        <v>1</v>
      </c>
    </row>
    <row r="474" spans="1:52">
      <c r="A474" s="1479" t="s">
        <v>2887</v>
      </c>
      <c r="B474" s="1479" t="s">
        <v>2262</v>
      </c>
      <c r="C474" s="1741" t="s">
        <v>2108</v>
      </c>
      <c r="D474" s="1741">
        <v>2000</v>
      </c>
      <c r="E474" s="1741">
        <v>20</v>
      </c>
      <c r="F474" s="1741" t="s">
        <v>684</v>
      </c>
      <c r="G474" s="1741" t="s">
        <v>684</v>
      </c>
      <c r="H474" s="1741" t="s">
        <v>1658</v>
      </c>
      <c r="I474" s="1753" t="s">
        <v>3003</v>
      </c>
      <c r="J474" s="1754" t="s">
        <v>2109</v>
      </c>
      <c r="K474" s="1753" t="s">
        <v>497</v>
      </c>
      <c r="L474" s="1753" t="s">
        <v>1158</v>
      </c>
      <c r="M474" s="1754"/>
      <c r="N474" s="1756">
        <v>21214.22</v>
      </c>
      <c r="O474" s="1757">
        <v>700</v>
      </c>
      <c r="P474" s="1758">
        <v>550</v>
      </c>
      <c r="Q474" s="1759">
        <v>5000</v>
      </c>
      <c r="R474" s="1760">
        <v>5000</v>
      </c>
      <c r="S474" s="1760">
        <v>560</v>
      </c>
      <c r="T474" s="1760">
        <v>560</v>
      </c>
      <c r="U474" s="1761">
        <v>150000</v>
      </c>
      <c r="V474" s="1762">
        <v>150000</v>
      </c>
      <c r="W474" s="1757">
        <v>150000</v>
      </c>
      <c r="Z474" s="1773">
        <f t="shared" si="130"/>
        <v>0</v>
      </c>
      <c r="AA474" s="1773">
        <f t="shared" si="131"/>
        <v>0</v>
      </c>
      <c r="AB474" s="1773">
        <f t="shared" si="132"/>
        <v>0</v>
      </c>
      <c r="AC474" s="1773">
        <f t="shared" si="133"/>
        <v>0</v>
      </c>
      <c r="AD474" s="1773">
        <f t="shared" si="134"/>
        <v>0</v>
      </c>
      <c r="AE474" s="1773">
        <f t="shared" si="135"/>
        <v>0</v>
      </c>
      <c r="AF474" s="1773">
        <f t="shared" si="136"/>
        <v>0</v>
      </c>
      <c r="AG474" s="1773">
        <f t="shared" si="137"/>
        <v>0</v>
      </c>
      <c r="AH474" s="1773">
        <f t="shared" si="138"/>
        <v>0</v>
      </c>
      <c r="AI474" s="1773">
        <f t="shared" si="139"/>
        <v>0</v>
      </c>
      <c r="AJ474" s="1773">
        <f t="shared" si="140"/>
        <v>0</v>
      </c>
      <c r="AK474" s="1773">
        <f t="shared" si="141"/>
        <v>0</v>
      </c>
      <c r="AL474" s="1773">
        <f t="shared" si="142"/>
        <v>150000</v>
      </c>
      <c r="AN474" s="1776"/>
      <c r="AO474" s="1776"/>
      <c r="AP474" s="1776"/>
      <c r="AQ474" s="1776"/>
      <c r="AR474" s="1776"/>
      <c r="AS474" s="1776"/>
      <c r="AT474" s="1776"/>
      <c r="AU474" s="1776"/>
      <c r="AV474" s="1776"/>
      <c r="AW474" s="1776"/>
      <c r="AX474" s="1776"/>
      <c r="AY474" s="1776"/>
      <c r="AZ474" s="1776">
        <v>1</v>
      </c>
    </row>
    <row r="475" spans="1:52">
      <c r="A475" s="1479" t="s">
        <v>2888</v>
      </c>
      <c r="B475" s="1479" t="s">
        <v>2233</v>
      </c>
      <c r="C475" s="1741" t="s">
        <v>2108</v>
      </c>
      <c r="D475" s="1741">
        <v>2000</v>
      </c>
      <c r="E475" s="1741">
        <v>30</v>
      </c>
      <c r="F475" s="1741" t="s">
        <v>684</v>
      </c>
      <c r="G475" s="1741" t="s">
        <v>684</v>
      </c>
      <c r="H475" s="1741" t="s">
        <v>1658</v>
      </c>
      <c r="I475" s="1753" t="s">
        <v>3003</v>
      </c>
      <c r="J475" s="1754" t="s">
        <v>3004</v>
      </c>
      <c r="K475" s="1753" t="s">
        <v>497</v>
      </c>
      <c r="L475" s="1754" t="s">
        <v>1159</v>
      </c>
      <c r="M475" s="1754"/>
      <c r="N475" s="1756">
        <v>185.6</v>
      </c>
      <c r="O475" s="1757">
        <v>227.73</v>
      </c>
      <c r="P475" s="1758">
        <v>236.19</v>
      </c>
      <c r="Q475" s="1759">
        <v>675</v>
      </c>
      <c r="R475" s="1760">
        <v>675</v>
      </c>
      <c r="S475" s="1760">
        <v>317</v>
      </c>
      <c r="T475" s="1760">
        <v>317</v>
      </c>
      <c r="U475" s="1761">
        <v>722.66050713599998</v>
      </c>
      <c r="V475" s="1762">
        <v>725</v>
      </c>
      <c r="W475" s="1757">
        <v>775</v>
      </c>
      <c r="Z475" s="1773">
        <f t="shared" si="130"/>
        <v>0</v>
      </c>
      <c r="AA475" s="1773">
        <f t="shared" si="131"/>
        <v>0</v>
      </c>
      <c r="AB475" s="1773">
        <f t="shared" si="132"/>
        <v>0</v>
      </c>
      <c r="AC475" s="1773">
        <f t="shared" si="133"/>
        <v>0</v>
      </c>
      <c r="AD475" s="1773">
        <f t="shared" si="134"/>
        <v>0</v>
      </c>
      <c r="AE475" s="1773">
        <f t="shared" si="135"/>
        <v>0</v>
      </c>
      <c r="AF475" s="1773">
        <f t="shared" si="136"/>
        <v>0</v>
      </c>
      <c r="AG475" s="1773">
        <f t="shared" si="137"/>
        <v>0</v>
      </c>
      <c r="AH475" s="1773">
        <f t="shared" si="138"/>
        <v>0</v>
      </c>
      <c r="AI475" s="1773">
        <f t="shared" si="139"/>
        <v>0</v>
      </c>
      <c r="AJ475" s="1773">
        <f t="shared" si="140"/>
        <v>0</v>
      </c>
      <c r="AK475" s="1773">
        <f t="shared" si="141"/>
        <v>0</v>
      </c>
      <c r="AL475" s="1773">
        <f t="shared" si="142"/>
        <v>722.66050713599998</v>
      </c>
      <c r="AN475" s="1776"/>
      <c r="AO475" s="1776"/>
      <c r="AP475" s="1776"/>
      <c r="AQ475" s="1776"/>
      <c r="AR475" s="1776"/>
      <c r="AS475" s="1776"/>
      <c r="AT475" s="1776"/>
      <c r="AU475" s="1776"/>
      <c r="AV475" s="1776"/>
      <c r="AW475" s="1776"/>
      <c r="AX475" s="1776"/>
      <c r="AY475" s="1776"/>
      <c r="AZ475" s="1776">
        <v>1</v>
      </c>
    </row>
    <row r="476" spans="1:52">
      <c r="A476" s="1479" t="s">
        <v>2889</v>
      </c>
      <c r="B476" s="1479" t="s">
        <v>2265</v>
      </c>
      <c r="C476" s="1741" t="s">
        <v>2108</v>
      </c>
      <c r="D476" s="1741">
        <v>2000</v>
      </c>
      <c r="E476" s="1741">
        <v>40</v>
      </c>
      <c r="F476" s="1741" t="s">
        <v>684</v>
      </c>
      <c r="G476" s="1741" t="s">
        <v>684</v>
      </c>
      <c r="H476" s="1741" t="s">
        <v>1658</v>
      </c>
      <c r="I476" s="1753" t="s">
        <v>3003</v>
      </c>
      <c r="J476" s="1754" t="s">
        <v>2110</v>
      </c>
      <c r="K476" s="1753" t="s">
        <v>497</v>
      </c>
      <c r="L476" s="1754" t="s">
        <v>1159</v>
      </c>
      <c r="M476" s="1754"/>
      <c r="N476" s="1756">
        <v>8422.2000000000007</v>
      </c>
      <c r="O476" s="1757">
        <v>27296.799999999999</v>
      </c>
      <c r="P476" s="1758">
        <v>25173.599999999999</v>
      </c>
      <c r="Q476" s="1759">
        <v>36500</v>
      </c>
      <c r="R476" s="1760">
        <v>36500</v>
      </c>
      <c r="S476" s="1760">
        <v>17004</v>
      </c>
      <c r="T476" s="1760">
        <v>17004</v>
      </c>
      <c r="U476" s="1761">
        <v>11611.893024000001</v>
      </c>
      <c r="V476" s="1762">
        <v>39055</v>
      </c>
      <c r="W476" s="1757">
        <v>41790</v>
      </c>
      <c r="Z476" s="1773">
        <f t="shared" si="130"/>
        <v>0</v>
      </c>
      <c r="AA476" s="1773">
        <f t="shared" si="131"/>
        <v>0</v>
      </c>
      <c r="AB476" s="1773">
        <f t="shared" si="132"/>
        <v>0</v>
      </c>
      <c r="AC476" s="1773">
        <f t="shared" si="133"/>
        <v>0</v>
      </c>
      <c r="AD476" s="1773">
        <f t="shared" si="134"/>
        <v>0</v>
      </c>
      <c r="AE476" s="1773">
        <f t="shared" si="135"/>
        <v>0</v>
      </c>
      <c r="AF476" s="1773">
        <f t="shared" si="136"/>
        <v>0</v>
      </c>
      <c r="AG476" s="1773">
        <f t="shared" si="137"/>
        <v>0</v>
      </c>
      <c r="AH476" s="1773">
        <f t="shared" si="138"/>
        <v>0</v>
      </c>
      <c r="AI476" s="1773">
        <f t="shared" si="139"/>
        <v>0</v>
      </c>
      <c r="AJ476" s="1773">
        <f t="shared" si="140"/>
        <v>0</v>
      </c>
      <c r="AK476" s="1773">
        <f t="shared" si="141"/>
        <v>0</v>
      </c>
      <c r="AL476" s="1773">
        <f t="shared" si="142"/>
        <v>11611.893024000001</v>
      </c>
      <c r="AN476" s="1776"/>
      <c r="AO476" s="1776"/>
      <c r="AP476" s="1776"/>
      <c r="AQ476" s="1776"/>
      <c r="AR476" s="1776"/>
      <c r="AS476" s="1776"/>
      <c r="AT476" s="1776"/>
      <c r="AU476" s="1776"/>
      <c r="AV476" s="1776"/>
      <c r="AW476" s="1776"/>
      <c r="AX476" s="1776"/>
      <c r="AY476" s="1776"/>
      <c r="AZ476" s="1776">
        <v>1</v>
      </c>
    </row>
    <row r="477" spans="1:52">
      <c r="A477" s="1479" t="s">
        <v>2890</v>
      </c>
      <c r="B477" s="1479" t="s">
        <v>2235</v>
      </c>
      <c r="C477" s="1741" t="s">
        <v>2108</v>
      </c>
      <c r="D477" s="1741">
        <v>2000</v>
      </c>
      <c r="E477" s="1741">
        <v>50</v>
      </c>
      <c r="F477" s="1741" t="s">
        <v>684</v>
      </c>
      <c r="G477" s="1741" t="s">
        <v>684</v>
      </c>
      <c r="H477" s="1741" t="s">
        <v>1658</v>
      </c>
      <c r="I477" s="1753" t="s">
        <v>3003</v>
      </c>
      <c r="J477" s="1754" t="s">
        <v>2110</v>
      </c>
      <c r="K477" s="1753" t="s">
        <v>497</v>
      </c>
      <c r="L477" s="1754" t="s">
        <v>1159</v>
      </c>
      <c r="M477" s="1754"/>
      <c r="N477" s="1756">
        <v>56236.92</v>
      </c>
      <c r="O477" s="1757">
        <v>78931.44</v>
      </c>
      <c r="P477" s="1758">
        <v>81776.52</v>
      </c>
      <c r="Q477" s="1759">
        <v>143965</v>
      </c>
      <c r="R477" s="1760">
        <v>143965</v>
      </c>
      <c r="S477" s="1760">
        <v>96645</v>
      </c>
      <c r="T477" s="1760">
        <v>96645</v>
      </c>
      <c r="U477" s="1761">
        <v>154725.51927599998</v>
      </c>
      <c r="V477" s="1762">
        <f>U477*108%</f>
        <v>167103.56081807998</v>
      </c>
      <c r="W477" s="1757">
        <f>V477*108%</f>
        <v>180471.84568352639</v>
      </c>
      <c r="Z477" s="1773">
        <f t="shared" si="130"/>
        <v>0</v>
      </c>
      <c r="AA477" s="1773">
        <f t="shared" si="131"/>
        <v>0</v>
      </c>
      <c r="AB477" s="1773">
        <f t="shared" si="132"/>
        <v>0</v>
      </c>
      <c r="AC477" s="1773">
        <f t="shared" si="133"/>
        <v>0</v>
      </c>
      <c r="AD477" s="1773">
        <f t="shared" si="134"/>
        <v>0</v>
      </c>
      <c r="AE477" s="1773">
        <f t="shared" si="135"/>
        <v>0</v>
      </c>
      <c r="AF477" s="1773">
        <f t="shared" si="136"/>
        <v>0</v>
      </c>
      <c r="AG477" s="1773">
        <f t="shared" si="137"/>
        <v>0</v>
      </c>
      <c r="AH477" s="1773">
        <f t="shared" si="138"/>
        <v>0</v>
      </c>
      <c r="AI477" s="1773">
        <f t="shared" si="139"/>
        <v>0</v>
      </c>
      <c r="AJ477" s="1773">
        <f t="shared" si="140"/>
        <v>0</v>
      </c>
      <c r="AK477" s="1773">
        <f t="shared" si="141"/>
        <v>0</v>
      </c>
      <c r="AL477" s="1773">
        <f t="shared" si="142"/>
        <v>154725.51927599998</v>
      </c>
      <c r="AN477" s="1776"/>
      <c r="AO477" s="1776"/>
      <c r="AP477" s="1776"/>
      <c r="AQ477" s="1776"/>
      <c r="AR477" s="1776"/>
      <c r="AS477" s="1776"/>
      <c r="AT477" s="1776"/>
      <c r="AU477" s="1776"/>
      <c r="AV477" s="1776"/>
      <c r="AW477" s="1776"/>
      <c r="AX477" s="1776"/>
      <c r="AY477" s="1776"/>
      <c r="AZ477" s="1776">
        <v>1</v>
      </c>
    </row>
    <row r="478" spans="1:52">
      <c r="A478" s="1479" t="s">
        <v>2891</v>
      </c>
      <c r="B478" s="1479" t="s">
        <v>2237</v>
      </c>
      <c r="C478" s="1741" t="s">
        <v>2108</v>
      </c>
      <c r="D478" s="1741">
        <v>2000</v>
      </c>
      <c r="E478" s="1741">
        <v>60</v>
      </c>
      <c r="F478" s="1741" t="s">
        <v>684</v>
      </c>
      <c r="G478" s="1741" t="s">
        <v>684</v>
      </c>
      <c r="H478" s="1741" t="s">
        <v>1658</v>
      </c>
      <c r="I478" s="1753" t="s">
        <v>3003</v>
      </c>
      <c r="J478" s="1754" t="s">
        <v>2110</v>
      </c>
      <c r="K478" s="1753" t="s">
        <v>497</v>
      </c>
      <c r="L478" s="1754" t="s">
        <v>1159</v>
      </c>
      <c r="M478" s="1754"/>
      <c r="N478" s="1756">
        <v>3554.85</v>
      </c>
      <c r="O478" s="1757">
        <v>4844.32</v>
      </c>
      <c r="P478" s="1758">
        <v>4743.59</v>
      </c>
      <c r="Q478" s="1759">
        <v>6910</v>
      </c>
      <c r="R478" s="1760">
        <v>6910</v>
      </c>
      <c r="S478" s="1760">
        <v>5611</v>
      </c>
      <c r="T478" s="1760">
        <v>5611</v>
      </c>
      <c r="U478" s="1761">
        <v>7182.2029679999996</v>
      </c>
      <c r="V478" s="1762">
        <v>7395</v>
      </c>
      <c r="W478" s="1757">
        <v>7915</v>
      </c>
      <c r="Z478" s="1773">
        <f t="shared" si="130"/>
        <v>0</v>
      </c>
      <c r="AA478" s="1773">
        <f t="shared" si="131"/>
        <v>0</v>
      </c>
      <c r="AB478" s="1773">
        <f t="shared" si="132"/>
        <v>0</v>
      </c>
      <c r="AC478" s="1773">
        <f t="shared" si="133"/>
        <v>0</v>
      </c>
      <c r="AD478" s="1773">
        <f t="shared" si="134"/>
        <v>0</v>
      </c>
      <c r="AE478" s="1773">
        <f t="shared" si="135"/>
        <v>0</v>
      </c>
      <c r="AF478" s="1773">
        <f t="shared" si="136"/>
        <v>0</v>
      </c>
      <c r="AG478" s="1773">
        <f t="shared" si="137"/>
        <v>0</v>
      </c>
      <c r="AH478" s="1773">
        <f t="shared" si="138"/>
        <v>0</v>
      </c>
      <c r="AI478" s="1773">
        <f t="shared" si="139"/>
        <v>0</v>
      </c>
      <c r="AJ478" s="1773">
        <f t="shared" si="140"/>
        <v>0</v>
      </c>
      <c r="AK478" s="1773">
        <f t="shared" si="141"/>
        <v>0</v>
      </c>
      <c r="AL478" s="1773">
        <f t="shared" si="142"/>
        <v>7182.2029679999996</v>
      </c>
      <c r="AN478" s="1776"/>
      <c r="AO478" s="1776"/>
      <c r="AP478" s="1776"/>
      <c r="AQ478" s="1776"/>
      <c r="AR478" s="1776"/>
      <c r="AS478" s="1776"/>
      <c r="AT478" s="1776"/>
      <c r="AU478" s="1776"/>
      <c r="AV478" s="1776"/>
      <c r="AW478" s="1776"/>
      <c r="AX478" s="1776"/>
      <c r="AY478" s="1776"/>
      <c r="AZ478" s="1776">
        <v>1</v>
      </c>
    </row>
    <row r="479" spans="1:52">
      <c r="A479" s="1479" t="s">
        <v>2892</v>
      </c>
      <c r="B479" s="1479" t="s">
        <v>2269</v>
      </c>
      <c r="C479" s="1741" t="s">
        <v>2108</v>
      </c>
      <c r="D479" s="1741">
        <v>2000</v>
      </c>
      <c r="E479" s="1741">
        <v>80</v>
      </c>
      <c r="F479" s="1741" t="s">
        <v>684</v>
      </c>
      <c r="G479" s="1741" t="s">
        <v>684</v>
      </c>
      <c r="H479" s="1741" t="s">
        <v>1658</v>
      </c>
      <c r="I479" s="1753" t="s">
        <v>3003</v>
      </c>
      <c r="J479" s="1754" t="s">
        <v>2112</v>
      </c>
      <c r="K479" s="1753" t="s">
        <v>497</v>
      </c>
      <c r="L479" s="1754" t="s">
        <v>807</v>
      </c>
      <c r="M479" s="1754"/>
      <c r="N479" s="1756">
        <v>0</v>
      </c>
      <c r="O479" s="1757">
        <v>6531</v>
      </c>
      <c r="P479" s="1758">
        <v>10009.379999999999</v>
      </c>
      <c r="Q479" s="1759">
        <v>22800</v>
      </c>
      <c r="R479" s="1760">
        <v>22800</v>
      </c>
      <c r="S479" s="1760">
        <v>7841</v>
      </c>
      <c r="T479" s="1760">
        <v>7841</v>
      </c>
      <c r="U479" s="1761">
        <v>22800</v>
      </c>
      <c r="V479" s="1762">
        <v>24400</v>
      </c>
      <c r="W479" s="1757">
        <v>26105</v>
      </c>
      <c r="Z479" s="1773">
        <f t="shared" si="130"/>
        <v>0</v>
      </c>
      <c r="AA479" s="1773">
        <f t="shared" si="131"/>
        <v>0</v>
      </c>
      <c r="AB479" s="1773">
        <f t="shared" si="132"/>
        <v>0</v>
      </c>
      <c r="AC479" s="1773">
        <f t="shared" si="133"/>
        <v>0</v>
      </c>
      <c r="AD479" s="1773">
        <f t="shared" si="134"/>
        <v>0</v>
      </c>
      <c r="AE479" s="1773">
        <f t="shared" si="135"/>
        <v>0</v>
      </c>
      <c r="AF479" s="1773">
        <f t="shared" si="136"/>
        <v>0</v>
      </c>
      <c r="AG479" s="1773">
        <f t="shared" si="137"/>
        <v>0</v>
      </c>
      <c r="AH479" s="1773">
        <f t="shared" si="138"/>
        <v>0</v>
      </c>
      <c r="AI479" s="1773">
        <f t="shared" si="139"/>
        <v>0</v>
      </c>
      <c r="AJ479" s="1773">
        <f t="shared" si="140"/>
        <v>0</v>
      </c>
      <c r="AK479" s="1773">
        <f t="shared" si="141"/>
        <v>0</v>
      </c>
      <c r="AL479" s="1773">
        <f t="shared" si="142"/>
        <v>22800</v>
      </c>
      <c r="AN479" s="1776"/>
      <c r="AO479" s="1776"/>
      <c r="AP479" s="1776"/>
      <c r="AQ479" s="1776"/>
      <c r="AR479" s="1776"/>
      <c r="AS479" s="1776"/>
      <c r="AT479" s="1776"/>
      <c r="AU479" s="1776"/>
      <c r="AV479" s="1776"/>
      <c r="AW479" s="1776"/>
      <c r="AX479" s="1776"/>
      <c r="AY479" s="1776"/>
      <c r="AZ479" s="1776">
        <v>1</v>
      </c>
    </row>
    <row r="480" spans="1:52" ht="13.5">
      <c r="A480" s="1479" t="s">
        <v>2893</v>
      </c>
      <c r="B480" s="1479" t="s">
        <v>2241</v>
      </c>
      <c r="C480" s="1741" t="s">
        <v>2108</v>
      </c>
      <c r="D480" s="1741">
        <v>2000</v>
      </c>
      <c r="E480" s="1741">
        <v>140</v>
      </c>
      <c r="F480" s="1741" t="s">
        <v>684</v>
      </c>
      <c r="G480" s="1741" t="s">
        <v>684</v>
      </c>
      <c r="H480" s="1741" t="s">
        <v>1658</v>
      </c>
      <c r="I480" s="1753" t="s">
        <v>3003</v>
      </c>
      <c r="J480" s="1754" t="s">
        <v>3005</v>
      </c>
      <c r="K480" s="1753" t="s">
        <v>497</v>
      </c>
      <c r="L480" s="1754" t="s">
        <v>1163</v>
      </c>
      <c r="M480" s="1755"/>
      <c r="N480" s="1756">
        <v>21067.5</v>
      </c>
      <c r="O480" s="1757">
        <v>32706.86</v>
      </c>
      <c r="P480" s="1758">
        <v>39119.42</v>
      </c>
      <c r="Q480" s="1759">
        <v>50885</v>
      </c>
      <c r="R480" s="1760">
        <v>50885</v>
      </c>
      <c r="S480" s="1760">
        <v>22106</v>
      </c>
      <c r="T480" s="1760">
        <v>22106</v>
      </c>
      <c r="U480" s="1761">
        <v>54654.112799999995</v>
      </c>
      <c r="V480" s="1762">
        <f>U480*108%</f>
        <v>59026.441824000001</v>
      </c>
      <c r="W480" s="1757">
        <f>V480*108%</f>
        <v>63748.557169920008</v>
      </c>
      <c r="Z480" s="1773">
        <f t="shared" si="130"/>
        <v>0</v>
      </c>
      <c r="AA480" s="1773">
        <f t="shared" si="131"/>
        <v>0</v>
      </c>
      <c r="AB480" s="1773">
        <f t="shared" si="132"/>
        <v>0</v>
      </c>
      <c r="AC480" s="1773">
        <f t="shared" si="133"/>
        <v>0</v>
      </c>
      <c r="AD480" s="1773">
        <f t="shared" si="134"/>
        <v>0</v>
      </c>
      <c r="AE480" s="1773">
        <f t="shared" si="135"/>
        <v>0</v>
      </c>
      <c r="AF480" s="1773">
        <f t="shared" si="136"/>
        <v>0</v>
      </c>
      <c r="AG480" s="1773">
        <f t="shared" si="137"/>
        <v>0</v>
      </c>
      <c r="AH480" s="1773">
        <f t="shared" si="138"/>
        <v>0</v>
      </c>
      <c r="AI480" s="1773">
        <f t="shared" si="139"/>
        <v>0</v>
      </c>
      <c r="AJ480" s="1773">
        <f t="shared" si="140"/>
        <v>0</v>
      </c>
      <c r="AK480" s="1773">
        <f t="shared" si="141"/>
        <v>0</v>
      </c>
      <c r="AL480" s="1773">
        <f t="shared" si="142"/>
        <v>54654.112799999995</v>
      </c>
      <c r="AN480" s="1776"/>
      <c r="AO480" s="1776"/>
      <c r="AP480" s="1776"/>
      <c r="AQ480" s="1776"/>
      <c r="AR480" s="1776"/>
      <c r="AS480" s="1776"/>
      <c r="AT480" s="1776"/>
      <c r="AU480" s="1776"/>
      <c r="AV480" s="1776"/>
      <c r="AW480" s="1776"/>
      <c r="AX480" s="1776"/>
      <c r="AY480" s="1776"/>
      <c r="AZ480" s="1776">
        <v>1</v>
      </c>
    </row>
    <row r="481" spans="1:52" ht="13.5">
      <c r="A481" s="1479" t="s">
        <v>2894</v>
      </c>
      <c r="B481" s="1479" t="s">
        <v>2276</v>
      </c>
      <c r="C481" s="1741" t="s">
        <v>2108</v>
      </c>
      <c r="D481" s="1741">
        <v>2000</v>
      </c>
      <c r="E481" s="1741">
        <v>170</v>
      </c>
      <c r="F481" s="1741" t="s">
        <v>684</v>
      </c>
      <c r="G481" s="1741" t="s">
        <v>684</v>
      </c>
      <c r="H481" s="1741" t="s">
        <v>1658</v>
      </c>
      <c r="I481" s="1753" t="s">
        <v>3003</v>
      </c>
      <c r="J481" s="1754" t="s">
        <v>1161</v>
      </c>
      <c r="K481" s="1753" t="s">
        <v>497</v>
      </c>
      <c r="L481" s="1754" t="s">
        <v>1161</v>
      </c>
      <c r="M481" s="1755"/>
      <c r="N481" s="1756">
        <v>67948.23</v>
      </c>
      <c r="O481" s="1757">
        <v>123947.22</v>
      </c>
      <c r="P481" s="1758">
        <v>105138.89</v>
      </c>
      <c r="Q481" s="1759">
        <v>100000</v>
      </c>
      <c r="R481" s="1760">
        <v>100000</v>
      </c>
      <c r="S481" s="1760">
        <v>106202</v>
      </c>
      <c r="T481" s="1760">
        <v>106202</v>
      </c>
      <c r="U481" s="1761">
        <v>110000</v>
      </c>
      <c r="V481" s="1762">
        <v>110000</v>
      </c>
      <c r="W481" s="1757">
        <v>120000</v>
      </c>
      <c r="Z481" s="1773">
        <f t="shared" si="130"/>
        <v>0</v>
      </c>
      <c r="AA481" s="1773">
        <f t="shared" si="131"/>
        <v>0</v>
      </c>
      <c r="AB481" s="1773">
        <f t="shared" si="132"/>
        <v>0</v>
      </c>
      <c r="AC481" s="1773">
        <f t="shared" si="133"/>
        <v>0</v>
      </c>
      <c r="AD481" s="1773">
        <f t="shared" si="134"/>
        <v>0</v>
      </c>
      <c r="AE481" s="1773">
        <f t="shared" si="135"/>
        <v>0</v>
      </c>
      <c r="AF481" s="1773">
        <f t="shared" si="136"/>
        <v>0</v>
      </c>
      <c r="AG481" s="1773">
        <f t="shared" si="137"/>
        <v>0</v>
      </c>
      <c r="AH481" s="1773">
        <f t="shared" si="138"/>
        <v>0</v>
      </c>
      <c r="AI481" s="1773">
        <f t="shared" si="139"/>
        <v>0</v>
      </c>
      <c r="AJ481" s="1773">
        <f t="shared" si="140"/>
        <v>0</v>
      </c>
      <c r="AK481" s="1773">
        <f t="shared" si="141"/>
        <v>0</v>
      </c>
      <c r="AL481" s="1773">
        <f t="shared" si="142"/>
        <v>110000</v>
      </c>
      <c r="AN481" s="1776"/>
      <c r="AO481" s="1776"/>
      <c r="AP481" s="1776"/>
      <c r="AQ481" s="1776"/>
      <c r="AR481" s="1776"/>
      <c r="AS481" s="1776"/>
      <c r="AT481" s="1776"/>
      <c r="AU481" s="1776"/>
      <c r="AV481" s="1776"/>
      <c r="AW481" s="1776"/>
      <c r="AX481" s="1776"/>
      <c r="AY481" s="1776"/>
      <c r="AZ481" s="1776">
        <v>1</v>
      </c>
    </row>
    <row r="482" spans="1:52" ht="13.5">
      <c r="A482" s="1479" t="s">
        <v>2895</v>
      </c>
      <c r="B482" s="1479" t="s">
        <v>2278</v>
      </c>
      <c r="C482" s="1741" t="s">
        <v>2108</v>
      </c>
      <c r="D482" s="1741">
        <v>2000</v>
      </c>
      <c r="E482" s="1741">
        <v>200</v>
      </c>
      <c r="F482" s="1741" t="s">
        <v>684</v>
      </c>
      <c r="G482" s="1741" t="s">
        <v>684</v>
      </c>
      <c r="H482" s="1741" t="s">
        <v>1658</v>
      </c>
      <c r="I482" s="1753" t="s">
        <v>3003</v>
      </c>
      <c r="J482" s="1754" t="s">
        <v>2113</v>
      </c>
      <c r="K482" s="1753" t="s">
        <v>497</v>
      </c>
      <c r="L482" s="1754" t="s">
        <v>1160</v>
      </c>
      <c r="M482" s="1755"/>
      <c r="N482" s="1756">
        <v>4603.2</v>
      </c>
      <c r="O482" s="1757">
        <v>6904.8</v>
      </c>
      <c r="P482" s="1758">
        <v>4890.8999999999996</v>
      </c>
      <c r="Q482" s="1759">
        <v>7000</v>
      </c>
      <c r="R482" s="1760">
        <v>7000</v>
      </c>
      <c r="S482" s="1760">
        <v>3862</v>
      </c>
      <c r="T482" s="1760">
        <v>3862</v>
      </c>
      <c r="U482" s="1761">
        <v>7000</v>
      </c>
      <c r="V482" s="1762">
        <v>7100</v>
      </c>
      <c r="W482" s="1757">
        <v>7200</v>
      </c>
      <c r="Z482" s="1773">
        <f t="shared" si="130"/>
        <v>0</v>
      </c>
      <c r="AA482" s="1773">
        <f t="shared" si="131"/>
        <v>0</v>
      </c>
      <c r="AB482" s="1773">
        <f t="shared" si="132"/>
        <v>0</v>
      </c>
      <c r="AC482" s="1773">
        <f t="shared" si="133"/>
        <v>0</v>
      </c>
      <c r="AD482" s="1773">
        <f t="shared" si="134"/>
        <v>0</v>
      </c>
      <c r="AE482" s="1773">
        <f t="shared" si="135"/>
        <v>0</v>
      </c>
      <c r="AF482" s="1773">
        <f t="shared" si="136"/>
        <v>0</v>
      </c>
      <c r="AG482" s="1773">
        <f t="shared" si="137"/>
        <v>0</v>
      </c>
      <c r="AH482" s="1773">
        <f t="shared" si="138"/>
        <v>0</v>
      </c>
      <c r="AI482" s="1773">
        <f t="shared" si="139"/>
        <v>0</v>
      </c>
      <c r="AJ482" s="1773">
        <f t="shared" si="140"/>
        <v>0</v>
      </c>
      <c r="AK482" s="1773">
        <f t="shared" si="141"/>
        <v>0</v>
      </c>
      <c r="AL482" s="1773">
        <f t="shared" si="142"/>
        <v>7000</v>
      </c>
      <c r="AN482" s="1776"/>
      <c r="AO482" s="1776"/>
      <c r="AP482" s="1776"/>
      <c r="AQ482" s="1776"/>
      <c r="AR482" s="1776"/>
      <c r="AS482" s="1776"/>
      <c r="AT482" s="1776"/>
      <c r="AU482" s="1776"/>
      <c r="AV482" s="1776"/>
      <c r="AW482" s="1776"/>
      <c r="AX482" s="1776"/>
      <c r="AY482" s="1776"/>
      <c r="AZ482" s="1776">
        <v>1</v>
      </c>
    </row>
    <row r="483" spans="1:52" ht="13.5">
      <c r="A483" s="1479" t="s">
        <v>2896</v>
      </c>
      <c r="B483" s="1479" t="s">
        <v>2280</v>
      </c>
      <c r="C483" s="1741" t="s">
        <v>2108</v>
      </c>
      <c r="D483" s="1741">
        <v>2000</v>
      </c>
      <c r="E483" s="1741">
        <v>210</v>
      </c>
      <c r="F483" s="1741" t="s">
        <v>684</v>
      </c>
      <c r="G483" s="1741" t="s">
        <v>684</v>
      </c>
      <c r="H483" s="1741" t="s">
        <v>1658</v>
      </c>
      <c r="I483" s="1753" t="s">
        <v>3003</v>
      </c>
      <c r="J483" s="1754" t="s">
        <v>2113</v>
      </c>
      <c r="K483" s="1753" t="s">
        <v>497</v>
      </c>
      <c r="L483" s="1754" t="s">
        <v>1160</v>
      </c>
      <c r="M483" s="1755"/>
      <c r="N483" s="1756">
        <v>6697.8</v>
      </c>
      <c r="O483" s="1757">
        <v>9563.7199999999993</v>
      </c>
      <c r="P483" s="1758">
        <v>10285.06</v>
      </c>
      <c r="Q483" s="1759">
        <v>12000</v>
      </c>
      <c r="R483" s="1760">
        <v>12000</v>
      </c>
      <c r="S483" s="1760">
        <v>22510</v>
      </c>
      <c r="T483" s="1760">
        <v>22510</v>
      </c>
      <c r="U483" s="1761">
        <v>20000</v>
      </c>
      <c r="V483" s="1762">
        <v>12100</v>
      </c>
      <c r="W483" s="1757">
        <v>12200</v>
      </c>
      <c r="Z483" s="1773">
        <f t="shared" si="130"/>
        <v>0</v>
      </c>
      <c r="AA483" s="1773">
        <f t="shared" si="131"/>
        <v>0</v>
      </c>
      <c r="AB483" s="1773">
        <f t="shared" si="132"/>
        <v>0</v>
      </c>
      <c r="AC483" s="1773">
        <f t="shared" si="133"/>
        <v>0</v>
      </c>
      <c r="AD483" s="1773">
        <f t="shared" si="134"/>
        <v>0</v>
      </c>
      <c r="AE483" s="1773">
        <f t="shared" si="135"/>
        <v>0</v>
      </c>
      <c r="AF483" s="1773">
        <f t="shared" si="136"/>
        <v>0</v>
      </c>
      <c r="AG483" s="1773">
        <f t="shared" si="137"/>
        <v>0</v>
      </c>
      <c r="AH483" s="1773">
        <f t="shared" si="138"/>
        <v>0</v>
      </c>
      <c r="AI483" s="1773">
        <f t="shared" si="139"/>
        <v>0</v>
      </c>
      <c r="AJ483" s="1773">
        <f t="shared" si="140"/>
        <v>0</v>
      </c>
      <c r="AK483" s="1773">
        <f t="shared" si="141"/>
        <v>0</v>
      </c>
      <c r="AL483" s="1773">
        <f t="shared" si="142"/>
        <v>20000</v>
      </c>
      <c r="AN483" s="1776"/>
      <c r="AO483" s="1776"/>
      <c r="AP483" s="1776"/>
      <c r="AQ483" s="1776"/>
      <c r="AR483" s="1776"/>
      <c r="AS483" s="1776"/>
      <c r="AT483" s="1776"/>
      <c r="AU483" s="1776"/>
      <c r="AV483" s="1776"/>
      <c r="AW483" s="1776"/>
      <c r="AX483" s="1776"/>
      <c r="AY483" s="1776"/>
      <c r="AZ483" s="1776">
        <v>1</v>
      </c>
    </row>
    <row r="484" spans="1:52" ht="13.5">
      <c r="A484" s="1479" t="s">
        <v>2897</v>
      </c>
      <c r="B484" s="1479" t="s">
        <v>2349</v>
      </c>
      <c r="C484" s="1741" t="s">
        <v>2108</v>
      </c>
      <c r="D484" s="1741">
        <v>2000</v>
      </c>
      <c r="E484" s="1741">
        <v>510</v>
      </c>
      <c r="F484" s="1741" t="s">
        <v>684</v>
      </c>
      <c r="G484" s="1741" t="s">
        <v>684</v>
      </c>
      <c r="H484" s="1741" t="s">
        <v>1658</v>
      </c>
      <c r="I484" s="1753" t="s">
        <v>2114</v>
      </c>
      <c r="J484" s="1754" t="s">
        <v>3018</v>
      </c>
      <c r="K484" s="1753" t="s">
        <v>2114</v>
      </c>
      <c r="L484" s="1754" t="s">
        <v>3018</v>
      </c>
      <c r="M484" s="1755"/>
      <c r="N484" s="1756">
        <v>5117.5</v>
      </c>
      <c r="O484" s="1757">
        <v>8843.4699999999993</v>
      </c>
      <c r="P484" s="1758">
        <v>3538.74</v>
      </c>
      <c r="Q484" s="1759">
        <v>8100</v>
      </c>
      <c r="R484" s="1760">
        <v>8100</v>
      </c>
      <c r="S484" s="1760">
        <v>2792</v>
      </c>
      <c r="T484" s="1760">
        <v>2792</v>
      </c>
      <c r="U484" s="1761">
        <v>8100</v>
      </c>
      <c r="V484" s="1762">
        <v>8200</v>
      </c>
      <c r="W484" s="1757">
        <v>8300</v>
      </c>
      <c r="Z484" s="1773">
        <f t="shared" si="130"/>
        <v>0</v>
      </c>
      <c r="AA484" s="1773">
        <f t="shared" si="131"/>
        <v>0</v>
      </c>
      <c r="AB484" s="1773">
        <f t="shared" si="132"/>
        <v>0</v>
      </c>
      <c r="AC484" s="1773">
        <f t="shared" si="133"/>
        <v>0</v>
      </c>
      <c r="AD484" s="1773">
        <f t="shared" si="134"/>
        <v>0</v>
      </c>
      <c r="AE484" s="1773">
        <f t="shared" si="135"/>
        <v>0</v>
      </c>
      <c r="AF484" s="1773">
        <f t="shared" si="136"/>
        <v>0</v>
      </c>
      <c r="AG484" s="1773">
        <f t="shared" si="137"/>
        <v>0</v>
      </c>
      <c r="AH484" s="1773">
        <f t="shared" si="138"/>
        <v>0</v>
      </c>
      <c r="AI484" s="1773">
        <f t="shared" si="139"/>
        <v>0</v>
      </c>
      <c r="AJ484" s="1773">
        <f t="shared" si="140"/>
        <v>0</v>
      </c>
      <c r="AK484" s="1773">
        <f t="shared" si="141"/>
        <v>0</v>
      </c>
      <c r="AL484" s="1773">
        <f t="shared" si="142"/>
        <v>8100</v>
      </c>
      <c r="AN484" s="1776"/>
      <c r="AO484" s="1776"/>
      <c r="AP484" s="1776"/>
      <c r="AQ484" s="1776"/>
      <c r="AR484" s="1776"/>
      <c r="AS484" s="1776"/>
      <c r="AT484" s="1776"/>
      <c r="AU484" s="1776"/>
      <c r="AV484" s="1776"/>
      <c r="AW484" s="1776"/>
      <c r="AX484" s="1776"/>
      <c r="AY484" s="1776"/>
      <c r="AZ484" s="1776">
        <v>1</v>
      </c>
    </row>
    <row r="485" spans="1:52" ht="13.5">
      <c r="A485" s="1479" t="s">
        <v>2898</v>
      </c>
      <c r="B485" s="1479" t="s">
        <v>2243</v>
      </c>
      <c r="C485" s="1741" t="s">
        <v>2108</v>
      </c>
      <c r="D485" s="1741">
        <v>2000</v>
      </c>
      <c r="E485" s="1741">
        <v>520</v>
      </c>
      <c r="F485" s="1741" t="s">
        <v>684</v>
      </c>
      <c r="G485" s="1741" t="s">
        <v>684</v>
      </c>
      <c r="H485" s="1741" t="s">
        <v>1658</v>
      </c>
      <c r="I485" s="1753" t="s">
        <v>2114</v>
      </c>
      <c r="J485" s="1754" t="s">
        <v>2138</v>
      </c>
      <c r="K485" s="1753" t="s">
        <v>2114</v>
      </c>
      <c r="L485" s="1754" t="s">
        <v>2138</v>
      </c>
      <c r="M485" s="1755"/>
      <c r="N485" s="1756">
        <v>17994.36</v>
      </c>
      <c r="O485" s="1757">
        <v>13838</v>
      </c>
      <c r="P485" s="1758">
        <v>25246.120000000003</v>
      </c>
      <c r="Q485" s="1759">
        <v>18310</v>
      </c>
      <c r="R485" s="1760">
        <v>0</v>
      </c>
      <c r="S485" s="1760">
        <v>0</v>
      </c>
      <c r="T485" s="1760">
        <v>0</v>
      </c>
      <c r="U485" s="1761">
        <v>0</v>
      </c>
      <c r="V485" s="1762">
        <v>21055</v>
      </c>
      <c r="W485" s="1757">
        <v>24215</v>
      </c>
      <c r="Z485" s="1773">
        <f t="shared" si="130"/>
        <v>0</v>
      </c>
      <c r="AA485" s="1773">
        <f t="shared" si="131"/>
        <v>0</v>
      </c>
      <c r="AB485" s="1773">
        <f t="shared" si="132"/>
        <v>0</v>
      </c>
      <c r="AC485" s="1773">
        <f t="shared" si="133"/>
        <v>0</v>
      </c>
      <c r="AD485" s="1773">
        <f t="shared" si="134"/>
        <v>0</v>
      </c>
      <c r="AE485" s="1773">
        <f t="shared" si="135"/>
        <v>0</v>
      </c>
      <c r="AF485" s="1773">
        <f t="shared" si="136"/>
        <v>0</v>
      </c>
      <c r="AG485" s="1773">
        <f t="shared" si="137"/>
        <v>0</v>
      </c>
      <c r="AH485" s="1773">
        <f t="shared" si="138"/>
        <v>0</v>
      </c>
      <c r="AI485" s="1773">
        <f t="shared" si="139"/>
        <v>0</v>
      </c>
      <c r="AJ485" s="1773">
        <f t="shared" si="140"/>
        <v>0</v>
      </c>
      <c r="AK485" s="1773">
        <f t="shared" si="141"/>
        <v>0</v>
      </c>
      <c r="AL485" s="1773">
        <f t="shared" si="142"/>
        <v>0</v>
      </c>
      <c r="AN485" s="1776"/>
      <c r="AO485" s="1776"/>
      <c r="AP485" s="1776"/>
      <c r="AQ485" s="1776"/>
      <c r="AR485" s="1776"/>
      <c r="AS485" s="1776"/>
      <c r="AT485" s="1776"/>
      <c r="AU485" s="1776"/>
      <c r="AV485" s="1776"/>
      <c r="AW485" s="1776"/>
      <c r="AX485" s="1776"/>
      <c r="AY485" s="1776"/>
      <c r="AZ485" s="1776">
        <v>1</v>
      </c>
    </row>
    <row r="486" spans="1:52" ht="13.5">
      <c r="A486" s="1479" t="s">
        <v>2899</v>
      </c>
      <c r="B486" s="1479" t="s">
        <v>2283</v>
      </c>
      <c r="C486" s="1741" t="s">
        <v>2108</v>
      </c>
      <c r="D486" s="1741">
        <v>2000</v>
      </c>
      <c r="E486" s="1741">
        <v>570</v>
      </c>
      <c r="F486" s="1741" t="s">
        <v>684</v>
      </c>
      <c r="G486" s="1741" t="s">
        <v>684</v>
      </c>
      <c r="H486" s="1741" t="s">
        <v>1658</v>
      </c>
      <c r="I486" s="1753" t="s">
        <v>2114</v>
      </c>
      <c r="J486" s="1754" t="s">
        <v>3010</v>
      </c>
      <c r="K486" s="1753" t="s">
        <v>2114</v>
      </c>
      <c r="L486" s="1754" t="s">
        <v>3010</v>
      </c>
      <c r="M486" s="1755"/>
      <c r="N486" s="1756">
        <v>14418.98</v>
      </c>
      <c r="O486" s="1757">
        <v>15094.37</v>
      </c>
      <c r="P486" s="1758">
        <v>5255.32</v>
      </c>
      <c r="Q486" s="1759">
        <v>14250</v>
      </c>
      <c r="R486" s="1760">
        <v>14250</v>
      </c>
      <c r="S486" s="1760">
        <v>2658</v>
      </c>
      <c r="T486" s="1760">
        <v>2658</v>
      </c>
      <c r="U486" s="1761">
        <v>14250</v>
      </c>
      <c r="V486" s="1762">
        <v>14255</v>
      </c>
      <c r="W486" s="1757">
        <v>14260</v>
      </c>
      <c r="Z486" s="1773">
        <f t="shared" si="130"/>
        <v>0</v>
      </c>
      <c r="AA486" s="1773">
        <f t="shared" si="131"/>
        <v>0</v>
      </c>
      <c r="AB486" s="1773">
        <f t="shared" si="132"/>
        <v>0</v>
      </c>
      <c r="AC486" s="1773">
        <f t="shared" si="133"/>
        <v>0</v>
      </c>
      <c r="AD486" s="1773">
        <f t="shared" si="134"/>
        <v>0</v>
      </c>
      <c r="AE486" s="1773">
        <f t="shared" si="135"/>
        <v>0</v>
      </c>
      <c r="AF486" s="1773">
        <f t="shared" si="136"/>
        <v>0</v>
      </c>
      <c r="AG486" s="1773">
        <f t="shared" si="137"/>
        <v>0</v>
      </c>
      <c r="AH486" s="1773">
        <f t="shared" si="138"/>
        <v>0</v>
      </c>
      <c r="AI486" s="1773">
        <f t="shared" si="139"/>
        <v>0</v>
      </c>
      <c r="AJ486" s="1773">
        <f t="shared" si="140"/>
        <v>0</v>
      </c>
      <c r="AK486" s="1773">
        <f t="shared" si="141"/>
        <v>0</v>
      </c>
      <c r="AL486" s="1773">
        <f t="shared" si="142"/>
        <v>14250</v>
      </c>
      <c r="AN486" s="1776"/>
      <c r="AO486" s="1776"/>
      <c r="AP486" s="1776"/>
      <c r="AQ486" s="1776"/>
      <c r="AR486" s="1776"/>
      <c r="AS486" s="1776"/>
      <c r="AT486" s="1776"/>
      <c r="AU486" s="1776"/>
      <c r="AV486" s="1776"/>
      <c r="AW486" s="1776"/>
      <c r="AX486" s="1776"/>
      <c r="AY486" s="1776"/>
      <c r="AZ486" s="1776">
        <v>1</v>
      </c>
    </row>
    <row r="487" spans="1:52" ht="13.5">
      <c r="A487" s="1479" t="s">
        <v>2900</v>
      </c>
      <c r="B487" s="1479" t="s">
        <v>2245</v>
      </c>
      <c r="C487" s="1741" t="s">
        <v>2108</v>
      </c>
      <c r="D487" s="1741">
        <v>2000</v>
      </c>
      <c r="E487" s="1741">
        <v>650</v>
      </c>
      <c r="F487" s="1741" t="s">
        <v>684</v>
      </c>
      <c r="G487" s="1741" t="s">
        <v>684</v>
      </c>
      <c r="H487" s="1741" t="s">
        <v>1658</v>
      </c>
      <c r="I487" s="1753" t="s">
        <v>2114</v>
      </c>
      <c r="J487" s="1754" t="s">
        <v>3006</v>
      </c>
      <c r="K487" s="1753" t="s">
        <v>2114</v>
      </c>
      <c r="L487" s="1754" t="s">
        <v>3006</v>
      </c>
      <c r="M487" s="1755"/>
      <c r="N487" s="1756">
        <v>0</v>
      </c>
      <c r="O487" s="1757">
        <v>21689.7</v>
      </c>
      <c r="P487" s="1758">
        <v>6421.05</v>
      </c>
      <c r="Q487" s="1759">
        <v>10000</v>
      </c>
      <c r="R487" s="1760">
        <v>10000</v>
      </c>
      <c r="S487" s="1760">
        <v>1120</v>
      </c>
      <c r="T487" s="1760">
        <v>1120</v>
      </c>
      <c r="U487" s="1761">
        <v>150000</v>
      </c>
      <c r="V487" s="1762">
        <v>10000</v>
      </c>
      <c r="W487" s="1757">
        <v>10000</v>
      </c>
      <c r="Z487" s="1773">
        <f t="shared" si="130"/>
        <v>0</v>
      </c>
      <c r="AA487" s="1773">
        <f t="shared" si="131"/>
        <v>0</v>
      </c>
      <c r="AB487" s="1773">
        <f t="shared" si="132"/>
        <v>0</v>
      </c>
      <c r="AC487" s="1773">
        <f t="shared" si="133"/>
        <v>0</v>
      </c>
      <c r="AD487" s="1773">
        <f t="shared" si="134"/>
        <v>0</v>
      </c>
      <c r="AE487" s="1773">
        <f t="shared" si="135"/>
        <v>0</v>
      </c>
      <c r="AF487" s="1773">
        <f t="shared" si="136"/>
        <v>0</v>
      </c>
      <c r="AG487" s="1773">
        <f t="shared" si="137"/>
        <v>0</v>
      </c>
      <c r="AH487" s="1773">
        <f t="shared" si="138"/>
        <v>0</v>
      </c>
      <c r="AI487" s="1773">
        <f t="shared" si="139"/>
        <v>0</v>
      </c>
      <c r="AJ487" s="1773">
        <f t="shared" si="140"/>
        <v>0</v>
      </c>
      <c r="AK487" s="1773">
        <f t="shared" si="141"/>
        <v>0</v>
      </c>
      <c r="AL487" s="1773">
        <f t="shared" si="142"/>
        <v>150000</v>
      </c>
      <c r="AN487" s="1776"/>
      <c r="AO487" s="1776"/>
      <c r="AP487" s="1776"/>
      <c r="AQ487" s="1776"/>
      <c r="AR487" s="1776"/>
      <c r="AS487" s="1776"/>
      <c r="AT487" s="1776"/>
      <c r="AU487" s="1776"/>
      <c r="AV487" s="1776"/>
      <c r="AW487" s="1776"/>
      <c r="AX487" s="1776"/>
      <c r="AY487" s="1776"/>
      <c r="AZ487" s="1776">
        <v>1</v>
      </c>
    </row>
    <row r="488" spans="1:52" ht="13.5">
      <c r="A488" s="1479" t="s">
        <v>2901</v>
      </c>
      <c r="B488" s="1479" t="s">
        <v>2288</v>
      </c>
      <c r="C488" s="1741" t="s">
        <v>2108</v>
      </c>
      <c r="D488" s="1741">
        <v>2000</v>
      </c>
      <c r="E488" s="1741">
        <v>690</v>
      </c>
      <c r="F488" s="1741" t="s">
        <v>684</v>
      </c>
      <c r="G488" s="1741" t="s">
        <v>684</v>
      </c>
      <c r="H488" s="1741" t="s">
        <v>1658</v>
      </c>
      <c r="I488" s="1753" t="s">
        <v>2114</v>
      </c>
      <c r="J488" s="1754" t="s">
        <v>2124</v>
      </c>
      <c r="K488" s="1753" t="s">
        <v>2114</v>
      </c>
      <c r="L488" s="1754" t="s">
        <v>2124</v>
      </c>
      <c r="M488" s="1755"/>
      <c r="N488" s="1756">
        <v>77776.91</v>
      </c>
      <c r="O488" s="1757">
        <v>88628.92</v>
      </c>
      <c r="P488" s="1758">
        <v>74343.42</v>
      </c>
      <c r="Q488" s="1759">
        <v>101000</v>
      </c>
      <c r="R488" s="1760">
        <v>101000</v>
      </c>
      <c r="S488" s="1760">
        <v>83878</v>
      </c>
      <c r="T488" s="1760">
        <v>83878</v>
      </c>
      <c r="U488" s="1761">
        <v>100000</v>
      </c>
      <c r="V488" s="1762">
        <v>102000</v>
      </c>
      <c r="W488" s="1757">
        <v>103000</v>
      </c>
      <c r="Z488" s="1773">
        <f t="shared" si="130"/>
        <v>0</v>
      </c>
      <c r="AA488" s="1773">
        <f t="shared" si="131"/>
        <v>0</v>
      </c>
      <c r="AB488" s="1773">
        <f t="shared" si="132"/>
        <v>0</v>
      </c>
      <c r="AC488" s="1773">
        <f t="shared" si="133"/>
        <v>0</v>
      </c>
      <c r="AD488" s="1773">
        <f t="shared" si="134"/>
        <v>0</v>
      </c>
      <c r="AE488" s="1773">
        <f t="shared" si="135"/>
        <v>0</v>
      </c>
      <c r="AF488" s="1773">
        <f t="shared" si="136"/>
        <v>0</v>
      </c>
      <c r="AG488" s="1773">
        <f t="shared" si="137"/>
        <v>0</v>
      </c>
      <c r="AH488" s="1773">
        <f t="shared" si="138"/>
        <v>0</v>
      </c>
      <c r="AI488" s="1773">
        <f t="shared" si="139"/>
        <v>0</v>
      </c>
      <c r="AJ488" s="1773">
        <f t="shared" si="140"/>
        <v>0</v>
      </c>
      <c r="AK488" s="1773">
        <f t="shared" si="141"/>
        <v>0</v>
      </c>
      <c r="AL488" s="1773">
        <f t="shared" si="142"/>
        <v>100000</v>
      </c>
      <c r="AN488" s="1776"/>
      <c r="AO488" s="1776"/>
      <c r="AP488" s="1776"/>
      <c r="AQ488" s="1776"/>
      <c r="AR488" s="1776"/>
      <c r="AS488" s="1776"/>
      <c r="AT488" s="1776"/>
      <c r="AU488" s="1776"/>
      <c r="AV488" s="1776"/>
      <c r="AW488" s="1776"/>
      <c r="AX488" s="1776"/>
      <c r="AY488" s="1776"/>
      <c r="AZ488" s="1776">
        <v>1</v>
      </c>
    </row>
    <row r="489" spans="1:52" ht="13.5">
      <c r="A489" s="1479" t="s">
        <v>2902</v>
      </c>
      <c r="B489" s="1479" t="s">
        <v>2290</v>
      </c>
      <c r="C489" s="1741" t="s">
        <v>2108</v>
      </c>
      <c r="D489" s="1741">
        <v>2000</v>
      </c>
      <c r="E489" s="1741">
        <v>700</v>
      </c>
      <c r="F489" s="1741" t="s">
        <v>684</v>
      </c>
      <c r="G489" s="1741" t="s">
        <v>684</v>
      </c>
      <c r="H489" s="1741" t="s">
        <v>1658</v>
      </c>
      <c r="I489" s="1753" t="s">
        <v>2114</v>
      </c>
      <c r="J489" s="1754" t="s">
        <v>3011</v>
      </c>
      <c r="K489" s="1753" t="s">
        <v>2114</v>
      </c>
      <c r="L489" s="1754" t="s">
        <v>3011</v>
      </c>
      <c r="M489" s="1755"/>
      <c r="N489" s="1756">
        <v>3679.84</v>
      </c>
      <c r="O489" s="1757">
        <v>3771.93</v>
      </c>
      <c r="P489" s="1758">
        <v>3087.63</v>
      </c>
      <c r="Q489" s="1759">
        <v>10000</v>
      </c>
      <c r="R489" s="1760">
        <v>10000</v>
      </c>
      <c r="S489" s="1760">
        <v>1120</v>
      </c>
      <c r="T489" s="1760">
        <v>1120</v>
      </c>
      <c r="U489" s="1761">
        <v>10000</v>
      </c>
      <c r="V489" s="1762">
        <v>10000</v>
      </c>
      <c r="W489" s="1757">
        <v>10000</v>
      </c>
      <c r="Z489" s="1773">
        <f t="shared" si="130"/>
        <v>0</v>
      </c>
      <c r="AA489" s="1773">
        <f t="shared" si="131"/>
        <v>0</v>
      </c>
      <c r="AB489" s="1773">
        <f t="shared" si="132"/>
        <v>0</v>
      </c>
      <c r="AC489" s="1773">
        <f t="shared" si="133"/>
        <v>0</v>
      </c>
      <c r="AD489" s="1773">
        <f t="shared" si="134"/>
        <v>0</v>
      </c>
      <c r="AE489" s="1773">
        <f t="shared" si="135"/>
        <v>0</v>
      </c>
      <c r="AF489" s="1773">
        <f t="shared" si="136"/>
        <v>0</v>
      </c>
      <c r="AG489" s="1773">
        <f t="shared" si="137"/>
        <v>0</v>
      </c>
      <c r="AH489" s="1773">
        <f t="shared" si="138"/>
        <v>0</v>
      </c>
      <c r="AI489" s="1773">
        <f t="shared" si="139"/>
        <v>0</v>
      </c>
      <c r="AJ489" s="1773">
        <f t="shared" si="140"/>
        <v>0</v>
      </c>
      <c r="AK489" s="1773">
        <f t="shared" si="141"/>
        <v>0</v>
      </c>
      <c r="AL489" s="1773">
        <f t="shared" si="142"/>
        <v>10000</v>
      </c>
      <c r="AN489" s="1776"/>
      <c r="AO489" s="1776"/>
      <c r="AP489" s="1776"/>
      <c r="AQ489" s="1776"/>
      <c r="AR489" s="1776"/>
      <c r="AS489" s="1776"/>
      <c r="AT489" s="1776"/>
      <c r="AU489" s="1776"/>
      <c r="AV489" s="1776"/>
      <c r="AW489" s="1776"/>
      <c r="AX489" s="1776"/>
      <c r="AY489" s="1776"/>
      <c r="AZ489" s="1776">
        <v>1</v>
      </c>
    </row>
    <row r="490" spans="1:52">
      <c r="A490" s="1479" t="s">
        <v>2903</v>
      </c>
      <c r="B490" s="1479" t="s">
        <v>2292</v>
      </c>
      <c r="C490" s="1741" t="s">
        <v>2108</v>
      </c>
      <c r="D490" s="1741">
        <v>2000</v>
      </c>
      <c r="E490" s="1741">
        <v>710</v>
      </c>
      <c r="F490" s="1741" t="s">
        <v>684</v>
      </c>
      <c r="G490" s="1741" t="s">
        <v>684</v>
      </c>
      <c r="H490" s="1741" t="s">
        <v>1658</v>
      </c>
      <c r="I490" s="1753" t="s">
        <v>2114</v>
      </c>
      <c r="J490" s="1754"/>
      <c r="K490" s="1753" t="s">
        <v>2114</v>
      </c>
      <c r="L490" s="1754" t="s">
        <v>502</v>
      </c>
      <c r="M490" s="1754"/>
      <c r="N490" s="1756">
        <v>2154.5500000000002</v>
      </c>
      <c r="O490" s="1757">
        <v>3167.25</v>
      </c>
      <c r="P490" s="1758">
        <v>2871.75</v>
      </c>
      <c r="Q490" s="1759">
        <v>3100</v>
      </c>
      <c r="R490" s="1760">
        <v>3100</v>
      </c>
      <c r="S490" s="1760">
        <v>3967</v>
      </c>
      <c r="T490" s="1760">
        <v>3967</v>
      </c>
      <c r="U490" s="1761">
        <v>3000</v>
      </c>
      <c r="V490" s="1762">
        <v>3200</v>
      </c>
      <c r="W490" s="1757">
        <v>3300</v>
      </c>
      <c r="Z490" s="1773">
        <f t="shared" si="130"/>
        <v>0</v>
      </c>
      <c r="AA490" s="1773">
        <f t="shared" si="131"/>
        <v>0</v>
      </c>
      <c r="AB490" s="1773">
        <f t="shared" si="132"/>
        <v>0</v>
      </c>
      <c r="AC490" s="1773">
        <f t="shared" si="133"/>
        <v>0</v>
      </c>
      <c r="AD490" s="1773">
        <f t="shared" si="134"/>
        <v>0</v>
      </c>
      <c r="AE490" s="1773">
        <f t="shared" si="135"/>
        <v>0</v>
      </c>
      <c r="AF490" s="1773">
        <f t="shared" si="136"/>
        <v>0</v>
      </c>
      <c r="AG490" s="1773">
        <f t="shared" si="137"/>
        <v>0</v>
      </c>
      <c r="AH490" s="1773">
        <f t="shared" si="138"/>
        <v>0</v>
      </c>
      <c r="AI490" s="1773">
        <f t="shared" si="139"/>
        <v>0</v>
      </c>
      <c r="AJ490" s="1773">
        <f t="shared" si="140"/>
        <v>0</v>
      </c>
      <c r="AK490" s="1773">
        <f t="shared" si="141"/>
        <v>0</v>
      </c>
      <c r="AL490" s="1773">
        <f t="shared" si="142"/>
        <v>3000</v>
      </c>
      <c r="AN490" s="1776"/>
      <c r="AO490" s="1776"/>
      <c r="AP490" s="1776"/>
      <c r="AQ490" s="1776"/>
      <c r="AR490" s="1776"/>
      <c r="AS490" s="1776"/>
      <c r="AT490" s="1776"/>
      <c r="AU490" s="1776"/>
      <c r="AV490" s="1776"/>
      <c r="AW490" s="1776"/>
      <c r="AX490" s="1776"/>
      <c r="AY490" s="1776"/>
      <c r="AZ490" s="1776">
        <v>1</v>
      </c>
    </row>
    <row r="491" spans="1:52">
      <c r="A491" s="1479" t="s">
        <v>2904</v>
      </c>
      <c r="B491" s="1479" t="s">
        <v>2247</v>
      </c>
      <c r="C491" s="1741" t="s">
        <v>2108</v>
      </c>
      <c r="D491" s="1741">
        <v>2000</v>
      </c>
      <c r="E491" s="1741">
        <v>790</v>
      </c>
      <c r="F491" s="1741" t="s">
        <v>684</v>
      </c>
      <c r="G491" s="1741" t="s">
        <v>684</v>
      </c>
      <c r="H491" s="1741" t="s">
        <v>1658</v>
      </c>
      <c r="I491" s="1753" t="s">
        <v>2114</v>
      </c>
      <c r="J491" s="1754" t="s">
        <v>3007</v>
      </c>
      <c r="K491" s="1753" t="s">
        <v>2114</v>
      </c>
      <c r="L491" s="1754" t="s">
        <v>3007</v>
      </c>
      <c r="M491" s="1754"/>
      <c r="N491" s="1756">
        <v>9679.99</v>
      </c>
      <c r="O491" s="1757">
        <v>21811.45</v>
      </c>
      <c r="P491" s="1758">
        <v>10372.26</v>
      </c>
      <c r="Q491" s="1759">
        <v>28000</v>
      </c>
      <c r="R491" s="1760">
        <v>28000</v>
      </c>
      <c r="S491" s="1760">
        <v>12369</v>
      </c>
      <c r="T491" s="1760">
        <v>12369</v>
      </c>
      <c r="U491" s="1761">
        <v>50000</v>
      </c>
      <c r="V491" s="1762">
        <v>55000</v>
      </c>
      <c r="W491" s="1757">
        <v>60000</v>
      </c>
      <c r="Z491" s="1773">
        <f t="shared" si="130"/>
        <v>0</v>
      </c>
      <c r="AA491" s="1773">
        <f t="shared" si="131"/>
        <v>0</v>
      </c>
      <c r="AB491" s="1773">
        <f t="shared" si="132"/>
        <v>0</v>
      </c>
      <c r="AC491" s="1773">
        <f t="shared" si="133"/>
        <v>0</v>
      </c>
      <c r="AD491" s="1773">
        <f t="shared" si="134"/>
        <v>0</v>
      </c>
      <c r="AE491" s="1773">
        <f t="shared" si="135"/>
        <v>0</v>
      </c>
      <c r="AF491" s="1773">
        <f t="shared" si="136"/>
        <v>0</v>
      </c>
      <c r="AG491" s="1773">
        <f t="shared" si="137"/>
        <v>0</v>
      </c>
      <c r="AH491" s="1773">
        <f t="shared" si="138"/>
        <v>0</v>
      </c>
      <c r="AI491" s="1773">
        <f t="shared" si="139"/>
        <v>0</v>
      </c>
      <c r="AJ491" s="1773">
        <f t="shared" si="140"/>
        <v>0</v>
      </c>
      <c r="AK491" s="1773">
        <f t="shared" si="141"/>
        <v>0</v>
      </c>
      <c r="AL491" s="1773">
        <f t="shared" si="142"/>
        <v>50000</v>
      </c>
      <c r="AN491" s="1776"/>
      <c r="AO491" s="1776"/>
      <c r="AP491" s="1776"/>
      <c r="AQ491" s="1776"/>
      <c r="AR491" s="1776"/>
      <c r="AS491" s="1776"/>
      <c r="AT491" s="1776"/>
      <c r="AU491" s="1776"/>
      <c r="AV491" s="1776"/>
      <c r="AW491" s="1776"/>
      <c r="AX491" s="1776"/>
      <c r="AY491" s="1776"/>
      <c r="AZ491" s="1776">
        <v>1</v>
      </c>
    </row>
    <row r="492" spans="1:52">
      <c r="A492" s="1479" t="s">
        <v>2905</v>
      </c>
      <c r="B492" s="1479" t="s">
        <v>2906</v>
      </c>
      <c r="C492" s="1741" t="s">
        <v>2108</v>
      </c>
      <c r="D492" s="1741">
        <v>2000</v>
      </c>
      <c r="E492" s="1741">
        <v>890</v>
      </c>
      <c r="F492" s="1741" t="s">
        <v>684</v>
      </c>
      <c r="G492" s="1741" t="s">
        <v>684</v>
      </c>
      <c r="H492" s="1741" t="s">
        <v>1658</v>
      </c>
      <c r="I492" s="1753" t="s">
        <v>2114</v>
      </c>
      <c r="J492" s="1754"/>
      <c r="K492" s="1753" t="s">
        <v>2114</v>
      </c>
      <c r="L492" s="1754" t="s">
        <v>502</v>
      </c>
      <c r="M492" s="1754"/>
      <c r="N492" s="1756">
        <v>5232.3</v>
      </c>
      <c r="O492" s="1757">
        <v>10000</v>
      </c>
      <c r="P492" s="1758">
        <v>0</v>
      </c>
      <c r="Q492" s="1759">
        <v>1000</v>
      </c>
      <c r="R492" s="1760">
        <v>0</v>
      </c>
      <c r="S492" s="1760">
        <v>0</v>
      </c>
      <c r="T492" s="1760">
        <v>0</v>
      </c>
      <c r="U492" s="1761">
        <v>50000</v>
      </c>
      <c r="V492" s="1762">
        <v>1000</v>
      </c>
      <c r="W492" s="1757">
        <v>1000</v>
      </c>
      <c r="Z492" s="1773">
        <f t="shared" si="130"/>
        <v>0</v>
      </c>
      <c r="AA492" s="1773">
        <f t="shared" si="131"/>
        <v>0</v>
      </c>
      <c r="AB492" s="1773">
        <f t="shared" si="132"/>
        <v>0</v>
      </c>
      <c r="AC492" s="1773">
        <f t="shared" si="133"/>
        <v>0</v>
      </c>
      <c r="AD492" s="1773">
        <f t="shared" si="134"/>
        <v>0</v>
      </c>
      <c r="AE492" s="1773">
        <f t="shared" si="135"/>
        <v>0</v>
      </c>
      <c r="AF492" s="1773">
        <f t="shared" si="136"/>
        <v>0</v>
      </c>
      <c r="AG492" s="1773">
        <f t="shared" si="137"/>
        <v>0</v>
      </c>
      <c r="AH492" s="1773">
        <f t="shared" si="138"/>
        <v>0</v>
      </c>
      <c r="AI492" s="1773">
        <f t="shared" si="139"/>
        <v>0</v>
      </c>
      <c r="AJ492" s="1773">
        <f t="shared" si="140"/>
        <v>0</v>
      </c>
      <c r="AK492" s="1773">
        <f t="shared" si="141"/>
        <v>0</v>
      </c>
      <c r="AL492" s="1773">
        <f t="shared" si="142"/>
        <v>50000</v>
      </c>
      <c r="AN492" s="1776"/>
      <c r="AO492" s="1776"/>
      <c r="AP492" s="1776"/>
      <c r="AQ492" s="1776"/>
      <c r="AR492" s="1776"/>
      <c r="AS492" s="1776"/>
      <c r="AT492" s="1776"/>
      <c r="AU492" s="1776"/>
      <c r="AV492" s="1776"/>
      <c r="AW492" s="1776"/>
      <c r="AX492" s="1776"/>
      <c r="AY492" s="1776"/>
      <c r="AZ492" s="1776">
        <v>1</v>
      </c>
    </row>
    <row r="493" spans="1:52">
      <c r="A493" s="1479" t="s">
        <v>2907</v>
      </c>
      <c r="B493" s="1479" t="s">
        <v>2908</v>
      </c>
      <c r="C493" s="1741" t="s">
        <v>2108</v>
      </c>
      <c r="D493" s="1741">
        <v>2000</v>
      </c>
      <c r="E493" s="1741">
        <v>910</v>
      </c>
      <c r="F493" s="1741" t="s">
        <v>684</v>
      </c>
      <c r="G493" s="1741" t="s">
        <v>684</v>
      </c>
      <c r="H493" s="1741" t="s">
        <v>1658</v>
      </c>
      <c r="I493" s="1753" t="s">
        <v>464</v>
      </c>
      <c r="J493" s="1754"/>
      <c r="K493" s="1753" t="s">
        <v>2114</v>
      </c>
      <c r="L493" s="1754" t="s">
        <v>3029</v>
      </c>
      <c r="M493" s="1754"/>
      <c r="N493" s="1756">
        <v>0</v>
      </c>
      <c r="O493" s="1757">
        <v>7465</v>
      </c>
      <c r="P493" s="1758">
        <v>1389.77</v>
      </c>
      <c r="Q493" s="1759">
        <v>5000</v>
      </c>
      <c r="R493" s="1760">
        <v>5000</v>
      </c>
      <c r="S493" s="1760">
        <v>560</v>
      </c>
      <c r="T493" s="1760">
        <v>560</v>
      </c>
      <c r="U493" s="1761">
        <v>30000</v>
      </c>
      <c r="V493" s="1762">
        <v>5000</v>
      </c>
      <c r="W493" s="1757">
        <v>5000</v>
      </c>
      <c r="Z493" s="1773">
        <f t="shared" si="130"/>
        <v>0</v>
      </c>
      <c r="AA493" s="1773">
        <f t="shared" si="131"/>
        <v>0</v>
      </c>
      <c r="AB493" s="1773">
        <f t="shared" si="132"/>
        <v>0</v>
      </c>
      <c r="AC493" s="1773">
        <f t="shared" si="133"/>
        <v>0</v>
      </c>
      <c r="AD493" s="1773">
        <f t="shared" si="134"/>
        <v>0</v>
      </c>
      <c r="AE493" s="1773">
        <f t="shared" si="135"/>
        <v>0</v>
      </c>
      <c r="AF493" s="1773">
        <f t="shared" si="136"/>
        <v>0</v>
      </c>
      <c r="AG493" s="1773">
        <f t="shared" si="137"/>
        <v>0</v>
      </c>
      <c r="AH493" s="1773">
        <f t="shared" si="138"/>
        <v>0</v>
      </c>
      <c r="AI493" s="1773">
        <f t="shared" si="139"/>
        <v>0</v>
      </c>
      <c r="AJ493" s="1773">
        <f t="shared" si="140"/>
        <v>0</v>
      </c>
      <c r="AK493" s="1773">
        <f t="shared" si="141"/>
        <v>0</v>
      </c>
      <c r="AL493" s="1773">
        <f t="shared" si="142"/>
        <v>30000</v>
      </c>
      <c r="AN493" s="1776"/>
      <c r="AO493" s="1776"/>
      <c r="AP493" s="1776"/>
      <c r="AQ493" s="1776"/>
      <c r="AR493" s="1776"/>
      <c r="AS493" s="1776"/>
      <c r="AT493" s="1776"/>
      <c r="AU493" s="1776"/>
      <c r="AV493" s="1776"/>
      <c r="AW493" s="1776"/>
      <c r="AX493" s="1776"/>
      <c r="AY493" s="1776"/>
      <c r="AZ493" s="1776">
        <v>1</v>
      </c>
    </row>
    <row r="494" spans="1:52">
      <c r="A494" s="1479" t="s">
        <v>2909</v>
      </c>
      <c r="B494" s="1479" t="s">
        <v>2295</v>
      </c>
      <c r="C494" s="1741" t="s">
        <v>2108</v>
      </c>
      <c r="D494" s="1741">
        <v>2000</v>
      </c>
      <c r="E494" s="1741">
        <v>1090</v>
      </c>
      <c r="F494" s="1741" t="s">
        <v>684</v>
      </c>
      <c r="G494" s="1741" t="s">
        <v>684</v>
      </c>
      <c r="H494" s="1741" t="s">
        <v>1658</v>
      </c>
      <c r="I494" s="1753" t="s">
        <v>2114</v>
      </c>
      <c r="J494" s="1754" t="s">
        <v>3012</v>
      </c>
      <c r="K494" s="1753" t="s">
        <v>2114</v>
      </c>
      <c r="L494" s="1754" t="s">
        <v>3012</v>
      </c>
      <c r="M494" s="1754"/>
      <c r="N494" s="1756">
        <v>2049.08</v>
      </c>
      <c r="O494" s="1757">
        <v>11364.21</v>
      </c>
      <c r="P494" s="1758">
        <v>57454.92</v>
      </c>
      <c r="Q494" s="1759">
        <v>80000</v>
      </c>
      <c r="R494" s="1760">
        <v>60000</v>
      </c>
      <c r="S494" s="1760">
        <v>49705</v>
      </c>
      <c r="T494" s="1760">
        <v>49705</v>
      </c>
      <c r="U494" s="1761">
        <v>60000</v>
      </c>
      <c r="V494" s="1762">
        <v>81000</v>
      </c>
      <c r="W494" s="1757">
        <v>82000</v>
      </c>
      <c r="Z494" s="1773">
        <f t="shared" si="130"/>
        <v>0</v>
      </c>
      <c r="AA494" s="1773">
        <f t="shared" si="131"/>
        <v>0</v>
      </c>
      <c r="AB494" s="1773">
        <f t="shared" si="132"/>
        <v>0</v>
      </c>
      <c r="AC494" s="1773">
        <f t="shared" si="133"/>
        <v>0</v>
      </c>
      <c r="AD494" s="1773">
        <f t="shared" si="134"/>
        <v>0</v>
      </c>
      <c r="AE494" s="1773">
        <f t="shared" si="135"/>
        <v>0</v>
      </c>
      <c r="AF494" s="1773">
        <f t="shared" si="136"/>
        <v>0</v>
      </c>
      <c r="AG494" s="1773">
        <f t="shared" si="137"/>
        <v>0</v>
      </c>
      <c r="AH494" s="1773">
        <f t="shared" si="138"/>
        <v>0</v>
      </c>
      <c r="AI494" s="1773">
        <f t="shared" si="139"/>
        <v>0</v>
      </c>
      <c r="AJ494" s="1773">
        <f t="shared" si="140"/>
        <v>0</v>
      </c>
      <c r="AK494" s="1773">
        <f t="shared" si="141"/>
        <v>0</v>
      </c>
      <c r="AL494" s="1773">
        <f t="shared" si="142"/>
        <v>60000</v>
      </c>
      <c r="AN494" s="1776"/>
      <c r="AO494" s="1776"/>
      <c r="AP494" s="1776"/>
      <c r="AQ494" s="1776"/>
      <c r="AR494" s="1776"/>
      <c r="AS494" s="1776"/>
      <c r="AT494" s="1776"/>
      <c r="AU494" s="1776"/>
      <c r="AV494" s="1776"/>
      <c r="AW494" s="1776"/>
      <c r="AX494" s="1776"/>
      <c r="AY494" s="1776"/>
      <c r="AZ494" s="1776">
        <v>1</v>
      </c>
    </row>
    <row r="495" spans="1:52">
      <c r="A495" s="1479" t="s">
        <v>2910</v>
      </c>
      <c r="B495" s="1479" t="s">
        <v>2297</v>
      </c>
      <c r="C495" s="1741" t="s">
        <v>2108</v>
      </c>
      <c r="D495" s="1741">
        <v>2000</v>
      </c>
      <c r="E495" s="1741">
        <v>1100</v>
      </c>
      <c r="F495" s="1741" t="s">
        <v>684</v>
      </c>
      <c r="G495" s="1741" t="s">
        <v>684</v>
      </c>
      <c r="H495" s="1741" t="s">
        <v>1658</v>
      </c>
      <c r="I495" s="1753" t="s">
        <v>2114</v>
      </c>
      <c r="J495" s="1754" t="s">
        <v>3012</v>
      </c>
      <c r="K495" s="1753" t="s">
        <v>2114</v>
      </c>
      <c r="L495" s="1754" t="s">
        <v>3012</v>
      </c>
      <c r="M495" s="1754"/>
      <c r="N495" s="1756">
        <v>67402.84</v>
      </c>
      <c r="O495" s="1757">
        <v>59448.51</v>
      </c>
      <c r="P495" s="1758">
        <v>62701.919999999998</v>
      </c>
      <c r="Q495" s="1759">
        <v>82000</v>
      </c>
      <c r="R495" s="1760">
        <v>82000</v>
      </c>
      <c r="S495" s="1760">
        <v>80554</v>
      </c>
      <c r="T495" s="1760">
        <v>80554</v>
      </c>
      <c r="U495" s="1761">
        <v>82000</v>
      </c>
      <c r="V495" s="1762">
        <v>83000</v>
      </c>
      <c r="W495" s="1757">
        <v>84000</v>
      </c>
      <c r="Z495" s="1773">
        <f t="shared" si="130"/>
        <v>0</v>
      </c>
      <c r="AA495" s="1773">
        <f t="shared" si="131"/>
        <v>0</v>
      </c>
      <c r="AB495" s="1773">
        <f t="shared" si="132"/>
        <v>0</v>
      </c>
      <c r="AC495" s="1773">
        <f t="shared" si="133"/>
        <v>0</v>
      </c>
      <c r="AD495" s="1773">
        <f t="shared" si="134"/>
        <v>0</v>
      </c>
      <c r="AE495" s="1773">
        <f t="shared" si="135"/>
        <v>0</v>
      </c>
      <c r="AF495" s="1773">
        <f t="shared" si="136"/>
        <v>0</v>
      </c>
      <c r="AG495" s="1773">
        <f t="shared" si="137"/>
        <v>0</v>
      </c>
      <c r="AH495" s="1773">
        <f t="shared" si="138"/>
        <v>0</v>
      </c>
      <c r="AI495" s="1773">
        <f t="shared" si="139"/>
        <v>0</v>
      </c>
      <c r="AJ495" s="1773">
        <f t="shared" si="140"/>
        <v>0</v>
      </c>
      <c r="AK495" s="1773">
        <f t="shared" si="141"/>
        <v>0</v>
      </c>
      <c r="AL495" s="1773">
        <f t="shared" si="142"/>
        <v>82000</v>
      </c>
      <c r="AN495" s="1776"/>
      <c r="AO495" s="1776"/>
      <c r="AP495" s="1776"/>
      <c r="AQ495" s="1776"/>
      <c r="AR495" s="1776"/>
      <c r="AS495" s="1776"/>
      <c r="AT495" s="1776"/>
      <c r="AU495" s="1776"/>
      <c r="AV495" s="1776"/>
      <c r="AW495" s="1776"/>
      <c r="AX495" s="1776"/>
      <c r="AY495" s="1776"/>
      <c r="AZ495" s="1776">
        <v>1</v>
      </c>
    </row>
    <row r="496" spans="1:52">
      <c r="A496" s="1479" t="s">
        <v>2911</v>
      </c>
      <c r="B496" s="1479" t="s">
        <v>2299</v>
      </c>
      <c r="C496" s="1741" t="s">
        <v>2108</v>
      </c>
      <c r="D496" s="1741">
        <v>2000</v>
      </c>
      <c r="E496" s="1741">
        <v>1110</v>
      </c>
      <c r="F496" s="1741" t="s">
        <v>684</v>
      </c>
      <c r="G496" s="1741" t="s">
        <v>684</v>
      </c>
      <c r="H496" s="1741" t="s">
        <v>1658</v>
      </c>
      <c r="I496" s="1753" t="s">
        <v>2114</v>
      </c>
      <c r="J496" s="1754" t="s">
        <v>3012</v>
      </c>
      <c r="K496" s="1753" t="s">
        <v>2114</v>
      </c>
      <c r="L496" s="1754" t="s">
        <v>3012</v>
      </c>
      <c r="M496" s="1754"/>
      <c r="N496" s="1756">
        <v>5378.03</v>
      </c>
      <c r="O496" s="1757">
        <v>5708.27</v>
      </c>
      <c r="P496" s="1758">
        <v>6081.5</v>
      </c>
      <c r="Q496" s="1759">
        <v>8100</v>
      </c>
      <c r="R496" s="1760">
        <v>8100</v>
      </c>
      <c r="S496" s="1760">
        <v>6646</v>
      </c>
      <c r="T496" s="1760">
        <v>6646</v>
      </c>
      <c r="U496" s="1761">
        <v>8100</v>
      </c>
      <c r="V496" s="1762">
        <v>8200</v>
      </c>
      <c r="W496" s="1757">
        <v>8300</v>
      </c>
      <c r="Z496" s="1773">
        <f t="shared" si="130"/>
        <v>0</v>
      </c>
      <c r="AA496" s="1773">
        <f t="shared" si="131"/>
        <v>0</v>
      </c>
      <c r="AB496" s="1773">
        <f t="shared" si="132"/>
        <v>0</v>
      </c>
      <c r="AC496" s="1773">
        <f t="shared" si="133"/>
        <v>0</v>
      </c>
      <c r="AD496" s="1773">
        <f t="shared" si="134"/>
        <v>0</v>
      </c>
      <c r="AE496" s="1773">
        <f t="shared" si="135"/>
        <v>0</v>
      </c>
      <c r="AF496" s="1773">
        <f t="shared" si="136"/>
        <v>0</v>
      </c>
      <c r="AG496" s="1773">
        <f t="shared" si="137"/>
        <v>0</v>
      </c>
      <c r="AH496" s="1773">
        <f t="shared" si="138"/>
        <v>0</v>
      </c>
      <c r="AI496" s="1773">
        <f t="shared" si="139"/>
        <v>0</v>
      </c>
      <c r="AJ496" s="1773">
        <f t="shared" si="140"/>
        <v>0</v>
      </c>
      <c r="AK496" s="1773">
        <f t="shared" si="141"/>
        <v>0</v>
      </c>
      <c r="AL496" s="1773">
        <f t="shared" si="142"/>
        <v>8100</v>
      </c>
      <c r="AN496" s="1776"/>
      <c r="AO496" s="1776"/>
      <c r="AP496" s="1776"/>
      <c r="AQ496" s="1776"/>
      <c r="AR496" s="1776"/>
      <c r="AS496" s="1776"/>
      <c r="AT496" s="1776"/>
      <c r="AU496" s="1776"/>
      <c r="AV496" s="1776"/>
      <c r="AW496" s="1776"/>
      <c r="AX496" s="1776"/>
      <c r="AY496" s="1776"/>
      <c r="AZ496" s="1776">
        <v>1</v>
      </c>
    </row>
    <row r="497" spans="1:52">
      <c r="A497" s="1479" t="s">
        <v>2912</v>
      </c>
      <c r="B497" s="1479" t="s">
        <v>2301</v>
      </c>
      <c r="C497" s="1741" t="s">
        <v>2108</v>
      </c>
      <c r="D497" s="1741">
        <v>2000</v>
      </c>
      <c r="E497" s="1741">
        <v>1120</v>
      </c>
      <c r="F497" s="1741" t="s">
        <v>684</v>
      </c>
      <c r="G497" s="1741" t="s">
        <v>684</v>
      </c>
      <c r="H497" s="1741" t="s">
        <v>1658</v>
      </c>
      <c r="I497" s="1753" t="s">
        <v>2114</v>
      </c>
      <c r="J497" s="1754" t="s">
        <v>3012</v>
      </c>
      <c r="K497" s="1753" t="s">
        <v>2114</v>
      </c>
      <c r="L497" s="1754" t="s">
        <v>3012</v>
      </c>
      <c r="M497" s="1754"/>
      <c r="N497" s="1756">
        <v>4707.42</v>
      </c>
      <c r="O497" s="1757">
        <v>4995.9799999999996</v>
      </c>
      <c r="P497" s="1758">
        <v>5322.8</v>
      </c>
      <c r="Q497" s="1759">
        <v>4990</v>
      </c>
      <c r="R497" s="1760">
        <v>4990</v>
      </c>
      <c r="S497" s="1760">
        <v>5581</v>
      </c>
      <c r="T497" s="1760">
        <v>5581</v>
      </c>
      <c r="U497" s="1761">
        <v>5000</v>
      </c>
      <c r="V497" s="1762">
        <v>5000</v>
      </c>
      <c r="W497" s="1757">
        <v>5005</v>
      </c>
      <c r="Z497" s="1773">
        <f t="shared" si="130"/>
        <v>0</v>
      </c>
      <c r="AA497" s="1773">
        <f t="shared" si="131"/>
        <v>0</v>
      </c>
      <c r="AB497" s="1773">
        <f t="shared" si="132"/>
        <v>0</v>
      </c>
      <c r="AC497" s="1773">
        <f t="shared" si="133"/>
        <v>0</v>
      </c>
      <c r="AD497" s="1773">
        <f t="shared" si="134"/>
        <v>0</v>
      </c>
      <c r="AE497" s="1773">
        <f t="shared" si="135"/>
        <v>0</v>
      </c>
      <c r="AF497" s="1773">
        <f t="shared" si="136"/>
        <v>0</v>
      </c>
      <c r="AG497" s="1773">
        <f t="shared" si="137"/>
        <v>0</v>
      </c>
      <c r="AH497" s="1773">
        <f t="shared" si="138"/>
        <v>0</v>
      </c>
      <c r="AI497" s="1773">
        <f t="shared" si="139"/>
        <v>0</v>
      </c>
      <c r="AJ497" s="1773">
        <f t="shared" si="140"/>
        <v>0</v>
      </c>
      <c r="AK497" s="1773">
        <f t="shared" si="141"/>
        <v>0</v>
      </c>
      <c r="AL497" s="1773">
        <f t="shared" si="142"/>
        <v>5000</v>
      </c>
      <c r="AN497" s="1776"/>
      <c r="AO497" s="1776"/>
      <c r="AP497" s="1776"/>
      <c r="AQ497" s="1776"/>
      <c r="AR497" s="1776"/>
      <c r="AS497" s="1776"/>
      <c r="AT497" s="1776"/>
      <c r="AU497" s="1776"/>
      <c r="AV497" s="1776"/>
      <c r="AW497" s="1776"/>
      <c r="AX497" s="1776"/>
      <c r="AY497" s="1776"/>
      <c r="AZ497" s="1776">
        <v>1</v>
      </c>
    </row>
    <row r="498" spans="1:52">
      <c r="A498" t="s">
        <v>2913</v>
      </c>
      <c r="B498" t="s">
        <v>2305</v>
      </c>
      <c r="C498" s="1741" t="s">
        <v>2108</v>
      </c>
      <c r="D498" s="1741">
        <v>2000</v>
      </c>
      <c r="E498" s="1741">
        <v>1310</v>
      </c>
      <c r="F498" s="1741" t="s">
        <v>684</v>
      </c>
      <c r="G498" s="1741" t="s">
        <v>684</v>
      </c>
      <c r="H498" s="1741" t="s">
        <v>1658</v>
      </c>
      <c r="I498" s="1753" t="s">
        <v>3013</v>
      </c>
      <c r="J498" s="1754"/>
      <c r="K498" s="1754" t="s">
        <v>420</v>
      </c>
      <c r="L498" s="1754" t="s">
        <v>420</v>
      </c>
      <c r="M498" s="1754"/>
      <c r="N498" s="1756"/>
      <c r="O498" s="1757"/>
      <c r="P498" s="1758"/>
      <c r="Q498" s="1759">
        <v>3000</v>
      </c>
      <c r="R498" s="1760">
        <v>3000</v>
      </c>
      <c r="S498" s="1760">
        <v>336</v>
      </c>
      <c r="T498" s="1760">
        <v>336</v>
      </c>
      <c r="U498" s="1761">
        <v>0</v>
      </c>
      <c r="V498" s="1762">
        <v>3000</v>
      </c>
      <c r="W498" s="1757">
        <v>3000</v>
      </c>
      <c r="Z498" s="1773">
        <f t="shared" si="130"/>
        <v>0</v>
      </c>
      <c r="AA498" s="1773">
        <f t="shared" si="131"/>
        <v>0</v>
      </c>
      <c r="AB498" s="1773">
        <f t="shared" si="132"/>
        <v>0</v>
      </c>
      <c r="AC498" s="1773">
        <f t="shared" si="133"/>
        <v>0</v>
      </c>
      <c r="AD498" s="1773">
        <f t="shared" si="134"/>
        <v>0</v>
      </c>
      <c r="AE498" s="1773">
        <f t="shared" si="135"/>
        <v>0</v>
      </c>
      <c r="AF498" s="1773">
        <f t="shared" si="136"/>
        <v>0</v>
      </c>
      <c r="AG498" s="1773">
        <f t="shared" si="137"/>
        <v>0</v>
      </c>
      <c r="AH498" s="1773">
        <f t="shared" si="138"/>
        <v>0</v>
      </c>
      <c r="AI498" s="1773">
        <f t="shared" si="139"/>
        <v>0</v>
      </c>
      <c r="AJ498" s="1773">
        <f t="shared" si="140"/>
        <v>0</v>
      </c>
      <c r="AK498" s="1773">
        <f t="shared" si="141"/>
        <v>0</v>
      </c>
      <c r="AL498" s="1773">
        <f t="shared" si="142"/>
        <v>0</v>
      </c>
      <c r="AN498" s="1776"/>
      <c r="AO498" s="1776"/>
      <c r="AP498" s="1776"/>
      <c r="AQ498" s="1776"/>
      <c r="AR498" s="1776"/>
      <c r="AS498" s="1776"/>
      <c r="AT498" s="1776"/>
      <c r="AU498" s="1776"/>
      <c r="AV498" s="1776"/>
      <c r="AW498" s="1776"/>
      <c r="AX498" s="1776"/>
      <c r="AY498" s="1776"/>
      <c r="AZ498" s="1776">
        <v>1</v>
      </c>
    </row>
    <row r="499" spans="1:52" ht="13.5">
      <c r="A499" s="1479" t="s">
        <v>2914</v>
      </c>
      <c r="B499" s="1479" t="s">
        <v>2915</v>
      </c>
      <c r="C499" s="1741" t="s">
        <v>2108</v>
      </c>
      <c r="D499" s="1741">
        <v>2000</v>
      </c>
      <c r="E499" s="1741">
        <v>1350</v>
      </c>
      <c r="F499" s="1741" t="s">
        <v>684</v>
      </c>
      <c r="G499" s="1741" t="s">
        <v>684</v>
      </c>
      <c r="H499" s="1741" t="s">
        <v>1658</v>
      </c>
      <c r="I499" s="1753" t="s">
        <v>3026</v>
      </c>
      <c r="J499" s="1754" t="s">
        <v>2126</v>
      </c>
      <c r="K499" s="1754" t="s">
        <v>838</v>
      </c>
      <c r="L499" s="1754" t="s">
        <v>838</v>
      </c>
      <c r="M499" s="240"/>
      <c r="N499" s="1756">
        <v>157337.38</v>
      </c>
      <c r="O499" s="1757">
        <v>272416.40000000002</v>
      </c>
      <c r="P499" s="1758">
        <v>266343</v>
      </c>
      <c r="Q499" s="1759">
        <v>364790</v>
      </c>
      <c r="R499" s="1760">
        <v>364790</v>
      </c>
      <c r="S499" s="1760">
        <v>441064</v>
      </c>
      <c r="T499" s="1760">
        <v>441064</v>
      </c>
      <c r="U499" s="1761">
        <v>475820.22</v>
      </c>
      <c r="V499" s="1762">
        <f>U499*106%</f>
        <v>504369.43319999997</v>
      </c>
      <c r="W499" s="1757">
        <f>V499*106%</f>
        <v>534631.59919199999</v>
      </c>
      <c r="Z499" s="1773">
        <f t="shared" si="130"/>
        <v>0</v>
      </c>
      <c r="AA499" s="1773">
        <f t="shared" si="131"/>
        <v>0</v>
      </c>
      <c r="AB499" s="1773">
        <f t="shared" si="132"/>
        <v>0</v>
      </c>
      <c r="AC499" s="1773">
        <f t="shared" si="133"/>
        <v>0</v>
      </c>
      <c r="AD499" s="1773">
        <f t="shared" si="134"/>
        <v>0</v>
      </c>
      <c r="AE499" s="1773">
        <f t="shared" si="135"/>
        <v>0</v>
      </c>
      <c r="AF499" s="1773">
        <f t="shared" si="136"/>
        <v>0</v>
      </c>
      <c r="AG499" s="1773">
        <f t="shared" si="137"/>
        <v>0</v>
      </c>
      <c r="AH499" s="1773">
        <f t="shared" si="138"/>
        <v>0</v>
      </c>
      <c r="AI499" s="1773">
        <f t="shared" si="139"/>
        <v>0</v>
      </c>
      <c r="AJ499" s="1773">
        <f t="shared" si="140"/>
        <v>0</v>
      </c>
      <c r="AK499" s="1773">
        <f t="shared" si="141"/>
        <v>0</v>
      </c>
      <c r="AL499" s="1773">
        <f t="shared" si="142"/>
        <v>475820.22</v>
      </c>
      <c r="AN499" s="1776"/>
      <c r="AO499" s="1776"/>
      <c r="AP499" s="1776"/>
      <c r="AQ499" s="1776"/>
      <c r="AR499" s="1776"/>
      <c r="AS499" s="1776"/>
      <c r="AT499" s="1776"/>
      <c r="AU499" s="1776"/>
      <c r="AV499" s="1776"/>
      <c r="AW499" s="1776"/>
      <c r="AX499" s="1776"/>
      <c r="AY499" s="1774"/>
      <c r="AZ499" s="1776">
        <v>1</v>
      </c>
    </row>
    <row r="500" spans="1:52">
      <c r="A500" s="1479" t="s">
        <v>2916</v>
      </c>
      <c r="B500" s="1479" t="s">
        <v>2249</v>
      </c>
      <c r="C500" s="1741" t="s">
        <v>2108</v>
      </c>
      <c r="D500" s="1741">
        <v>2000</v>
      </c>
      <c r="E500" s="1741">
        <v>1410</v>
      </c>
      <c r="F500" s="1741" t="s">
        <v>684</v>
      </c>
      <c r="G500" s="1741" t="s">
        <v>684</v>
      </c>
      <c r="H500" s="1741" t="s">
        <v>1658</v>
      </c>
      <c r="I500" s="1753" t="s">
        <v>2114</v>
      </c>
      <c r="J500" s="1754" t="s">
        <v>3008</v>
      </c>
      <c r="K500" s="1753" t="s">
        <v>2114</v>
      </c>
      <c r="L500" s="1754" t="s">
        <v>3008</v>
      </c>
      <c r="M500" s="1754"/>
      <c r="N500" s="1756">
        <v>7671.76</v>
      </c>
      <c r="O500" s="1757">
        <v>16464.57</v>
      </c>
      <c r="P500" s="1758">
        <v>9961.26</v>
      </c>
      <c r="Q500" s="1759">
        <v>25700</v>
      </c>
      <c r="R500" s="1760">
        <v>25700</v>
      </c>
      <c r="S500" s="1760">
        <v>37225</v>
      </c>
      <c r="T500" s="1760">
        <v>37225</v>
      </c>
      <c r="U500" s="1761">
        <v>45000</v>
      </c>
      <c r="V500" s="1762">
        <v>26700</v>
      </c>
      <c r="W500" s="1757">
        <v>28250</v>
      </c>
      <c r="Z500" s="1773">
        <f t="shared" si="130"/>
        <v>0</v>
      </c>
      <c r="AA500" s="1773">
        <f t="shared" si="131"/>
        <v>0</v>
      </c>
      <c r="AB500" s="1773">
        <f t="shared" si="132"/>
        <v>0</v>
      </c>
      <c r="AC500" s="1773">
        <f t="shared" si="133"/>
        <v>0</v>
      </c>
      <c r="AD500" s="1773">
        <f t="shared" si="134"/>
        <v>0</v>
      </c>
      <c r="AE500" s="1773">
        <f t="shared" si="135"/>
        <v>0</v>
      </c>
      <c r="AF500" s="1773">
        <f t="shared" si="136"/>
        <v>0</v>
      </c>
      <c r="AG500" s="1773">
        <f t="shared" si="137"/>
        <v>0</v>
      </c>
      <c r="AH500" s="1773">
        <f t="shared" si="138"/>
        <v>0</v>
      </c>
      <c r="AI500" s="1773">
        <f t="shared" si="139"/>
        <v>0</v>
      </c>
      <c r="AJ500" s="1773">
        <f t="shared" si="140"/>
        <v>0</v>
      </c>
      <c r="AK500" s="1773">
        <f t="shared" si="141"/>
        <v>0</v>
      </c>
      <c r="AL500" s="1773">
        <f t="shared" si="142"/>
        <v>45000</v>
      </c>
      <c r="AN500" s="1776"/>
      <c r="AO500" s="1776"/>
      <c r="AP500" s="1776"/>
      <c r="AQ500" s="1776"/>
      <c r="AR500" s="1776"/>
      <c r="AS500" s="1776"/>
      <c r="AT500" s="1776"/>
      <c r="AU500" s="1776"/>
      <c r="AV500" s="1776"/>
      <c r="AW500" s="1776"/>
      <c r="AX500" s="1776"/>
      <c r="AY500" s="1776"/>
      <c r="AZ500" s="1776">
        <v>1</v>
      </c>
    </row>
    <row r="501" spans="1:52">
      <c r="A501" s="1479" t="s">
        <v>2917</v>
      </c>
      <c r="B501" s="1479" t="s">
        <v>2251</v>
      </c>
      <c r="C501" s="1741" t="s">
        <v>2108</v>
      </c>
      <c r="D501" s="1741">
        <v>2000</v>
      </c>
      <c r="E501" s="1741">
        <v>1440</v>
      </c>
      <c r="F501" s="1741" t="s">
        <v>684</v>
      </c>
      <c r="G501" s="1741" t="s">
        <v>684</v>
      </c>
      <c r="H501" s="1741" t="s">
        <v>1658</v>
      </c>
      <c r="I501" s="1753" t="s">
        <v>2115</v>
      </c>
      <c r="J501" s="1754"/>
      <c r="K501" s="1753" t="s">
        <v>1596</v>
      </c>
      <c r="L501" s="1754" t="s">
        <v>1696</v>
      </c>
      <c r="M501" s="1754"/>
      <c r="N501" s="1756">
        <v>0</v>
      </c>
      <c r="O501" s="1757">
        <v>494380.34723654471</v>
      </c>
      <c r="P501" s="1758">
        <v>614356.14917808212</v>
      </c>
      <c r="Q501" s="1759">
        <v>20000</v>
      </c>
      <c r="R501" s="1760">
        <v>20000</v>
      </c>
      <c r="S501" s="1760">
        <v>2240</v>
      </c>
      <c r="T501" s="1760">
        <v>2240</v>
      </c>
      <c r="U501" s="1761">
        <v>0</v>
      </c>
      <c r="V501" s="1762">
        <v>20000</v>
      </c>
      <c r="W501" s="1757">
        <v>20000</v>
      </c>
      <c r="Z501" s="1773">
        <f t="shared" si="130"/>
        <v>0</v>
      </c>
      <c r="AA501" s="1773">
        <f t="shared" si="131"/>
        <v>0</v>
      </c>
      <c r="AB501" s="1773">
        <f t="shared" si="132"/>
        <v>0</v>
      </c>
      <c r="AC501" s="1773">
        <f t="shared" si="133"/>
        <v>0</v>
      </c>
      <c r="AD501" s="1773">
        <f t="shared" si="134"/>
        <v>0</v>
      </c>
      <c r="AE501" s="1773">
        <f t="shared" si="135"/>
        <v>0</v>
      </c>
      <c r="AF501" s="1773">
        <f t="shared" si="136"/>
        <v>0</v>
      </c>
      <c r="AG501" s="1773">
        <f t="shared" si="137"/>
        <v>0</v>
      </c>
      <c r="AH501" s="1773">
        <f t="shared" si="138"/>
        <v>0</v>
      </c>
      <c r="AI501" s="1773">
        <f t="shared" si="139"/>
        <v>0</v>
      </c>
      <c r="AJ501" s="1773">
        <f t="shared" si="140"/>
        <v>0</v>
      </c>
      <c r="AK501" s="1773">
        <f t="shared" si="141"/>
        <v>0</v>
      </c>
      <c r="AL501" s="1773">
        <f t="shared" si="142"/>
        <v>0</v>
      </c>
      <c r="AN501" s="1776"/>
      <c r="AO501" s="1776"/>
      <c r="AP501" s="1776"/>
      <c r="AQ501" s="1776"/>
      <c r="AR501" s="1776"/>
      <c r="AS501" s="1776"/>
      <c r="AT501" s="1776"/>
      <c r="AU501" s="1776"/>
      <c r="AV501" s="1776"/>
      <c r="AW501" s="1776"/>
      <c r="AX501" s="1776"/>
      <c r="AY501" s="1776"/>
      <c r="AZ501" s="1776">
        <v>1</v>
      </c>
    </row>
    <row r="502" spans="1:52">
      <c r="A502" t="s">
        <v>2918</v>
      </c>
      <c r="B502" t="s">
        <v>2919</v>
      </c>
      <c r="C502" s="1741" t="s">
        <v>2108</v>
      </c>
      <c r="D502" s="1741">
        <v>2000</v>
      </c>
      <c r="E502" s="1741">
        <v>1466</v>
      </c>
      <c r="F502" s="1741" t="s">
        <v>684</v>
      </c>
      <c r="G502" s="1741" t="s">
        <v>684</v>
      </c>
      <c r="H502" s="1741" t="s">
        <v>1658</v>
      </c>
      <c r="I502" s="1753" t="s">
        <v>464</v>
      </c>
      <c r="J502" s="1754"/>
      <c r="K502" s="1753" t="s">
        <v>2114</v>
      </c>
      <c r="L502" s="1754" t="s">
        <v>3029</v>
      </c>
      <c r="M502" s="1754"/>
      <c r="N502" s="1756"/>
      <c r="O502" s="1757"/>
      <c r="P502" s="1758"/>
      <c r="Q502" s="1759">
        <v>100000</v>
      </c>
      <c r="R502" s="1760">
        <v>100000</v>
      </c>
      <c r="S502" s="1760">
        <v>11200</v>
      </c>
      <c r="T502" s="1760">
        <v>11200</v>
      </c>
      <c r="U502" s="1761">
        <v>100000</v>
      </c>
      <c r="V502" s="1762">
        <v>100000</v>
      </c>
      <c r="W502" s="1757">
        <v>100000</v>
      </c>
      <c r="Z502" s="1773">
        <f t="shared" si="130"/>
        <v>0</v>
      </c>
      <c r="AA502" s="1773">
        <f t="shared" si="131"/>
        <v>0</v>
      </c>
      <c r="AB502" s="1773">
        <f t="shared" si="132"/>
        <v>0</v>
      </c>
      <c r="AC502" s="1773">
        <f t="shared" si="133"/>
        <v>0</v>
      </c>
      <c r="AD502" s="1773">
        <f t="shared" si="134"/>
        <v>0</v>
      </c>
      <c r="AE502" s="1773">
        <f t="shared" si="135"/>
        <v>0</v>
      </c>
      <c r="AF502" s="1773">
        <f t="shared" si="136"/>
        <v>0</v>
      </c>
      <c r="AG502" s="1773">
        <f t="shared" si="137"/>
        <v>0</v>
      </c>
      <c r="AH502" s="1773">
        <f t="shared" si="138"/>
        <v>0</v>
      </c>
      <c r="AI502" s="1773">
        <f t="shared" si="139"/>
        <v>0</v>
      </c>
      <c r="AJ502" s="1773">
        <f t="shared" si="140"/>
        <v>0</v>
      </c>
      <c r="AK502" s="1773">
        <f t="shared" si="141"/>
        <v>0</v>
      </c>
      <c r="AL502" s="1773">
        <f t="shared" si="142"/>
        <v>100000</v>
      </c>
      <c r="AN502" s="1776"/>
      <c r="AO502" s="1776"/>
      <c r="AP502" s="1776"/>
      <c r="AQ502" s="1776"/>
      <c r="AR502" s="1776"/>
      <c r="AS502" s="1776"/>
      <c r="AT502" s="1776"/>
      <c r="AU502" s="1776"/>
      <c r="AV502" s="1776"/>
      <c r="AW502" s="1776"/>
      <c r="AX502" s="1776"/>
      <c r="AY502" s="1776"/>
      <c r="AZ502" s="1776">
        <v>1</v>
      </c>
    </row>
    <row r="503" spans="1:52">
      <c r="A503" s="1479" t="s">
        <v>2920</v>
      </c>
      <c r="B503" s="1479" t="s">
        <v>2253</v>
      </c>
      <c r="C503" s="1741" t="s">
        <v>2108</v>
      </c>
      <c r="D503" s="1741">
        <v>2000</v>
      </c>
      <c r="E503" s="1741">
        <v>3510</v>
      </c>
      <c r="F503" s="1741" t="s">
        <v>684</v>
      </c>
      <c r="G503" s="1741" t="s">
        <v>684</v>
      </c>
      <c r="H503" s="1741" t="s">
        <v>1658</v>
      </c>
      <c r="I503" s="1753" t="s">
        <v>464</v>
      </c>
      <c r="J503" s="1754"/>
      <c r="K503" s="1753" t="s">
        <v>2114</v>
      </c>
      <c r="L503" s="1754" t="s">
        <v>3029</v>
      </c>
      <c r="M503" s="1754"/>
      <c r="N503" s="1756">
        <v>228784.34</v>
      </c>
      <c r="O503" s="1757">
        <v>124866.68</v>
      </c>
      <c r="P503" s="1758">
        <v>169581.01</v>
      </c>
      <c r="Q503" s="1759">
        <v>165000</v>
      </c>
      <c r="R503" s="1760">
        <v>300000</v>
      </c>
      <c r="S503" s="1760">
        <v>90369</v>
      </c>
      <c r="T503" s="1760">
        <v>90369</v>
      </c>
      <c r="U503" s="1761">
        <v>1510000</v>
      </c>
      <c r="V503" s="1762">
        <v>1600000</v>
      </c>
      <c r="W503" s="1757">
        <v>1650000</v>
      </c>
      <c r="Z503" s="1773">
        <f t="shared" si="130"/>
        <v>0</v>
      </c>
      <c r="AA503" s="1773">
        <f t="shared" si="131"/>
        <v>0</v>
      </c>
      <c r="AB503" s="1773">
        <f t="shared" si="132"/>
        <v>0</v>
      </c>
      <c r="AC503" s="1773">
        <f t="shared" si="133"/>
        <v>0</v>
      </c>
      <c r="AD503" s="1773">
        <f t="shared" si="134"/>
        <v>0</v>
      </c>
      <c r="AE503" s="1773">
        <f t="shared" si="135"/>
        <v>0</v>
      </c>
      <c r="AF503" s="1773">
        <f t="shared" si="136"/>
        <v>0</v>
      </c>
      <c r="AG503" s="1773">
        <f t="shared" si="137"/>
        <v>0</v>
      </c>
      <c r="AH503" s="1773">
        <f t="shared" si="138"/>
        <v>0</v>
      </c>
      <c r="AI503" s="1773">
        <f t="shared" si="139"/>
        <v>0</v>
      </c>
      <c r="AJ503" s="1773">
        <f t="shared" si="140"/>
        <v>0</v>
      </c>
      <c r="AK503" s="1773">
        <f t="shared" si="141"/>
        <v>0</v>
      </c>
      <c r="AL503" s="1773">
        <f t="shared" si="142"/>
        <v>1510000</v>
      </c>
      <c r="AN503" s="1776"/>
      <c r="AO503" s="1776"/>
      <c r="AP503" s="1776"/>
      <c r="AQ503" s="1776"/>
      <c r="AR503" s="1776"/>
      <c r="AS503" s="1776"/>
      <c r="AT503" s="1776"/>
      <c r="AU503" s="1776"/>
      <c r="AV503" s="1776"/>
      <c r="AW503" s="1776"/>
      <c r="AX503" s="1776"/>
      <c r="AY503" s="1776"/>
      <c r="AZ503" s="1776">
        <v>1</v>
      </c>
    </row>
    <row r="504" spans="1:52">
      <c r="A504" s="1479" t="s">
        <v>2921</v>
      </c>
      <c r="B504" s="1479" t="s">
        <v>2310</v>
      </c>
      <c r="C504" s="1741" t="s">
        <v>2108</v>
      </c>
      <c r="D504" s="1741">
        <v>2000</v>
      </c>
      <c r="E504" s="1741">
        <v>3520</v>
      </c>
      <c r="F504" s="1741" t="s">
        <v>684</v>
      </c>
      <c r="G504" s="1741" t="s">
        <v>684</v>
      </c>
      <c r="H504" s="1741" t="s">
        <v>1658</v>
      </c>
      <c r="I504" s="1753" t="s">
        <v>464</v>
      </c>
      <c r="J504" s="1754"/>
      <c r="K504" s="1753" t="s">
        <v>2114</v>
      </c>
      <c r="L504" s="1754" t="s">
        <v>3029</v>
      </c>
      <c r="M504" s="1754"/>
      <c r="N504" s="1756">
        <v>66798.11</v>
      </c>
      <c r="O504" s="1757">
        <v>48681.57</v>
      </c>
      <c r="P504" s="1758">
        <v>39993.25</v>
      </c>
      <c r="Q504" s="1759">
        <v>60000</v>
      </c>
      <c r="R504" s="1760">
        <v>100000</v>
      </c>
      <c r="S504" s="1760">
        <v>117855</v>
      </c>
      <c r="T504" s="1760">
        <v>117855</v>
      </c>
      <c r="U504" s="1761">
        <v>100000</v>
      </c>
      <c r="V504" s="1762">
        <v>61000</v>
      </c>
      <c r="W504" s="1757">
        <v>62000</v>
      </c>
      <c r="Z504" s="1773">
        <f t="shared" si="130"/>
        <v>0</v>
      </c>
      <c r="AA504" s="1773">
        <f t="shared" si="131"/>
        <v>0</v>
      </c>
      <c r="AB504" s="1773">
        <f t="shared" si="132"/>
        <v>0</v>
      </c>
      <c r="AC504" s="1773">
        <f t="shared" si="133"/>
        <v>0</v>
      </c>
      <c r="AD504" s="1773">
        <f t="shared" si="134"/>
        <v>0</v>
      </c>
      <c r="AE504" s="1773">
        <f t="shared" si="135"/>
        <v>0</v>
      </c>
      <c r="AF504" s="1773">
        <f t="shared" si="136"/>
        <v>0</v>
      </c>
      <c r="AG504" s="1773">
        <f t="shared" si="137"/>
        <v>0</v>
      </c>
      <c r="AH504" s="1773">
        <f t="shared" si="138"/>
        <v>0</v>
      </c>
      <c r="AI504" s="1773">
        <f t="shared" si="139"/>
        <v>0</v>
      </c>
      <c r="AJ504" s="1773">
        <f t="shared" si="140"/>
        <v>0</v>
      </c>
      <c r="AK504" s="1773">
        <f t="shared" si="141"/>
        <v>0</v>
      </c>
      <c r="AL504" s="1773">
        <f t="shared" si="142"/>
        <v>100000</v>
      </c>
      <c r="AN504" s="1776"/>
      <c r="AO504" s="1776"/>
      <c r="AP504" s="1776"/>
      <c r="AQ504" s="1776"/>
      <c r="AR504" s="1776"/>
      <c r="AS504" s="1776"/>
      <c r="AT504" s="1776"/>
      <c r="AU504" s="1776"/>
      <c r="AV504" s="1776"/>
      <c r="AW504" s="1776"/>
      <c r="AX504" s="1776"/>
      <c r="AY504" s="1776"/>
      <c r="AZ504" s="1776">
        <v>1</v>
      </c>
    </row>
    <row r="505" spans="1:52">
      <c r="A505" s="1479" t="s">
        <v>2922</v>
      </c>
      <c r="B505" s="1479" t="s">
        <v>2923</v>
      </c>
      <c r="C505" s="1741" t="s">
        <v>2108</v>
      </c>
      <c r="D505" s="1741">
        <v>2000</v>
      </c>
      <c r="E505" s="1741">
        <v>3550</v>
      </c>
      <c r="F505" s="1741" t="s">
        <v>684</v>
      </c>
      <c r="G505" s="1741" t="s">
        <v>684</v>
      </c>
      <c r="H505" s="1741" t="s">
        <v>1658</v>
      </c>
      <c r="I505" s="1753" t="s">
        <v>464</v>
      </c>
      <c r="J505" s="1754"/>
      <c r="K505" s="1753" t="s">
        <v>2114</v>
      </c>
      <c r="L505" s="1754" t="s">
        <v>3029</v>
      </c>
      <c r="M505" s="1754"/>
      <c r="N505" s="1756">
        <v>6115.05</v>
      </c>
      <c r="O505" s="1757">
        <v>0</v>
      </c>
      <c r="P505" s="1758">
        <v>7894.21</v>
      </c>
      <c r="Q505" s="1759">
        <v>55000</v>
      </c>
      <c r="R505" s="1760">
        <v>55000</v>
      </c>
      <c r="S505" s="1760">
        <v>6160</v>
      </c>
      <c r="T505" s="1760">
        <v>6160</v>
      </c>
      <c r="U505" s="1761">
        <v>60000</v>
      </c>
      <c r="V505" s="1762">
        <v>55000</v>
      </c>
      <c r="W505" s="1757">
        <v>57500</v>
      </c>
      <c r="Z505" s="1773">
        <f t="shared" si="130"/>
        <v>0</v>
      </c>
      <c r="AA505" s="1773">
        <f t="shared" si="131"/>
        <v>0</v>
      </c>
      <c r="AB505" s="1773">
        <f t="shared" si="132"/>
        <v>0</v>
      </c>
      <c r="AC505" s="1773">
        <f t="shared" si="133"/>
        <v>0</v>
      </c>
      <c r="AD505" s="1773">
        <f t="shared" si="134"/>
        <v>0</v>
      </c>
      <c r="AE505" s="1773">
        <f t="shared" si="135"/>
        <v>0</v>
      </c>
      <c r="AF505" s="1773">
        <f t="shared" si="136"/>
        <v>0</v>
      </c>
      <c r="AG505" s="1773">
        <f t="shared" si="137"/>
        <v>0</v>
      </c>
      <c r="AH505" s="1773">
        <f t="shared" si="138"/>
        <v>0</v>
      </c>
      <c r="AI505" s="1773">
        <f t="shared" si="139"/>
        <v>0</v>
      </c>
      <c r="AJ505" s="1773">
        <f t="shared" si="140"/>
        <v>0</v>
      </c>
      <c r="AK505" s="1773">
        <f t="shared" si="141"/>
        <v>0</v>
      </c>
      <c r="AL505" s="1773">
        <f t="shared" si="142"/>
        <v>60000</v>
      </c>
      <c r="AN505" s="1776"/>
      <c r="AO505" s="1776"/>
      <c r="AP505" s="1776"/>
      <c r="AQ505" s="1776"/>
      <c r="AR505" s="1776"/>
      <c r="AS505" s="1776"/>
      <c r="AT505" s="1776"/>
      <c r="AU505" s="1776"/>
      <c r="AV505" s="1776"/>
      <c r="AW505" s="1776"/>
      <c r="AX505" s="1776"/>
      <c r="AY505" s="1776"/>
      <c r="AZ505" s="1776">
        <v>1</v>
      </c>
    </row>
    <row r="506" spans="1:52">
      <c r="A506" s="1479" t="s">
        <v>2924</v>
      </c>
      <c r="B506" s="1479" t="s">
        <v>2925</v>
      </c>
      <c r="C506" s="1741" t="s">
        <v>2108</v>
      </c>
      <c r="D506" s="1741">
        <v>2000</v>
      </c>
      <c r="E506" s="1741">
        <v>3560</v>
      </c>
      <c r="F506" s="1741" t="s">
        <v>684</v>
      </c>
      <c r="G506" s="1741" t="s">
        <v>684</v>
      </c>
      <c r="H506" s="1741" t="s">
        <v>1658</v>
      </c>
      <c r="I506" s="1753" t="s">
        <v>464</v>
      </c>
      <c r="J506" s="1754"/>
      <c r="K506" s="1753" t="s">
        <v>2114</v>
      </c>
      <c r="L506" s="1754" t="s">
        <v>3029</v>
      </c>
      <c r="M506" s="1754"/>
      <c r="N506" s="1756">
        <v>19144</v>
      </c>
      <c r="O506" s="1757">
        <v>0</v>
      </c>
      <c r="P506" s="1758">
        <v>0</v>
      </c>
      <c r="Q506" s="1759">
        <v>0</v>
      </c>
      <c r="R506" s="1760">
        <v>0</v>
      </c>
      <c r="S506" s="1760">
        <v>0</v>
      </c>
      <c r="T506" s="1760">
        <v>0</v>
      </c>
      <c r="U506" s="1761">
        <v>0</v>
      </c>
      <c r="V506" s="1762">
        <v>0</v>
      </c>
      <c r="W506" s="1757">
        <v>0</v>
      </c>
      <c r="Z506" s="1773">
        <f t="shared" si="130"/>
        <v>0</v>
      </c>
      <c r="AA506" s="1773">
        <f t="shared" si="131"/>
        <v>0</v>
      </c>
      <c r="AB506" s="1773">
        <f t="shared" si="132"/>
        <v>0</v>
      </c>
      <c r="AC506" s="1773">
        <f t="shared" si="133"/>
        <v>0</v>
      </c>
      <c r="AD506" s="1773">
        <f t="shared" si="134"/>
        <v>0</v>
      </c>
      <c r="AE506" s="1773">
        <f t="shared" si="135"/>
        <v>0</v>
      </c>
      <c r="AF506" s="1773">
        <f t="shared" si="136"/>
        <v>0</v>
      </c>
      <c r="AG506" s="1773">
        <f t="shared" si="137"/>
        <v>0</v>
      </c>
      <c r="AH506" s="1773">
        <f t="shared" si="138"/>
        <v>0</v>
      </c>
      <c r="AI506" s="1773">
        <f t="shared" si="139"/>
        <v>0</v>
      </c>
      <c r="AJ506" s="1773">
        <f t="shared" si="140"/>
        <v>0</v>
      </c>
      <c r="AK506" s="1773">
        <f t="shared" si="141"/>
        <v>0</v>
      </c>
      <c r="AL506" s="1773">
        <f t="shared" si="142"/>
        <v>0</v>
      </c>
      <c r="AN506" s="1776"/>
      <c r="AO506" s="1776"/>
      <c r="AP506" s="1776"/>
      <c r="AQ506" s="1776"/>
      <c r="AR506" s="1776"/>
      <c r="AS506" s="1776"/>
      <c r="AT506" s="1776"/>
      <c r="AU506" s="1776"/>
      <c r="AV506" s="1776"/>
      <c r="AW506" s="1776"/>
      <c r="AX506" s="1776"/>
      <c r="AY506" s="1776"/>
      <c r="AZ506" s="1776">
        <v>1</v>
      </c>
    </row>
    <row r="507" spans="1:52">
      <c r="A507" t="s">
        <v>2926</v>
      </c>
      <c r="B507" t="s">
        <v>2927</v>
      </c>
      <c r="C507" s="1741" t="s">
        <v>2108</v>
      </c>
      <c r="D507" s="1741">
        <v>2000</v>
      </c>
      <c r="E507" s="1741">
        <v>3601</v>
      </c>
      <c r="F507" s="1741" t="s">
        <v>684</v>
      </c>
      <c r="G507" s="1741" t="s">
        <v>684</v>
      </c>
      <c r="H507" s="1741" t="s">
        <v>1658</v>
      </c>
      <c r="I507" s="1753" t="s">
        <v>464</v>
      </c>
      <c r="J507" s="1754"/>
      <c r="K507" s="1753" t="s">
        <v>2114</v>
      </c>
      <c r="L507" s="1754" t="s">
        <v>3029</v>
      </c>
      <c r="M507" s="1754"/>
      <c r="N507" s="1756"/>
      <c r="O507" s="1757"/>
      <c r="P507" s="1758"/>
      <c r="Q507" s="1759">
        <v>50000</v>
      </c>
      <c r="R507" s="1760">
        <v>50000</v>
      </c>
      <c r="S507" s="1760">
        <v>5600</v>
      </c>
      <c r="T507" s="1760">
        <v>5600</v>
      </c>
      <c r="U507" s="1761">
        <v>200000</v>
      </c>
      <c r="V507" s="1762">
        <v>50000</v>
      </c>
      <c r="W507" s="1757">
        <v>50000</v>
      </c>
      <c r="Z507" s="1773">
        <f t="shared" si="130"/>
        <v>0</v>
      </c>
      <c r="AA507" s="1773">
        <f t="shared" si="131"/>
        <v>0</v>
      </c>
      <c r="AB507" s="1773">
        <f t="shared" si="132"/>
        <v>0</v>
      </c>
      <c r="AC507" s="1773">
        <f t="shared" si="133"/>
        <v>0</v>
      </c>
      <c r="AD507" s="1773">
        <f t="shared" si="134"/>
        <v>0</v>
      </c>
      <c r="AE507" s="1773">
        <f t="shared" si="135"/>
        <v>0</v>
      </c>
      <c r="AF507" s="1773">
        <f t="shared" si="136"/>
        <v>0</v>
      </c>
      <c r="AG507" s="1773">
        <f t="shared" si="137"/>
        <v>0</v>
      </c>
      <c r="AH507" s="1773">
        <f t="shared" si="138"/>
        <v>0</v>
      </c>
      <c r="AI507" s="1773">
        <f t="shared" si="139"/>
        <v>0</v>
      </c>
      <c r="AJ507" s="1773">
        <f t="shared" si="140"/>
        <v>0</v>
      </c>
      <c r="AK507" s="1773">
        <f t="shared" si="141"/>
        <v>0</v>
      </c>
      <c r="AL507" s="1773">
        <f t="shared" si="142"/>
        <v>200000</v>
      </c>
      <c r="AN507" s="1776"/>
      <c r="AO507" s="1776"/>
      <c r="AP507" s="1776"/>
      <c r="AQ507" s="1776"/>
      <c r="AR507" s="1776"/>
      <c r="AS507" s="1776"/>
      <c r="AT507" s="1776"/>
      <c r="AU507" s="1776"/>
      <c r="AV507" s="1776"/>
      <c r="AW507" s="1776"/>
      <c r="AX507" s="1776"/>
      <c r="AY507" s="1776"/>
      <c r="AZ507" s="1776">
        <v>1</v>
      </c>
    </row>
    <row r="508" spans="1:52">
      <c r="A508" s="1479" t="s">
        <v>2928</v>
      </c>
      <c r="B508" s="1479" t="s">
        <v>2929</v>
      </c>
      <c r="C508" s="1741" t="s">
        <v>2108</v>
      </c>
      <c r="D508" s="1741">
        <v>2000</v>
      </c>
      <c r="E508" s="1741">
        <v>4010</v>
      </c>
      <c r="F508" s="1741" t="s">
        <v>684</v>
      </c>
      <c r="G508" s="1741" t="s">
        <v>684</v>
      </c>
      <c r="H508" s="1741" t="s">
        <v>1658</v>
      </c>
      <c r="I508" s="1753" t="s">
        <v>2148</v>
      </c>
      <c r="J508" s="1754" t="s">
        <v>684</v>
      </c>
      <c r="K508" s="1753" t="s">
        <v>500</v>
      </c>
      <c r="L508" s="1754" t="s">
        <v>684</v>
      </c>
      <c r="M508" s="1754"/>
      <c r="N508" s="1756">
        <v>2804715</v>
      </c>
      <c r="O508" s="1757">
        <v>3920739.63</v>
      </c>
      <c r="P508" s="1758">
        <v>5554012.0899999999</v>
      </c>
      <c r="Q508" s="1759">
        <v>7129415</v>
      </c>
      <c r="R508" s="1760">
        <v>8000000</v>
      </c>
      <c r="S508" s="1760">
        <v>8090054</v>
      </c>
      <c r="T508" s="1760">
        <v>8090054</v>
      </c>
      <c r="U508" s="1761">
        <v>8000000</v>
      </c>
      <c r="V508" s="1762">
        <v>8834005</v>
      </c>
      <c r="W508" s="1757">
        <v>10967285</v>
      </c>
      <c r="Z508" s="1773">
        <f t="shared" si="130"/>
        <v>0</v>
      </c>
      <c r="AA508" s="1773">
        <f t="shared" si="131"/>
        <v>0</v>
      </c>
      <c r="AB508" s="1773">
        <f t="shared" si="132"/>
        <v>0</v>
      </c>
      <c r="AC508" s="1773">
        <f t="shared" si="133"/>
        <v>0</v>
      </c>
      <c r="AD508" s="1773">
        <f t="shared" si="134"/>
        <v>0</v>
      </c>
      <c r="AE508" s="1773">
        <f t="shared" si="135"/>
        <v>0</v>
      </c>
      <c r="AF508" s="1773">
        <f t="shared" si="136"/>
        <v>0</v>
      </c>
      <c r="AG508" s="1773">
        <f t="shared" si="137"/>
        <v>0</v>
      </c>
      <c r="AH508" s="1773">
        <f t="shared" si="138"/>
        <v>0</v>
      </c>
      <c r="AI508" s="1773">
        <f t="shared" si="139"/>
        <v>0</v>
      </c>
      <c r="AJ508" s="1773">
        <f t="shared" si="140"/>
        <v>0</v>
      </c>
      <c r="AK508" s="1773">
        <f t="shared" si="141"/>
        <v>0</v>
      </c>
      <c r="AL508" s="1773">
        <f t="shared" si="142"/>
        <v>8000000</v>
      </c>
      <c r="AN508" s="1776"/>
      <c r="AO508" s="1776"/>
      <c r="AP508" s="1776"/>
      <c r="AQ508" s="1776"/>
      <c r="AR508" s="1776"/>
      <c r="AS508" s="1776"/>
      <c r="AT508" s="1776"/>
      <c r="AU508" s="1776"/>
      <c r="AV508" s="1776"/>
      <c r="AW508" s="1776"/>
      <c r="AX508" s="1776"/>
      <c r="AY508" s="1776"/>
      <c r="AZ508" s="1776">
        <v>1</v>
      </c>
    </row>
    <row r="509" spans="1:52">
      <c r="A509" s="1479" t="s">
        <v>2930</v>
      </c>
      <c r="B509" s="1479" t="s">
        <v>2312</v>
      </c>
      <c r="C509" s="1741" t="s">
        <v>2108</v>
      </c>
      <c r="D509" s="1741">
        <v>2000</v>
      </c>
      <c r="E509" s="1741">
        <v>4110</v>
      </c>
      <c r="F509" s="1741" t="s">
        <v>684</v>
      </c>
      <c r="G509" s="1741" t="s">
        <v>684</v>
      </c>
      <c r="H509" s="1741" t="s">
        <v>1658</v>
      </c>
      <c r="I509" s="1753" t="s">
        <v>2117</v>
      </c>
      <c r="J509" s="1754"/>
      <c r="K509" s="1754" t="s">
        <v>1665</v>
      </c>
      <c r="L509" s="1754" t="s">
        <v>1665</v>
      </c>
      <c r="M509" s="1754"/>
      <c r="N509" s="1756">
        <v>30309.94</v>
      </c>
      <c r="O509" s="1757">
        <v>0</v>
      </c>
      <c r="P509" s="1758">
        <v>0</v>
      </c>
      <c r="Q509" s="1759">
        <v>0</v>
      </c>
      <c r="R509" s="1760">
        <v>0</v>
      </c>
      <c r="S509" s="1760">
        <v>0</v>
      </c>
      <c r="T509" s="1760">
        <v>0</v>
      </c>
      <c r="U509" s="1761">
        <v>0</v>
      </c>
      <c r="V509" s="1762">
        <v>0</v>
      </c>
      <c r="W509" s="1757">
        <v>0</v>
      </c>
      <c r="Z509" s="1773">
        <f t="shared" ref="Z509:Z563" si="143">$AL509*AN509</f>
        <v>0</v>
      </c>
      <c r="AA509" s="1773">
        <f t="shared" ref="AA509:AA563" si="144">$AL509*AO509</f>
        <v>0</v>
      </c>
      <c r="AB509" s="1773">
        <f t="shared" ref="AB509:AB563" si="145">$AL509*AP509</f>
        <v>0</v>
      </c>
      <c r="AC509" s="1773">
        <f t="shared" ref="AC509:AC563" si="146">$AL509*AQ509</f>
        <v>0</v>
      </c>
      <c r="AD509" s="1773">
        <f t="shared" ref="AD509:AD563" si="147">$AL509*AR509</f>
        <v>0</v>
      </c>
      <c r="AE509" s="1773">
        <f t="shared" ref="AE509:AE563" si="148">$AL509*AS509</f>
        <v>0</v>
      </c>
      <c r="AF509" s="1773">
        <f t="shared" ref="AF509:AF563" si="149">$AL509*AT509</f>
        <v>0</v>
      </c>
      <c r="AG509" s="1773">
        <f t="shared" ref="AG509:AG563" si="150">$AL509*AU509</f>
        <v>0</v>
      </c>
      <c r="AH509" s="1773">
        <f t="shared" ref="AH509:AH563" si="151">$AL509*AV509</f>
        <v>0</v>
      </c>
      <c r="AI509" s="1773">
        <f t="shared" ref="AI509:AI563" si="152">$AL509*AW509</f>
        <v>0</v>
      </c>
      <c r="AJ509" s="1773">
        <f t="shared" ref="AJ509:AJ563" si="153">$AL509*AX509</f>
        <v>0</v>
      </c>
      <c r="AK509" s="1773">
        <f t="shared" ref="AK509:AK563" si="154">$AL509*AY509</f>
        <v>0</v>
      </c>
      <c r="AL509" s="1773">
        <f t="shared" si="142"/>
        <v>0</v>
      </c>
      <c r="AN509" s="1776"/>
      <c r="AO509" s="1776"/>
      <c r="AP509" s="1776"/>
      <c r="AQ509" s="1776"/>
      <c r="AR509" s="1776"/>
      <c r="AS509" s="1776"/>
      <c r="AT509" s="1776"/>
      <c r="AU509" s="1776"/>
      <c r="AV509" s="1776"/>
      <c r="AW509" s="1776"/>
      <c r="AX509" s="1776"/>
      <c r="AY509" s="1776"/>
      <c r="AZ509" s="1776">
        <v>1</v>
      </c>
    </row>
    <row r="510" spans="1:52">
      <c r="A510" s="1479" t="s">
        <v>2931</v>
      </c>
      <c r="B510" s="1479" t="s">
        <v>2314</v>
      </c>
      <c r="C510" s="1741" t="s">
        <v>2108</v>
      </c>
      <c r="D510" s="1741">
        <v>2000</v>
      </c>
      <c r="E510" s="1741">
        <v>4120</v>
      </c>
      <c r="F510" s="1741" t="s">
        <v>684</v>
      </c>
      <c r="G510" s="1741" t="s">
        <v>684</v>
      </c>
      <c r="H510" s="1741" t="s">
        <v>1658</v>
      </c>
      <c r="I510" s="1753" t="s">
        <v>2114</v>
      </c>
      <c r="J510" s="1754" t="s">
        <v>3014</v>
      </c>
      <c r="K510" s="1753" t="s">
        <v>2114</v>
      </c>
      <c r="L510" s="1754" t="s">
        <v>3029</v>
      </c>
      <c r="M510" s="1754"/>
      <c r="N510" s="1756">
        <v>0</v>
      </c>
      <c r="O510" s="1757">
        <v>0</v>
      </c>
      <c r="P510" s="1758">
        <v>0</v>
      </c>
      <c r="Q510" s="1759">
        <v>0</v>
      </c>
      <c r="R510" s="1760">
        <v>3000</v>
      </c>
      <c r="S510" s="1760">
        <v>0</v>
      </c>
      <c r="T510" s="1760">
        <v>0</v>
      </c>
      <c r="U510" s="1761">
        <v>0</v>
      </c>
      <c r="V510" s="1762">
        <v>0</v>
      </c>
      <c r="W510" s="1757">
        <v>0</v>
      </c>
      <c r="Z510" s="1773">
        <f t="shared" si="143"/>
        <v>0</v>
      </c>
      <c r="AA510" s="1773">
        <f t="shared" si="144"/>
        <v>0</v>
      </c>
      <c r="AB510" s="1773">
        <f t="shared" si="145"/>
        <v>0</v>
      </c>
      <c r="AC510" s="1773">
        <f t="shared" si="146"/>
        <v>0</v>
      </c>
      <c r="AD510" s="1773">
        <f t="shared" si="147"/>
        <v>0</v>
      </c>
      <c r="AE510" s="1773">
        <f t="shared" si="148"/>
        <v>0</v>
      </c>
      <c r="AF510" s="1773">
        <f t="shared" si="149"/>
        <v>0</v>
      </c>
      <c r="AG510" s="1773">
        <f t="shared" si="150"/>
        <v>0</v>
      </c>
      <c r="AH510" s="1773">
        <f t="shared" si="151"/>
        <v>0</v>
      </c>
      <c r="AI510" s="1773">
        <f t="shared" si="152"/>
        <v>0</v>
      </c>
      <c r="AJ510" s="1773">
        <f t="shared" si="153"/>
        <v>0</v>
      </c>
      <c r="AK510" s="1773">
        <f t="shared" si="154"/>
        <v>0</v>
      </c>
      <c r="AL510" s="1773">
        <f t="shared" si="142"/>
        <v>0</v>
      </c>
      <c r="AN510" s="1776"/>
      <c r="AO510" s="1776"/>
      <c r="AP510" s="1776"/>
      <c r="AQ510" s="1776"/>
      <c r="AR510" s="1776"/>
      <c r="AS510" s="1776"/>
      <c r="AT510" s="1776"/>
      <c r="AU510" s="1776"/>
      <c r="AV510" s="1776"/>
      <c r="AW510" s="1776"/>
      <c r="AX510" s="1776"/>
      <c r="AY510" s="1776"/>
      <c r="AZ510" s="1776">
        <v>1</v>
      </c>
    </row>
    <row r="511" spans="1:52">
      <c r="A511" s="1479" t="s">
        <v>2932</v>
      </c>
      <c r="B511" s="1479" t="s">
        <v>2569</v>
      </c>
      <c r="C511" s="1741" t="s">
        <v>2108</v>
      </c>
      <c r="D511" s="1741">
        <v>2000</v>
      </c>
      <c r="E511" s="1741">
        <v>4390</v>
      </c>
      <c r="F511" s="1741" t="s">
        <v>684</v>
      </c>
      <c r="G511" s="1741" t="s">
        <v>684</v>
      </c>
      <c r="H511" s="1741" t="s">
        <v>1658</v>
      </c>
      <c r="I511" s="1753" t="s">
        <v>2146</v>
      </c>
      <c r="J511" s="1754"/>
      <c r="K511" s="1754" t="s">
        <v>1563</v>
      </c>
      <c r="L511" s="1754" t="s">
        <v>1563</v>
      </c>
      <c r="M511" s="1754"/>
      <c r="N511" s="1756">
        <v>50000</v>
      </c>
      <c r="O511" s="1757">
        <v>-27552.190000000002</v>
      </c>
      <c r="P511" s="1758">
        <v>-86415.446621516981</v>
      </c>
      <c r="Q511" s="1759">
        <v>120000</v>
      </c>
      <c r="R511" s="1760">
        <v>120000</v>
      </c>
      <c r="S511" s="1760">
        <v>13440</v>
      </c>
      <c r="T511" s="1760">
        <v>13440</v>
      </c>
      <c r="U511" s="1761">
        <v>0</v>
      </c>
      <c r="V511" s="1762">
        <v>120000</v>
      </c>
      <c r="W511" s="1757">
        <v>120000</v>
      </c>
      <c r="Z511" s="1773">
        <f t="shared" si="143"/>
        <v>0</v>
      </c>
      <c r="AA511" s="1773">
        <f t="shared" si="144"/>
        <v>0</v>
      </c>
      <c r="AB511" s="1773">
        <f t="shared" si="145"/>
        <v>0</v>
      </c>
      <c r="AC511" s="1773">
        <f t="shared" si="146"/>
        <v>0</v>
      </c>
      <c r="AD511" s="1773">
        <f t="shared" si="147"/>
        <v>0</v>
      </c>
      <c r="AE511" s="1773">
        <f t="shared" si="148"/>
        <v>0</v>
      </c>
      <c r="AF511" s="1773">
        <f t="shared" si="149"/>
        <v>0</v>
      </c>
      <c r="AG511" s="1773">
        <f t="shared" si="150"/>
        <v>0</v>
      </c>
      <c r="AH511" s="1773">
        <f t="shared" si="151"/>
        <v>0</v>
      </c>
      <c r="AI511" s="1773">
        <f t="shared" si="152"/>
        <v>0</v>
      </c>
      <c r="AJ511" s="1773">
        <f t="shared" si="153"/>
        <v>0</v>
      </c>
      <c r="AK511" s="1773">
        <f t="shared" si="154"/>
        <v>0</v>
      </c>
      <c r="AL511" s="1773">
        <f t="shared" si="142"/>
        <v>0</v>
      </c>
      <c r="AN511" s="1776"/>
      <c r="AO511" s="1776"/>
      <c r="AP511" s="1776"/>
      <c r="AQ511" s="1776"/>
      <c r="AR511" s="1776"/>
      <c r="AS511" s="1776"/>
      <c r="AT511" s="1776"/>
      <c r="AU511" s="1776"/>
      <c r="AV511" s="1776"/>
      <c r="AW511" s="1776"/>
      <c r="AX511" s="1776"/>
      <c r="AY511" s="1776"/>
      <c r="AZ511" s="1776">
        <v>1</v>
      </c>
    </row>
    <row r="512" spans="1:52" ht="13.5">
      <c r="A512" s="1479" t="s">
        <v>2933</v>
      </c>
      <c r="B512" s="1479" t="s">
        <v>2318</v>
      </c>
      <c r="C512" s="1741" t="s">
        <v>2108</v>
      </c>
      <c r="D512" s="1741">
        <v>2000</v>
      </c>
      <c r="E512" s="1741">
        <v>5020</v>
      </c>
      <c r="F512" s="1741" t="s">
        <v>684</v>
      </c>
      <c r="G512" s="1741" t="s">
        <v>684</v>
      </c>
      <c r="H512" s="1741" t="s">
        <v>586</v>
      </c>
      <c r="I512" s="1753" t="s">
        <v>2121</v>
      </c>
      <c r="J512" s="1754" t="s">
        <v>3016</v>
      </c>
      <c r="K512" s="236" t="s">
        <v>35</v>
      </c>
      <c r="L512" s="1754" t="s">
        <v>2128</v>
      </c>
      <c r="M512" s="1754"/>
      <c r="N512" s="1756">
        <v>0</v>
      </c>
      <c r="O512" s="1757">
        <v>-4228069.9600000009</v>
      </c>
      <c r="P512" s="1758">
        <v>-1799311.23</v>
      </c>
      <c r="Q512" s="1759">
        <v>0</v>
      </c>
      <c r="R512" s="1760">
        <v>0</v>
      </c>
      <c r="S512" s="1760">
        <v>0</v>
      </c>
      <c r="T512" s="1760">
        <v>0</v>
      </c>
      <c r="U512" s="1761">
        <v>0</v>
      </c>
      <c r="V512" s="1762">
        <v>0</v>
      </c>
      <c r="W512" s="1757">
        <v>0</v>
      </c>
      <c r="Z512" s="1773">
        <f t="shared" si="143"/>
        <v>0</v>
      </c>
      <c r="AA512" s="1773">
        <f t="shared" si="144"/>
        <v>0</v>
      </c>
      <c r="AB512" s="1773">
        <f t="shared" si="145"/>
        <v>0</v>
      </c>
      <c r="AC512" s="1773">
        <f t="shared" si="146"/>
        <v>0</v>
      </c>
      <c r="AD512" s="1773">
        <f t="shared" si="147"/>
        <v>0</v>
      </c>
      <c r="AE512" s="1773">
        <f t="shared" si="148"/>
        <v>0</v>
      </c>
      <c r="AF512" s="1773">
        <f t="shared" si="149"/>
        <v>0</v>
      </c>
      <c r="AG512" s="1773">
        <f t="shared" si="150"/>
        <v>0</v>
      </c>
      <c r="AH512" s="1773">
        <f t="shared" si="151"/>
        <v>0</v>
      </c>
      <c r="AI512" s="1773">
        <f t="shared" si="152"/>
        <v>0</v>
      </c>
      <c r="AJ512" s="1773">
        <f t="shared" si="153"/>
        <v>0</v>
      </c>
      <c r="AK512" s="1773">
        <f t="shared" si="154"/>
        <v>0</v>
      </c>
      <c r="AL512" s="1773">
        <f t="shared" si="142"/>
        <v>0</v>
      </c>
      <c r="AN512" s="1776"/>
      <c r="AO512" s="1776"/>
      <c r="AP512" s="1776"/>
      <c r="AQ512" s="1776"/>
      <c r="AR512" s="1776"/>
      <c r="AS512" s="1776"/>
      <c r="AT512" s="1776"/>
      <c r="AU512" s="1776"/>
      <c r="AV512" s="1776"/>
      <c r="AW512" s="1776"/>
      <c r="AX512" s="1776"/>
      <c r="AY512" s="1776"/>
      <c r="AZ512" s="1776">
        <v>1</v>
      </c>
    </row>
    <row r="513" spans="1:52">
      <c r="A513" s="1479" t="s">
        <v>2934</v>
      </c>
      <c r="B513" s="1479" t="s">
        <v>2935</v>
      </c>
      <c r="C513" s="1741" t="s">
        <v>2108</v>
      </c>
      <c r="D513" s="1741">
        <v>2000</v>
      </c>
      <c r="E513" s="1741">
        <v>5140</v>
      </c>
      <c r="F513" s="1741" t="s">
        <v>684</v>
      </c>
      <c r="G513" s="1741" t="s">
        <v>684</v>
      </c>
      <c r="H513" s="1741" t="s">
        <v>586</v>
      </c>
      <c r="I513" s="1753" t="s">
        <v>2125</v>
      </c>
      <c r="J513" s="1754"/>
      <c r="K513" s="1753" t="s">
        <v>1919</v>
      </c>
      <c r="L513" s="1754" t="s">
        <v>2175</v>
      </c>
      <c r="M513" s="1754"/>
      <c r="N513" s="1756">
        <v>-1544396.65</v>
      </c>
      <c r="O513" s="1757">
        <v>-2289102.88</v>
      </c>
      <c r="P513" s="1758">
        <v>-2924931.46</v>
      </c>
      <c r="Q513" s="1759">
        <v>-2972210</v>
      </c>
      <c r="R513" s="1760">
        <v>-2972210</v>
      </c>
      <c r="S513" s="1760">
        <v>-3214531</v>
      </c>
      <c r="T513" s="1760">
        <v>-3214531</v>
      </c>
      <c r="U513" s="1761">
        <v>-858432.97139999992</v>
      </c>
      <c r="V513" s="1762">
        <v>-3448655</v>
      </c>
      <c r="W513" s="1757">
        <v>-4005960</v>
      </c>
      <c r="Z513" s="1773">
        <f t="shared" si="143"/>
        <v>0</v>
      </c>
      <c r="AA513" s="1773">
        <f t="shared" si="144"/>
        <v>0</v>
      </c>
      <c r="AB513" s="1773">
        <f t="shared" si="145"/>
        <v>0</v>
      </c>
      <c r="AC513" s="1773">
        <f t="shared" si="146"/>
        <v>0</v>
      </c>
      <c r="AD513" s="1773">
        <f t="shared" si="147"/>
        <v>0</v>
      </c>
      <c r="AE513" s="1773">
        <f t="shared" si="148"/>
        <v>0</v>
      </c>
      <c r="AF513" s="1773">
        <f t="shared" si="149"/>
        <v>0</v>
      </c>
      <c r="AG513" s="1773">
        <f t="shared" si="150"/>
        <v>0</v>
      </c>
      <c r="AH513" s="1773">
        <f t="shared" si="151"/>
        <v>0</v>
      </c>
      <c r="AI513" s="1773">
        <f t="shared" si="152"/>
        <v>0</v>
      </c>
      <c r="AJ513" s="1773">
        <f t="shared" si="153"/>
        <v>0</v>
      </c>
      <c r="AK513" s="1773">
        <f t="shared" si="154"/>
        <v>0</v>
      </c>
      <c r="AL513" s="1773">
        <f t="shared" si="142"/>
        <v>-858432.97139999992</v>
      </c>
      <c r="AN513" s="1776"/>
      <c r="AO513" s="1776"/>
      <c r="AP513" s="1776"/>
      <c r="AQ513" s="1776"/>
      <c r="AR513" s="1776"/>
      <c r="AS513" s="1776"/>
      <c r="AT513" s="1776"/>
      <c r="AU513" s="1776"/>
      <c r="AV513" s="1776"/>
      <c r="AW513" s="1776"/>
      <c r="AX513" s="1776"/>
      <c r="AY513" s="1776"/>
      <c r="AZ513" s="1776">
        <v>1</v>
      </c>
    </row>
    <row r="514" spans="1:52">
      <c r="A514" s="1479" t="s">
        <v>2936</v>
      </c>
      <c r="B514" s="1479" t="s">
        <v>2937</v>
      </c>
      <c r="C514" s="1741" t="s">
        <v>2108</v>
      </c>
      <c r="D514" s="1741">
        <v>2000</v>
      </c>
      <c r="E514" s="1741">
        <v>5190</v>
      </c>
      <c r="F514" s="1741" t="s">
        <v>684</v>
      </c>
      <c r="G514" s="1741" t="s">
        <v>684</v>
      </c>
      <c r="H514" s="1741" t="s">
        <v>586</v>
      </c>
      <c r="I514" s="1753" t="s">
        <v>2125</v>
      </c>
      <c r="J514" s="1754"/>
      <c r="K514" s="1753" t="s">
        <v>1919</v>
      </c>
      <c r="L514" s="1754" t="s">
        <v>2175</v>
      </c>
      <c r="M514" s="1754"/>
      <c r="N514" s="1756">
        <v>-21604.1</v>
      </c>
      <c r="O514" s="1757">
        <v>-33548.730000000003</v>
      </c>
      <c r="P514" s="1758">
        <v>-39805.74</v>
      </c>
      <c r="Q514" s="1759">
        <v>-41000</v>
      </c>
      <c r="R514" s="1760">
        <v>-41000</v>
      </c>
      <c r="S514" s="1760">
        <v>-40927</v>
      </c>
      <c r="T514" s="1760">
        <v>-40927</v>
      </c>
      <c r="U514" s="1761">
        <v>-32000</v>
      </c>
      <c r="V514" s="1762">
        <v>-41000</v>
      </c>
      <c r="W514" s="1757">
        <v>-42000</v>
      </c>
      <c r="Z514" s="1773">
        <f t="shared" si="143"/>
        <v>0</v>
      </c>
      <c r="AA514" s="1773">
        <f t="shared" si="144"/>
        <v>0</v>
      </c>
      <c r="AB514" s="1773">
        <f t="shared" si="145"/>
        <v>0</v>
      </c>
      <c r="AC514" s="1773">
        <f t="shared" si="146"/>
        <v>0</v>
      </c>
      <c r="AD514" s="1773">
        <f t="shared" si="147"/>
        <v>0</v>
      </c>
      <c r="AE514" s="1773">
        <f t="shared" si="148"/>
        <v>0</v>
      </c>
      <c r="AF514" s="1773">
        <f t="shared" si="149"/>
        <v>0</v>
      </c>
      <c r="AG514" s="1773">
        <f t="shared" si="150"/>
        <v>0</v>
      </c>
      <c r="AH514" s="1773">
        <f t="shared" si="151"/>
        <v>0</v>
      </c>
      <c r="AI514" s="1773">
        <f t="shared" si="152"/>
        <v>0</v>
      </c>
      <c r="AJ514" s="1773">
        <f t="shared" si="153"/>
        <v>0</v>
      </c>
      <c r="AK514" s="1773">
        <f t="shared" si="154"/>
        <v>0</v>
      </c>
      <c r="AL514" s="1773">
        <f t="shared" ref="AL514:AL563" si="155">U514</f>
        <v>-32000</v>
      </c>
      <c r="AN514" s="1776"/>
      <c r="AO514" s="1776"/>
      <c r="AP514" s="1776"/>
      <c r="AQ514" s="1776"/>
      <c r="AR514" s="1776"/>
      <c r="AS514" s="1776"/>
      <c r="AT514" s="1776"/>
      <c r="AU514" s="1776"/>
      <c r="AV514" s="1776"/>
      <c r="AW514" s="1776"/>
      <c r="AX514" s="1776"/>
      <c r="AY514" s="1776"/>
      <c r="AZ514" s="1776">
        <v>1</v>
      </c>
    </row>
    <row r="515" spans="1:52">
      <c r="A515" s="1479" t="s">
        <v>2938</v>
      </c>
      <c r="B515" s="1479" t="s">
        <v>2939</v>
      </c>
      <c r="C515" s="1741" t="s">
        <v>2108</v>
      </c>
      <c r="D515" s="1741">
        <v>2000</v>
      </c>
      <c r="E515" s="1741">
        <v>5200</v>
      </c>
      <c r="F515" s="1741" t="s">
        <v>684</v>
      </c>
      <c r="G515" s="1741" t="s">
        <v>684</v>
      </c>
      <c r="H515" s="1741" t="s">
        <v>586</v>
      </c>
      <c r="I515" s="1753" t="s">
        <v>2120</v>
      </c>
      <c r="J515" s="1754"/>
      <c r="K515" s="1754" t="s">
        <v>1666</v>
      </c>
      <c r="L515" s="1754" t="s">
        <v>1666</v>
      </c>
      <c r="M515" s="1754"/>
      <c r="N515" s="1756">
        <v>-779.37</v>
      </c>
      <c r="O515" s="1757">
        <v>5001.68</v>
      </c>
      <c r="P515" s="1758">
        <v>-1141.26</v>
      </c>
      <c r="Q515" s="1759">
        <v>-3850</v>
      </c>
      <c r="R515" s="1760">
        <v>-3850</v>
      </c>
      <c r="S515" s="1760">
        <v>-3126</v>
      </c>
      <c r="T515" s="1760">
        <v>-3126</v>
      </c>
      <c r="U515" s="1761">
        <v>-2000</v>
      </c>
      <c r="V515" s="1762">
        <v>-3860</v>
      </c>
      <c r="W515" s="1757">
        <v>-3870</v>
      </c>
      <c r="Z515" s="1773">
        <f t="shared" si="143"/>
        <v>0</v>
      </c>
      <c r="AA515" s="1773">
        <f t="shared" si="144"/>
        <v>0</v>
      </c>
      <c r="AB515" s="1773">
        <f t="shared" si="145"/>
        <v>0</v>
      </c>
      <c r="AC515" s="1773">
        <f t="shared" si="146"/>
        <v>0</v>
      </c>
      <c r="AD515" s="1773">
        <f t="shared" si="147"/>
        <v>0</v>
      </c>
      <c r="AE515" s="1773">
        <f t="shared" si="148"/>
        <v>0</v>
      </c>
      <c r="AF515" s="1773">
        <f t="shared" si="149"/>
        <v>0</v>
      </c>
      <c r="AG515" s="1773">
        <f t="shared" si="150"/>
        <v>0</v>
      </c>
      <c r="AH515" s="1773">
        <f t="shared" si="151"/>
        <v>0</v>
      </c>
      <c r="AI515" s="1773">
        <f t="shared" si="152"/>
        <v>0</v>
      </c>
      <c r="AJ515" s="1773">
        <f t="shared" si="153"/>
        <v>0</v>
      </c>
      <c r="AK515" s="1773">
        <f t="shared" si="154"/>
        <v>0</v>
      </c>
      <c r="AL515" s="1773">
        <f t="shared" si="155"/>
        <v>-2000</v>
      </c>
      <c r="AN515" s="1776"/>
      <c r="AO515" s="1776"/>
      <c r="AP515" s="1776"/>
      <c r="AQ515" s="1776"/>
      <c r="AR515" s="1776"/>
      <c r="AS515" s="1776"/>
      <c r="AT515" s="1776"/>
      <c r="AU515" s="1776"/>
      <c r="AV515" s="1776"/>
      <c r="AW515" s="1776"/>
      <c r="AX515" s="1776"/>
      <c r="AY515" s="1776"/>
      <c r="AZ515" s="1776">
        <v>1</v>
      </c>
    </row>
    <row r="516" spans="1:52">
      <c r="A516" s="1479" t="s">
        <v>2940</v>
      </c>
      <c r="B516" s="1479" t="s">
        <v>2941</v>
      </c>
      <c r="C516" s="1741" t="s">
        <v>2108</v>
      </c>
      <c r="D516" s="1741">
        <v>2000</v>
      </c>
      <c r="E516" s="1741">
        <v>5210</v>
      </c>
      <c r="F516" s="1741" t="s">
        <v>684</v>
      </c>
      <c r="G516" s="1741" t="s">
        <v>684</v>
      </c>
      <c r="H516" s="1741" t="s">
        <v>586</v>
      </c>
      <c r="I516" s="1753" t="s">
        <v>2120</v>
      </c>
      <c r="J516" s="1754"/>
      <c r="K516" s="1754" t="s">
        <v>1666</v>
      </c>
      <c r="L516" s="1754" t="s">
        <v>1666</v>
      </c>
      <c r="M516" s="1754"/>
      <c r="N516" s="1756">
        <v>-20097.77</v>
      </c>
      <c r="O516" s="1757">
        <v>-130026.17</v>
      </c>
      <c r="P516" s="1758">
        <v>-757.02</v>
      </c>
      <c r="Q516" s="1759">
        <v>-100000</v>
      </c>
      <c r="R516" s="1760">
        <v>-100000</v>
      </c>
      <c r="S516" s="1760">
        <v>-37792</v>
      </c>
      <c r="T516" s="1760">
        <v>-37792</v>
      </c>
      <c r="U516" s="1761">
        <v>-10000</v>
      </c>
      <c r="V516" s="1762">
        <v>-100000</v>
      </c>
      <c r="W516" s="1757">
        <v>-100000</v>
      </c>
      <c r="Z516" s="1773">
        <f t="shared" si="143"/>
        <v>0</v>
      </c>
      <c r="AA516" s="1773">
        <f t="shared" si="144"/>
        <v>0</v>
      </c>
      <c r="AB516" s="1773">
        <f t="shared" si="145"/>
        <v>0</v>
      </c>
      <c r="AC516" s="1773">
        <f t="shared" si="146"/>
        <v>0</v>
      </c>
      <c r="AD516" s="1773">
        <f t="shared" si="147"/>
        <v>0</v>
      </c>
      <c r="AE516" s="1773">
        <f t="shared" si="148"/>
        <v>0</v>
      </c>
      <c r="AF516" s="1773">
        <f t="shared" si="149"/>
        <v>0</v>
      </c>
      <c r="AG516" s="1773">
        <f t="shared" si="150"/>
        <v>0</v>
      </c>
      <c r="AH516" s="1773">
        <f t="shared" si="151"/>
        <v>0</v>
      </c>
      <c r="AI516" s="1773">
        <f t="shared" si="152"/>
        <v>0</v>
      </c>
      <c r="AJ516" s="1773">
        <f t="shared" si="153"/>
        <v>0</v>
      </c>
      <c r="AK516" s="1773">
        <f t="shared" si="154"/>
        <v>0</v>
      </c>
      <c r="AL516" s="1773">
        <f t="shared" si="155"/>
        <v>-10000</v>
      </c>
      <c r="AN516" s="1776"/>
      <c r="AO516" s="1776"/>
      <c r="AP516" s="1776"/>
      <c r="AQ516" s="1776"/>
      <c r="AR516" s="1776"/>
      <c r="AS516" s="1776"/>
      <c r="AT516" s="1776"/>
      <c r="AU516" s="1776"/>
      <c r="AV516" s="1776"/>
      <c r="AW516" s="1776"/>
      <c r="AX516" s="1776"/>
      <c r="AY516" s="1776"/>
      <c r="AZ516" s="1776">
        <v>1</v>
      </c>
    </row>
    <row r="517" spans="1:52">
      <c r="A517" s="1479" t="s">
        <v>2942</v>
      </c>
      <c r="B517" s="1479" t="s">
        <v>2943</v>
      </c>
      <c r="C517" s="1741" t="s">
        <v>2108</v>
      </c>
      <c r="D517" s="1741">
        <v>2000</v>
      </c>
      <c r="E517" s="1741">
        <v>5220</v>
      </c>
      <c r="F517" s="1741" t="s">
        <v>684</v>
      </c>
      <c r="G517" s="1741" t="s">
        <v>684</v>
      </c>
      <c r="H517" s="1741" t="s">
        <v>586</v>
      </c>
      <c r="I517" s="1753" t="s">
        <v>2120</v>
      </c>
      <c r="J517" s="1754"/>
      <c r="K517" s="1754" t="s">
        <v>1666</v>
      </c>
      <c r="L517" s="1754" t="s">
        <v>1666</v>
      </c>
      <c r="M517" s="1754"/>
      <c r="N517" s="1756">
        <v>-175.44</v>
      </c>
      <c r="O517" s="1757">
        <v>-582.46</v>
      </c>
      <c r="P517" s="1758">
        <v>-868.46</v>
      </c>
      <c r="Q517" s="1759">
        <v>-1125</v>
      </c>
      <c r="R517" s="1760">
        <v>-1125</v>
      </c>
      <c r="S517" s="1760">
        <v>-425</v>
      </c>
      <c r="T517" s="1760">
        <v>-425</v>
      </c>
      <c r="U517" s="1761">
        <v>-1200</v>
      </c>
      <c r="V517" s="1762">
        <v>-1130</v>
      </c>
      <c r="W517" s="1757">
        <v>-1135</v>
      </c>
      <c r="Z517" s="1773">
        <f t="shared" si="143"/>
        <v>0</v>
      </c>
      <c r="AA517" s="1773">
        <f t="shared" si="144"/>
        <v>0</v>
      </c>
      <c r="AB517" s="1773">
        <f t="shared" si="145"/>
        <v>0</v>
      </c>
      <c r="AC517" s="1773">
        <f t="shared" si="146"/>
        <v>0</v>
      </c>
      <c r="AD517" s="1773">
        <f t="shared" si="147"/>
        <v>0</v>
      </c>
      <c r="AE517" s="1773">
        <f t="shared" si="148"/>
        <v>0</v>
      </c>
      <c r="AF517" s="1773">
        <f t="shared" si="149"/>
        <v>0</v>
      </c>
      <c r="AG517" s="1773">
        <f t="shared" si="150"/>
        <v>0</v>
      </c>
      <c r="AH517" s="1773">
        <f t="shared" si="151"/>
        <v>0</v>
      </c>
      <c r="AI517" s="1773">
        <f t="shared" si="152"/>
        <v>0</v>
      </c>
      <c r="AJ517" s="1773">
        <f t="shared" si="153"/>
        <v>0</v>
      </c>
      <c r="AK517" s="1773">
        <f t="shared" si="154"/>
        <v>0</v>
      </c>
      <c r="AL517" s="1773">
        <f t="shared" si="155"/>
        <v>-1200</v>
      </c>
      <c r="AN517" s="1776"/>
      <c r="AO517" s="1776"/>
      <c r="AP517" s="1776"/>
      <c r="AQ517" s="1776"/>
      <c r="AR517" s="1776"/>
      <c r="AS517" s="1776"/>
      <c r="AT517" s="1776"/>
      <c r="AU517" s="1776"/>
      <c r="AV517" s="1776"/>
      <c r="AW517" s="1776"/>
      <c r="AX517" s="1776"/>
      <c r="AY517" s="1776"/>
      <c r="AZ517" s="1776">
        <v>1</v>
      </c>
    </row>
    <row r="518" spans="1:52" ht="13.5">
      <c r="A518" s="1479" t="s">
        <v>2944</v>
      </c>
      <c r="B518" s="1479" t="s">
        <v>2945</v>
      </c>
      <c r="C518" s="1741" t="s">
        <v>2108</v>
      </c>
      <c r="D518" s="1741">
        <v>2000</v>
      </c>
      <c r="E518" s="1741">
        <v>5230</v>
      </c>
      <c r="F518" s="1741" t="s">
        <v>684</v>
      </c>
      <c r="G518" s="1741" t="s">
        <v>684</v>
      </c>
      <c r="H518" s="1741" t="s">
        <v>586</v>
      </c>
      <c r="I518" s="1753" t="s">
        <v>2125</v>
      </c>
      <c r="J518" s="1754"/>
      <c r="K518" s="1753" t="s">
        <v>1919</v>
      </c>
      <c r="L518" s="1754" t="s">
        <v>2175</v>
      </c>
      <c r="M518" s="1763"/>
      <c r="N518" s="1756">
        <v>-2231369.44</v>
      </c>
      <c r="O518" s="1757">
        <v>-2674923.83</v>
      </c>
      <c r="P518" s="1758">
        <v>-3116327.17</v>
      </c>
      <c r="Q518" s="1759">
        <v>-3687890</v>
      </c>
      <c r="R518" s="1760">
        <v>-3687890</v>
      </c>
      <c r="S518" s="1760">
        <v>-3681813</v>
      </c>
      <c r="T518" s="1760">
        <v>-3681813</v>
      </c>
      <c r="U518" s="1761">
        <v>-4399429.8772000009</v>
      </c>
      <c r="V518" s="1762">
        <f>U518*108%</f>
        <v>-4751384.267376001</v>
      </c>
      <c r="W518" s="1757">
        <v>-4970555</v>
      </c>
      <c r="Z518" s="1773">
        <f t="shared" si="143"/>
        <v>0</v>
      </c>
      <c r="AA518" s="1773">
        <f t="shared" si="144"/>
        <v>0</v>
      </c>
      <c r="AB518" s="1773">
        <f t="shared" si="145"/>
        <v>0</v>
      </c>
      <c r="AC518" s="1773">
        <f t="shared" si="146"/>
        <v>0</v>
      </c>
      <c r="AD518" s="1773">
        <f t="shared" si="147"/>
        <v>0</v>
      </c>
      <c r="AE518" s="1773">
        <f t="shared" si="148"/>
        <v>0</v>
      </c>
      <c r="AF518" s="1773">
        <f t="shared" si="149"/>
        <v>0</v>
      </c>
      <c r="AG518" s="1773">
        <f t="shared" si="150"/>
        <v>0</v>
      </c>
      <c r="AH518" s="1773">
        <f t="shared" si="151"/>
        <v>0</v>
      </c>
      <c r="AI518" s="1773">
        <f t="shared" si="152"/>
        <v>0</v>
      </c>
      <c r="AJ518" s="1773">
        <f t="shared" si="153"/>
        <v>0</v>
      </c>
      <c r="AK518" s="1773">
        <f t="shared" si="154"/>
        <v>0</v>
      </c>
      <c r="AL518" s="1773">
        <f t="shared" si="155"/>
        <v>-4399429.8772000009</v>
      </c>
      <c r="AN518" s="1776"/>
      <c r="AO518" s="1776"/>
      <c r="AP518" s="1776"/>
      <c r="AQ518" s="1776"/>
      <c r="AR518" s="1776"/>
      <c r="AS518" s="1776"/>
      <c r="AT518" s="1776"/>
      <c r="AU518" s="1776"/>
      <c r="AV518" s="1776"/>
      <c r="AW518" s="1776"/>
      <c r="AX518" s="1776"/>
      <c r="AY518" s="1776"/>
      <c r="AZ518" s="1776">
        <v>1</v>
      </c>
    </row>
    <row r="519" spans="1:52" ht="13.5">
      <c r="A519" s="1479" t="s">
        <v>2946</v>
      </c>
      <c r="B519" s="1479" t="s">
        <v>2947</v>
      </c>
      <c r="C519" s="1741" t="s">
        <v>2108</v>
      </c>
      <c r="D519" s="1741">
        <v>2000</v>
      </c>
      <c r="E519" s="1741">
        <v>5660</v>
      </c>
      <c r="F519" s="1741" t="s">
        <v>684</v>
      </c>
      <c r="G519" s="1741" t="s">
        <v>684</v>
      </c>
      <c r="H519" s="1741" t="s">
        <v>586</v>
      </c>
      <c r="I519" s="1753" t="s">
        <v>2120</v>
      </c>
      <c r="J519" s="1754"/>
      <c r="K519" s="1754" t="s">
        <v>1666</v>
      </c>
      <c r="L519" s="1754" t="s">
        <v>1666</v>
      </c>
      <c r="M519" s="1763"/>
      <c r="N519" s="1756">
        <v>-3397.93</v>
      </c>
      <c r="O519" s="1757">
        <v>-5150</v>
      </c>
      <c r="P519" s="1758">
        <v>-10689.66</v>
      </c>
      <c r="Q519" s="1759">
        <v>-15000</v>
      </c>
      <c r="R519" s="1760">
        <v>-15000</v>
      </c>
      <c r="S519" s="1760">
        <v>-13757</v>
      </c>
      <c r="T519" s="1760">
        <v>-13757</v>
      </c>
      <c r="U519" s="1761">
        <v>-12000</v>
      </c>
      <c r="V519" s="1762">
        <v>-15000</v>
      </c>
      <c r="W519" s="1757">
        <v>-15000</v>
      </c>
      <c r="Z519" s="1773">
        <f t="shared" si="143"/>
        <v>0</v>
      </c>
      <c r="AA519" s="1773">
        <f t="shared" si="144"/>
        <v>0</v>
      </c>
      <c r="AB519" s="1773">
        <f t="shared" si="145"/>
        <v>0</v>
      </c>
      <c r="AC519" s="1773">
        <f t="shared" si="146"/>
        <v>0</v>
      </c>
      <c r="AD519" s="1773">
        <f t="shared" si="147"/>
        <v>0</v>
      </c>
      <c r="AE519" s="1773">
        <f t="shared" si="148"/>
        <v>0</v>
      </c>
      <c r="AF519" s="1773">
        <f t="shared" si="149"/>
        <v>0</v>
      </c>
      <c r="AG519" s="1773">
        <f t="shared" si="150"/>
        <v>0</v>
      </c>
      <c r="AH519" s="1773">
        <f t="shared" si="151"/>
        <v>0</v>
      </c>
      <c r="AI519" s="1773">
        <f t="shared" si="152"/>
        <v>0</v>
      </c>
      <c r="AJ519" s="1773">
        <f t="shared" si="153"/>
        <v>0</v>
      </c>
      <c r="AK519" s="1773">
        <f t="shared" si="154"/>
        <v>0</v>
      </c>
      <c r="AL519" s="1773">
        <f t="shared" si="155"/>
        <v>-12000</v>
      </c>
      <c r="AN519" s="1776"/>
      <c r="AO519" s="1776"/>
      <c r="AP519" s="1776"/>
      <c r="AQ519" s="1776"/>
      <c r="AR519" s="1776"/>
      <c r="AS519" s="1776"/>
      <c r="AT519" s="1776"/>
      <c r="AU519" s="1776"/>
      <c r="AV519" s="1776"/>
      <c r="AW519" s="1776"/>
      <c r="AX519" s="1776"/>
      <c r="AY519" s="1776"/>
      <c r="AZ519" s="1776">
        <v>1</v>
      </c>
    </row>
    <row r="520" spans="1:52" ht="13.5">
      <c r="A520" t="s">
        <v>2948</v>
      </c>
      <c r="B520" t="s">
        <v>2949</v>
      </c>
      <c r="C520" s="1741" t="s">
        <v>2108</v>
      </c>
      <c r="D520" s="1741">
        <v>2000</v>
      </c>
      <c r="E520" s="1741">
        <v>6400</v>
      </c>
      <c r="F520" s="1741" t="s">
        <v>684</v>
      </c>
      <c r="G520" s="1741" t="s">
        <v>684</v>
      </c>
      <c r="H520" s="1741" t="s">
        <v>586</v>
      </c>
      <c r="I520" s="1753" t="s">
        <v>2120</v>
      </c>
      <c r="J520" s="1754"/>
      <c r="K520" s="1754" t="s">
        <v>1666</v>
      </c>
      <c r="L520" s="1754" t="s">
        <v>1666</v>
      </c>
      <c r="M520" s="1766"/>
      <c r="N520" s="1756"/>
      <c r="O520" s="1757"/>
      <c r="P520" s="1758"/>
      <c r="Q520" s="1759">
        <v>-100</v>
      </c>
      <c r="R520" s="1760">
        <v>-100</v>
      </c>
      <c r="S520" s="1760">
        <v>-36</v>
      </c>
      <c r="T520" s="1760">
        <v>-36</v>
      </c>
      <c r="U520" s="1761">
        <v>0</v>
      </c>
      <c r="V520" s="1762">
        <v>-100</v>
      </c>
      <c r="W520" s="1757">
        <v>-100</v>
      </c>
      <c r="Z520" s="1773">
        <f t="shared" si="143"/>
        <v>0</v>
      </c>
      <c r="AA520" s="1773">
        <f t="shared" si="144"/>
        <v>0</v>
      </c>
      <c r="AB520" s="1773">
        <f t="shared" si="145"/>
        <v>0</v>
      </c>
      <c r="AC520" s="1773">
        <f t="shared" si="146"/>
        <v>0</v>
      </c>
      <c r="AD520" s="1773">
        <f t="shared" si="147"/>
        <v>0</v>
      </c>
      <c r="AE520" s="1773">
        <f t="shared" si="148"/>
        <v>0</v>
      </c>
      <c r="AF520" s="1773">
        <f t="shared" si="149"/>
        <v>0</v>
      </c>
      <c r="AG520" s="1773">
        <f t="shared" si="150"/>
        <v>0</v>
      </c>
      <c r="AH520" s="1773">
        <f t="shared" si="151"/>
        <v>0</v>
      </c>
      <c r="AI520" s="1773">
        <f t="shared" si="152"/>
        <v>0</v>
      </c>
      <c r="AJ520" s="1773">
        <f t="shared" si="153"/>
        <v>0</v>
      </c>
      <c r="AK520" s="1773">
        <f t="shared" si="154"/>
        <v>0</v>
      </c>
      <c r="AL520" s="1773">
        <f t="shared" si="155"/>
        <v>0</v>
      </c>
      <c r="AN520" s="1776"/>
      <c r="AO520" s="1776"/>
      <c r="AP520" s="1776"/>
      <c r="AQ520" s="1776"/>
      <c r="AR520" s="1776"/>
      <c r="AS520" s="1776"/>
      <c r="AT520" s="1776"/>
      <c r="AU520" s="1776"/>
      <c r="AV520" s="1776"/>
      <c r="AW520" s="1776"/>
      <c r="AX520" s="1776"/>
      <c r="AY520" s="1776"/>
      <c r="AZ520" s="1776">
        <v>1</v>
      </c>
    </row>
    <row r="521" spans="1:52" ht="13.5">
      <c r="A521" s="1479" t="s">
        <v>2950</v>
      </c>
      <c r="B521" s="1479" t="s">
        <v>2231</v>
      </c>
      <c r="C521" s="1741" t="s">
        <v>2108</v>
      </c>
      <c r="D521" s="1741">
        <v>3000</v>
      </c>
      <c r="E521" s="1741">
        <v>10</v>
      </c>
      <c r="F521" s="1741" t="s">
        <v>774</v>
      </c>
      <c r="G521" s="1741" t="s">
        <v>1018</v>
      </c>
      <c r="H521" s="1741" t="s">
        <v>1658</v>
      </c>
      <c r="I521" s="1753" t="s">
        <v>3003</v>
      </c>
      <c r="J521" s="1754" t="s">
        <v>2109</v>
      </c>
      <c r="K521" s="1753" t="s">
        <v>497</v>
      </c>
      <c r="L521" s="1754" t="s">
        <v>1158</v>
      </c>
      <c r="M521" s="1763"/>
      <c r="N521" s="1756">
        <v>334366.59999999998</v>
      </c>
      <c r="O521" s="1757">
        <v>355822.71</v>
      </c>
      <c r="P521" s="1758">
        <v>396469.95</v>
      </c>
      <c r="Q521" s="1759">
        <v>527950</v>
      </c>
      <c r="R521" s="1760">
        <v>527950</v>
      </c>
      <c r="S521" s="1760">
        <v>408929</v>
      </c>
      <c r="T521" s="1760">
        <v>408929</v>
      </c>
      <c r="U521" s="1761">
        <v>569018.39039999992</v>
      </c>
      <c r="V521" s="1762">
        <f>U521*108%</f>
        <v>614539.86163199996</v>
      </c>
      <c r="W521" s="1757">
        <f>V521*108%</f>
        <v>663703.05056255998</v>
      </c>
      <c r="Z521" s="1773">
        <f t="shared" si="143"/>
        <v>0</v>
      </c>
      <c r="AA521" s="1773">
        <f t="shared" si="144"/>
        <v>0</v>
      </c>
      <c r="AB521" s="1773">
        <f t="shared" si="145"/>
        <v>0</v>
      </c>
      <c r="AC521" s="1773">
        <f t="shared" si="146"/>
        <v>0</v>
      </c>
      <c r="AD521" s="1773">
        <f t="shared" si="147"/>
        <v>0</v>
      </c>
      <c r="AE521" s="1773">
        <f t="shared" si="148"/>
        <v>0</v>
      </c>
      <c r="AF521" s="1773">
        <f t="shared" si="149"/>
        <v>0</v>
      </c>
      <c r="AG521" s="1773">
        <f t="shared" si="150"/>
        <v>0</v>
      </c>
      <c r="AH521" s="1773">
        <f t="shared" si="151"/>
        <v>0</v>
      </c>
      <c r="AI521" s="1773">
        <f t="shared" si="152"/>
        <v>0</v>
      </c>
      <c r="AJ521" s="1773">
        <f t="shared" si="153"/>
        <v>0</v>
      </c>
      <c r="AK521" s="1773">
        <f t="shared" si="154"/>
        <v>0</v>
      </c>
      <c r="AL521" s="1773">
        <f t="shared" si="155"/>
        <v>569018.39039999992</v>
      </c>
      <c r="AN521" s="1776"/>
      <c r="AO521" s="1776"/>
      <c r="AP521" s="1776"/>
      <c r="AQ521" s="1776"/>
      <c r="AR521" s="1776"/>
      <c r="AS521" s="1776"/>
      <c r="AT521" s="1776"/>
      <c r="AU521" s="1776"/>
      <c r="AV521" s="1776"/>
      <c r="AW521" s="1776"/>
      <c r="AX521" s="1776"/>
      <c r="AY521" s="1776"/>
      <c r="AZ521" s="1776">
        <v>1</v>
      </c>
    </row>
    <row r="522" spans="1:52" ht="13.5">
      <c r="A522" s="1479" t="s">
        <v>2951</v>
      </c>
      <c r="B522" s="1479" t="s">
        <v>2262</v>
      </c>
      <c r="C522" s="1741" t="s">
        <v>2108</v>
      </c>
      <c r="D522" s="1741">
        <v>3000</v>
      </c>
      <c r="E522" s="1741">
        <v>20</v>
      </c>
      <c r="F522" s="1741" t="s">
        <v>774</v>
      </c>
      <c r="G522" s="1741" t="s">
        <v>1018</v>
      </c>
      <c r="H522" s="1741" t="s">
        <v>1658</v>
      </c>
      <c r="I522" s="1753" t="s">
        <v>3003</v>
      </c>
      <c r="J522" s="1754" t="s">
        <v>2109</v>
      </c>
      <c r="K522" s="1753" t="s">
        <v>497</v>
      </c>
      <c r="L522" s="1754" t="s">
        <v>1158</v>
      </c>
      <c r="M522" s="1766"/>
      <c r="N522" s="1756">
        <v>12971.3</v>
      </c>
      <c r="O522" s="1757">
        <v>42635</v>
      </c>
      <c r="P522" s="1758">
        <v>16690</v>
      </c>
      <c r="Q522" s="1759">
        <v>36000</v>
      </c>
      <c r="R522" s="1760">
        <v>36000</v>
      </c>
      <c r="S522" s="1760">
        <v>4032</v>
      </c>
      <c r="T522" s="1760">
        <v>4032</v>
      </c>
      <c r="U522" s="1761">
        <v>36000</v>
      </c>
      <c r="V522" s="1762">
        <v>37000</v>
      </c>
      <c r="W522" s="1757">
        <v>38000</v>
      </c>
      <c r="Z522" s="1773">
        <f t="shared" si="143"/>
        <v>0</v>
      </c>
      <c r="AA522" s="1773">
        <f t="shared" si="144"/>
        <v>0</v>
      </c>
      <c r="AB522" s="1773">
        <f t="shared" si="145"/>
        <v>0</v>
      </c>
      <c r="AC522" s="1773">
        <f t="shared" si="146"/>
        <v>0</v>
      </c>
      <c r="AD522" s="1773">
        <f t="shared" si="147"/>
        <v>0</v>
      </c>
      <c r="AE522" s="1773">
        <f t="shared" si="148"/>
        <v>0</v>
      </c>
      <c r="AF522" s="1773">
        <f t="shared" si="149"/>
        <v>0</v>
      </c>
      <c r="AG522" s="1773">
        <f t="shared" si="150"/>
        <v>0</v>
      </c>
      <c r="AH522" s="1773">
        <f t="shared" si="151"/>
        <v>0</v>
      </c>
      <c r="AI522" s="1773">
        <f t="shared" si="152"/>
        <v>0</v>
      </c>
      <c r="AJ522" s="1773">
        <f t="shared" si="153"/>
        <v>0</v>
      </c>
      <c r="AK522" s="1773">
        <f t="shared" si="154"/>
        <v>0</v>
      </c>
      <c r="AL522" s="1773">
        <f t="shared" si="155"/>
        <v>36000</v>
      </c>
      <c r="AN522" s="1776"/>
      <c r="AO522" s="1776"/>
      <c r="AP522" s="1776"/>
      <c r="AQ522" s="1776"/>
      <c r="AR522" s="1776"/>
      <c r="AS522" s="1776"/>
      <c r="AT522" s="1776"/>
      <c r="AU522" s="1776"/>
      <c r="AV522" s="1776"/>
      <c r="AW522" s="1776"/>
      <c r="AX522" s="1776"/>
      <c r="AY522" s="1776"/>
      <c r="AZ522" s="1776">
        <v>1</v>
      </c>
    </row>
    <row r="523" spans="1:52" ht="13.5">
      <c r="A523" s="1479" t="s">
        <v>2952</v>
      </c>
      <c r="B523" s="1479" t="s">
        <v>2233</v>
      </c>
      <c r="C523" s="1741" t="s">
        <v>2108</v>
      </c>
      <c r="D523" s="1741">
        <v>3000</v>
      </c>
      <c r="E523" s="1741">
        <v>30</v>
      </c>
      <c r="F523" s="1741" t="s">
        <v>774</v>
      </c>
      <c r="G523" s="1741" t="s">
        <v>1018</v>
      </c>
      <c r="H523" s="1741" t="s">
        <v>1658</v>
      </c>
      <c r="I523" s="1753" t="s">
        <v>3003</v>
      </c>
      <c r="J523" s="1754" t="s">
        <v>3004</v>
      </c>
      <c r="K523" s="1753" t="s">
        <v>497</v>
      </c>
      <c r="L523" s="1754" t="s">
        <v>1159</v>
      </c>
      <c r="M523" s="1766"/>
      <c r="N523" s="1756">
        <v>278.39999999999998</v>
      </c>
      <c r="O523" s="1757">
        <v>294.08999999999997</v>
      </c>
      <c r="P523" s="1758">
        <v>288.87</v>
      </c>
      <c r="Q523" s="1759">
        <v>535</v>
      </c>
      <c r="R523" s="1760">
        <v>535</v>
      </c>
      <c r="S523" s="1760">
        <v>323</v>
      </c>
      <c r="T523" s="1760">
        <v>323</v>
      </c>
      <c r="U523" s="1761">
        <v>6164.3658960000002</v>
      </c>
      <c r="V523" s="1762">
        <f>U523*108%</f>
        <v>6657.5151676800006</v>
      </c>
      <c r="W523" s="1757">
        <f>V523*108%</f>
        <v>7190.1163810944008</v>
      </c>
      <c r="Z523" s="1773">
        <f t="shared" si="143"/>
        <v>0</v>
      </c>
      <c r="AA523" s="1773">
        <f t="shared" si="144"/>
        <v>0</v>
      </c>
      <c r="AB523" s="1773">
        <f t="shared" si="145"/>
        <v>0</v>
      </c>
      <c r="AC523" s="1773">
        <f t="shared" si="146"/>
        <v>0</v>
      </c>
      <c r="AD523" s="1773">
        <f t="shared" si="147"/>
        <v>0</v>
      </c>
      <c r="AE523" s="1773">
        <f t="shared" si="148"/>
        <v>0</v>
      </c>
      <c r="AF523" s="1773">
        <f t="shared" si="149"/>
        <v>0</v>
      </c>
      <c r="AG523" s="1773">
        <f t="shared" si="150"/>
        <v>0</v>
      </c>
      <c r="AH523" s="1773">
        <f t="shared" si="151"/>
        <v>0</v>
      </c>
      <c r="AI523" s="1773">
        <f t="shared" si="152"/>
        <v>0</v>
      </c>
      <c r="AJ523" s="1773">
        <f t="shared" si="153"/>
        <v>0</v>
      </c>
      <c r="AK523" s="1773">
        <f t="shared" si="154"/>
        <v>0</v>
      </c>
      <c r="AL523" s="1773">
        <f t="shared" si="155"/>
        <v>6164.3658960000002</v>
      </c>
      <c r="AN523" s="1776"/>
      <c r="AO523" s="1776"/>
      <c r="AP523" s="1776"/>
      <c r="AQ523" s="1776"/>
      <c r="AR523" s="1776"/>
      <c r="AS523" s="1776"/>
      <c r="AT523" s="1776"/>
      <c r="AU523" s="1776"/>
      <c r="AV523" s="1776"/>
      <c r="AW523" s="1776"/>
      <c r="AX523" s="1776"/>
      <c r="AY523" s="1776"/>
      <c r="AZ523" s="1776">
        <v>1</v>
      </c>
    </row>
    <row r="524" spans="1:52" ht="13.5">
      <c r="A524" s="1479" t="s">
        <v>2953</v>
      </c>
      <c r="B524" s="1479" t="s">
        <v>2265</v>
      </c>
      <c r="C524" s="1741" t="s">
        <v>2108</v>
      </c>
      <c r="D524" s="1741">
        <v>3000</v>
      </c>
      <c r="E524" s="1741">
        <v>40</v>
      </c>
      <c r="F524" s="1741" t="s">
        <v>774</v>
      </c>
      <c r="G524" s="1741" t="s">
        <v>1018</v>
      </c>
      <c r="H524" s="1741" t="s">
        <v>1658</v>
      </c>
      <c r="I524" s="1753" t="s">
        <v>3003</v>
      </c>
      <c r="J524" s="1754" t="s">
        <v>2110</v>
      </c>
      <c r="K524" s="1753" t="s">
        <v>497</v>
      </c>
      <c r="L524" s="1754" t="s">
        <v>1159</v>
      </c>
      <c r="M524" s="1763"/>
      <c r="N524" s="1756">
        <v>1882.8</v>
      </c>
      <c r="O524" s="1757">
        <v>4503.3</v>
      </c>
      <c r="P524" s="1758">
        <v>2615.4</v>
      </c>
      <c r="Q524" s="1759">
        <v>3000</v>
      </c>
      <c r="R524" s="1760">
        <v>3000</v>
      </c>
      <c r="S524" s="1760">
        <v>2252</v>
      </c>
      <c r="T524" s="1760">
        <v>2252</v>
      </c>
      <c r="U524" s="1761">
        <v>0</v>
      </c>
      <c r="V524" s="1762">
        <v>3100</v>
      </c>
      <c r="W524" s="1757">
        <v>3200</v>
      </c>
      <c r="Z524" s="1773">
        <f t="shared" si="143"/>
        <v>0</v>
      </c>
      <c r="AA524" s="1773">
        <f t="shared" si="144"/>
        <v>0</v>
      </c>
      <c r="AB524" s="1773">
        <f t="shared" si="145"/>
        <v>0</v>
      </c>
      <c r="AC524" s="1773">
        <f t="shared" si="146"/>
        <v>0</v>
      </c>
      <c r="AD524" s="1773">
        <f t="shared" si="147"/>
        <v>0</v>
      </c>
      <c r="AE524" s="1773">
        <f t="shared" si="148"/>
        <v>0</v>
      </c>
      <c r="AF524" s="1773">
        <f t="shared" si="149"/>
        <v>0</v>
      </c>
      <c r="AG524" s="1773">
        <f t="shared" si="150"/>
        <v>0</v>
      </c>
      <c r="AH524" s="1773">
        <f t="shared" si="151"/>
        <v>0</v>
      </c>
      <c r="AI524" s="1773">
        <f t="shared" si="152"/>
        <v>0</v>
      </c>
      <c r="AJ524" s="1773">
        <f t="shared" si="153"/>
        <v>0</v>
      </c>
      <c r="AK524" s="1773">
        <f t="shared" si="154"/>
        <v>0</v>
      </c>
      <c r="AL524" s="1773">
        <f t="shared" si="155"/>
        <v>0</v>
      </c>
      <c r="AN524" s="1776"/>
      <c r="AO524" s="1776"/>
      <c r="AP524" s="1776"/>
      <c r="AQ524" s="1776"/>
      <c r="AR524" s="1776"/>
      <c r="AS524" s="1776"/>
      <c r="AT524" s="1776"/>
      <c r="AU524" s="1776"/>
      <c r="AV524" s="1776"/>
      <c r="AW524" s="1776"/>
      <c r="AX524" s="1776"/>
      <c r="AY524" s="1776"/>
      <c r="AZ524" s="1776">
        <v>1</v>
      </c>
    </row>
    <row r="525" spans="1:52">
      <c r="A525" s="1479" t="s">
        <v>2954</v>
      </c>
      <c r="B525" s="1479" t="s">
        <v>2235</v>
      </c>
      <c r="C525" s="1741" t="s">
        <v>2108</v>
      </c>
      <c r="D525" s="1741">
        <v>3000</v>
      </c>
      <c r="E525" s="1741">
        <v>50</v>
      </c>
      <c r="F525" s="1741" t="s">
        <v>774</v>
      </c>
      <c r="G525" s="1741" t="s">
        <v>1018</v>
      </c>
      <c r="H525" s="1741" t="s">
        <v>1658</v>
      </c>
      <c r="I525" s="1753" t="s">
        <v>3003</v>
      </c>
      <c r="J525" s="1754" t="s">
        <v>2110</v>
      </c>
      <c r="K525" s="1753" t="s">
        <v>497</v>
      </c>
      <c r="L525" s="1754" t="s">
        <v>1159</v>
      </c>
      <c r="M525" s="1754"/>
      <c r="N525" s="1756">
        <v>67659.360000000001</v>
      </c>
      <c r="O525" s="1757">
        <v>71961.45</v>
      </c>
      <c r="P525" s="1758">
        <v>79581</v>
      </c>
      <c r="Q525" s="1759">
        <v>120110</v>
      </c>
      <c r="R525" s="1760">
        <v>120110</v>
      </c>
      <c r="S525" s="1760">
        <v>77626</v>
      </c>
      <c r="T525" s="1760">
        <v>77626</v>
      </c>
      <c r="U525" s="1761">
        <v>129451.68381599999</v>
      </c>
      <c r="V525" s="1762">
        <f>U525*108%</f>
        <v>139807.81852127999</v>
      </c>
      <c r="W525" s="1757">
        <f>V525*108%</f>
        <v>150992.4440029824</v>
      </c>
      <c r="Z525" s="1773">
        <f t="shared" si="143"/>
        <v>0</v>
      </c>
      <c r="AA525" s="1773">
        <f t="shared" si="144"/>
        <v>0</v>
      </c>
      <c r="AB525" s="1773">
        <f t="shared" si="145"/>
        <v>0</v>
      </c>
      <c r="AC525" s="1773">
        <f t="shared" si="146"/>
        <v>0</v>
      </c>
      <c r="AD525" s="1773">
        <f t="shared" si="147"/>
        <v>0</v>
      </c>
      <c r="AE525" s="1773">
        <f t="shared" si="148"/>
        <v>0</v>
      </c>
      <c r="AF525" s="1773">
        <f t="shared" si="149"/>
        <v>0</v>
      </c>
      <c r="AG525" s="1773">
        <f t="shared" si="150"/>
        <v>0</v>
      </c>
      <c r="AH525" s="1773">
        <f t="shared" si="151"/>
        <v>0</v>
      </c>
      <c r="AI525" s="1773">
        <f t="shared" si="152"/>
        <v>0</v>
      </c>
      <c r="AJ525" s="1773">
        <f t="shared" si="153"/>
        <v>0</v>
      </c>
      <c r="AK525" s="1773">
        <f t="shared" si="154"/>
        <v>0</v>
      </c>
      <c r="AL525" s="1773">
        <f t="shared" si="155"/>
        <v>129451.68381599999</v>
      </c>
      <c r="AN525" s="1776"/>
      <c r="AO525" s="1776"/>
      <c r="AP525" s="1776"/>
      <c r="AQ525" s="1776"/>
      <c r="AR525" s="1776"/>
      <c r="AS525" s="1776"/>
      <c r="AT525" s="1776"/>
      <c r="AU525" s="1776"/>
      <c r="AV525" s="1776"/>
      <c r="AW525" s="1776"/>
      <c r="AX525" s="1776"/>
      <c r="AY525" s="1776"/>
      <c r="AZ525" s="1776">
        <v>1</v>
      </c>
    </row>
    <row r="526" spans="1:52">
      <c r="A526" s="1479" t="s">
        <v>2955</v>
      </c>
      <c r="B526" s="1479" t="s">
        <v>2237</v>
      </c>
      <c r="C526" s="1741" t="s">
        <v>2108</v>
      </c>
      <c r="D526" s="1741">
        <v>3000</v>
      </c>
      <c r="E526" s="1741">
        <v>60</v>
      </c>
      <c r="F526" s="1741" t="s">
        <v>774</v>
      </c>
      <c r="G526" s="1741" t="s">
        <v>1018</v>
      </c>
      <c r="H526" s="1741" t="s">
        <v>1658</v>
      </c>
      <c r="I526" s="1753" t="s">
        <v>3003</v>
      </c>
      <c r="J526" s="1754" t="s">
        <v>2110</v>
      </c>
      <c r="K526" s="1753" t="s">
        <v>497</v>
      </c>
      <c r="L526" s="1754" t="s">
        <v>1159</v>
      </c>
      <c r="M526" s="1754"/>
      <c r="N526" s="1756">
        <v>4429.8500000000004</v>
      </c>
      <c r="O526" s="1757">
        <v>4726.6899999999996</v>
      </c>
      <c r="P526" s="1758">
        <v>4834.76</v>
      </c>
      <c r="Q526" s="1759">
        <v>5720</v>
      </c>
      <c r="R526" s="1760">
        <v>5720</v>
      </c>
      <c r="S526" s="1760">
        <v>5040</v>
      </c>
      <c r="T526" s="1760">
        <v>5040</v>
      </c>
      <c r="U526" s="1761">
        <v>6164.3658960000002</v>
      </c>
      <c r="V526" s="1762">
        <v>6250</v>
      </c>
      <c r="W526" s="1757">
        <v>6550</v>
      </c>
      <c r="Z526" s="1773">
        <f t="shared" si="143"/>
        <v>0</v>
      </c>
      <c r="AA526" s="1773">
        <f t="shared" si="144"/>
        <v>0</v>
      </c>
      <c r="AB526" s="1773">
        <f t="shared" si="145"/>
        <v>0</v>
      </c>
      <c r="AC526" s="1773">
        <f t="shared" si="146"/>
        <v>0</v>
      </c>
      <c r="AD526" s="1773">
        <f t="shared" si="147"/>
        <v>0</v>
      </c>
      <c r="AE526" s="1773">
        <f t="shared" si="148"/>
        <v>0</v>
      </c>
      <c r="AF526" s="1773">
        <f t="shared" si="149"/>
        <v>0</v>
      </c>
      <c r="AG526" s="1773">
        <f t="shared" si="150"/>
        <v>0</v>
      </c>
      <c r="AH526" s="1773">
        <f t="shared" si="151"/>
        <v>0</v>
      </c>
      <c r="AI526" s="1773">
        <f t="shared" si="152"/>
        <v>0</v>
      </c>
      <c r="AJ526" s="1773">
        <f t="shared" si="153"/>
        <v>0</v>
      </c>
      <c r="AK526" s="1773">
        <f t="shared" si="154"/>
        <v>0</v>
      </c>
      <c r="AL526" s="1773">
        <f t="shared" si="155"/>
        <v>6164.3658960000002</v>
      </c>
      <c r="AN526" s="1776"/>
      <c r="AO526" s="1776"/>
      <c r="AP526" s="1776"/>
      <c r="AQ526" s="1776"/>
      <c r="AR526" s="1776"/>
      <c r="AS526" s="1776"/>
      <c r="AT526" s="1776"/>
      <c r="AU526" s="1776"/>
      <c r="AV526" s="1776"/>
      <c r="AW526" s="1776"/>
      <c r="AX526" s="1776"/>
      <c r="AY526" s="1776"/>
      <c r="AZ526" s="1776">
        <v>1</v>
      </c>
    </row>
    <row r="527" spans="1:52" ht="13.5">
      <c r="A527" s="1479" t="s">
        <v>2956</v>
      </c>
      <c r="B527" s="1479" t="s">
        <v>2271</v>
      </c>
      <c r="C527" s="1741" t="s">
        <v>2108</v>
      </c>
      <c r="D527" s="1741">
        <v>3000</v>
      </c>
      <c r="E527" s="1741">
        <v>100</v>
      </c>
      <c r="F527" s="1741" t="s">
        <v>774</v>
      </c>
      <c r="G527" s="1741" t="s">
        <v>1018</v>
      </c>
      <c r="H527" s="1741" t="s">
        <v>1658</v>
      </c>
      <c r="I527" s="1753" t="s">
        <v>3003</v>
      </c>
      <c r="J527" s="1754" t="s">
        <v>2145</v>
      </c>
      <c r="K527" s="1753" t="s">
        <v>497</v>
      </c>
      <c r="L527" s="1754" t="s">
        <v>1778</v>
      </c>
      <c r="M527" s="1439"/>
      <c r="N527" s="1756">
        <v>4887.4399999999996</v>
      </c>
      <c r="O527" s="1757">
        <v>0</v>
      </c>
      <c r="P527" s="1758">
        <v>5541.76</v>
      </c>
      <c r="Q527" s="1759">
        <v>12000</v>
      </c>
      <c r="R527" s="1760">
        <v>12000</v>
      </c>
      <c r="S527" s="1760">
        <v>9425</v>
      </c>
      <c r="T527" s="1760">
        <v>9425</v>
      </c>
      <c r="U527" s="1761">
        <v>12000</v>
      </c>
      <c r="V527" s="1762">
        <v>13000</v>
      </c>
      <c r="W527" s="1757">
        <v>14000</v>
      </c>
      <c r="Z527" s="1773">
        <f t="shared" si="143"/>
        <v>0</v>
      </c>
      <c r="AA527" s="1773">
        <f t="shared" si="144"/>
        <v>0</v>
      </c>
      <c r="AB527" s="1773">
        <f t="shared" si="145"/>
        <v>0</v>
      </c>
      <c r="AC527" s="1773">
        <f t="shared" si="146"/>
        <v>0</v>
      </c>
      <c r="AD527" s="1773">
        <f t="shared" si="147"/>
        <v>0</v>
      </c>
      <c r="AE527" s="1773">
        <f t="shared" si="148"/>
        <v>0</v>
      </c>
      <c r="AF527" s="1773">
        <f t="shared" si="149"/>
        <v>0</v>
      </c>
      <c r="AG527" s="1773">
        <f t="shared" si="150"/>
        <v>0</v>
      </c>
      <c r="AH527" s="1773">
        <f t="shared" si="151"/>
        <v>0</v>
      </c>
      <c r="AI527" s="1773">
        <f t="shared" si="152"/>
        <v>0</v>
      </c>
      <c r="AJ527" s="1773">
        <f t="shared" si="153"/>
        <v>0</v>
      </c>
      <c r="AK527" s="1773">
        <f t="shared" si="154"/>
        <v>0</v>
      </c>
      <c r="AL527" s="1773">
        <f t="shared" si="155"/>
        <v>12000</v>
      </c>
      <c r="AN527" s="1776"/>
      <c r="AO527" s="1776"/>
      <c r="AP527" s="1776"/>
      <c r="AQ527" s="1776"/>
      <c r="AR527" s="1776"/>
      <c r="AS527" s="1776"/>
      <c r="AT527" s="1776"/>
      <c r="AU527" s="1776"/>
      <c r="AV527" s="1776"/>
      <c r="AW527" s="1776"/>
      <c r="AX527" s="1776"/>
      <c r="AY527" s="1776"/>
      <c r="AZ527" s="1776">
        <v>1</v>
      </c>
    </row>
    <row r="528" spans="1:52">
      <c r="A528" s="1479" t="s">
        <v>2957</v>
      </c>
      <c r="B528" s="1479" t="s">
        <v>2241</v>
      </c>
      <c r="C528" s="1741" t="s">
        <v>2108</v>
      </c>
      <c r="D528" s="1741">
        <v>3000</v>
      </c>
      <c r="E528" s="1741">
        <v>140</v>
      </c>
      <c r="F528" s="1741" t="s">
        <v>774</v>
      </c>
      <c r="G528" s="1741" t="s">
        <v>1018</v>
      </c>
      <c r="H528" s="1741" t="s">
        <v>1658</v>
      </c>
      <c r="I528" s="1753" t="s">
        <v>3003</v>
      </c>
      <c r="J528" s="1754" t="s">
        <v>3005</v>
      </c>
      <c r="K528" s="1753" t="s">
        <v>497</v>
      </c>
      <c r="L528" s="1754" t="s">
        <v>1163</v>
      </c>
      <c r="M528" s="1754"/>
      <c r="N528" s="1756">
        <v>27602</v>
      </c>
      <c r="O528" s="1757">
        <v>29894.5</v>
      </c>
      <c r="P528" s="1758">
        <v>30709.59</v>
      </c>
      <c r="Q528" s="1759">
        <v>44000</v>
      </c>
      <c r="R528" s="1760">
        <v>44000</v>
      </c>
      <c r="S528" s="1760">
        <v>38382</v>
      </c>
      <c r="T528" s="1760">
        <v>38382</v>
      </c>
      <c r="U528" s="1761">
        <v>47418.199200000003</v>
      </c>
      <c r="V528" s="1762">
        <f>U528*108%</f>
        <v>51211.655136000008</v>
      </c>
      <c r="W528" s="1757">
        <f>V528*108%</f>
        <v>55308.587546880015</v>
      </c>
      <c r="Z528" s="1773">
        <f t="shared" si="143"/>
        <v>0</v>
      </c>
      <c r="AA528" s="1773">
        <f t="shared" si="144"/>
        <v>0</v>
      </c>
      <c r="AB528" s="1773">
        <f t="shared" si="145"/>
        <v>0</v>
      </c>
      <c r="AC528" s="1773">
        <f t="shared" si="146"/>
        <v>0</v>
      </c>
      <c r="AD528" s="1773">
        <f t="shared" si="147"/>
        <v>0</v>
      </c>
      <c r="AE528" s="1773">
        <f t="shared" si="148"/>
        <v>0</v>
      </c>
      <c r="AF528" s="1773">
        <f t="shared" si="149"/>
        <v>0</v>
      </c>
      <c r="AG528" s="1773">
        <f t="shared" si="150"/>
        <v>0</v>
      </c>
      <c r="AH528" s="1773">
        <f t="shared" si="151"/>
        <v>0</v>
      </c>
      <c r="AI528" s="1773">
        <f t="shared" si="152"/>
        <v>0</v>
      </c>
      <c r="AJ528" s="1773">
        <f t="shared" si="153"/>
        <v>0</v>
      </c>
      <c r="AK528" s="1773">
        <f t="shared" si="154"/>
        <v>0</v>
      </c>
      <c r="AL528" s="1773">
        <f t="shared" si="155"/>
        <v>47418.199200000003</v>
      </c>
      <c r="AN528" s="1776"/>
      <c r="AO528" s="1776"/>
      <c r="AP528" s="1776"/>
      <c r="AQ528" s="1776"/>
      <c r="AR528" s="1776"/>
      <c r="AS528" s="1776"/>
      <c r="AT528" s="1776"/>
      <c r="AU528" s="1776"/>
      <c r="AV528" s="1776"/>
      <c r="AW528" s="1776"/>
      <c r="AX528" s="1776"/>
      <c r="AY528" s="1776"/>
      <c r="AZ528" s="1776">
        <v>1</v>
      </c>
    </row>
    <row r="529" spans="1:52">
      <c r="A529" s="1479" t="s">
        <v>2958</v>
      </c>
      <c r="B529" s="1479" t="s">
        <v>2276</v>
      </c>
      <c r="C529" s="1741" t="s">
        <v>2108</v>
      </c>
      <c r="D529" s="1741">
        <v>3000</v>
      </c>
      <c r="E529" s="1741">
        <v>170</v>
      </c>
      <c r="F529" s="1741" t="s">
        <v>774</v>
      </c>
      <c r="G529" s="1741" t="s">
        <v>1018</v>
      </c>
      <c r="H529" s="1741" t="s">
        <v>1658</v>
      </c>
      <c r="I529" s="1753" t="s">
        <v>3003</v>
      </c>
      <c r="J529" s="1754" t="s">
        <v>1161</v>
      </c>
      <c r="K529" s="1753" t="s">
        <v>497</v>
      </c>
      <c r="L529" s="1754" t="s">
        <v>1161</v>
      </c>
      <c r="M529" s="1754"/>
      <c r="N529" s="1756">
        <v>74558.820000000007</v>
      </c>
      <c r="O529" s="1757">
        <v>84967.83</v>
      </c>
      <c r="P529" s="1758">
        <v>73220.73</v>
      </c>
      <c r="Q529" s="1759">
        <v>90000</v>
      </c>
      <c r="R529" s="1760">
        <v>90000</v>
      </c>
      <c r="S529" s="1760">
        <v>69819</v>
      </c>
      <c r="T529" s="1760">
        <v>69819</v>
      </c>
      <c r="U529" s="1761">
        <v>70000</v>
      </c>
      <c r="V529" s="1762">
        <v>91000</v>
      </c>
      <c r="W529" s="1757">
        <v>92000</v>
      </c>
      <c r="Z529" s="1773">
        <f t="shared" si="143"/>
        <v>0</v>
      </c>
      <c r="AA529" s="1773">
        <f t="shared" si="144"/>
        <v>0</v>
      </c>
      <c r="AB529" s="1773">
        <f t="shared" si="145"/>
        <v>0</v>
      </c>
      <c r="AC529" s="1773">
        <f t="shared" si="146"/>
        <v>0</v>
      </c>
      <c r="AD529" s="1773">
        <f t="shared" si="147"/>
        <v>0</v>
      </c>
      <c r="AE529" s="1773">
        <f t="shared" si="148"/>
        <v>0</v>
      </c>
      <c r="AF529" s="1773">
        <f t="shared" si="149"/>
        <v>0</v>
      </c>
      <c r="AG529" s="1773">
        <f t="shared" si="150"/>
        <v>0</v>
      </c>
      <c r="AH529" s="1773">
        <f t="shared" si="151"/>
        <v>0</v>
      </c>
      <c r="AI529" s="1773">
        <f t="shared" si="152"/>
        <v>0</v>
      </c>
      <c r="AJ529" s="1773">
        <f t="shared" si="153"/>
        <v>0</v>
      </c>
      <c r="AK529" s="1773">
        <f t="shared" si="154"/>
        <v>0</v>
      </c>
      <c r="AL529" s="1773">
        <f t="shared" si="155"/>
        <v>70000</v>
      </c>
      <c r="AN529" s="1776"/>
      <c r="AO529" s="1776"/>
      <c r="AP529" s="1776"/>
      <c r="AQ529" s="1776"/>
      <c r="AR529" s="1776"/>
      <c r="AS529" s="1776"/>
      <c r="AT529" s="1776"/>
      <c r="AU529" s="1776"/>
      <c r="AV529" s="1776"/>
      <c r="AW529" s="1776"/>
      <c r="AX529" s="1776"/>
      <c r="AY529" s="1776"/>
      <c r="AZ529" s="1776">
        <v>1</v>
      </c>
    </row>
    <row r="530" spans="1:52">
      <c r="A530" s="1479" t="s">
        <v>2959</v>
      </c>
      <c r="B530" s="1479" t="s">
        <v>2278</v>
      </c>
      <c r="C530" s="1741" t="s">
        <v>2108</v>
      </c>
      <c r="D530" s="1741">
        <v>3000</v>
      </c>
      <c r="E530" s="1741">
        <v>200</v>
      </c>
      <c r="F530" s="1741" t="s">
        <v>774</v>
      </c>
      <c r="G530" s="1741" t="s">
        <v>1018</v>
      </c>
      <c r="H530" s="1741" t="s">
        <v>1658</v>
      </c>
      <c r="I530" s="1753" t="s">
        <v>3003</v>
      </c>
      <c r="J530" s="1754" t="s">
        <v>2113</v>
      </c>
      <c r="K530" s="1753" t="s">
        <v>497</v>
      </c>
      <c r="L530" s="1754" t="s">
        <v>1160</v>
      </c>
      <c r="M530" s="1754"/>
      <c r="N530" s="1756">
        <v>109.9</v>
      </c>
      <c r="O530" s="1757">
        <v>0</v>
      </c>
      <c r="P530" s="1758">
        <v>0</v>
      </c>
      <c r="Q530" s="1759">
        <v>0</v>
      </c>
      <c r="R530" s="1760">
        <v>0</v>
      </c>
      <c r="S530" s="1760">
        <v>0</v>
      </c>
      <c r="T530" s="1760">
        <v>0</v>
      </c>
      <c r="U530" s="1761">
        <v>0</v>
      </c>
      <c r="V530" s="1762">
        <v>0</v>
      </c>
      <c r="W530" s="1757">
        <v>0</v>
      </c>
      <c r="Z530" s="1773">
        <f t="shared" si="143"/>
        <v>0</v>
      </c>
      <c r="AA530" s="1773">
        <f t="shared" si="144"/>
        <v>0</v>
      </c>
      <c r="AB530" s="1773">
        <f t="shared" si="145"/>
        <v>0</v>
      </c>
      <c r="AC530" s="1773">
        <f t="shared" si="146"/>
        <v>0</v>
      </c>
      <c r="AD530" s="1773">
        <f t="shared" si="147"/>
        <v>0</v>
      </c>
      <c r="AE530" s="1773">
        <f t="shared" si="148"/>
        <v>0</v>
      </c>
      <c r="AF530" s="1773">
        <f t="shared" si="149"/>
        <v>0</v>
      </c>
      <c r="AG530" s="1773">
        <f t="shared" si="150"/>
        <v>0</v>
      </c>
      <c r="AH530" s="1773">
        <f t="shared" si="151"/>
        <v>0</v>
      </c>
      <c r="AI530" s="1773">
        <f t="shared" si="152"/>
        <v>0</v>
      </c>
      <c r="AJ530" s="1773">
        <f t="shared" si="153"/>
        <v>0</v>
      </c>
      <c r="AK530" s="1773">
        <f t="shared" si="154"/>
        <v>0</v>
      </c>
      <c r="AL530" s="1773">
        <f t="shared" si="155"/>
        <v>0</v>
      </c>
      <c r="AN530" s="1776"/>
      <c r="AO530" s="1776"/>
      <c r="AP530" s="1776"/>
      <c r="AQ530" s="1776"/>
      <c r="AR530" s="1776"/>
      <c r="AS530" s="1776"/>
      <c r="AT530" s="1776"/>
      <c r="AU530" s="1776"/>
      <c r="AV530" s="1776"/>
      <c r="AW530" s="1776"/>
      <c r="AX530" s="1776"/>
      <c r="AY530" s="1776"/>
      <c r="AZ530" s="1776">
        <v>1</v>
      </c>
    </row>
    <row r="531" spans="1:52">
      <c r="A531" s="1479" t="s">
        <v>2960</v>
      </c>
      <c r="B531" s="1479" t="s">
        <v>2280</v>
      </c>
      <c r="C531" s="1741" t="s">
        <v>2108</v>
      </c>
      <c r="D531" s="1741">
        <v>3000</v>
      </c>
      <c r="E531" s="1741">
        <v>210</v>
      </c>
      <c r="F531" s="1741" t="s">
        <v>774</v>
      </c>
      <c r="G531" s="1741" t="s">
        <v>1018</v>
      </c>
      <c r="H531" s="1741" t="s">
        <v>1658</v>
      </c>
      <c r="I531" s="1753" t="s">
        <v>3003</v>
      </c>
      <c r="J531" s="1754" t="s">
        <v>2113</v>
      </c>
      <c r="K531" s="1753" t="s">
        <v>497</v>
      </c>
      <c r="L531" s="1754" t="s">
        <v>1160</v>
      </c>
      <c r="M531" s="1754"/>
      <c r="N531" s="1756">
        <v>5652</v>
      </c>
      <c r="O531" s="1757">
        <v>6202.61</v>
      </c>
      <c r="P531" s="1758">
        <v>5921.42</v>
      </c>
      <c r="Q531" s="1759">
        <v>8000</v>
      </c>
      <c r="R531" s="1760">
        <v>8000</v>
      </c>
      <c r="S531" s="1760">
        <v>6596</v>
      </c>
      <c r="T531" s="1760">
        <v>6596</v>
      </c>
      <c r="U531" s="1761">
        <v>8000</v>
      </c>
      <c r="V531" s="1762">
        <v>8100</v>
      </c>
      <c r="W531" s="1757">
        <v>8200</v>
      </c>
      <c r="Z531" s="1773">
        <f t="shared" si="143"/>
        <v>0</v>
      </c>
      <c r="AA531" s="1773">
        <f t="shared" si="144"/>
        <v>0</v>
      </c>
      <c r="AB531" s="1773">
        <f t="shared" si="145"/>
        <v>0</v>
      </c>
      <c r="AC531" s="1773">
        <f t="shared" si="146"/>
        <v>0</v>
      </c>
      <c r="AD531" s="1773">
        <f t="shared" si="147"/>
        <v>0</v>
      </c>
      <c r="AE531" s="1773">
        <f t="shared" si="148"/>
        <v>0</v>
      </c>
      <c r="AF531" s="1773">
        <f t="shared" si="149"/>
        <v>0</v>
      </c>
      <c r="AG531" s="1773">
        <f t="shared" si="150"/>
        <v>0</v>
      </c>
      <c r="AH531" s="1773">
        <f t="shared" si="151"/>
        <v>0</v>
      </c>
      <c r="AI531" s="1773">
        <f t="shared" si="152"/>
        <v>0</v>
      </c>
      <c r="AJ531" s="1773">
        <f t="shared" si="153"/>
        <v>0</v>
      </c>
      <c r="AK531" s="1773">
        <f t="shared" si="154"/>
        <v>0</v>
      </c>
      <c r="AL531" s="1773">
        <f t="shared" si="155"/>
        <v>8000</v>
      </c>
      <c r="AN531" s="1776"/>
      <c r="AO531" s="1776"/>
      <c r="AP531" s="1776"/>
      <c r="AQ531" s="1776"/>
      <c r="AR531" s="1776"/>
      <c r="AS531" s="1776"/>
      <c r="AT531" s="1776"/>
      <c r="AU531" s="1776"/>
      <c r="AV531" s="1776"/>
      <c r="AW531" s="1776"/>
      <c r="AX531" s="1776"/>
      <c r="AY531" s="1776"/>
      <c r="AZ531" s="1776">
        <v>1</v>
      </c>
    </row>
    <row r="532" spans="1:52">
      <c r="A532" s="1479" t="s">
        <v>2961</v>
      </c>
      <c r="B532" s="1479" t="s">
        <v>2243</v>
      </c>
      <c r="C532" s="1741" t="s">
        <v>2108</v>
      </c>
      <c r="D532" s="1741">
        <v>3000</v>
      </c>
      <c r="E532" s="1741">
        <v>520</v>
      </c>
      <c r="F532" s="1741" t="s">
        <v>774</v>
      </c>
      <c r="G532" s="1741" t="s">
        <v>1018</v>
      </c>
      <c r="H532" s="1741" t="s">
        <v>1658</v>
      </c>
      <c r="I532" s="1753" t="s">
        <v>2114</v>
      </c>
      <c r="J532" s="1754" t="s">
        <v>2138</v>
      </c>
      <c r="K532" s="1753" t="s">
        <v>2114</v>
      </c>
      <c r="L532" s="1754" t="s">
        <v>2138</v>
      </c>
      <c r="M532" s="1754"/>
      <c r="N532" s="1756">
        <v>7498.57</v>
      </c>
      <c r="O532" s="1757">
        <v>17696.169999999998</v>
      </c>
      <c r="P532" s="1758">
        <v>33564.550000000003</v>
      </c>
      <c r="Q532" s="1759">
        <v>47260</v>
      </c>
      <c r="R532" s="1760">
        <v>0</v>
      </c>
      <c r="S532" s="1760">
        <v>0</v>
      </c>
      <c r="T532" s="1760">
        <v>0</v>
      </c>
      <c r="U532" s="1761">
        <v>0</v>
      </c>
      <c r="V532" s="1762">
        <v>54350</v>
      </c>
      <c r="W532" s="1757">
        <v>62500</v>
      </c>
      <c r="Z532" s="1773">
        <f t="shared" si="143"/>
        <v>0</v>
      </c>
      <c r="AA532" s="1773">
        <f t="shared" si="144"/>
        <v>0</v>
      </c>
      <c r="AB532" s="1773">
        <f t="shared" si="145"/>
        <v>0</v>
      </c>
      <c r="AC532" s="1773">
        <f t="shared" si="146"/>
        <v>0</v>
      </c>
      <c r="AD532" s="1773">
        <f t="shared" si="147"/>
        <v>0</v>
      </c>
      <c r="AE532" s="1773">
        <f t="shared" si="148"/>
        <v>0</v>
      </c>
      <c r="AF532" s="1773">
        <f t="shared" si="149"/>
        <v>0</v>
      </c>
      <c r="AG532" s="1773">
        <f t="shared" si="150"/>
        <v>0</v>
      </c>
      <c r="AH532" s="1773">
        <f t="shared" si="151"/>
        <v>0</v>
      </c>
      <c r="AI532" s="1773">
        <f t="shared" si="152"/>
        <v>0</v>
      </c>
      <c r="AJ532" s="1773">
        <f t="shared" si="153"/>
        <v>0</v>
      </c>
      <c r="AK532" s="1773">
        <f t="shared" si="154"/>
        <v>0</v>
      </c>
      <c r="AL532" s="1773">
        <f t="shared" si="155"/>
        <v>0</v>
      </c>
      <c r="AN532" s="1776"/>
      <c r="AO532" s="1776"/>
      <c r="AP532" s="1776"/>
      <c r="AQ532" s="1776"/>
      <c r="AR532" s="1776"/>
      <c r="AS532" s="1776"/>
      <c r="AT532" s="1776"/>
      <c r="AU532" s="1776"/>
      <c r="AV532" s="1776"/>
      <c r="AW532" s="1776"/>
      <c r="AX532" s="1776"/>
      <c r="AY532" s="1776"/>
      <c r="AZ532" s="1776">
        <v>1</v>
      </c>
    </row>
    <row r="533" spans="1:52">
      <c r="A533" s="1479" t="s">
        <v>2962</v>
      </c>
      <c r="B533" s="1479" t="s">
        <v>2283</v>
      </c>
      <c r="C533" s="1741" t="s">
        <v>2108</v>
      </c>
      <c r="D533" s="1741">
        <v>3000</v>
      </c>
      <c r="E533" s="1741">
        <v>570</v>
      </c>
      <c r="F533" s="1741" t="s">
        <v>774</v>
      </c>
      <c r="G533" s="1741" t="s">
        <v>1018</v>
      </c>
      <c r="H533" s="1741" t="s">
        <v>1658</v>
      </c>
      <c r="I533" s="1753" t="s">
        <v>2114</v>
      </c>
      <c r="J533" s="1754" t="s">
        <v>3010</v>
      </c>
      <c r="K533" s="1753" t="s">
        <v>2114</v>
      </c>
      <c r="L533" s="1753" t="s">
        <v>3010</v>
      </c>
      <c r="M533" s="1754"/>
      <c r="N533" s="1756">
        <v>5095.4799999999996</v>
      </c>
      <c r="O533" s="1757">
        <v>10458.200000000001</v>
      </c>
      <c r="P533" s="1758">
        <v>3982.47</v>
      </c>
      <c r="Q533" s="1759">
        <v>11200</v>
      </c>
      <c r="R533" s="1760">
        <v>11200</v>
      </c>
      <c r="S533" s="1760">
        <v>2047</v>
      </c>
      <c r="T533" s="1760">
        <v>2047</v>
      </c>
      <c r="U533" s="1761">
        <v>2000</v>
      </c>
      <c r="V533" s="1762">
        <v>11300</v>
      </c>
      <c r="W533" s="1757">
        <v>11400</v>
      </c>
      <c r="Z533" s="1773">
        <f t="shared" si="143"/>
        <v>0</v>
      </c>
      <c r="AA533" s="1773">
        <f t="shared" si="144"/>
        <v>0</v>
      </c>
      <c r="AB533" s="1773">
        <f t="shared" si="145"/>
        <v>0</v>
      </c>
      <c r="AC533" s="1773">
        <f t="shared" si="146"/>
        <v>0</v>
      </c>
      <c r="AD533" s="1773">
        <f t="shared" si="147"/>
        <v>0</v>
      </c>
      <c r="AE533" s="1773">
        <f t="shared" si="148"/>
        <v>0</v>
      </c>
      <c r="AF533" s="1773">
        <f t="shared" si="149"/>
        <v>0</v>
      </c>
      <c r="AG533" s="1773">
        <f t="shared" si="150"/>
        <v>0</v>
      </c>
      <c r="AH533" s="1773">
        <f t="shared" si="151"/>
        <v>0</v>
      </c>
      <c r="AI533" s="1773">
        <f t="shared" si="152"/>
        <v>0</v>
      </c>
      <c r="AJ533" s="1773">
        <f t="shared" si="153"/>
        <v>0</v>
      </c>
      <c r="AK533" s="1773">
        <f t="shared" si="154"/>
        <v>0</v>
      </c>
      <c r="AL533" s="1773">
        <f t="shared" si="155"/>
        <v>2000</v>
      </c>
      <c r="AN533" s="1776"/>
      <c r="AO533" s="1776"/>
      <c r="AP533" s="1776"/>
      <c r="AQ533" s="1776"/>
      <c r="AR533" s="1776"/>
      <c r="AS533" s="1776"/>
      <c r="AT533" s="1776"/>
      <c r="AU533" s="1776"/>
      <c r="AV533" s="1776"/>
      <c r="AW533" s="1776"/>
      <c r="AX533" s="1776"/>
      <c r="AY533" s="1776"/>
      <c r="AZ533" s="1776">
        <v>1</v>
      </c>
    </row>
    <row r="534" spans="1:52">
      <c r="A534" s="1479" t="s">
        <v>2963</v>
      </c>
      <c r="B534" s="1479" t="s">
        <v>2288</v>
      </c>
      <c r="C534" s="1741" t="s">
        <v>2108</v>
      </c>
      <c r="D534" s="1741">
        <v>3000</v>
      </c>
      <c r="E534" s="1741">
        <v>690</v>
      </c>
      <c r="F534" s="1741" t="s">
        <v>774</v>
      </c>
      <c r="G534" s="1741" t="s">
        <v>1018</v>
      </c>
      <c r="H534" s="1741" t="s">
        <v>1658</v>
      </c>
      <c r="I534" s="1753" t="s">
        <v>2114</v>
      </c>
      <c r="J534" s="1754" t="s">
        <v>2124</v>
      </c>
      <c r="K534" s="1753" t="s">
        <v>2114</v>
      </c>
      <c r="L534" s="1754" t="s">
        <v>2124</v>
      </c>
      <c r="M534" s="1754"/>
      <c r="N534" s="1760">
        <v>88303.88</v>
      </c>
      <c r="O534" s="1757">
        <v>113264.04</v>
      </c>
      <c r="P534" s="1758">
        <v>163606.03</v>
      </c>
      <c r="Q534" s="1759">
        <v>170000</v>
      </c>
      <c r="R534" s="1760">
        <v>170000</v>
      </c>
      <c r="S534" s="1760">
        <v>194887</v>
      </c>
      <c r="T534" s="1760">
        <v>194887</v>
      </c>
      <c r="U534" s="1761">
        <v>200000</v>
      </c>
      <c r="V534" s="1762">
        <v>170000</v>
      </c>
      <c r="W534" s="1757">
        <v>170000</v>
      </c>
      <c r="Z534" s="1773">
        <f t="shared" si="143"/>
        <v>0</v>
      </c>
      <c r="AA534" s="1773">
        <f t="shared" si="144"/>
        <v>0</v>
      </c>
      <c r="AB534" s="1773">
        <f t="shared" si="145"/>
        <v>0</v>
      </c>
      <c r="AC534" s="1773">
        <f t="shared" si="146"/>
        <v>0</v>
      </c>
      <c r="AD534" s="1773">
        <f t="shared" si="147"/>
        <v>0</v>
      </c>
      <c r="AE534" s="1773">
        <f t="shared" si="148"/>
        <v>0</v>
      </c>
      <c r="AF534" s="1773">
        <f t="shared" si="149"/>
        <v>0</v>
      </c>
      <c r="AG534" s="1773">
        <f t="shared" si="150"/>
        <v>0</v>
      </c>
      <c r="AH534" s="1773">
        <f t="shared" si="151"/>
        <v>0</v>
      </c>
      <c r="AI534" s="1773">
        <f t="shared" si="152"/>
        <v>0</v>
      </c>
      <c r="AJ534" s="1773">
        <f t="shared" si="153"/>
        <v>0</v>
      </c>
      <c r="AK534" s="1773">
        <f t="shared" si="154"/>
        <v>0</v>
      </c>
      <c r="AL534" s="1773">
        <f t="shared" si="155"/>
        <v>200000</v>
      </c>
      <c r="AN534" s="1776"/>
      <c r="AO534" s="1776"/>
      <c r="AP534" s="1776"/>
      <c r="AQ534" s="1776"/>
      <c r="AR534" s="1776"/>
      <c r="AS534" s="1776"/>
      <c r="AT534" s="1776"/>
      <c r="AU534" s="1776"/>
      <c r="AV534" s="1776"/>
      <c r="AW534" s="1776"/>
      <c r="AX534" s="1776"/>
      <c r="AY534" s="1776"/>
      <c r="AZ534" s="1776">
        <v>1</v>
      </c>
    </row>
    <row r="535" spans="1:52">
      <c r="A535" s="1479" t="s">
        <v>2964</v>
      </c>
      <c r="B535" s="1479" t="s">
        <v>2290</v>
      </c>
      <c r="C535" s="1741" t="s">
        <v>2108</v>
      </c>
      <c r="D535" s="1741">
        <v>3000</v>
      </c>
      <c r="E535" s="1741">
        <v>700</v>
      </c>
      <c r="F535" s="1741" t="s">
        <v>774</v>
      </c>
      <c r="G535" s="1741" t="s">
        <v>1018</v>
      </c>
      <c r="H535" s="1741" t="s">
        <v>1658</v>
      </c>
      <c r="I535" s="1753" t="s">
        <v>2114</v>
      </c>
      <c r="J535" s="1754" t="s">
        <v>3011</v>
      </c>
      <c r="K535" s="1753" t="s">
        <v>2114</v>
      </c>
      <c r="L535" s="1754" t="s">
        <v>3011</v>
      </c>
      <c r="M535" s="1754"/>
      <c r="N535" s="1756">
        <v>2244.7199999999998</v>
      </c>
      <c r="O535" s="1757">
        <v>2538.1999999999998</v>
      </c>
      <c r="P535" s="1758">
        <v>15123.1</v>
      </c>
      <c r="Q535" s="1759">
        <v>10000</v>
      </c>
      <c r="R535" s="1760">
        <v>10000</v>
      </c>
      <c r="S535" s="1760">
        <v>1120</v>
      </c>
      <c r="T535" s="1760">
        <v>1120</v>
      </c>
      <c r="U535" s="1761">
        <v>10000</v>
      </c>
      <c r="V535" s="1762">
        <v>10000</v>
      </c>
      <c r="W535" s="1757">
        <v>10000</v>
      </c>
      <c r="Z535" s="1773">
        <f t="shared" si="143"/>
        <v>0</v>
      </c>
      <c r="AA535" s="1773">
        <f t="shared" si="144"/>
        <v>0</v>
      </c>
      <c r="AB535" s="1773">
        <f t="shared" si="145"/>
        <v>0</v>
      </c>
      <c r="AC535" s="1773">
        <f t="shared" si="146"/>
        <v>0</v>
      </c>
      <c r="AD535" s="1773">
        <f t="shared" si="147"/>
        <v>0</v>
      </c>
      <c r="AE535" s="1773">
        <f t="shared" si="148"/>
        <v>0</v>
      </c>
      <c r="AF535" s="1773">
        <f t="shared" si="149"/>
        <v>0</v>
      </c>
      <c r="AG535" s="1773">
        <f t="shared" si="150"/>
        <v>0</v>
      </c>
      <c r="AH535" s="1773">
        <f t="shared" si="151"/>
        <v>0</v>
      </c>
      <c r="AI535" s="1773">
        <f t="shared" si="152"/>
        <v>0</v>
      </c>
      <c r="AJ535" s="1773">
        <f t="shared" si="153"/>
        <v>0</v>
      </c>
      <c r="AK535" s="1773">
        <f t="shared" si="154"/>
        <v>0</v>
      </c>
      <c r="AL535" s="1773">
        <f t="shared" si="155"/>
        <v>10000</v>
      </c>
      <c r="AN535" s="1776"/>
      <c r="AO535" s="1776"/>
      <c r="AP535" s="1776"/>
      <c r="AQ535" s="1776"/>
      <c r="AR535" s="1776"/>
      <c r="AS535" s="1776"/>
      <c r="AT535" s="1776"/>
      <c r="AU535" s="1776"/>
      <c r="AV535" s="1776"/>
      <c r="AW535" s="1776"/>
      <c r="AX535" s="1776"/>
      <c r="AY535" s="1776"/>
      <c r="AZ535" s="1776">
        <v>1</v>
      </c>
    </row>
    <row r="536" spans="1:52">
      <c r="A536" s="1479" t="s">
        <v>2965</v>
      </c>
      <c r="B536" s="1479" t="s">
        <v>2292</v>
      </c>
      <c r="C536" s="1741" t="s">
        <v>2108</v>
      </c>
      <c r="D536" s="1741">
        <v>3000</v>
      </c>
      <c r="E536" s="1741">
        <v>710</v>
      </c>
      <c r="F536" s="1741" t="s">
        <v>774</v>
      </c>
      <c r="G536" s="1741" t="s">
        <v>1018</v>
      </c>
      <c r="H536" s="1741" t="s">
        <v>1658</v>
      </c>
      <c r="I536" s="1753" t="s">
        <v>2114</v>
      </c>
      <c r="J536" s="1754"/>
      <c r="K536" s="1753" t="s">
        <v>2114</v>
      </c>
      <c r="L536" s="1754" t="s">
        <v>502</v>
      </c>
      <c r="M536" s="1754"/>
      <c r="N536" s="1756">
        <v>1413.3</v>
      </c>
      <c r="O536" s="1757">
        <v>2104</v>
      </c>
      <c r="P536" s="1758">
        <v>2563.8000000000002</v>
      </c>
      <c r="Q536" s="1759">
        <v>3000</v>
      </c>
      <c r="R536" s="1760">
        <v>3000</v>
      </c>
      <c r="S536" s="1760">
        <v>2340</v>
      </c>
      <c r="T536" s="1760">
        <v>2340</v>
      </c>
      <c r="U536" s="1761">
        <v>3000</v>
      </c>
      <c r="V536" s="1762">
        <v>3000</v>
      </c>
      <c r="W536" s="1757">
        <v>3000</v>
      </c>
      <c r="Z536" s="1773">
        <f t="shared" si="143"/>
        <v>0</v>
      </c>
      <c r="AA536" s="1773">
        <f t="shared" si="144"/>
        <v>0</v>
      </c>
      <c r="AB536" s="1773">
        <f t="shared" si="145"/>
        <v>0</v>
      </c>
      <c r="AC536" s="1773">
        <f t="shared" si="146"/>
        <v>0</v>
      </c>
      <c r="AD536" s="1773">
        <f t="shared" si="147"/>
        <v>0</v>
      </c>
      <c r="AE536" s="1773">
        <f t="shared" si="148"/>
        <v>0</v>
      </c>
      <c r="AF536" s="1773">
        <f t="shared" si="149"/>
        <v>0</v>
      </c>
      <c r="AG536" s="1773">
        <f t="shared" si="150"/>
        <v>0</v>
      </c>
      <c r="AH536" s="1773">
        <f t="shared" si="151"/>
        <v>0</v>
      </c>
      <c r="AI536" s="1773">
        <f t="shared" si="152"/>
        <v>0</v>
      </c>
      <c r="AJ536" s="1773">
        <f t="shared" si="153"/>
        <v>0</v>
      </c>
      <c r="AK536" s="1773">
        <f t="shared" si="154"/>
        <v>0</v>
      </c>
      <c r="AL536" s="1773">
        <f t="shared" si="155"/>
        <v>3000</v>
      </c>
      <c r="AN536" s="1776"/>
      <c r="AO536" s="1776"/>
      <c r="AP536" s="1776"/>
      <c r="AQ536" s="1776"/>
      <c r="AR536" s="1776"/>
      <c r="AS536" s="1776"/>
      <c r="AT536" s="1776"/>
      <c r="AU536" s="1776"/>
      <c r="AV536" s="1776"/>
      <c r="AW536" s="1776"/>
      <c r="AX536" s="1776"/>
      <c r="AY536" s="1776"/>
      <c r="AZ536" s="1776">
        <v>1</v>
      </c>
    </row>
    <row r="537" spans="1:52">
      <c r="A537" s="1479" t="s">
        <v>2966</v>
      </c>
      <c r="B537" s="1479" t="s">
        <v>2247</v>
      </c>
      <c r="C537" s="1741" t="s">
        <v>2108</v>
      </c>
      <c r="D537" s="1741">
        <v>3000</v>
      </c>
      <c r="E537" s="1741">
        <v>790</v>
      </c>
      <c r="F537" s="1741" t="s">
        <v>774</v>
      </c>
      <c r="G537" s="1741" t="s">
        <v>1018</v>
      </c>
      <c r="H537" s="1741" t="s">
        <v>1658</v>
      </c>
      <c r="I537" s="1753" t="s">
        <v>2114</v>
      </c>
      <c r="J537" s="1754" t="s">
        <v>3007</v>
      </c>
      <c r="K537" s="1753" t="s">
        <v>2114</v>
      </c>
      <c r="L537" s="1754" t="s">
        <v>3007</v>
      </c>
      <c r="M537" s="1754"/>
      <c r="N537" s="1756">
        <v>4545.0200000000004</v>
      </c>
      <c r="O537" s="1757">
        <v>20562.8</v>
      </c>
      <c r="P537" s="1758">
        <v>58248.33</v>
      </c>
      <c r="Q537" s="1759">
        <v>80000</v>
      </c>
      <c r="R537" s="1760">
        <v>80000</v>
      </c>
      <c r="S537" s="1760">
        <v>49302</v>
      </c>
      <c r="T537" s="1760">
        <v>49302</v>
      </c>
      <c r="U537" s="1761">
        <v>100000</v>
      </c>
      <c r="V537" s="1762">
        <v>80000</v>
      </c>
      <c r="W537" s="1757">
        <v>80000</v>
      </c>
      <c r="Z537" s="1773">
        <f t="shared" si="143"/>
        <v>0</v>
      </c>
      <c r="AA537" s="1773">
        <f t="shared" si="144"/>
        <v>0</v>
      </c>
      <c r="AB537" s="1773">
        <f t="shared" si="145"/>
        <v>0</v>
      </c>
      <c r="AC537" s="1773">
        <f t="shared" si="146"/>
        <v>0</v>
      </c>
      <c r="AD537" s="1773">
        <f t="shared" si="147"/>
        <v>0</v>
      </c>
      <c r="AE537" s="1773">
        <f t="shared" si="148"/>
        <v>0</v>
      </c>
      <c r="AF537" s="1773">
        <f t="shared" si="149"/>
        <v>0</v>
      </c>
      <c r="AG537" s="1773">
        <f t="shared" si="150"/>
        <v>0</v>
      </c>
      <c r="AH537" s="1773">
        <f t="shared" si="151"/>
        <v>0</v>
      </c>
      <c r="AI537" s="1773">
        <f t="shared" si="152"/>
        <v>0</v>
      </c>
      <c r="AJ537" s="1773">
        <f t="shared" si="153"/>
        <v>0</v>
      </c>
      <c r="AK537" s="1773">
        <f t="shared" si="154"/>
        <v>0</v>
      </c>
      <c r="AL537" s="1773">
        <f t="shared" si="155"/>
        <v>100000</v>
      </c>
      <c r="AN537" s="1776"/>
      <c r="AO537" s="1776"/>
      <c r="AP537" s="1776"/>
      <c r="AQ537" s="1776"/>
      <c r="AR537" s="1776"/>
      <c r="AS537" s="1776"/>
      <c r="AT537" s="1776"/>
      <c r="AU537" s="1776"/>
      <c r="AV537" s="1776"/>
      <c r="AW537" s="1776"/>
      <c r="AX537" s="1776"/>
      <c r="AY537" s="1776"/>
      <c r="AZ537" s="1776">
        <v>1</v>
      </c>
    </row>
    <row r="538" spans="1:52">
      <c r="A538" s="1479" t="s">
        <v>2967</v>
      </c>
      <c r="B538" s="1479" t="s">
        <v>2546</v>
      </c>
      <c r="C538" s="1741" t="s">
        <v>2108</v>
      </c>
      <c r="D538" s="1741">
        <v>3000</v>
      </c>
      <c r="E538" s="1741">
        <v>1000</v>
      </c>
      <c r="F538" s="1741" t="s">
        <v>774</v>
      </c>
      <c r="G538" s="1741" t="s">
        <v>1018</v>
      </c>
      <c r="H538" s="1741" t="s">
        <v>1658</v>
      </c>
      <c r="I538" s="1753" t="s">
        <v>2114</v>
      </c>
      <c r="J538" s="1754" t="s">
        <v>2546</v>
      </c>
      <c r="K538" s="1753" t="s">
        <v>2114</v>
      </c>
      <c r="L538" s="1754" t="s">
        <v>3015</v>
      </c>
      <c r="M538" s="1754"/>
      <c r="N538" s="1756">
        <v>0</v>
      </c>
      <c r="O538" s="1757">
        <v>144532.29999999999</v>
      </c>
      <c r="P538" s="1758">
        <v>65852.3754385965</v>
      </c>
      <c r="Q538" s="1759">
        <v>0</v>
      </c>
      <c r="R538" s="1760">
        <v>0</v>
      </c>
      <c r="S538" s="1760">
        <v>0</v>
      </c>
      <c r="T538" s="1760">
        <v>0</v>
      </c>
      <c r="U538" s="1761">
        <v>0</v>
      </c>
      <c r="V538" s="1762">
        <v>0</v>
      </c>
      <c r="W538" s="1757">
        <v>0</v>
      </c>
      <c r="Z538" s="1773">
        <f t="shared" si="143"/>
        <v>0</v>
      </c>
      <c r="AA538" s="1773">
        <f t="shared" si="144"/>
        <v>0</v>
      </c>
      <c r="AB538" s="1773">
        <f t="shared" si="145"/>
        <v>0</v>
      </c>
      <c r="AC538" s="1773">
        <f t="shared" si="146"/>
        <v>0</v>
      </c>
      <c r="AD538" s="1773">
        <f t="shared" si="147"/>
        <v>0</v>
      </c>
      <c r="AE538" s="1773">
        <f t="shared" si="148"/>
        <v>0</v>
      </c>
      <c r="AF538" s="1773">
        <f t="shared" si="149"/>
        <v>0</v>
      </c>
      <c r="AG538" s="1773">
        <f t="shared" si="150"/>
        <v>0</v>
      </c>
      <c r="AH538" s="1773">
        <f t="shared" si="151"/>
        <v>0</v>
      </c>
      <c r="AI538" s="1773">
        <f t="shared" si="152"/>
        <v>0</v>
      </c>
      <c r="AJ538" s="1773">
        <f t="shared" si="153"/>
        <v>0</v>
      </c>
      <c r="AK538" s="1773">
        <f t="shared" si="154"/>
        <v>0</v>
      </c>
      <c r="AL538" s="1773">
        <f t="shared" si="155"/>
        <v>0</v>
      </c>
      <c r="AN538" s="1776"/>
      <c r="AO538" s="1776"/>
      <c r="AP538" s="1776"/>
      <c r="AQ538" s="1776"/>
      <c r="AR538" s="1776"/>
      <c r="AS538" s="1776"/>
      <c r="AT538" s="1776"/>
      <c r="AU538" s="1776"/>
      <c r="AV538" s="1776"/>
      <c r="AW538" s="1776"/>
      <c r="AX538" s="1776"/>
      <c r="AY538" s="1776"/>
      <c r="AZ538" s="1776">
        <v>1</v>
      </c>
    </row>
    <row r="539" spans="1:52">
      <c r="A539" s="1479" t="s">
        <v>2968</v>
      </c>
      <c r="B539" s="1479" t="s">
        <v>2782</v>
      </c>
      <c r="C539" s="1741" t="s">
        <v>2108</v>
      </c>
      <c r="D539" s="1741">
        <v>3000</v>
      </c>
      <c r="E539" s="1741">
        <v>1030</v>
      </c>
      <c r="F539" s="1741" t="s">
        <v>774</v>
      </c>
      <c r="G539" s="1741" t="s">
        <v>1018</v>
      </c>
      <c r="H539" s="1741" t="s">
        <v>1658</v>
      </c>
      <c r="I539" s="1753" t="s">
        <v>2114</v>
      </c>
      <c r="J539" s="1754"/>
      <c r="K539" s="1753" t="s">
        <v>2114</v>
      </c>
      <c r="L539" s="1754" t="s">
        <v>502</v>
      </c>
      <c r="M539" s="1754"/>
      <c r="N539" s="1756">
        <v>0</v>
      </c>
      <c r="O539" s="1757">
        <v>630.1</v>
      </c>
      <c r="P539" s="1758">
        <v>0</v>
      </c>
      <c r="Q539" s="1759">
        <v>0</v>
      </c>
      <c r="R539" s="1760">
        <v>0</v>
      </c>
      <c r="S539" s="1760">
        <v>0</v>
      </c>
      <c r="T539" s="1760">
        <v>0</v>
      </c>
      <c r="U539" s="1761">
        <v>0</v>
      </c>
      <c r="V539" s="1762">
        <v>0</v>
      </c>
      <c r="W539" s="1757">
        <v>0</v>
      </c>
      <c r="Z539" s="1773">
        <f t="shared" si="143"/>
        <v>0</v>
      </c>
      <c r="AA539" s="1773">
        <f t="shared" si="144"/>
        <v>0</v>
      </c>
      <c r="AB539" s="1773">
        <f t="shared" si="145"/>
        <v>0</v>
      </c>
      <c r="AC539" s="1773">
        <f t="shared" si="146"/>
        <v>0</v>
      </c>
      <c r="AD539" s="1773">
        <f t="shared" si="147"/>
        <v>0</v>
      </c>
      <c r="AE539" s="1773">
        <f t="shared" si="148"/>
        <v>0</v>
      </c>
      <c r="AF539" s="1773">
        <f t="shared" si="149"/>
        <v>0</v>
      </c>
      <c r="AG539" s="1773">
        <f t="shared" si="150"/>
        <v>0</v>
      </c>
      <c r="AH539" s="1773">
        <f t="shared" si="151"/>
        <v>0</v>
      </c>
      <c r="AI539" s="1773">
        <f t="shared" si="152"/>
        <v>0</v>
      </c>
      <c r="AJ539" s="1773">
        <f t="shared" si="153"/>
        <v>0</v>
      </c>
      <c r="AK539" s="1773">
        <f t="shared" si="154"/>
        <v>0</v>
      </c>
      <c r="AL539" s="1773">
        <f t="shared" si="155"/>
        <v>0</v>
      </c>
      <c r="AN539" s="1776"/>
      <c r="AO539" s="1776"/>
      <c r="AP539" s="1776"/>
      <c r="AQ539" s="1776"/>
      <c r="AR539" s="1776"/>
      <c r="AS539" s="1776"/>
      <c r="AT539" s="1776"/>
      <c r="AU539" s="1776"/>
      <c r="AV539" s="1776"/>
      <c r="AW539" s="1776"/>
      <c r="AX539" s="1776"/>
      <c r="AY539" s="1776"/>
      <c r="AZ539" s="1776">
        <v>1</v>
      </c>
    </row>
    <row r="540" spans="1:52">
      <c r="A540" s="1479" t="s">
        <v>2969</v>
      </c>
      <c r="B540" s="1479" t="s">
        <v>2295</v>
      </c>
      <c r="C540" s="1741" t="s">
        <v>2108</v>
      </c>
      <c r="D540" s="1741">
        <v>3000</v>
      </c>
      <c r="E540" s="1741">
        <v>1090</v>
      </c>
      <c r="F540" s="1741" t="s">
        <v>774</v>
      </c>
      <c r="G540" s="1741" t="s">
        <v>1018</v>
      </c>
      <c r="H540" s="1741" t="s">
        <v>1658</v>
      </c>
      <c r="I540" s="1753" t="s">
        <v>2114</v>
      </c>
      <c r="J540" s="1754" t="s">
        <v>3012</v>
      </c>
      <c r="K540" s="1753" t="s">
        <v>2114</v>
      </c>
      <c r="L540" s="1754" t="s">
        <v>3012</v>
      </c>
      <c r="M540" s="1754"/>
      <c r="N540" s="1756">
        <v>35438.29</v>
      </c>
      <c r="O540" s="1757">
        <v>23767</v>
      </c>
      <c r="P540" s="1758">
        <v>755153.37</v>
      </c>
      <c r="Q540" s="1759">
        <v>500000</v>
      </c>
      <c r="R540" s="1760">
        <v>780000</v>
      </c>
      <c r="S540" s="1760">
        <v>1191882</v>
      </c>
      <c r="T540" s="1760">
        <v>1191882</v>
      </c>
      <c r="U540" s="1761">
        <v>1000000</v>
      </c>
      <c r="V540" s="1762">
        <v>501000</v>
      </c>
      <c r="W540" s="1757">
        <v>550000</v>
      </c>
      <c r="Z540" s="1773">
        <f t="shared" si="143"/>
        <v>0</v>
      </c>
      <c r="AA540" s="1773">
        <f t="shared" si="144"/>
        <v>0</v>
      </c>
      <c r="AB540" s="1773">
        <f t="shared" si="145"/>
        <v>0</v>
      </c>
      <c r="AC540" s="1773">
        <f t="shared" si="146"/>
        <v>0</v>
      </c>
      <c r="AD540" s="1773">
        <f t="shared" si="147"/>
        <v>0</v>
      </c>
      <c r="AE540" s="1773">
        <f t="shared" si="148"/>
        <v>0</v>
      </c>
      <c r="AF540" s="1773">
        <f t="shared" si="149"/>
        <v>0</v>
      </c>
      <c r="AG540" s="1773">
        <f t="shared" si="150"/>
        <v>0</v>
      </c>
      <c r="AH540" s="1773">
        <f t="shared" si="151"/>
        <v>0</v>
      </c>
      <c r="AI540" s="1773">
        <f t="shared" si="152"/>
        <v>0</v>
      </c>
      <c r="AJ540" s="1773">
        <f t="shared" si="153"/>
        <v>0</v>
      </c>
      <c r="AK540" s="1773">
        <f t="shared" si="154"/>
        <v>0</v>
      </c>
      <c r="AL540" s="1773">
        <f t="shared" si="155"/>
        <v>1000000</v>
      </c>
      <c r="AN540" s="1776"/>
      <c r="AO540" s="1776"/>
      <c r="AP540" s="1776"/>
      <c r="AQ540" s="1776"/>
      <c r="AR540" s="1776"/>
      <c r="AS540" s="1776"/>
      <c r="AT540" s="1776"/>
      <c r="AU540" s="1776"/>
      <c r="AV540" s="1776"/>
      <c r="AW540" s="1776"/>
      <c r="AX540" s="1776"/>
      <c r="AY540" s="1776"/>
      <c r="AZ540" s="1776">
        <v>1</v>
      </c>
    </row>
    <row r="541" spans="1:52">
      <c r="A541" s="1479" t="s">
        <v>2970</v>
      </c>
      <c r="B541" s="1479" t="s">
        <v>2297</v>
      </c>
      <c r="C541" s="1741" t="s">
        <v>2108</v>
      </c>
      <c r="D541" s="1741">
        <v>3000</v>
      </c>
      <c r="E541" s="1741">
        <v>1100</v>
      </c>
      <c r="F541" s="1741" t="s">
        <v>774</v>
      </c>
      <c r="G541" s="1741" t="s">
        <v>1018</v>
      </c>
      <c r="H541" s="1741" t="s">
        <v>1658</v>
      </c>
      <c r="I541" s="1753" t="s">
        <v>2114</v>
      </c>
      <c r="J541" s="1754" t="s">
        <v>3012</v>
      </c>
      <c r="K541" s="1753" t="s">
        <v>2114</v>
      </c>
      <c r="L541" s="1754" t="s">
        <v>3012</v>
      </c>
      <c r="M541" s="1754"/>
      <c r="N541" s="1756">
        <v>133140.42000000001</v>
      </c>
      <c r="O541" s="1757">
        <v>28872.89</v>
      </c>
      <c r="P541" s="1758">
        <v>94114.880000000005</v>
      </c>
      <c r="Q541" s="1759">
        <v>100000</v>
      </c>
      <c r="R541" s="1760">
        <v>140000</v>
      </c>
      <c r="S541" s="1760">
        <v>119274</v>
      </c>
      <c r="T541" s="1760">
        <v>119274</v>
      </c>
      <c r="U541" s="1761">
        <v>120000</v>
      </c>
      <c r="V541" s="1762">
        <v>130000</v>
      </c>
      <c r="W541" s="1757">
        <v>135000</v>
      </c>
      <c r="Z541" s="1773">
        <f t="shared" si="143"/>
        <v>0</v>
      </c>
      <c r="AA541" s="1773">
        <f t="shared" si="144"/>
        <v>0</v>
      </c>
      <c r="AB541" s="1773">
        <f t="shared" si="145"/>
        <v>0</v>
      </c>
      <c r="AC541" s="1773">
        <f t="shared" si="146"/>
        <v>0</v>
      </c>
      <c r="AD541" s="1773">
        <f t="shared" si="147"/>
        <v>0</v>
      </c>
      <c r="AE541" s="1773">
        <f t="shared" si="148"/>
        <v>0</v>
      </c>
      <c r="AF541" s="1773">
        <f t="shared" si="149"/>
        <v>0</v>
      </c>
      <c r="AG541" s="1773">
        <f t="shared" si="150"/>
        <v>0</v>
      </c>
      <c r="AH541" s="1773">
        <f t="shared" si="151"/>
        <v>0</v>
      </c>
      <c r="AI541" s="1773">
        <f t="shared" si="152"/>
        <v>0</v>
      </c>
      <c r="AJ541" s="1773">
        <f t="shared" si="153"/>
        <v>0</v>
      </c>
      <c r="AK541" s="1773">
        <f t="shared" si="154"/>
        <v>0</v>
      </c>
      <c r="AL541" s="1773">
        <f t="shared" si="155"/>
        <v>120000</v>
      </c>
      <c r="AN541" s="1776"/>
      <c r="AO541" s="1776"/>
      <c r="AP541" s="1776"/>
      <c r="AQ541" s="1776"/>
      <c r="AR541" s="1776"/>
      <c r="AS541" s="1776"/>
      <c r="AT541" s="1776"/>
      <c r="AU541" s="1776"/>
      <c r="AV541" s="1776"/>
      <c r="AW541" s="1776"/>
      <c r="AX541" s="1776"/>
      <c r="AY541" s="1776"/>
      <c r="AZ541" s="1776">
        <v>1</v>
      </c>
    </row>
    <row r="542" spans="1:52">
      <c r="A542" s="1479" t="s">
        <v>2971</v>
      </c>
      <c r="B542" s="1479" t="s">
        <v>2299</v>
      </c>
      <c r="C542" s="1741" t="s">
        <v>2108</v>
      </c>
      <c r="D542" s="1741">
        <v>3000</v>
      </c>
      <c r="E542" s="1741">
        <v>1110</v>
      </c>
      <c r="F542" s="1741" t="s">
        <v>774</v>
      </c>
      <c r="G542" s="1741" t="s">
        <v>1018</v>
      </c>
      <c r="H542" s="1741" t="s">
        <v>1658</v>
      </c>
      <c r="I542" s="1753" t="s">
        <v>2114</v>
      </c>
      <c r="J542" s="1754" t="s">
        <v>3012</v>
      </c>
      <c r="K542" s="1753" t="s">
        <v>2114</v>
      </c>
      <c r="L542" s="1753" t="s">
        <v>3012</v>
      </c>
      <c r="M542" s="1754"/>
      <c r="N542" s="1756">
        <v>25513.95</v>
      </c>
      <c r="O542" s="1757">
        <v>23170.75</v>
      </c>
      <c r="P542" s="1758">
        <v>26696.720000000001</v>
      </c>
      <c r="Q542" s="1759">
        <v>37000</v>
      </c>
      <c r="R542" s="1760">
        <v>37000</v>
      </c>
      <c r="S542" s="1760">
        <v>28600</v>
      </c>
      <c r="T542" s="1760">
        <v>28600</v>
      </c>
      <c r="U542" s="1761">
        <v>45000</v>
      </c>
      <c r="V542" s="1762">
        <v>47000</v>
      </c>
      <c r="W542" s="1757">
        <v>47000</v>
      </c>
      <c r="Z542" s="1773">
        <f t="shared" si="143"/>
        <v>0</v>
      </c>
      <c r="AA542" s="1773">
        <f t="shared" si="144"/>
        <v>0</v>
      </c>
      <c r="AB542" s="1773">
        <f t="shared" si="145"/>
        <v>0</v>
      </c>
      <c r="AC542" s="1773">
        <f t="shared" si="146"/>
        <v>0</v>
      </c>
      <c r="AD542" s="1773">
        <f t="shared" si="147"/>
        <v>0</v>
      </c>
      <c r="AE542" s="1773">
        <f t="shared" si="148"/>
        <v>0</v>
      </c>
      <c r="AF542" s="1773">
        <f t="shared" si="149"/>
        <v>0</v>
      </c>
      <c r="AG542" s="1773">
        <f t="shared" si="150"/>
        <v>0</v>
      </c>
      <c r="AH542" s="1773">
        <f t="shared" si="151"/>
        <v>0</v>
      </c>
      <c r="AI542" s="1773">
        <f t="shared" si="152"/>
        <v>0</v>
      </c>
      <c r="AJ542" s="1773">
        <f t="shared" si="153"/>
        <v>0</v>
      </c>
      <c r="AK542" s="1773">
        <f t="shared" si="154"/>
        <v>0</v>
      </c>
      <c r="AL542" s="1773">
        <f t="shared" si="155"/>
        <v>45000</v>
      </c>
      <c r="AN542" s="1776"/>
      <c r="AO542" s="1776"/>
      <c r="AP542" s="1776"/>
      <c r="AQ542" s="1776"/>
      <c r="AR542" s="1776"/>
      <c r="AS542" s="1776"/>
      <c r="AT542" s="1776"/>
      <c r="AU542" s="1776"/>
      <c r="AV542" s="1776"/>
      <c r="AW542" s="1776"/>
      <c r="AX542" s="1776"/>
      <c r="AY542" s="1776"/>
      <c r="AZ542" s="1776">
        <v>1</v>
      </c>
    </row>
    <row r="543" spans="1:52">
      <c r="A543" s="1479" t="s">
        <v>2972</v>
      </c>
      <c r="B543" s="1479" t="s">
        <v>2301</v>
      </c>
      <c r="C543" s="1741" t="s">
        <v>2108</v>
      </c>
      <c r="D543" s="1741">
        <v>3000</v>
      </c>
      <c r="E543" s="1741">
        <v>1120</v>
      </c>
      <c r="F543" s="1741" t="s">
        <v>774</v>
      </c>
      <c r="G543" s="1741" t="s">
        <v>1018</v>
      </c>
      <c r="H543" s="1741" t="s">
        <v>1658</v>
      </c>
      <c r="I543" s="1753" t="s">
        <v>2114</v>
      </c>
      <c r="J543" s="1754" t="s">
        <v>3012</v>
      </c>
      <c r="K543" s="1753" t="s">
        <v>2114</v>
      </c>
      <c r="L543" s="1753" t="s">
        <v>3012</v>
      </c>
      <c r="M543" s="1754"/>
      <c r="N543" s="1756">
        <v>24139.69</v>
      </c>
      <c r="O543" s="1757">
        <v>21505.56</v>
      </c>
      <c r="P543" s="1758">
        <v>22970.6</v>
      </c>
      <c r="Q543" s="1759">
        <v>30100</v>
      </c>
      <c r="R543" s="1760">
        <v>30100</v>
      </c>
      <c r="S543" s="1760">
        <v>24918</v>
      </c>
      <c r="T543" s="1760">
        <v>24918</v>
      </c>
      <c r="U543" s="1761">
        <v>30000</v>
      </c>
      <c r="V543" s="1762">
        <v>30200</v>
      </c>
      <c r="W543" s="1757">
        <v>30300</v>
      </c>
      <c r="Z543" s="1773">
        <f t="shared" si="143"/>
        <v>0</v>
      </c>
      <c r="AA543" s="1773">
        <f t="shared" si="144"/>
        <v>0</v>
      </c>
      <c r="AB543" s="1773">
        <f t="shared" si="145"/>
        <v>0</v>
      </c>
      <c r="AC543" s="1773">
        <f t="shared" si="146"/>
        <v>0</v>
      </c>
      <c r="AD543" s="1773">
        <f t="shared" si="147"/>
        <v>0</v>
      </c>
      <c r="AE543" s="1773">
        <f t="shared" si="148"/>
        <v>0</v>
      </c>
      <c r="AF543" s="1773">
        <f t="shared" si="149"/>
        <v>0</v>
      </c>
      <c r="AG543" s="1773">
        <f t="shared" si="150"/>
        <v>0</v>
      </c>
      <c r="AH543" s="1773">
        <f t="shared" si="151"/>
        <v>0</v>
      </c>
      <c r="AI543" s="1773">
        <f t="shared" si="152"/>
        <v>0</v>
      </c>
      <c r="AJ543" s="1773">
        <f t="shared" si="153"/>
        <v>0</v>
      </c>
      <c r="AK543" s="1773">
        <f t="shared" si="154"/>
        <v>0</v>
      </c>
      <c r="AL543" s="1773">
        <f t="shared" si="155"/>
        <v>30000</v>
      </c>
      <c r="AN543" s="1776"/>
      <c r="AO543" s="1776"/>
      <c r="AP543" s="1776"/>
      <c r="AQ543" s="1776"/>
      <c r="AR543" s="1776"/>
      <c r="AS543" s="1776"/>
      <c r="AT543" s="1776"/>
      <c r="AU543" s="1776"/>
      <c r="AV543" s="1776"/>
      <c r="AW543" s="1776"/>
      <c r="AX543" s="1776"/>
      <c r="AY543" s="1776"/>
      <c r="AZ543" s="1776">
        <v>1</v>
      </c>
    </row>
    <row r="544" spans="1:52">
      <c r="A544" t="s">
        <v>2973</v>
      </c>
      <c r="B544" t="s">
        <v>2305</v>
      </c>
      <c r="C544" s="1741" t="s">
        <v>2108</v>
      </c>
      <c r="D544" s="1741">
        <v>3000</v>
      </c>
      <c r="E544" s="1741">
        <v>1310</v>
      </c>
      <c r="F544" s="1741" t="s">
        <v>774</v>
      </c>
      <c r="G544" s="1741" t="s">
        <v>1018</v>
      </c>
      <c r="H544" s="1741" t="s">
        <v>1658</v>
      </c>
      <c r="I544" s="1753" t="s">
        <v>3013</v>
      </c>
      <c r="J544" s="1754"/>
      <c r="K544" s="1754" t="s">
        <v>420</v>
      </c>
      <c r="L544" s="1754" t="s">
        <v>420</v>
      </c>
      <c r="M544" s="1754"/>
      <c r="N544" s="1756"/>
      <c r="O544" s="1757"/>
      <c r="P544" s="1758"/>
      <c r="Q544" s="1759">
        <v>3000</v>
      </c>
      <c r="R544" s="1760">
        <v>3000</v>
      </c>
      <c r="S544" s="1760">
        <v>336</v>
      </c>
      <c r="T544" s="1760">
        <v>336</v>
      </c>
      <c r="U544" s="1761">
        <v>0</v>
      </c>
      <c r="V544" s="1762">
        <v>3000</v>
      </c>
      <c r="W544" s="1757">
        <v>3000</v>
      </c>
      <c r="Z544" s="1773">
        <f t="shared" si="143"/>
        <v>0</v>
      </c>
      <c r="AA544" s="1773">
        <f t="shared" si="144"/>
        <v>0</v>
      </c>
      <c r="AB544" s="1773">
        <f t="shared" si="145"/>
        <v>0</v>
      </c>
      <c r="AC544" s="1773">
        <f t="shared" si="146"/>
        <v>0</v>
      </c>
      <c r="AD544" s="1773">
        <f t="shared" si="147"/>
        <v>0</v>
      </c>
      <c r="AE544" s="1773">
        <f t="shared" si="148"/>
        <v>0</v>
      </c>
      <c r="AF544" s="1773">
        <f t="shared" si="149"/>
        <v>0</v>
      </c>
      <c r="AG544" s="1773">
        <f t="shared" si="150"/>
        <v>0</v>
      </c>
      <c r="AH544" s="1773">
        <f t="shared" si="151"/>
        <v>0</v>
      </c>
      <c r="AI544" s="1773">
        <f t="shared" si="152"/>
        <v>0</v>
      </c>
      <c r="AJ544" s="1773">
        <f t="shared" si="153"/>
        <v>0</v>
      </c>
      <c r="AK544" s="1773">
        <f t="shared" si="154"/>
        <v>0</v>
      </c>
      <c r="AL544" s="1773">
        <f t="shared" si="155"/>
        <v>0</v>
      </c>
      <c r="AN544" s="1776"/>
      <c r="AO544" s="1776"/>
      <c r="AP544" s="1776"/>
      <c r="AQ544" s="1776"/>
      <c r="AR544" s="1776"/>
      <c r="AS544" s="1776"/>
      <c r="AT544" s="1776"/>
      <c r="AU544" s="1776"/>
      <c r="AV544" s="1776"/>
      <c r="AW544" s="1776"/>
      <c r="AX544" s="1776"/>
      <c r="AY544" s="1776"/>
      <c r="AZ544" s="1776">
        <v>1</v>
      </c>
    </row>
    <row r="545" spans="1:52">
      <c r="A545" s="1479" t="s">
        <v>2974</v>
      </c>
      <c r="B545" s="1479" t="s">
        <v>2975</v>
      </c>
      <c r="C545" s="1741" t="s">
        <v>2108</v>
      </c>
      <c r="D545" s="1741">
        <v>3000</v>
      </c>
      <c r="E545" s="1741">
        <v>1340</v>
      </c>
      <c r="F545" s="1741" t="s">
        <v>774</v>
      </c>
      <c r="G545" s="1741" t="s">
        <v>1018</v>
      </c>
      <c r="H545" s="1741" t="s">
        <v>1658</v>
      </c>
      <c r="I545" s="1753" t="s">
        <v>3026</v>
      </c>
      <c r="J545" s="1754" t="s">
        <v>2126</v>
      </c>
      <c r="K545" s="1754" t="s">
        <v>838</v>
      </c>
      <c r="L545" s="1753" t="s">
        <v>838</v>
      </c>
      <c r="M545" s="1754"/>
      <c r="N545" s="1756">
        <v>518137.74</v>
      </c>
      <c r="O545" s="1757">
        <v>838402.87</v>
      </c>
      <c r="P545" s="1758">
        <v>537335.05000000005</v>
      </c>
      <c r="Q545" s="1759">
        <v>886260</v>
      </c>
      <c r="R545" s="1760">
        <v>886260</v>
      </c>
      <c r="S545" s="1760">
        <v>708120</v>
      </c>
      <c r="T545" s="1760">
        <v>708120</v>
      </c>
      <c r="U545" s="1761">
        <v>115643.24400000001</v>
      </c>
      <c r="V545" s="1762">
        <f>U545*108%</f>
        <v>124894.70352000001</v>
      </c>
      <c r="W545" s="1757">
        <f>V545*106%</f>
        <v>132388.38573120002</v>
      </c>
      <c r="Z545" s="1773">
        <f t="shared" si="143"/>
        <v>0</v>
      </c>
      <c r="AA545" s="1773">
        <f t="shared" si="144"/>
        <v>0</v>
      </c>
      <c r="AB545" s="1773">
        <f t="shared" si="145"/>
        <v>0</v>
      </c>
      <c r="AC545" s="1773">
        <f t="shared" si="146"/>
        <v>0</v>
      </c>
      <c r="AD545" s="1773">
        <f t="shared" si="147"/>
        <v>0</v>
      </c>
      <c r="AE545" s="1773">
        <f t="shared" si="148"/>
        <v>0</v>
      </c>
      <c r="AF545" s="1773">
        <f t="shared" si="149"/>
        <v>0</v>
      </c>
      <c r="AG545" s="1773">
        <f t="shared" si="150"/>
        <v>0</v>
      </c>
      <c r="AH545" s="1773">
        <f t="shared" si="151"/>
        <v>0</v>
      </c>
      <c r="AI545" s="1773">
        <f t="shared" si="152"/>
        <v>0</v>
      </c>
      <c r="AJ545" s="1773">
        <f t="shared" si="153"/>
        <v>0</v>
      </c>
      <c r="AK545" s="1773">
        <f t="shared" si="154"/>
        <v>0</v>
      </c>
      <c r="AL545" s="1773">
        <f t="shared" si="155"/>
        <v>115643.24400000001</v>
      </c>
      <c r="AN545" s="1776"/>
      <c r="AO545" s="1776"/>
      <c r="AP545" s="1776"/>
      <c r="AQ545" s="1776"/>
      <c r="AR545" s="1776"/>
      <c r="AS545" s="1776"/>
      <c r="AT545" s="1776"/>
      <c r="AU545" s="1776"/>
      <c r="AV545" s="1776"/>
      <c r="AW545" s="1776"/>
      <c r="AX545" s="1776"/>
      <c r="AY545" s="1776"/>
      <c r="AZ545" s="1776">
        <v>1</v>
      </c>
    </row>
    <row r="546" spans="1:52">
      <c r="A546" s="1479" t="s">
        <v>2976</v>
      </c>
      <c r="B546" s="1479" t="s">
        <v>2249</v>
      </c>
      <c r="C546" s="1741" t="s">
        <v>2108</v>
      </c>
      <c r="D546" s="1741">
        <v>3000</v>
      </c>
      <c r="E546" s="1741">
        <v>1410</v>
      </c>
      <c r="F546" s="1741" t="s">
        <v>774</v>
      </c>
      <c r="G546" s="1741" t="s">
        <v>1018</v>
      </c>
      <c r="H546" s="1741" t="s">
        <v>1658</v>
      </c>
      <c r="I546" s="1753" t="s">
        <v>2114</v>
      </c>
      <c r="J546" s="1754" t="s">
        <v>3008</v>
      </c>
      <c r="K546" s="1753" t="s">
        <v>2114</v>
      </c>
      <c r="L546" s="1754" t="s">
        <v>3008</v>
      </c>
      <c r="M546" s="1754"/>
      <c r="N546" s="1756">
        <v>7999.16</v>
      </c>
      <c r="O546" s="1757">
        <v>16532.060000000001</v>
      </c>
      <c r="P546" s="1758">
        <v>9609.2800000000007</v>
      </c>
      <c r="Q546" s="1759">
        <v>23000</v>
      </c>
      <c r="R546" s="1760">
        <v>23000</v>
      </c>
      <c r="S546" s="1760">
        <v>24338</v>
      </c>
      <c r="T546" s="1760">
        <v>24338</v>
      </c>
      <c r="U546" s="1761">
        <v>45000</v>
      </c>
      <c r="V546" s="1762">
        <v>23000</v>
      </c>
      <c r="W546" s="1757">
        <v>23000</v>
      </c>
      <c r="Z546" s="1773">
        <f t="shared" si="143"/>
        <v>0</v>
      </c>
      <c r="AA546" s="1773">
        <f t="shared" si="144"/>
        <v>0</v>
      </c>
      <c r="AB546" s="1773">
        <f t="shared" si="145"/>
        <v>0</v>
      </c>
      <c r="AC546" s="1773">
        <f t="shared" si="146"/>
        <v>0</v>
      </c>
      <c r="AD546" s="1773">
        <f t="shared" si="147"/>
        <v>0</v>
      </c>
      <c r="AE546" s="1773">
        <f t="shared" si="148"/>
        <v>0</v>
      </c>
      <c r="AF546" s="1773">
        <f t="shared" si="149"/>
        <v>0</v>
      </c>
      <c r="AG546" s="1773">
        <f t="shared" si="150"/>
        <v>0</v>
      </c>
      <c r="AH546" s="1773">
        <f t="shared" si="151"/>
        <v>0</v>
      </c>
      <c r="AI546" s="1773">
        <f t="shared" si="152"/>
        <v>0</v>
      </c>
      <c r="AJ546" s="1773">
        <f t="shared" si="153"/>
        <v>0</v>
      </c>
      <c r="AK546" s="1773">
        <f t="shared" si="154"/>
        <v>0</v>
      </c>
      <c r="AL546" s="1773">
        <f t="shared" si="155"/>
        <v>45000</v>
      </c>
      <c r="AN546" s="1776"/>
      <c r="AO546" s="1776"/>
      <c r="AP546" s="1776"/>
      <c r="AQ546" s="1776"/>
      <c r="AR546" s="1776"/>
      <c r="AS546" s="1776"/>
      <c r="AT546" s="1776"/>
      <c r="AU546" s="1776"/>
      <c r="AV546" s="1776"/>
      <c r="AW546" s="1776"/>
      <c r="AX546" s="1776"/>
      <c r="AY546" s="1776"/>
      <c r="AZ546" s="1776">
        <v>1</v>
      </c>
    </row>
    <row r="547" spans="1:52">
      <c r="A547" s="1479" t="s">
        <v>2977</v>
      </c>
      <c r="B547" s="1479" t="s">
        <v>2978</v>
      </c>
      <c r="C547" s="1741" t="s">
        <v>2108</v>
      </c>
      <c r="D547" s="1741">
        <v>3000</v>
      </c>
      <c r="E547" s="1741">
        <v>1430</v>
      </c>
      <c r="F547" s="1741" t="s">
        <v>774</v>
      </c>
      <c r="G547" s="1741" t="s">
        <v>1018</v>
      </c>
      <c r="H547" s="1741" t="s">
        <v>1658</v>
      </c>
      <c r="I547" s="1753" t="s">
        <v>2114</v>
      </c>
      <c r="J547" s="1754"/>
      <c r="K547" s="1753" t="s">
        <v>2114</v>
      </c>
      <c r="L547" s="1754" t="s">
        <v>502</v>
      </c>
      <c r="M547" s="1754"/>
      <c r="N547" s="1756">
        <v>17668.2</v>
      </c>
      <c r="O547" s="1757">
        <v>15811.6</v>
      </c>
      <c r="P547" s="1758">
        <v>32464.2</v>
      </c>
      <c r="Q547" s="1759">
        <v>50000</v>
      </c>
      <c r="R547" s="1760">
        <v>100000</v>
      </c>
      <c r="S547" s="1760">
        <v>74840</v>
      </c>
      <c r="T547" s="1760">
        <v>74840</v>
      </c>
      <c r="U547" s="1761">
        <v>150000</v>
      </c>
      <c r="V547" s="1762">
        <v>50000</v>
      </c>
      <c r="W547" s="1757">
        <v>50000</v>
      </c>
      <c r="Z547" s="1773">
        <f t="shared" si="143"/>
        <v>0</v>
      </c>
      <c r="AA547" s="1773">
        <f t="shared" si="144"/>
        <v>0</v>
      </c>
      <c r="AB547" s="1773">
        <f t="shared" si="145"/>
        <v>0</v>
      </c>
      <c r="AC547" s="1773">
        <f t="shared" si="146"/>
        <v>0</v>
      </c>
      <c r="AD547" s="1773">
        <f t="shared" si="147"/>
        <v>0</v>
      </c>
      <c r="AE547" s="1773">
        <f t="shared" si="148"/>
        <v>0</v>
      </c>
      <c r="AF547" s="1773">
        <f t="shared" si="149"/>
        <v>0</v>
      </c>
      <c r="AG547" s="1773">
        <f t="shared" si="150"/>
        <v>0</v>
      </c>
      <c r="AH547" s="1773">
        <f t="shared" si="151"/>
        <v>0</v>
      </c>
      <c r="AI547" s="1773">
        <f t="shared" si="152"/>
        <v>0</v>
      </c>
      <c r="AJ547" s="1773">
        <f t="shared" si="153"/>
        <v>0</v>
      </c>
      <c r="AK547" s="1773">
        <f t="shared" si="154"/>
        <v>0</v>
      </c>
      <c r="AL547" s="1773">
        <f t="shared" si="155"/>
        <v>150000</v>
      </c>
      <c r="AN547" s="1776"/>
      <c r="AO547" s="1776"/>
      <c r="AP547" s="1776"/>
      <c r="AQ547" s="1776"/>
      <c r="AR547" s="1776"/>
      <c r="AS547" s="1776"/>
      <c r="AT547" s="1776"/>
      <c r="AU547" s="1776"/>
      <c r="AV547" s="1776"/>
      <c r="AW547" s="1776"/>
      <c r="AX547" s="1776"/>
      <c r="AY547" s="1776"/>
      <c r="AZ547" s="1776">
        <v>1</v>
      </c>
    </row>
    <row r="548" spans="1:52">
      <c r="A548" s="1479" t="s">
        <v>2979</v>
      </c>
      <c r="B548" s="1479" t="s">
        <v>2251</v>
      </c>
      <c r="C548" s="1741" t="s">
        <v>2108</v>
      </c>
      <c r="D548" s="1741">
        <v>3000</v>
      </c>
      <c r="E548" s="1741">
        <v>1440</v>
      </c>
      <c r="F548" s="1741" t="s">
        <v>774</v>
      </c>
      <c r="G548" s="1741" t="s">
        <v>1018</v>
      </c>
      <c r="H548" s="1741" t="s">
        <v>1658</v>
      </c>
      <c r="I548" s="1753" t="s">
        <v>2115</v>
      </c>
      <c r="J548" s="1754"/>
      <c r="K548" s="1753" t="s">
        <v>1596</v>
      </c>
      <c r="L548" s="1754" t="s">
        <v>1696</v>
      </c>
      <c r="M548" s="1754"/>
      <c r="N548" s="1756">
        <v>0</v>
      </c>
      <c r="O548" s="1757">
        <v>1497587.5895011819</v>
      </c>
      <c r="P548" s="1758">
        <v>1472141.3026635118</v>
      </c>
      <c r="Q548" s="1759">
        <v>20000</v>
      </c>
      <c r="R548" s="1760">
        <v>20000</v>
      </c>
      <c r="S548" s="1760">
        <v>2240</v>
      </c>
      <c r="T548" s="1760">
        <v>2240</v>
      </c>
      <c r="U548" s="1761">
        <v>0</v>
      </c>
      <c r="V548" s="1762">
        <v>20000</v>
      </c>
      <c r="W548" s="1757">
        <v>20000</v>
      </c>
      <c r="Z548" s="1773">
        <f t="shared" si="143"/>
        <v>0</v>
      </c>
      <c r="AA548" s="1773">
        <f t="shared" si="144"/>
        <v>0</v>
      </c>
      <c r="AB548" s="1773">
        <f t="shared" si="145"/>
        <v>0</v>
      </c>
      <c r="AC548" s="1773">
        <f t="shared" si="146"/>
        <v>0</v>
      </c>
      <c r="AD548" s="1773">
        <f t="shared" si="147"/>
        <v>0</v>
      </c>
      <c r="AE548" s="1773">
        <f t="shared" si="148"/>
        <v>0</v>
      </c>
      <c r="AF548" s="1773">
        <f t="shared" si="149"/>
        <v>0</v>
      </c>
      <c r="AG548" s="1773">
        <f t="shared" si="150"/>
        <v>0</v>
      </c>
      <c r="AH548" s="1773">
        <f t="shared" si="151"/>
        <v>0</v>
      </c>
      <c r="AI548" s="1773">
        <f t="shared" si="152"/>
        <v>0</v>
      </c>
      <c r="AJ548" s="1773">
        <f t="shared" si="153"/>
        <v>0</v>
      </c>
      <c r="AK548" s="1773">
        <f t="shared" si="154"/>
        <v>0</v>
      </c>
      <c r="AL548" s="1773">
        <f t="shared" si="155"/>
        <v>0</v>
      </c>
      <c r="AN548" s="1776"/>
      <c r="AO548" s="1776"/>
      <c r="AP548" s="1776"/>
      <c r="AQ548" s="1776"/>
      <c r="AR548" s="1776"/>
      <c r="AS548" s="1776"/>
      <c r="AT548" s="1776"/>
      <c r="AU548" s="1776"/>
      <c r="AV548" s="1776"/>
      <c r="AW548" s="1776"/>
      <c r="AX548" s="1776"/>
      <c r="AY548" s="1776"/>
      <c r="AZ548" s="1776">
        <v>1</v>
      </c>
    </row>
    <row r="549" spans="1:52">
      <c r="A549" s="1479" t="s">
        <v>2980</v>
      </c>
      <c r="B549" s="1479" t="s">
        <v>2253</v>
      </c>
      <c r="C549" s="1741" t="s">
        <v>2108</v>
      </c>
      <c r="D549" s="1741">
        <v>3000</v>
      </c>
      <c r="E549" s="1741">
        <v>3510</v>
      </c>
      <c r="F549" s="1741" t="s">
        <v>774</v>
      </c>
      <c r="G549" s="1741" t="s">
        <v>1018</v>
      </c>
      <c r="H549" s="1741" t="s">
        <v>1658</v>
      </c>
      <c r="I549" s="1753" t="s">
        <v>464</v>
      </c>
      <c r="J549" s="1754"/>
      <c r="K549" s="1753" t="s">
        <v>2114</v>
      </c>
      <c r="L549" s="1754" t="s">
        <v>3029</v>
      </c>
      <c r="M549" s="1754"/>
      <c r="N549" s="1756">
        <v>181925.06</v>
      </c>
      <c r="O549" s="1757">
        <v>109386.15</v>
      </c>
      <c r="P549" s="1758">
        <v>195503.81</v>
      </c>
      <c r="Q549" s="1759">
        <v>365000</v>
      </c>
      <c r="R549" s="1760">
        <v>365000</v>
      </c>
      <c r="S549" s="1760">
        <v>98523</v>
      </c>
      <c r="T549" s="1760">
        <v>98523</v>
      </c>
      <c r="U549" s="1761">
        <v>365000</v>
      </c>
      <c r="V549" s="1762">
        <v>365000</v>
      </c>
      <c r="W549" s="1757">
        <v>300000</v>
      </c>
      <c r="Z549" s="1773">
        <f t="shared" si="143"/>
        <v>0</v>
      </c>
      <c r="AA549" s="1773">
        <f t="shared" si="144"/>
        <v>0</v>
      </c>
      <c r="AB549" s="1773">
        <f t="shared" si="145"/>
        <v>0</v>
      </c>
      <c r="AC549" s="1773">
        <f t="shared" si="146"/>
        <v>0</v>
      </c>
      <c r="AD549" s="1773">
        <f t="shared" si="147"/>
        <v>0</v>
      </c>
      <c r="AE549" s="1773">
        <f t="shared" si="148"/>
        <v>0</v>
      </c>
      <c r="AF549" s="1773">
        <f t="shared" si="149"/>
        <v>0</v>
      </c>
      <c r="AG549" s="1773">
        <f t="shared" si="150"/>
        <v>0</v>
      </c>
      <c r="AH549" s="1773">
        <f t="shared" si="151"/>
        <v>0</v>
      </c>
      <c r="AI549" s="1773">
        <f t="shared" si="152"/>
        <v>0</v>
      </c>
      <c r="AJ549" s="1773">
        <f t="shared" si="153"/>
        <v>0</v>
      </c>
      <c r="AK549" s="1773">
        <f t="shared" si="154"/>
        <v>0</v>
      </c>
      <c r="AL549" s="1773">
        <f t="shared" si="155"/>
        <v>365000</v>
      </c>
      <c r="AN549" s="1776"/>
      <c r="AO549" s="1776"/>
      <c r="AP549" s="1776"/>
      <c r="AQ549" s="1776"/>
      <c r="AR549" s="1776"/>
      <c r="AS549" s="1776"/>
      <c r="AT549" s="1776"/>
      <c r="AU549" s="1776"/>
      <c r="AV549" s="1776"/>
      <c r="AW549" s="1776"/>
      <c r="AX549" s="1776"/>
      <c r="AY549" s="1776"/>
      <c r="AZ549" s="1776">
        <v>1</v>
      </c>
    </row>
    <row r="550" spans="1:52">
      <c r="A550" s="1479" t="s">
        <v>2981</v>
      </c>
      <c r="B550" s="1479" t="s">
        <v>2310</v>
      </c>
      <c r="C550" s="1741" t="s">
        <v>2108</v>
      </c>
      <c r="D550" s="1741">
        <v>3000</v>
      </c>
      <c r="E550" s="1741">
        <v>3520</v>
      </c>
      <c r="F550" s="1741" t="s">
        <v>774</v>
      </c>
      <c r="G550" s="1741" t="s">
        <v>1018</v>
      </c>
      <c r="H550" s="1741" t="s">
        <v>1658</v>
      </c>
      <c r="I550" s="1753" t="s">
        <v>464</v>
      </c>
      <c r="J550" s="1754"/>
      <c r="K550" s="1753" t="s">
        <v>2114</v>
      </c>
      <c r="L550" s="1754" t="s">
        <v>3029</v>
      </c>
      <c r="M550" s="1754"/>
      <c r="N550" s="1756">
        <v>20007.439999999999</v>
      </c>
      <c r="O550" s="1757">
        <v>62267.37</v>
      </c>
      <c r="P550" s="1758">
        <v>57487.77</v>
      </c>
      <c r="Q550" s="1759">
        <v>100000</v>
      </c>
      <c r="R550" s="1760">
        <v>100000</v>
      </c>
      <c r="S550" s="1760">
        <v>149397</v>
      </c>
      <c r="T550" s="1760">
        <v>149397</v>
      </c>
      <c r="U550" s="1761">
        <v>200000</v>
      </c>
      <c r="V550" s="1762">
        <v>100000</v>
      </c>
      <c r="W550" s="1757">
        <v>50000</v>
      </c>
      <c r="Z550" s="1773">
        <f t="shared" si="143"/>
        <v>0</v>
      </c>
      <c r="AA550" s="1773">
        <f t="shared" si="144"/>
        <v>0</v>
      </c>
      <c r="AB550" s="1773">
        <f t="shared" si="145"/>
        <v>0</v>
      </c>
      <c r="AC550" s="1773">
        <f t="shared" si="146"/>
        <v>0</v>
      </c>
      <c r="AD550" s="1773">
        <f t="shared" si="147"/>
        <v>0</v>
      </c>
      <c r="AE550" s="1773">
        <f t="shared" si="148"/>
        <v>0</v>
      </c>
      <c r="AF550" s="1773">
        <f t="shared" si="149"/>
        <v>0</v>
      </c>
      <c r="AG550" s="1773">
        <f t="shared" si="150"/>
        <v>0</v>
      </c>
      <c r="AH550" s="1773">
        <f t="shared" si="151"/>
        <v>0</v>
      </c>
      <c r="AI550" s="1773">
        <f t="shared" si="152"/>
        <v>0</v>
      </c>
      <c r="AJ550" s="1773">
        <f t="shared" si="153"/>
        <v>0</v>
      </c>
      <c r="AK550" s="1773">
        <f t="shared" si="154"/>
        <v>0</v>
      </c>
      <c r="AL550" s="1773">
        <f t="shared" si="155"/>
        <v>200000</v>
      </c>
      <c r="AN550" s="1776"/>
      <c r="AO550" s="1776"/>
      <c r="AP550" s="1776"/>
      <c r="AQ550" s="1776"/>
      <c r="AR550" s="1776"/>
      <c r="AS550" s="1776"/>
      <c r="AT550" s="1776"/>
      <c r="AU550" s="1776"/>
      <c r="AV550" s="1776"/>
      <c r="AW550" s="1776"/>
      <c r="AX550" s="1776"/>
      <c r="AY550" s="1776"/>
      <c r="AZ550" s="1776">
        <v>1</v>
      </c>
    </row>
    <row r="551" spans="1:52">
      <c r="A551" s="1479" t="s">
        <v>2982</v>
      </c>
      <c r="B551" s="1479" t="s">
        <v>2983</v>
      </c>
      <c r="C551" s="1741" t="s">
        <v>2108</v>
      </c>
      <c r="D551" s="1741">
        <v>3000</v>
      </c>
      <c r="E551" s="1741">
        <v>4020</v>
      </c>
      <c r="F551" s="1741" t="s">
        <v>774</v>
      </c>
      <c r="G551" s="1741" t="s">
        <v>1018</v>
      </c>
      <c r="H551" s="1741" t="s">
        <v>1658</v>
      </c>
      <c r="I551" s="1753" t="s">
        <v>2148</v>
      </c>
      <c r="J551" s="1754" t="s">
        <v>1018</v>
      </c>
      <c r="K551" s="1753" t="s">
        <v>500</v>
      </c>
      <c r="L551" s="1754" t="s">
        <v>1018</v>
      </c>
      <c r="M551" s="1754"/>
      <c r="N551" s="1756">
        <v>355439.76</v>
      </c>
      <c r="O551" s="1757">
        <v>423948.81</v>
      </c>
      <c r="P551" s="1758">
        <v>431952.34</v>
      </c>
      <c r="Q551" s="1759">
        <v>456100</v>
      </c>
      <c r="R551" s="1760">
        <v>456100</v>
      </c>
      <c r="S551" s="1760">
        <v>382872</v>
      </c>
      <c r="T551" s="1760">
        <v>382872</v>
      </c>
      <c r="U551" s="1761">
        <v>450000</v>
      </c>
      <c r="V551" s="1762">
        <v>483465</v>
      </c>
      <c r="W551" s="1757">
        <v>512475</v>
      </c>
      <c r="Z551" s="1773">
        <f t="shared" si="143"/>
        <v>0</v>
      </c>
      <c r="AA551" s="1773">
        <f t="shared" si="144"/>
        <v>0</v>
      </c>
      <c r="AB551" s="1773">
        <f t="shared" si="145"/>
        <v>0</v>
      </c>
      <c r="AC551" s="1773">
        <f t="shared" si="146"/>
        <v>0</v>
      </c>
      <c r="AD551" s="1773">
        <f t="shared" si="147"/>
        <v>0</v>
      </c>
      <c r="AE551" s="1773">
        <f t="shared" si="148"/>
        <v>0</v>
      </c>
      <c r="AF551" s="1773">
        <f t="shared" si="149"/>
        <v>0</v>
      </c>
      <c r="AG551" s="1773">
        <f t="shared" si="150"/>
        <v>0</v>
      </c>
      <c r="AH551" s="1773">
        <f t="shared" si="151"/>
        <v>0</v>
      </c>
      <c r="AI551" s="1773">
        <f t="shared" si="152"/>
        <v>0</v>
      </c>
      <c r="AJ551" s="1773">
        <f t="shared" si="153"/>
        <v>0</v>
      </c>
      <c r="AK551" s="1773">
        <f t="shared" si="154"/>
        <v>0</v>
      </c>
      <c r="AL551" s="1773">
        <f t="shared" si="155"/>
        <v>450000</v>
      </c>
      <c r="AN551" s="1776"/>
      <c r="AO551" s="1776"/>
      <c r="AP551" s="1776"/>
      <c r="AQ551" s="1776"/>
      <c r="AR551" s="1776"/>
      <c r="AS551" s="1776"/>
      <c r="AT551" s="1776"/>
      <c r="AU551" s="1776"/>
      <c r="AV551" s="1776"/>
      <c r="AW551" s="1776"/>
      <c r="AX551" s="1776"/>
      <c r="AY551" s="1776"/>
      <c r="AZ551" s="1776">
        <v>1</v>
      </c>
    </row>
    <row r="552" spans="1:52" ht="13.5">
      <c r="A552" s="1479" t="s">
        <v>2984</v>
      </c>
      <c r="B552" s="1479" t="s">
        <v>2314</v>
      </c>
      <c r="C552" s="1741" t="s">
        <v>2108</v>
      </c>
      <c r="D552" s="1741">
        <v>3000</v>
      </c>
      <c r="E552" s="1741">
        <v>4120</v>
      </c>
      <c r="F552" s="1741" t="s">
        <v>774</v>
      </c>
      <c r="G552" s="1741" t="s">
        <v>1018</v>
      </c>
      <c r="H552" s="1741" t="s">
        <v>1658</v>
      </c>
      <c r="I552" s="1753" t="s">
        <v>2114</v>
      </c>
      <c r="J552" s="1754" t="s">
        <v>3014</v>
      </c>
      <c r="K552" s="1753" t="s">
        <v>2114</v>
      </c>
      <c r="L552" s="1754" t="s">
        <v>3029</v>
      </c>
      <c r="M552" s="1755"/>
      <c r="N552" s="1756">
        <v>0</v>
      </c>
      <c r="O552" s="1757">
        <v>0</v>
      </c>
      <c r="P552" s="1758">
        <v>0</v>
      </c>
      <c r="Q552" s="1759">
        <v>0</v>
      </c>
      <c r="R552" s="1760">
        <v>0</v>
      </c>
      <c r="S552" s="1760">
        <v>0</v>
      </c>
      <c r="T552" s="1760">
        <v>0</v>
      </c>
      <c r="U552" s="1761">
        <v>0</v>
      </c>
      <c r="V552" s="1762">
        <v>0</v>
      </c>
      <c r="W552" s="1757">
        <v>0</v>
      </c>
      <c r="Z552" s="1773">
        <f t="shared" si="143"/>
        <v>0</v>
      </c>
      <c r="AA552" s="1773">
        <f t="shared" si="144"/>
        <v>0</v>
      </c>
      <c r="AB552" s="1773">
        <f t="shared" si="145"/>
        <v>0</v>
      </c>
      <c r="AC552" s="1773">
        <f t="shared" si="146"/>
        <v>0</v>
      </c>
      <c r="AD552" s="1773">
        <f t="shared" si="147"/>
        <v>0</v>
      </c>
      <c r="AE552" s="1773">
        <f t="shared" si="148"/>
        <v>0</v>
      </c>
      <c r="AF552" s="1773">
        <f t="shared" si="149"/>
        <v>0</v>
      </c>
      <c r="AG552" s="1773">
        <f t="shared" si="150"/>
        <v>0</v>
      </c>
      <c r="AH552" s="1773">
        <f t="shared" si="151"/>
        <v>0</v>
      </c>
      <c r="AI552" s="1773">
        <f t="shared" si="152"/>
        <v>0</v>
      </c>
      <c r="AJ552" s="1773">
        <f t="shared" si="153"/>
        <v>0</v>
      </c>
      <c r="AK552" s="1773">
        <f t="shared" si="154"/>
        <v>0</v>
      </c>
      <c r="AL552" s="1773">
        <f t="shared" si="155"/>
        <v>0</v>
      </c>
      <c r="AN552" s="1776"/>
      <c r="AO552" s="1776"/>
      <c r="AP552" s="1776"/>
      <c r="AQ552" s="1776"/>
      <c r="AR552" s="1776"/>
      <c r="AS552" s="1776"/>
      <c r="AT552" s="1776"/>
      <c r="AU552" s="1776"/>
      <c r="AV552" s="1776"/>
      <c r="AW552" s="1776"/>
      <c r="AX552" s="1776"/>
      <c r="AY552" s="1776"/>
      <c r="AZ552" s="1776">
        <v>1</v>
      </c>
    </row>
    <row r="553" spans="1:52" ht="13.5">
      <c r="A553" s="1479" t="s">
        <v>2985</v>
      </c>
      <c r="B553" s="1479" t="s">
        <v>2569</v>
      </c>
      <c r="C553" s="1741" t="s">
        <v>2108</v>
      </c>
      <c r="D553" s="1741">
        <v>3000</v>
      </c>
      <c r="E553" s="1741">
        <v>4390</v>
      </c>
      <c r="F553" s="1741" t="s">
        <v>774</v>
      </c>
      <c r="G553" s="1741" t="s">
        <v>1018</v>
      </c>
      <c r="H553" s="1741" t="s">
        <v>1658</v>
      </c>
      <c r="I553" s="1753" t="s">
        <v>2146</v>
      </c>
      <c r="J553" s="1754"/>
      <c r="K553" s="1754" t="s">
        <v>1563</v>
      </c>
      <c r="L553" s="1754" t="s">
        <v>1563</v>
      </c>
      <c r="M553" s="1755"/>
      <c r="N553" s="1756">
        <v>50000</v>
      </c>
      <c r="O553" s="1757">
        <v>-33062.639999999999</v>
      </c>
      <c r="P553" s="1758">
        <v>1016075.9345900805</v>
      </c>
      <c r="Q553" s="1759">
        <v>120000</v>
      </c>
      <c r="R553" s="1760">
        <v>120000</v>
      </c>
      <c r="S553" s="1760">
        <v>13440</v>
      </c>
      <c r="T553" s="1760">
        <v>13440</v>
      </c>
      <c r="U553" s="1761">
        <v>0</v>
      </c>
      <c r="V553" s="1762">
        <v>120000</v>
      </c>
      <c r="W553" s="1757">
        <v>120000</v>
      </c>
      <c r="Z553" s="1773">
        <f t="shared" si="143"/>
        <v>0</v>
      </c>
      <c r="AA553" s="1773">
        <f t="shared" si="144"/>
        <v>0</v>
      </c>
      <c r="AB553" s="1773">
        <f t="shared" si="145"/>
        <v>0</v>
      </c>
      <c r="AC553" s="1773">
        <f t="shared" si="146"/>
        <v>0</v>
      </c>
      <c r="AD553" s="1773">
        <f t="shared" si="147"/>
        <v>0</v>
      </c>
      <c r="AE553" s="1773">
        <f t="shared" si="148"/>
        <v>0</v>
      </c>
      <c r="AF553" s="1773">
        <f t="shared" si="149"/>
        <v>0</v>
      </c>
      <c r="AG553" s="1773">
        <f t="shared" si="150"/>
        <v>0</v>
      </c>
      <c r="AH553" s="1773">
        <f t="shared" si="151"/>
        <v>0</v>
      </c>
      <c r="AI553" s="1773">
        <f t="shared" si="152"/>
        <v>0</v>
      </c>
      <c r="AJ553" s="1773">
        <f t="shared" si="153"/>
        <v>0</v>
      </c>
      <c r="AK553" s="1773">
        <f t="shared" si="154"/>
        <v>0</v>
      </c>
      <c r="AL553" s="1773">
        <f t="shared" si="155"/>
        <v>0</v>
      </c>
      <c r="AN553" s="1776"/>
      <c r="AO553" s="1776"/>
      <c r="AP553" s="1776"/>
      <c r="AQ553" s="1776"/>
      <c r="AR553" s="1776"/>
      <c r="AS553" s="1776"/>
      <c r="AT553" s="1776"/>
      <c r="AU553" s="1776"/>
      <c r="AV553" s="1776"/>
      <c r="AW553" s="1776"/>
      <c r="AX553" s="1776"/>
      <c r="AY553" s="1776"/>
      <c r="AZ553" s="1776">
        <v>1</v>
      </c>
    </row>
    <row r="554" spans="1:52" ht="13.5">
      <c r="A554" s="1479" t="s">
        <v>2986</v>
      </c>
      <c r="B554" s="1479" t="s">
        <v>2316</v>
      </c>
      <c r="C554" s="1741" t="s">
        <v>2108</v>
      </c>
      <c r="D554" s="1741">
        <v>3000</v>
      </c>
      <c r="E554" s="1741">
        <v>5000</v>
      </c>
      <c r="F554" s="1741" t="s">
        <v>774</v>
      </c>
      <c r="G554" s="1741" t="s">
        <v>1018</v>
      </c>
      <c r="H554" s="1741" t="s">
        <v>1658</v>
      </c>
      <c r="I554" s="1753" t="s">
        <v>3015</v>
      </c>
      <c r="J554" s="1754"/>
      <c r="K554" s="1753" t="s">
        <v>2114</v>
      </c>
      <c r="L554" s="1754" t="s">
        <v>3015</v>
      </c>
      <c r="M554" s="1755"/>
      <c r="N554" s="1756">
        <v>0</v>
      </c>
      <c r="O554" s="1757">
        <v>1135782.81</v>
      </c>
      <c r="P554" s="1758">
        <v>106079.66456140351</v>
      </c>
      <c r="Q554" s="1759">
        <v>0</v>
      </c>
      <c r="R554" s="1760">
        <v>0</v>
      </c>
      <c r="S554" s="1760">
        <v>0</v>
      </c>
      <c r="T554" s="1760">
        <v>0</v>
      </c>
      <c r="U554" s="1761">
        <v>0</v>
      </c>
      <c r="V554" s="1762">
        <v>0</v>
      </c>
      <c r="W554" s="1757">
        <v>0</v>
      </c>
      <c r="Z554" s="1773">
        <f t="shared" si="143"/>
        <v>0</v>
      </c>
      <c r="AA554" s="1773">
        <f t="shared" si="144"/>
        <v>0</v>
      </c>
      <c r="AB554" s="1773">
        <f t="shared" si="145"/>
        <v>0</v>
      </c>
      <c r="AC554" s="1773">
        <f t="shared" si="146"/>
        <v>0</v>
      </c>
      <c r="AD554" s="1773">
        <f t="shared" si="147"/>
        <v>0</v>
      </c>
      <c r="AE554" s="1773">
        <f t="shared" si="148"/>
        <v>0</v>
      </c>
      <c r="AF554" s="1773">
        <f t="shared" si="149"/>
        <v>0</v>
      </c>
      <c r="AG554" s="1773">
        <f t="shared" si="150"/>
        <v>0</v>
      </c>
      <c r="AH554" s="1773">
        <f t="shared" si="151"/>
        <v>0</v>
      </c>
      <c r="AI554" s="1773">
        <f t="shared" si="152"/>
        <v>0</v>
      </c>
      <c r="AJ554" s="1773">
        <f t="shared" si="153"/>
        <v>0</v>
      </c>
      <c r="AK554" s="1773">
        <f t="shared" si="154"/>
        <v>0</v>
      </c>
      <c r="AL554" s="1773">
        <f t="shared" si="155"/>
        <v>0</v>
      </c>
      <c r="AN554" s="1776"/>
      <c r="AO554" s="1776"/>
      <c r="AP554" s="1776"/>
      <c r="AQ554" s="1776"/>
      <c r="AR554" s="1776"/>
      <c r="AS554" s="1776"/>
      <c r="AT554" s="1776"/>
      <c r="AU554" s="1776"/>
      <c r="AV554" s="1776"/>
      <c r="AW554" s="1776"/>
      <c r="AX554" s="1776"/>
      <c r="AY554" s="1776"/>
      <c r="AZ554" s="1776">
        <v>1</v>
      </c>
    </row>
    <row r="555" spans="1:52" ht="13.5">
      <c r="A555" s="1479" t="s">
        <v>2987</v>
      </c>
      <c r="B555" s="1479" t="s">
        <v>2318</v>
      </c>
      <c r="C555" s="1741" t="s">
        <v>2108</v>
      </c>
      <c r="D555" s="1741">
        <v>3000</v>
      </c>
      <c r="E555" s="1741">
        <v>5020</v>
      </c>
      <c r="F555" s="1741" t="s">
        <v>774</v>
      </c>
      <c r="G555" s="1741" t="s">
        <v>1018</v>
      </c>
      <c r="H555" s="1741" t="s">
        <v>586</v>
      </c>
      <c r="I555" s="1753" t="s">
        <v>2121</v>
      </c>
      <c r="J555" s="1754" t="s">
        <v>3016</v>
      </c>
      <c r="K555" s="236" t="s">
        <v>35</v>
      </c>
      <c r="L555" s="1754" t="s">
        <v>2128</v>
      </c>
      <c r="M555" s="1755"/>
      <c r="N555" s="1756">
        <v>0</v>
      </c>
      <c r="O555" s="1757">
        <v>-2392847.41</v>
      </c>
      <c r="P555" s="1758">
        <v>-9823111.1350000016</v>
      </c>
      <c r="Q555" s="1759">
        <v>0</v>
      </c>
      <c r="R555" s="1760">
        <v>0</v>
      </c>
      <c r="S555" s="1760">
        <v>0</v>
      </c>
      <c r="T555" s="1760">
        <v>0</v>
      </c>
      <c r="U555" s="1761">
        <v>0</v>
      </c>
      <c r="V555" s="1762">
        <v>0</v>
      </c>
      <c r="W555" s="1757">
        <v>0</v>
      </c>
      <c r="Z555" s="1773">
        <f t="shared" si="143"/>
        <v>0</v>
      </c>
      <c r="AA555" s="1773">
        <f t="shared" si="144"/>
        <v>0</v>
      </c>
      <c r="AB555" s="1773">
        <f t="shared" si="145"/>
        <v>0</v>
      </c>
      <c r="AC555" s="1773">
        <f t="shared" si="146"/>
        <v>0</v>
      </c>
      <c r="AD555" s="1773">
        <f t="shared" si="147"/>
        <v>0</v>
      </c>
      <c r="AE555" s="1773">
        <f t="shared" si="148"/>
        <v>0</v>
      </c>
      <c r="AF555" s="1773">
        <f t="shared" si="149"/>
        <v>0</v>
      </c>
      <c r="AG555" s="1773">
        <f t="shared" si="150"/>
        <v>0</v>
      </c>
      <c r="AH555" s="1773">
        <f t="shared" si="151"/>
        <v>0</v>
      </c>
      <c r="AI555" s="1773">
        <f t="shared" si="152"/>
        <v>0</v>
      </c>
      <c r="AJ555" s="1773">
        <f t="shared" si="153"/>
        <v>0</v>
      </c>
      <c r="AK555" s="1773">
        <f t="shared" si="154"/>
        <v>0</v>
      </c>
      <c r="AL555" s="1773">
        <f t="shared" si="155"/>
        <v>0</v>
      </c>
      <c r="AN555" s="1776"/>
      <c r="AO555" s="1776"/>
      <c r="AP555" s="1776"/>
      <c r="AQ555" s="1776"/>
      <c r="AR555" s="1776"/>
      <c r="AS555" s="1776"/>
      <c r="AT555" s="1776"/>
      <c r="AU555" s="1776"/>
      <c r="AV555" s="1776"/>
      <c r="AW555" s="1776"/>
      <c r="AX555" s="1776"/>
      <c r="AY555" s="1776"/>
      <c r="AZ555" s="1776">
        <v>1</v>
      </c>
    </row>
    <row r="556" spans="1:52" ht="13.5">
      <c r="A556" s="1479" t="s">
        <v>2988</v>
      </c>
      <c r="B556" s="1479" t="s">
        <v>2989</v>
      </c>
      <c r="C556" s="1741" t="s">
        <v>2108</v>
      </c>
      <c r="D556" s="1741">
        <v>3000</v>
      </c>
      <c r="E556" s="1741">
        <v>5260</v>
      </c>
      <c r="F556" s="1741" t="s">
        <v>774</v>
      </c>
      <c r="G556" s="1741" t="s">
        <v>1018</v>
      </c>
      <c r="H556" s="1741" t="s">
        <v>1658</v>
      </c>
      <c r="I556" s="1753" t="s">
        <v>3013</v>
      </c>
      <c r="J556" s="1754"/>
      <c r="K556" s="1754" t="s">
        <v>420</v>
      </c>
      <c r="L556" s="1754" t="s">
        <v>420</v>
      </c>
      <c r="M556" s="1755"/>
      <c r="N556" s="1756">
        <v>0</v>
      </c>
      <c r="O556" s="1757">
        <v>11747.75</v>
      </c>
      <c r="P556" s="1758"/>
      <c r="Q556" s="1759">
        <v>0</v>
      </c>
      <c r="R556" s="1760">
        <v>0</v>
      </c>
      <c r="S556" s="1760">
        <v>0</v>
      </c>
      <c r="T556" s="1760">
        <v>0</v>
      </c>
      <c r="U556" s="1761">
        <v>0</v>
      </c>
      <c r="V556" s="1762">
        <v>0</v>
      </c>
      <c r="W556" s="1757">
        <v>0</v>
      </c>
      <c r="Z556" s="1773">
        <f t="shared" si="143"/>
        <v>0</v>
      </c>
      <c r="AA556" s="1773">
        <f t="shared" si="144"/>
        <v>0</v>
      </c>
      <c r="AB556" s="1773">
        <f t="shared" si="145"/>
        <v>0</v>
      </c>
      <c r="AC556" s="1773">
        <f t="shared" si="146"/>
        <v>0</v>
      </c>
      <c r="AD556" s="1773">
        <f t="shared" si="147"/>
        <v>0</v>
      </c>
      <c r="AE556" s="1773">
        <f t="shared" si="148"/>
        <v>0</v>
      </c>
      <c r="AF556" s="1773">
        <f t="shared" si="149"/>
        <v>0</v>
      </c>
      <c r="AG556" s="1773">
        <f t="shared" si="150"/>
        <v>0</v>
      </c>
      <c r="AH556" s="1773">
        <f t="shared" si="151"/>
        <v>0</v>
      </c>
      <c r="AI556" s="1773">
        <f t="shared" si="152"/>
        <v>0</v>
      </c>
      <c r="AJ556" s="1773">
        <f t="shared" si="153"/>
        <v>0</v>
      </c>
      <c r="AK556" s="1773">
        <f t="shared" si="154"/>
        <v>0</v>
      </c>
      <c r="AL556" s="1773">
        <f t="shared" si="155"/>
        <v>0</v>
      </c>
      <c r="AN556" s="1776"/>
      <c r="AO556" s="1776"/>
      <c r="AP556" s="1776"/>
      <c r="AQ556" s="1776"/>
      <c r="AR556" s="1776"/>
      <c r="AS556" s="1776"/>
      <c r="AT556" s="1776"/>
      <c r="AU556" s="1776"/>
      <c r="AV556" s="1776"/>
      <c r="AW556" s="1776"/>
      <c r="AX556" s="1776"/>
      <c r="AY556" s="1776"/>
      <c r="AZ556" s="1776">
        <v>1</v>
      </c>
    </row>
    <row r="557" spans="1:52" ht="13.5">
      <c r="A557" s="1479" t="s">
        <v>2990</v>
      </c>
      <c r="B557" s="1479" t="s">
        <v>2991</v>
      </c>
      <c r="C557" s="1741" t="s">
        <v>2108</v>
      </c>
      <c r="D557" s="1741">
        <v>3000</v>
      </c>
      <c r="E557" s="1741">
        <v>5890</v>
      </c>
      <c r="F557" s="1741" t="s">
        <v>774</v>
      </c>
      <c r="G557" s="1741" t="s">
        <v>1018</v>
      </c>
      <c r="H557" s="1741" t="s">
        <v>586</v>
      </c>
      <c r="I557" s="1753" t="s">
        <v>2125</v>
      </c>
      <c r="J557" s="1754"/>
      <c r="K557" s="1753" t="s">
        <v>1920</v>
      </c>
      <c r="L557" s="1754" t="s">
        <v>2174</v>
      </c>
      <c r="M557" s="1755"/>
      <c r="N557" s="1756">
        <v>-14926.09</v>
      </c>
      <c r="O557" s="1757">
        <v>-19890.57</v>
      </c>
      <c r="P557" s="1758">
        <v>-27036.240000000002</v>
      </c>
      <c r="Q557" s="1759">
        <v>-33885</v>
      </c>
      <c r="R557" s="1760">
        <v>-33885</v>
      </c>
      <c r="S557" s="1760">
        <v>-30898</v>
      </c>
      <c r="T557" s="1760">
        <v>-30898</v>
      </c>
      <c r="U557" s="1761">
        <v>-25000</v>
      </c>
      <c r="V557" s="1762">
        <v>-35985</v>
      </c>
      <c r="W557" s="1757">
        <v>-38220</v>
      </c>
      <c r="Z557" s="1773">
        <f t="shared" si="143"/>
        <v>0</v>
      </c>
      <c r="AA557" s="1773">
        <f t="shared" si="144"/>
        <v>0</v>
      </c>
      <c r="AB557" s="1773">
        <f t="shared" si="145"/>
        <v>0</v>
      </c>
      <c r="AC557" s="1773">
        <f t="shared" si="146"/>
        <v>0</v>
      </c>
      <c r="AD557" s="1773">
        <f t="shared" si="147"/>
        <v>0</v>
      </c>
      <c r="AE557" s="1773">
        <f t="shared" si="148"/>
        <v>0</v>
      </c>
      <c r="AF557" s="1773">
        <f t="shared" si="149"/>
        <v>0</v>
      </c>
      <c r="AG557" s="1773">
        <f t="shared" si="150"/>
        <v>0</v>
      </c>
      <c r="AH557" s="1773">
        <f t="shared" si="151"/>
        <v>0</v>
      </c>
      <c r="AI557" s="1773">
        <f t="shared" si="152"/>
        <v>0</v>
      </c>
      <c r="AJ557" s="1773">
        <f t="shared" si="153"/>
        <v>0</v>
      </c>
      <c r="AK557" s="1773">
        <f t="shared" si="154"/>
        <v>0</v>
      </c>
      <c r="AL557" s="1773">
        <f t="shared" si="155"/>
        <v>-25000</v>
      </c>
      <c r="AN557" s="1776"/>
      <c r="AO557" s="1776"/>
      <c r="AP557" s="1776"/>
      <c r="AQ557" s="1776"/>
      <c r="AR557" s="1776"/>
      <c r="AS557" s="1776"/>
      <c r="AT557" s="1776"/>
      <c r="AU557" s="1776"/>
      <c r="AV557" s="1776"/>
      <c r="AW557" s="1776"/>
      <c r="AX557" s="1776"/>
      <c r="AY557" s="1776"/>
      <c r="AZ557" s="1776">
        <v>1</v>
      </c>
    </row>
    <row r="558" spans="1:52" ht="13.5">
      <c r="A558" s="1479" t="s">
        <v>2992</v>
      </c>
      <c r="B558" s="1479" t="s">
        <v>2993</v>
      </c>
      <c r="C558" s="1741" t="s">
        <v>2108</v>
      </c>
      <c r="D558" s="1741">
        <v>3000</v>
      </c>
      <c r="E558" s="1741">
        <v>5900</v>
      </c>
      <c r="F558" s="1741" t="s">
        <v>774</v>
      </c>
      <c r="G558" s="1741" t="s">
        <v>1018</v>
      </c>
      <c r="H558" s="1741" t="s">
        <v>586</v>
      </c>
      <c r="I558" s="1753" t="s">
        <v>2120</v>
      </c>
      <c r="J558" s="1754"/>
      <c r="K558" s="1754" t="s">
        <v>1666</v>
      </c>
      <c r="L558" s="1754" t="s">
        <v>1666</v>
      </c>
      <c r="M558" s="1755"/>
      <c r="N558" s="1756">
        <v>-4513.41</v>
      </c>
      <c r="O558" s="1757">
        <v>-7585.87</v>
      </c>
      <c r="P558" s="1758">
        <v>-2858.72</v>
      </c>
      <c r="Q558" s="1759">
        <v>-4900</v>
      </c>
      <c r="R558" s="1760">
        <v>-4900</v>
      </c>
      <c r="S558" s="1760">
        <v>-3048</v>
      </c>
      <c r="T558" s="1760">
        <v>-3048</v>
      </c>
      <c r="U558" s="1761">
        <v>-2000</v>
      </c>
      <c r="V558" s="1762">
        <v>-4905</v>
      </c>
      <c r="W558" s="1757">
        <v>-4910</v>
      </c>
      <c r="Z558" s="1773">
        <f t="shared" si="143"/>
        <v>0</v>
      </c>
      <c r="AA558" s="1773">
        <f t="shared" si="144"/>
        <v>0</v>
      </c>
      <c r="AB558" s="1773">
        <f t="shared" si="145"/>
        <v>0</v>
      </c>
      <c r="AC558" s="1773">
        <f t="shared" si="146"/>
        <v>0</v>
      </c>
      <c r="AD558" s="1773">
        <f t="shared" si="147"/>
        <v>0</v>
      </c>
      <c r="AE558" s="1773">
        <f t="shared" si="148"/>
        <v>0</v>
      </c>
      <c r="AF558" s="1773">
        <f t="shared" si="149"/>
        <v>0</v>
      </c>
      <c r="AG558" s="1773">
        <f t="shared" si="150"/>
        <v>0</v>
      </c>
      <c r="AH558" s="1773">
        <f t="shared" si="151"/>
        <v>0</v>
      </c>
      <c r="AI558" s="1773">
        <f t="shared" si="152"/>
        <v>0</v>
      </c>
      <c r="AJ558" s="1773">
        <f t="shared" si="153"/>
        <v>0</v>
      </c>
      <c r="AK558" s="1773">
        <f t="shared" si="154"/>
        <v>0</v>
      </c>
      <c r="AL558" s="1773">
        <f t="shared" si="155"/>
        <v>-2000</v>
      </c>
      <c r="AN558" s="1776"/>
      <c r="AO558" s="1776"/>
      <c r="AP558" s="1776"/>
      <c r="AQ558" s="1776"/>
      <c r="AR558" s="1776"/>
      <c r="AS558" s="1776"/>
      <c r="AT558" s="1776"/>
      <c r="AU558" s="1776"/>
      <c r="AV558" s="1776"/>
      <c r="AW558" s="1776"/>
      <c r="AX558" s="1776"/>
      <c r="AY558" s="1776"/>
      <c r="AZ558" s="1776">
        <v>1</v>
      </c>
    </row>
    <row r="559" spans="1:52" ht="13.5">
      <c r="A559" s="1479" t="s">
        <v>2994</v>
      </c>
      <c r="B559" s="1479" t="s">
        <v>2995</v>
      </c>
      <c r="C559" s="1741" t="s">
        <v>2108</v>
      </c>
      <c r="D559" s="1741">
        <v>3000</v>
      </c>
      <c r="E559" s="1741">
        <v>5930</v>
      </c>
      <c r="F559" s="1741" t="s">
        <v>774</v>
      </c>
      <c r="G559" s="1741" t="s">
        <v>1018</v>
      </c>
      <c r="H559" s="1741" t="s">
        <v>586</v>
      </c>
      <c r="I559" s="1753" t="s">
        <v>2125</v>
      </c>
      <c r="J559" s="1754"/>
      <c r="K559" s="1753" t="s">
        <v>1920</v>
      </c>
      <c r="L559" s="1754" t="s">
        <v>2174</v>
      </c>
      <c r="M559" s="1755"/>
      <c r="N559" s="1756">
        <v>-2485965.2400000002</v>
      </c>
      <c r="O559" s="1757">
        <v>-2987195.86</v>
      </c>
      <c r="P559" s="1758">
        <v>-4036869.46</v>
      </c>
      <c r="Q559" s="1759">
        <v>-3858230</v>
      </c>
      <c r="R559" s="1760">
        <v>-3858230</v>
      </c>
      <c r="S559" s="1760">
        <v>-4836532</v>
      </c>
      <c r="T559" s="1760">
        <v>-4836532</v>
      </c>
      <c r="U559" s="1761">
        <v>-2084020.77</v>
      </c>
      <c r="V559" s="1762">
        <f>U559*110%</f>
        <v>-2292422.8470000001</v>
      </c>
      <c r="W559" s="1757">
        <f>V559*112%</f>
        <v>-2567513.5886400002</v>
      </c>
      <c r="Z559" s="1773">
        <f t="shared" si="143"/>
        <v>0</v>
      </c>
      <c r="AA559" s="1773">
        <f t="shared" si="144"/>
        <v>0</v>
      </c>
      <c r="AB559" s="1773">
        <f t="shared" si="145"/>
        <v>0</v>
      </c>
      <c r="AC559" s="1773">
        <f t="shared" si="146"/>
        <v>0</v>
      </c>
      <c r="AD559" s="1773">
        <f t="shared" si="147"/>
        <v>0</v>
      </c>
      <c r="AE559" s="1773">
        <f t="shared" si="148"/>
        <v>0</v>
      </c>
      <c r="AF559" s="1773">
        <f t="shared" si="149"/>
        <v>0</v>
      </c>
      <c r="AG559" s="1773">
        <f t="shared" si="150"/>
        <v>0</v>
      </c>
      <c r="AH559" s="1773">
        <f t="shared" si="151"/>
        <v>0</v>
      </c>
      <c r="AI559" s="1773">
        <f t="shared" si="152"/>
        <v>0</v>
      </c>
      <c r="AJ559" s="1773">
        <f t="shared" si="153"/>
        <v>0</v>
      </c>
      <c r="AK559" s="1773">
        <f t="shared" si="154"/>
        <v>0</v>
      </c>
      <c r="AL559" s="1773">
        <f t="shared" si="155"/>
        <v>-2084020.77</v>
      </c>
      <c r="AN559" s="1776"/>
      <c r="AO559" s="1776"/>
      <c r="AP559" s="1776"/>
      <c r="AQ559" s="1776"/>
      <c r="AR559" s="1776"/>
      <c r="AS559" s="1776"/>
      <c r="AT559" s="1776"/>
      <c r="AU559" s="1776"/>
      <c r="AV559" s="1776"/>
      <c r="AW559" s="1776"/>
      <c r="AX559" s="1776"/>
      <c r="AY559" s="1776"/>
      <c r="AZ559" s="1776">
        <v>1</v>
      </c>
    </row>
    <row r="560" spans="1:52" ht="13.5">
      <c r="A560" s="1479" t="s">
        <v>2996</v>
      </c>
      <c r="B560" s="1479" t="s">
        <v>2997</v>
      </c>
      <c r="C560" s="1741" t="s">
        <v>2108</v>
      </c>
      <c r="D560" s="1741">
        <v>3000</v>
      </c>
      <c r="E560" s="1741">
        <v>5931</v>
      </c>
      <c r="F560" s="1741" t="s">
        <v>774</v>
      </c>
      <c r="G560" s="1741" t="s">
        <v>1018</v>
      </c>
      <c r="H560" s="1741" t="s">
        <v>586</v>
      </c>
      <c r="I560" s="1753" t="s">
        <v>2125</v>
      </c>
      <c r="J560" s="1754"/>
      <c r="K560" s="1753" t="s">
        <v>1920</v>
      </c>
      <c r="L560" s="1754" t="s">
        <v>2174</v>
      </c>
      <c r="M560" s="1755"/>
      <c r="N560" s="1756">
        <v>-350.88</v>
      </c>
      <c r="O560" s="1757">
        <v>-219.3</v>
      </c>
      <c r="P560" s="1758">
        <v>0</v>
      </c>
      <c r="Q560" s="1759">
        <v>-500</v>
      </c>
      <c r="R560" s="1760">
        <v>-500</v>
      </c>
      <c r="S560" s="1760">
        <v>-164</v>
      </c>
      <c r="T560" s="1760">
        <v>-164</v>
      </c>
      <c r="U560" s="1761">
        <v>0</v>
      </c>
      <c r="V560" s="1762">
        <v>-500</v>
      </c>
      <c r="W560" s="1757">
        <v>-500</v>
      </c>
      <c r="Z560" s="1773">
        <f t="shared" si="143"/>
        <v>0</v>
      </c>
      <c r="AA560" s="1773">
        <f t="shared" si="144"/>
        <v>0</v>
      </c>
      <c r="AB560" s="1773">
        <f t="shared" si="145"/>
        <v>0</v>
      </c>
      <c r="AC560" s="1773">
        <f t="shared" si="146"/>
        <v>0</v>
      </c>
      <c r="AD560" s="1773">
        <f t="shared" si="147"/>
        <v>0</v>
      </c>
      <c r="AE560" s="1773">
        <f t="shared" si="148"/>
        <v>0</v>
      </c>
      <c r="AF560" s="1773">
        <f t="shared" si="149"/>
        <v>0</v>
      </c>
      <c r="AG560" s="1773">
        <f t="shared" si="150"/>
        <v>0</v>
      </c>
      <c r="AH560" s="1773">
        <f t="shared" si="151"/>
        <v>0</v>
      </c>
      <c r="AI560" s="1773">
        <f t="shared" si="152"/>
        <v>0</v>
      </c>
      <c r="AJ560" s="1773">
        <f t="shared" si="153"/>
        <v>0</v>
      </c>
      <c r="AK560" s="1773">
        <f t="shared" si="154"/>
        <v>0</v>
      </c>
      <c r="AL560" s="1773">
        <f t="shared" si="155"/>
        <v>0</v>
      </c>
      <c r="AN560" s="1776"/>
      <c r="AO560" s="1776"/>
      <c r="AP560" s="1776"/>
      <c r="AQ560" s="1776"/>
      <c r="AR560" s="1776"/>
      <c r="AS560" s="1776"/>
      <c r="AT560" s="1776"/>
      <c r="AU560" s="1776"/>
      <c r="AV560" s="1776"/>
      <c r="AW560" s="1776"/>
      <c r="AX560" s="1776"/>
      <c r="AY560" s="1776"/>
      <c r="AZ560" s="1776">
        <v>1</v>
      </c>
    </row>
    <row r="561" spans="1:52" ht="13.5">
      <c r="A561" s="1479" t="s">
        <v>2998</v>
      </c>
      <c r="B561" s="1479" t="s">
        <v>2999</v>
      </c>
      <c r="C561" s="1741" t="s">
        <v>2108</v>
      </c>
      <c r="D561" s="1741">
        <v>3000</v>
      </c>
      <c r="E561" s="1741">
        <v>6370</v>
      </c>
      <c r="F561" s="1741" t="s">
        <v>774</v>
      </c>
      <c r="G561" s="1741" t="s">
        <v>1018</v>
      </c>
      <c r="H561" s="1741" t="s">
        <v>586</v>
      </c>
      <c r="I561" s="1753" t="s">
        <v>2120</v>
      </c>
      <c r="J561" s="1754"/>
      <c r="K561" s="1754" t="s">
        <v>1666</v>
      </c>
      <c r="L561" s="1754" t="s">
        <v>1666</v>
      </c>
      <c r="M561" s="1755"/>
      <c r="N561" s="1756">
        <v>-5475</v>
      </c>
      <c r="O561" s="1757">
        <v>-9498</v>
      </c>
      <c r="P561" s="1758">
        <v>-6052</v>
      </c>
      <c r="Q561" s="1759">
        <v>-9370</v>
      </c>
      <c r="R561" s="1760">
        <v>-9370</v>
      </c>
      <c r="S561" s="1760">
        <v>-7110</v>
      </c>
      <c r="T561" s="1760">
        <v>-7110</v>
      </c>
      <c r="U561" s="1761">
        <v>-5500</v>
      </c>
      <c r="V561" s="1762">
        <v>-9375</v>
      </c>
      <c r="W561" s="1757">
        <v>-9380</v>
      </c>
      <c r="Z561" s="1773">
        <f t="shared" si="143"/>
        <v>0</v>
      </c>
      <c r="AA561" s="1773">
        <f t="shared" si="144"/>
        <v>0</v>
      </c>
      <c r="AB561" s="1773">
        <f t="shared" si="145"/>
        <v>0</v>
      </c>
      <c r="AC561" s="1773">
        <f t="shared" si="146"/>
        <v>0</v>
      </c>
      <c r="AD561" s="1773">
        <f t="shared" si="147"/>
        <v>0</v>
      </c>
      <c r="AE561" s="1773">
        <f t="shared" si="148"/>
        <v>0</v>
      </c>
      <c r="AF561" s="1773">
        <f t="shared" si="149"/>
        <v>0</v>
      </c>
      <c r="AG561" s="1773">
        <f t="shared" si="150"/>
        <v>0</v>
      </c>
      <c r="AH561" s="1773">
        <f t="shared" si="151"/>
        <v>0</v>
      </c>
      <c r="AI561" s="1773">
        <f t="shared" si="152"/>
        <v>0</v>
      </c>
      <c r="AJ561" s="1773">
        <f t="shared" si="153"/>
        <v>0</v>
      </c>
      <c r="AK561" s="1773">
        <f t="shared" si="154"/>
        <v>0</v>
      </c>
      <c r="AL561" s="1773">
        <f t="shared" si="155"/>
        <v>-5500</v>
      </c>
      <c r="AN561" s="1776"/>
      <c r="AO561" s="1776"/>
      <c r="AP561" s="1776"/>
      <c r="AQ561" s="1776"/>
      <c r="AR561" s="1776"/>
      <c r="AS561" s="1776"/>
      <c r="AT561" s="1776"/>
      <c r="AU561" s="1776"/>
      <c r="AV561" s="1776"/>
      <c r="AW561" s="1776"/>
      <c r="AX561" s="1776"/>
      <c r="AY561" s="1776"/>
      <c r="AZ561" s="1776">
        <v>1</v>
      </c>
    </row>
    <row r="562" spans="1:52">
      <c r="A562" s="1479" t="s">
        <v>3000</v>
      </c>
      <c r="B562" s="1479" t="s">
        <v>3001</v>
      </c>
      <c r="C562" s="1741" t="s">
        <v>2108</v>
      </c>
      <c r="D562" s="1741">
        <v>3000</v>
      </c>
      <c r="E562" s="1741">
        <v>6470</v>
      </c>
      <c r="F562" s="1741" t="s">
        <v>774</v>
      </c>
      <c r="G562" s="1741" t="s">
        <v>1018</v>
      </c>
      <c r="H562" s="1741" t="s">
        <v>586</v>
      </c>
      <c r="I562" s="1753" t="s">
        <v>2120</v>
      </c>
      <c r="J562" s="1754"/>
      <c r="K562" s="1754" t="s">
        <v>1666</v>
      </c>
      <c r="L562" s="1754" t="s">
        <v>1666</v>
      </c>
      <c r="M562" s="1754"/>
      <c r="N562" s="1756">
        <v>0</v>
      </c>
      <c r="O562" s="1757">
        <v>-86746</v>
      </c>
      <c r="P562" s="1758">
        <v>0</v>
      </c>
      <c r="Q562" s="1759">
        <v>0</v>
      </c>
      <c r="R562" s="1760">
        <v>0</v>
      </c>
      <c r="S562" s="1760">
        <v>0</v>
      </c>
      <c r="T562" s="1760">
        <v>0</v>
      </c>
      <c r="U562" s="1761">
        <v>0</v>
      </c>
      <c r="V562" s="1762">
        <v>0</v>
      </c>
      <c r="W562" s="1757">
        <v>0</v>
      </c>
      <c r="Z562" s="1773">
        <f t="shared" si="143"/>
        <v>0</v>
      </c>
      <c r="AA562" s="1773">
        <f t="shared" si="144"/>
        <v>0</v>
      </c>
      <c r="AB562" s="1773">
        <f t="shared" si="145"/>
        <v>0</v>
      </c>
      <c r="AC562" s="1773">
        <f t="shared" si="146"/>
        <v>0</v>
      </c>
      <c r="AD562" s="1773">
        <f t="shared" si="147"/>
        <v>0</v>
      </c>
      <c r="AE562" s="1773">
        <f t="shared" si="148"/>
        <v>0</v>
      </c>
      <c r="AF562" s="1773">
        <f t="shared" si="149"/>
        <v>0</v>
      </c>
      <c r="AG562" s="1773">
        <f t="shared" si="150"/>
        <v>0</v>
      </c>
      <c r="AH562" s="1773">
        <f t="shared" si="151"/>
        <v>0</v>
      </c>
      <c r="AI562" s="1773">
        <f t="shared" si="152"/>
        <v>0</v>
      </c>
      <c r="AJ562" s="1773">
        <f t="shared" si="153"/>
        <v>0</v>
      </c>
      <c r="AK562" s="1773">
        <f t="shared" si="154"/>
        <v>0</v>
      </c>
      <c r="AL562" s="1773">
        <f t="shared" si="155"/>
        <v>0</v>
      </c>
      <c r="AN562" s="1776"/>
      <c r="AO562" s="1776"/>
      <c r="AP562" s="1776"/>
      <c r="AQ562" s="1776"/>
      <c r="AR562" s="1776"/>
      <c r="AS562" s="1776"/>
      <c r="AT562" s="1776"/>
      <c r="AU562" s="1776"/>
      <c r="AV562" s="1776"/>
      <c r="AW562" s="1776"/>
      <c r="AX562" s="1776"/>
      <c r="AY562" s="1776"/>
      <c r="AZ562" s="1776">
        <v>1</v>
      </c>
    </row>
    <row r="563" spans="1:52">
      <c r="A563" s="1479" t="s">
        <v>3002</v>
      </c>
      <c r="B563" s="1479" t="s">
        <v>2832</v>
      </c>
      <c r="C563" s="1741" t="s">
        <v>2108</v>
      </c>
      <c r="D563" s="1741">
        <v>4000</v>
      </c>
      <c r="E563" s="1741">
        <v>5420</v>
      </c>
      <c r="F563" s="1741" t="s">
        <v>2219</v>
      </c>
      <c r="G563" s="1741" t="s">
        <v>2214</v>
      </c>
      <c r="H563" s="1741" t="s">
        <v>586</v>
      </c>
      <c r="I563" s="1753" t="s">
        <v>2120</v>
      </c>
      <c r="J563" s="1754"/>
      <c r="K563" s="1754" t="s">
        <v>1666</v>
      </c>
      <c r="L563" s="1754" t="s">
        <v>1666</v>
      </c>
      <c r="M563" s="1754"/>
      <c r="N563" s="1756">
        <v>0</v>
      </c>
      <c r="O563" s="1757">
        <v>0</v>
      </c>
      <c r="P563" s="1758">
        <v>-745.4</v>
      </c>
      <c r="Q563" s="1759">
        <v>0</v>
      </c>
      <c r="R563" s="1760">
        <v>0</v>
      </c>
      <c r="S563" s="1760">
        <v>-5963</v>
      </c>
      <c r="T563" s="1760">
        <v>-5963</v>
      </c>
      <c r="U563" s="1761">
        <v>0</v>
      </c>
      <c r="V563" s="1762">
        <v>0</v>
      </c>
      <c r="W563" s="1757">
        <v>0</v>
      </c>
      <c r="Z563" s="1773">
        <f t="shared" si="143"/>
        <v>0</v>
      </c>
      <c r="AA563" s="1773">
        <f t="shared" si="144"/>
        <v>0</v>
      </c>
      <c r="AB563" s="1773">
        <f t="shared" si="145"/>
        <v>0</v>
      </c>
      <c r="AC563" s="1773">
        <f t="shared" si="146"/>
        <v>0</v>
      </c>
      <c r="AD563" s="1773">
        <f t="shared" si="147"/>
        <v>0</v>
      </c>
      <c r="AE563" s="1773">
        <f t="shared" si="148"/>
        <v>0</v>
      </c>
      <c r="AF563" s="1773">
        <f t="shared" si="149"/>
        <v>0</v>
      </c>
      <c r="AG563" s="1773">
        <f t="shared" si="150"/>
        <v>0</v>
      </c>
      <c r="AH563" s="1773">
        <f t="shared" si="151"/>
        <v>0</v>
      </c>
      <c r="AI563" s="1773">
        <f t="shared" si="152"/>
        <v>0</v>
      </c>
      <c r="AJ563" s="1773">
        <f t="shared" si="153"/>
        <v>0</v>
      </c>
      <c r="AK563" s="1773">
        <f t="shared" si="154"/>
        <v>0</v>
      </c>
      <c r="AL563" s="1773">
        <f t="shared" si="155"/>
        <v>0</v>
      </c>
      <c r="AN563" s="1776"/>
      <c r="AO563" s="1776"/>
      <c r="AP563" s="1776"/>
      <c r="AQ563" s="1776"/>
      <c r="AR563" s="1776"/>
      <c r="AS563" s="1776"/>
      <c r="AT563" s="1776"/>
      <c r="AU563" s="1776"/>
      <c r="AV563" s="1776"/>
      <c r="AW563" s="1776"/>
      <c r="AX563" s="1776"/>
      <c r="AY563" s="1776"/>
      <c r="AZ563" s="1776">
        <v>1</v>
      </c>
    </row>
    <row r="564" spans="1:52" ht="13.5" thickBot="1">
      <c r="A564" s="1741"/>
      <c r="B564" s="1741"/>
      <c r="C564" s="1741"/>
      <c r="D564" s="1741"/>
      <c r="E564" s="1741"/>
      <c r="F564" s="1741"/>
      <c r="G564" s="1741"/>
      <c r="H564" s="1741"/>
      <c r="I564" s="1741"/>
      <c r="J564" s="1743"/>
      <c r="K564" s="1741"/>
      <c r="L564" s="1743"/>
      <c r="M564" s="1743"/>
      <c r="N564" s="1767">
        <f t="shared" ref="N564:W564" si="156">SUM(N2:N563)</f>
        <v>-1233944.2400000037</v>
      </c>
      <c r="O564" s="1767">
        <f t="shared" si="156"/>
        <v>-19286660.254558813</v>
      </c>
      <c r="P564" s="1767">
        <f t="shared" si="156"/>
        <v>-11118601.625485182</v>
      </c>
      <c r="Q564" s="1767">
        <f t="shared" si="156"/>
        <v>0</v>
      </c>
      <c r="R564" s="1767">
        <f t="shared" si="156"/>
        <v>-1911035</v>
      </c>
      <c r="S564" s="1767">
        <f t="shared" si="156"/>
        <v>-88061</v>
      </c>
      <c r="T564" s="1767">
        <f t="shared" si="156"/>
        <v>-88061</v>
      </c>
      <c r="U564" s="1767">
        <f t="shared" si="156"/>
        <v>16672631.357525475</v>
      </c>
      <c r="V564" s="1767">
        <f t="shared" si="156"/>
        <v>5654541.2314820001</v>
      </c>
      <c r="W564" s="1767">
        <f t="shared" si="156"/>
        <v>6244057.1944194771</v>
      </c>
    </row>
    <row r="565" spans="1:52" ht="13.5" thickTop="1">
      <c r="A565" s="1743"/>
      <c r="B565" s="1743"/>
      <c r="C565" s="1743"/>
      <c r="D565" s="1743"/>
      <c r="E565" s="1743"/>
      <c r="F565" s="1743"/>
      <c r="G565" s="1743"/>
      <c r="H565" s="1743"/>
      <c r="I565" s="1743"/>
      <c r="J565" s="1743"/>
      <c r="K565" s="1743"/>
      <c r="L565" s="1743"/>
      <c r="M565" s="1743"/>
      <c r="N565" s="1743"/>
      <c r="O565" s="1743"/>
      <c r="P565" s="1743"/>
      <c r="Q565" s="1743"/>
      <c r="R565" s="1743"/>
      <c r="S565" s="1743"/>
      <c r="T565" s="1743"/>
      <c r="U565" s="1743"/>
      <c r="V565" s="1743"/>
      <c r="W565" s="1743"/>
    </row>
    <row r="566" spans="1:52">
      <c r="A566" s="1743"/>
      <c r="B566" s="1743"/>
      <c r="C566" s="1743"/>
      <c r="D566" s="1743"/>
      <c r="E566" s="1743"/>
      <c r="F566" s="1743"/>
      <c r="G566" s="1743"/>
      <c r="H566" s="1743"/>
      <c r="I566" s="1743"/>
      <c r="J566" s="1743"/>
      <c r="K566" s="1743"/>
      <c r="L566" s="1743"/>
      <c r="M566" s="1743"/>
      <c r="N566" s="1769"/>
      <c r="O566" s="1769"/>
      <c r="P566" s="1769"/>
      <c r="Q566" s="1769"/>
      <c r="R566" s="1769"/>
      <c r="S566" s="1769"/>
      <c r="T566" s="1769"/>
      <c r="U566" s="1769"/>
      <c r="V566" s="1769"/>
      <c r="W566" s="1769"/>
    </row>
    <row r="567" spans="1:52">
      <c r="A567" s="1743"/>
      <c r="B567" s="1743"/>
      <c r="C567" s="1743"/>
      <c r="D567" s="1743"/>
      <c r="E567" s="1743"/>
      <c r="F567" s="1743"/>
      <c r="G567" s="1743"/>
      <c r="H567" s="1743"/>
      <c r="I567" s="1743"/>
      <c r="J567" s="1743"/>
      <c r="K567" s="1743"/>
      <c r="L567" s="1743"/>
      <c r="M567" s="1743"/>
      <c r="N567" s="1743"/>
      <c r="O567" s="1743"/>
      <c r="P567" s="1743"/>
      <c r="Q567" s="1743"/>
      <c r="R567" s="1743"/>
      <c r="S567" s="1743"/>
      <c r="T567" s="1743"/>
      <c r="U567" s="1743"/>
      <c r="V567" s="1743"/>
      <c r="W567" s="1743"/>
    </row>
    <row r="568" spans="1:52">
      <c r="A568" s="1743"/>
      <c r="B568" s="1743"/>
      <c r="C568" s="1743"/>
      <c r="D568" s="1743"/>
      <c r="E568" s="1743"/>
      <c r="F568" s="1743"/>
      <c r="G568" s="1743"/>
      <c r="H568" s="1743"/>
      <c r="I568" s="1743"/>
      <c r="J568" s="1743"/>
      <c r="K568" s="1743"/>
      <c r="L568" s="1743"/>
      <c r="M568" s="1743"/>
      <c r="N568" s="1743"/>
      <c r="O568" s="1743"/>
      <c r="P568" s="1743"/>
      <c r="Q568" s="1768"/>
      <c r="R568" s="1768"/>
      <c r="S568" s="1768"/>
      <c r="T568" s="1768"/>
      <c r="U568" s="1768"/>
      <c r="V568" s="1768"/>
      <c r="W568" s="1768"/>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indexed="44"/>
    <pageSetUpPr fitToPage="1"/>
  </sheetPr>
  <dimension ref="A1:O68"/>
  <sheetViews>
    <sheetView showGridLines="0" tabSelected="1" workbookViewId="0">
      <pane xSplit="1" ySplit="3" topLeftCell="B43" activePane="bottomRight" state="frozen"/>
      <selection activeCell="A35" sqref="A35"/>
      <selection pane="topRight" activeCell="A35" sqref="A35"/>
      <selection pane="bottomLeft" activeCell="A35" sqref="A35"/>
      <selection pane="bottomRight" activeCell="F59" sqref="F59"/>
    </sheetView>
  </sheetViews>
  <sheetFormatPr defaultRowHeight="12.75"/>
  <cols>
    <col min="1" max="1" width="30.7109375" style="150" customWidth="1"/>
    <col min="2" max="7" width="9" style="150" customWidth="1"/>
    <col min="8" max="8" width="9" style="150" hidden="1" customWidth="1"/>
    <col min="9" max="11" width="9" style="150" customWidth="1"/>
    <col min="12" max="14" width="7.7109375" style="150" customWidth="1"/>
    <col min="15" max="16384" width="9.140625" style="150"/>
  </cols>
  <sheetData>
    <row r="1" spans="1:12" ht="13.5" customHeight="1">
      <c r="A1" s="2774" t="str">
        <f>muni&amp;" - "&amp;Approve1</f>
        <v>NC071 Ubuntu - Table A1 Budget Summary</v>
      </c>
      <c r="B1" s="2775"/>
      <c r="C1" s="2775"/>
      <c r="D1" s="149"/>
      <c r="E1" s="149"/>
      <c r="F1" s="149"/>
      <c r="G1" s="149"/>
      <c r="H1" s="149"/>
      <c r="I1" s="149"/>
      <c r="J1" s="149"/>
      <c r="K1" s="149"/>
    </row>
    <row r="2" spans="1:12" ht="28.5" customHeight="1">
      <c r="A2" s="997" t="str">
        <f>desc</f>
        <v>Description</v>
      </c>
      <c r="B2" s="145" t="str">
        <f>head1b</f>
        <v>2007/8</v>
      </c>
      <c r="C2" s="151" t="str">
        <f>head1A</f>
        <v>2008/9</v>
      </c>
      <c r="D2" s="147" t="str">
        <f>Head1</f>
        <v>2009/10</v>
      </c>
      <c r="E2" s="2772" t="str">
        <f>Head2</f>
        <v>Current Year 2010/11</v>
      </c>
      <c r="F2" s="2773"/>
      <c r="G2" s="2773"/>
      <c r="H2" s="2773"/>
      <c r="I2" s="2769" t="str">
        <f>Head3</f>
        <v>2011/12 Medium Term Revenue &amp; Expenditure Framework</v>
      </c>
      <c r="J2" s="2770"/>
      <c r="K2" s="2771"/>
    </row>
    <row r="3" spans="1:12" ht="25.5">
      <c r="A3" s="1164" t="s">
        <v>34</v>
      </c>
      <c r="B3" s="283" t="str">
        <f>Head5</f>
        <v>Audited Outcome</v>
      </c>
      <c r="C3" s="365" t="str">
        <f>Head5</f>
        <v>Audited Outcome</v>
      </c>
      <c r="D3" s="366" t="str">
        <f>Head5</f>
        <v>Audited Outcome</v>
      </c>
      <c r="E3" s="283" t="str">
        <f>Head6</f>
        <v>Original Budget</v>
      </c>
      <c r="F3" s="365" t="str">
        <f>Head7</f>
        <v>Adjusted Budget</v>
      </c>
      <c r="G3" s="366" t="str">
        <f>Head8</f>
        <v>Full Year Forecast</v>
      </c>
      <c r="H3" s="364" t="str">
        <f>Head5b</f>
        <v>Pre-audit outcome</v>
      </c>
      <c r="I3" s="283" t="str">
        <f>Head9</f>
        <v>Budget Year 2011/12</v>
      </c>
      <c r="J3" s="365" t="str">
        <f>Head10</f>
        <v>Budget Year +1 2012/13</v>
      </c>
      <c r="K3" s="366" t="str">
        <f>Head11</f>
        <v>Budget Year +2 2013/14</v>
      </c>
    </row>
    <row r="4" spans="1:12" ht="11.25" customHeight="1">
      <c r="A4" s="904" t="s">
        <v>1472</v>
      </c>
      <c r="B4" s="159"/>
      <c r="C4" s="160"/>
      <c r="D4" s="161"/>
      <c r="E4" s="159"/>
      <c r="F4" s="160"/>
      <c r="G4" s="161"/>
      <c r="H4" s="162"/>
      <c r="I4" s="159"/>
      <c r="J4" s="160"/>
      <c r="K4" s="161"/>
    </row>
    <row r="5" spans="1:12" ht="11.25" customHeight="1">
      <c r="A5" s="885" t="s">
        <v>566</v>
      </c>
      <c r="B5" s="2268">
        <v>2640000</v>
      </c>
      <c r="C5" s="2253">
        <v>2889951.94</v>
      </c>
      <c r="D5" s="2257">
        <v>4144259.06</v>
      </c>
      <c r="E5" s="2255">
        <v>3570000</v>
      </c>
      <c r="F5" s="2253">
        <v>3570000</v>
      </c>
      <c r="G5" s="2258">
        <v>-4238526</v>
      </c>
      <c r="H5" s="2254">
        <v>-4238526</v>
      </c>
      <c r="I5" s="2255">
        <v>3880165.05</v>
      </c>
      <c r="J5" s="2253">
        <v>4112974.9530000007</v>
      </c>
      <c r="K5" s="2258">
        <v>4359753.4501800006</v>
      </c>
      <c r="L5" s="345"/>
    </row>
    <row r="6" spans="1:12" ht="11.25" customHeight="1">
      <c r="A6" s="885" t="s">
        <v>1722</v>
      </c>
      <c r="B6" s="2253">
        <v>10085000</v>
      </c>
      <c r="C6" s="2253">
        <v>12272005.390000001</v>
      </c>
      <c r="D6" s="2257">
        <v>14073233.66</v>
      </c>
      <c r="E6" s="2255">
        <v>15468195</v>
      </c>
      <c r="F6" s="2253">
        <v>15333850</v>
      </c>
      <c r="G6" s="2258">
        <v>16647060</v>
      </c>
      <c r="H6" s="2254">
        <v>16647060</v>
      </c>
      <c r="I6" s="2255">
        <v>11594750.833600001</v>
      </c>
      <c r="J6" s="2253">
        <v>15847495.385376001</v>
      </c>
      <c r="K6" s="2258">
        <v>17191769.273189999</v>
      </c>
    </row>
    <row r="7" spans="1:12" ht="11.25" customHeight="1">
      <c r="A7" s="885" t="s">
        <v>525</v>
      </c>
      <c r="B7" s="2253">
        <v>228000</v>
      </c>
      <c r="C7" s="2253">
        <v>864018.77999999991</v>
      </c>
      <c r="D7" s="2257">
        <v>416264.64</v>
      </c>
      <c r="E7" s="2255">
        <v>290000</v>
      </c>
      <c r="F7" s="2253">
        <v>290000</v>
      </c>
      <c r="G7" s="2258">
        <v>162728</v>
      </c>
      <c r="H7" s="2254">
        <v>162728</v>
      </c>
      <c r="I7" s="2255">
        <v>250000</v>
      </c>
      <c r="J7" s="2253">
        <v>270000</v>
      </c>
      <c r="K7" s="2258">
        <v>280000</v>
      </c>
    </row>
    <row r="8" spans="1:12" ht="11.25" customHeight="1">
      <c r="A8" s="885" t="s">
        <v>35</v>
      </c>
      <c r="B8" s="2253">
        <v>7438000</v>
      </c>
      <c r="C8" s="2253">
        <v>35690775.583800003</v>
      </c>
      <c r="D8" s="2257">
        <v>26974491.153999999</v>
      </c>
      <c r="E8" s="2255">
        <v>16605000</v>
      </c>
      <c r="F8" s="2253">
        <v>16625000</v>
      </c>
      <c r="G8" s="2258">
        <v>18044873</v>
      </c>
      <c r="H8" s="2254">
        <v>18044873</v>
      </c>
      <c r="I8" s="2255">
        <v>18061000</v>
      </c>
      <c r="J8" s="2253">
        <v>19804000</v>
      </c>
      <c r="K8" s="2258">
        <v>21904000</v>
      </c>
    </row>
    <row r="9" spans="1:12" ht="11.25" customHeight="1">
      <c r="A9" s="885" t="s">
        <v>207</v>
      </c>
      <c r="B9" s="2253">
        <v>6770000</v>
      </c>
      <c r="C9" s="2253">
        <v>18261806.607341278</v>
      </c>
      <c r="D9" s="2257">
        <v>7758795.4681129446</v>
      </c>
      <c r="E9" s="2255">
        <v>14383420</v>
      </c>
      <c r="F9" s="2253">
        <v>15186340</v>
      </c>
      <c r="G9" s="2258">
        <v>11229772</v>
      </c>
      <c r="H9" s="2254">
        <v>11229772</v>
      </c>
      <c r="I9" s="2255">
        <v>19419060</v>
      </c>
      <c r="J9" s="2253">
        <v>20252030.399999999</v>
      </c>
      <c r="K9" s="2258">
        <v>20792789.831999999</v>
      </c>
    </row>
    <row r="10" spans="1:12" ht="25.5" customHeight="1">
      <c r="A10" s="282" t="str">
        <f>'A4-FinPerf RE'!A22</f>
        <v>Total Revenue (excluding capital transfers and contributions)</v>
      </c>
      <c r="B10" s="2284">
        <v>27161000</v>
      </c>
      <c r="C10" s="2284">
        <v>69978558.301141277</v>
      </c>
      <c r="D10" s="2285">
        <v>53367043.982112944</v>
      </c>
      <c r="E10" s="2283">
        <v>50316615</v>
      </c>
      <c r="F10" s="2284">
        <v>51005190</v>
      </c>
      <c r="G10" s="2286">
        <v>41845907</v>
      </c>
      <c r="H10" s="2287">
        <v>41845907</v>
      </c>
      <c r="I10" s="2283">
        <v>53204975.883599997</v>
      </c>
      <c r="J10" s="2284">
        <v>60286500.738375999</v>
      </c>
      <c r="K10" s="2286">
        <v>64528312.555370003</v>
      </c>
    </row>
    <row r="11" spans="1:12" ht="11.25" customHeight="1">
      <c r="A11" s="885" t="s">
        <v>517</v>
      </c>
      <c r="B11" s="2253">
        <v>10577000</v>
      </c>
      <c r="C11" s="2253">
        <v>11816013.710000001</v>
      </c>
      <c r="D11" s="2257">
        <v>13579497.119999997</v>
      </c>
      <c r="E11" s="2255">
        <v>18695710</v>
      </c>
      <c r="F11" s="2253">
        <v>19220645</v>
      </c>
      <c r="G11" s="2258">
        <v>16767022</v>
      </c>
      <c r="H11" s="2254">
        <v>16767022</v>
      </c>
      <c r="I11" s="2255">
        <v>23278845.536823008</v>
      </c>
      <c r="J11" s="2253">
        <v>24705577.725229669</v>
      </c>
      <c r="K11" s="2258">
        <v>26406330.990956668</v>
      </c>
    </row>
    <row r="12" spans="1:12" ht="11.25" customHeight="1">
      <c r="A12" s="885" t="s">
        <v>555</v>
      </c>
      <c r="B12" s="2253">
        <v>1423440.1600000001</v>
      </c>
      <c r="C12" s="2253">
        <v>1591397.97</v>
      </c>
      <c r="D12" s="2257">
        <v>1693387.8599999999</v>
      </c>
      <c r="E12" s="2255">
        <v>1780000</v>
      </c>
      <c r="F12" s="2253">
        <v>1780000</v>
      </c>
      <c r="G12" s="2258">
        <v>1783890</v>
      </c>
      <c r="H12" s="2254">
        <v>1783890</v>
      </c>
      <c r="I12" s="2255">
        <v>1850000</v>
      </c>
      <c r="J12" s="2253">
        <v>1916000</v>
      </c>
      <c r="K12" s="2258">
        <v>2033280</v>
      </c>
    </row>
    <row r="13" spans="1:12" ht="11.25" customHeight="1">
      <c r="A13" s="885" t="s">
        <v>1596</v>
      </c>
      <c r="B13" s="2253">
        <v>0</v>
      </c>
      <c r="C13" s="2253">
        <v>4025720.9765738035</v>
      </c>
      <c r="D13" s="2257">
        <v>4524935.8346276861</v>
      </c>
      <c r="E13" s="2255">
        <v>204800</v>
      </c>
      <c r="F13" s="2253">
        <v>221400</v>
      </c>
      <c r="G13" s="2258">
        <v>24798</v>
      </c>
      <c r="H13" s="2254">
        <v>24798</v>
      </c>
      <c r="I13" s="2255">
        <v>5357533.0649144258</v>
      </c>
      <c r="J13" s="2253">
        <v>5802697.0488092918</v>
      </c>
      <c r="K13" s="2258">
        <v>6140314.8717378499</v>
      </c>
    </row>
    <row r="14" spans="1:12" ht="11.25" customHeight="1">
      <c r="A14" s="885" t="s">
        <v>1665</v>
      </c>
      <c r="B14" s="2253">
        <v>764314.14999999991</v>
      </c>
      <c r="C14" s="2253">
        <v>601015.97</v>
      </c>
      <c r="D14" s="2257">
        <v>565750.5199999999</v>
      </c>
      <c r="E14" s="2255">
        <v>8783000</v>
      </c>
      <c r="F14" s="2253">
        <v>250000</v>
      </c>
      <c r="G14" s="2258">
        <v>342863</v>
      </c>
      <c r="H14" s="2254">
        <v>342863</v>
      </c>
      <c r="I14" s="2255">
        <v>453000</v>
      </c>
      <c r="J14" s="2253">
        <v>610000</v>
      </c>
      <c r="K14" s="2258">
        <v>620000</v>
      </c>
    </row>
    <row r="15" spans="1:12" ht="11.25" customHeight="1">
      <c r="A15" s="885" t="s">
        <v>524</v>
      </c>
      <c r="B15" s="2253">
        <v>3160154.76</v>
      </c>
      <c r="C15" s="2253">
        <v>4344688.4399999995</v>
      </c>
      <c r="D15" s="2257">
        <v>5985964.4299999997</v>
      </c>
      <c r="E15" s="2255">
        <v>12627515</v>
      </c>
      <c r="F15" s="2253">
        <v>8456100</v>
      </c>
      <c r="G15" s="2258">
        <v>8472926</v>
      </c>
      <c r="H15" s="2254">
        <v>8472926</v>
      </c>
      <c r="I15" s="2255">
        <v>8450000</v>
      </c>
      <c r="J15" s="2253">
        <v>9317470</v>
      </c>
      <c r="K15" s="2258">
        <v>11479760</v>
      </c>
    </row>
    <row r="16" spans="1:12" ht="11.25" customHeight="1">
      <c r="A16" s="1495" t="s">
        <v>838</v>
      </c>
      <c r="B16" s="2253">
        <v>2404407.1399999997</v>
      </c>
      <c r="C16" s="2253">
        <v>3404607.72</v>
      </c>
      <c r="D16" s="2257">
        <v>2658653.4800000004</v>
      </c>
      <c r="E16" s="2255">
        <v>3858650</v>
      </c>
      <c r="F16" s="2253">
        <v>3767700</v>
      </c>
      <c r="G16" s="2258">
        <v>3573842</v>
      </c>
      <c r="H16" s="2254">
        <v>3573842</v>
      </c>
      <c r="I16" s="2255">
        <v>3483078.63</v>
      </c>
      <c r="J16" s="2253">
        <v>3695670.26248</v>
      </c>
      <c r="K16" s="2258">
        <v>3908692.1782288002</v>
      </c>
    </row>
    <row r="17" spans="1:12" ht="11.25" customHeight="1">
      <c r="A17" s="885" t="s">
        <v>1020</v>
      </c>
      <c r="B17" s="2253">
        <v>7598057.0600000005</v>
      </c>
      <c r="C17" s="2253">
        <v>24788785.080008648</v>
      </c>
      <c r="D17" s="2257">
        <v>13237177.902000077</v>
      </c>
      <c r="E17" s="2255">
        <v>4367000</v>
      </c>
      <c r="F17" s="2253">
        <v>15393310</v>
      </c>
      <c r="G17" s="2258">
        <v>10790329</v>
      </c>
      <c r="H17" s="2254">
        <v>10790329</v>
      </c>
      <c r="I17" s="2255">
        <v>27000150.009388044</v>
      </c>
      <c r="J17" s="2253">
        <v>19888626.933339041</v>
      </c>
      <c r="K17" s="2258">
        <v>20178991.708866164</v>
      </c>
    </row>
    <row r="18" spans="1:12" ht="11.25" customHeight="1">
      <c r="A18" s="886" t="str">
        <f>'A4-FinPerf RE'!A36</f>
        <v>Total Expenditure</v>
      </c>
      <c r="B18" s="2273">
        <v>25927373.270000003</v>
      </c>
      <c r="C18" s="2274">
        <v>50572229.866582453</v>
      </c>
      <c r="D18" s="2275">
        <v>42245367.146627761</v>
      </c>
      <c r="E18" s="2273">
        <v>50316675</v>
      </c>
      <c r="F18" s="2274">
        <v>49089155</v>
      </c>
      <c r="G18" s="2276">
        <v>41755670</v>
      </c>
      <c r="H18" s="2277">
        <v>41755670</v>
      </c>
      <c r="I18" s="2273">
        <v>69872607.241125479</v>
      </c>
      <c r="J18" s="2274">
        <v>65936041.969858006</v>
      </c>
      <c r="K18" s="2276">
        <v>70767369.749789476</v>
      </c>
    </row>
    <row r="19" spans="1:12" ht="11.25" customHeight="1">
      <c r="A19" s="886" t="str">
        <f>'A4-FinPerf RE'!A38</f>
        <v>Surplus/(Deficit)</v>
      </c>
      <c r="B19" s="2269">
        <v>1233626.7299999967</v>
      </c>
      <c r="C19" s="2256">
        <v>19406328.434558824</v>
      </c>
      <c r="D19" s="2270">
        <v>11121676.835485183</v>
      </c>
      <c r="E19" s="2269">
        <v>-60</v>
      </c>
      <c r="F19" s="2256">
        <v>1916035</v>
      </c>
      <c r="G19" s="2271">
        <v>90237</v>
      </c>
      <c r="H19" s="2272">
        <v>90237</v>
      </c>
      <c r="I19" s="2269">
        <v>-16667631.357525483</v>
      </c>
      <c r="J19" s="2256">
        <v>-5649541.2314820066</v>
      </c>
      <c r="K19" s="2271">
        <v>-6239057.1944194734</v>
      </c>
    </row>
    <row r="20" spans="1:12" ht="11.25" customHeight="1">
      <c r="A20" s="885" t="str">
        <f>'A4-FinPerf RE'!A39</f>
        <v>Transfers recognised - capital</v>
      </c>
      <c r="B20" s="2255">
        <v>0</v>
      </c>
      <c r="C20" s="2253">
        <v>0</v>
      </c>
      <c r="D20" s="2257">
        <v>0</v>
      </c>
      <c r="E20" s="2255">
        <v>0</v>
      </c>
      <c r="F20" s="2253">
        <v>0</v>
      </c>
      <c r="G20" s="2258">
        <v>0</v>
      </c>
      <c r="H20" s="2254">
        <v>0</v>
      </c>
      <c r="I20" s="2255">
        <v>9488000</v>
      </c>
      <c r="J20" s="2253">
        <v>11537000</v>
      </c>
      <c r="K20" s="2258">
        <v>12171000</v>
      </c>
      <c r="L20" s="345"/>
    </row>
    <row r="21" spans="1:12" ht="11.25" customHeight="1">
      <c r="A21" s="885" t="s">
        <v>36</v>
      </c>
      <c r="B21" s="2278">
        <v>0</v>
      </c>
      <c r="C21" s="2279">
        <v>0</v>
      </c>
      <c r="D21" s="2280">
        <v>0</v>
      </c>
      <c r="E21" s="2278">
        <v>0</v>
      </c>
      <c r="F21" s="2279">
        <v>0</v>
      </c>
      <c r="G21" s="2281">
        <v>0</v>
      </c>
      <c r="H21" s="2282">
        <v>0</v>
      </c>
      <c r="I21" s="2278">
        <v>0</v>
      </c>
      <c r="J21" s="2279">
        <v>0</v>
      </c>
      <c r="K21" s="2281">
        <v>0</v>
      </c>
      <c r="L21" s="345"/>
    </row>
    <row r="22" spans="1:12" ht="25.5">
      <c r="A22" s="1165" t="str">
        <f>'A4-FinPerf RE'!A42</f>
        <v>Surplus/(Deficit) after capital transfers &amp; contributions</v>
      </c>
      <c r="B22" s="2288">
        <v>1233626.7299999967</v>
      </c>
      <c r="C22" s="2289">
        <v>19406328.434558824</v>
      </c>
      <c r="D22" s="2290">
        <v>11121676.835485183</v>
      </c>
      <c r="E22" s="2288">
        <v>-60</v>
      </c>
      <c r="F22" s="2289">
        <v>1916035</v>
      </c>
      <c r="G22" s="2291">
        <v>90237</v>
      </c>
      <c r="H22" s="2292">
        <v>90237</v>
      </c>
      <c r="I22" s="2288">
        <v>-7179631.3575254828</v>
      </c>
      <c r="J22" s="2289">
        <v>5887458.7685179934</v>
      </c>
      <c r="K22" s="2291">
        <v>5931942.8055805266</v>
      </c>
      <c r="L22" s="345"/>
    </row>
    <row r="23" spans="1:12">
      <c r="A23" s="1166" t="str">
        <f>'A4-FinPerf RE'!A47</f>
        <v>Share of surplus/ (deficit) of associate</v>
      </c>
      <c r="B23" s="2253">
        <v>0</v>
      </c>
      <c r="C23" s="2253">
        <v>0</v>
      </c>
      <c r="D23" s="2257">
        <v>0</v>
      </c>
      <c r="E23" s="2255">
        <v>0</v>
      </c>
      <c r="F23" s="2253">
        <v>0</v>
      </c>
      <c r="G23" s="2258">
        <v>0</v>
      </c>
      <c r="H23" s="2254">
        <v>0</v>
      </c>
      <c r="I23" s="2255">
        <v>0</v>
      </c>
      <c r="J23" s="2253">
        <v>0</v>
      </c>
      <c r="K23" s="2258">
        <v>0</v>
      </c>
    </row>
    <row r="24" spans="1:12">
      <c r="A24" s="1165" t="str">
        <f>'A4-FinPerf RE'!A48</f>
        <v>Surplus/(Deficit) for the year</v>
      </c>
      <c r="B24" s="2269">
        <v>1233626.7299999967</v>
      </c>
      <c r="C24" s="2256">
        <v>19406328.434558824</v>
      </c>
      <c r="D24" s="2270">
        <v>11121676.835485183</v>
      </c>
      <c r="E24" s="2269">
        <v>-60</v>
      </c>
      <c r="F24" s="2256">
        <v>1916035</v>
      </c>
      <c r="G24" s="2271">
        <v>90237</v>
      </c>
      <c r="H24" s="2272">
        <v>90237</v>
      </c>
      <c r="I24" s="2269">
        <v>-7179631.3575254828</v>
      </c>
      <c r="J24" s="2256">
        <v>5887458.7685179934</v>
      </c>
      <c r="K24" s="2271">
        <v>5931942.8055805266</v>
      </c>
    </row>
    <row r="25" spans="1:12" ht="5.0999999999999996" customHeight="1">
      <c r="A25" s="1167"/>
      <c r="B25" s="2234"/>
      <c r="C25" s="2235"/>
      <c r="D25" s="2236"/>
      <c r="E25" s="2234"/>
      <c r="F25" s="2235"/>
      <c r="G25" s="2236"/>
      <c r="H25" s="2237"/>
      <c r="I25" s="2234"/>
      <c r="J25" s="2235"/>
      <c r="K25" s="2236"/>
    </row>
    <row r="26" spans="1:12" ht="11.25" customHeight="1">
      <c r="A26" s="882" t="s">
        <v>1134</v>
      </c>
      <c r="B26" s="2241"/>
      <c r="C26" s="2242"/>
      <c r="D26" s="2243"/>
      <c r="E26" s="2241"/>
      <c r="F26" s="2242"/>
      <c r="G26" s="2243"/>
      <c r="H26" s="2244"/>
      <c r="I26" s="2241"/>
      <c r="J26" s="2242"/>
      <c r="K26" s="2243"/>
    </row>
    <row r="27" spans="1:12" ht="11.25" customHeight="1">
      <c r="A27" s="886" t="s">
        <v>1612</v>
      </c>
      <c r="B27" s="2268">
        <v>0</v>
      </c>
      <c r="C27" s="2253">
        <v>0</v>
      </c>
      <c r="D27" s="2257">
        <v>0</v>
      </c>
      <c r="E27" s="2255">
        <v>0</v>
      </c>
      <c r="F27" s="2253">
        <v>0</v>
      </c>
      <c r="G27" s="2258">
        <v>0</v>
      </c>
      <c r="H27" s="2254">
        <v>0</v>
      </c>
      <c r="I27" s="2255">
        <v>9488000</v>
      </c>
      <c r="J27" s="2253">
        <v>0</v>
      </c>
      <c r="K27" s="2258">
        <v>0</v>
      </c>
    </row>
    <row r="28" spans="1:12" ht="11.25" customHeight="1">
      <c r="A28" s="1496" t="s">
        <v>1449</v>
      </c>
      <c r="B28" s="2268">
        <v>0</v>
      </c>
      <c r="C28" s="2253">
        <v>0</v>
      </c>
      <c r="D28" s="2257">
        <v>0</v>
      </c>
      <c r="E28" s="2255">
        <v>0</v>
      </c>
      <c r="F28" s="2253">
        <v>0</v>
      </c>
      <c r="G28" s="2258">
        <v>0</v>
      </c>
      <c r="H28" s="2254">
        <v>0</v>
      </c>
      <c r="I28" s="2255">
        <v>9488000</v>
      </c>
      <c r="J28" s="2253">
        <v>11537000</v>
      </c>
      <c r="K28" s="2258">
        <v>12171000</v>
      </c>
    </row>
    <row r="29" spans="1:12" ht="11.25" customHeight="1">
      <c r="A29" s="885" t="str">
        <f>'A5-Capex'!A71</f>
        <v>Public contributions &amp; donations</v>
      </c>
      <c r="B29" s="2268">
        <v>0</v>
      </c>
      <c r="C29" s="2253">
        <v>0</v>
      </c>
      <c r="D29" s="2257">
        <v>0</v>
      </c>
      <c r="E29" s="2255">
        <v>0</v>
      </c>
      <c r="F29" s="2253">
        <v>0</v>
      </c>
      <c r="G29" s="2258">
        <v>0</v>
      </c>
      <c r="H29" s="2254">
        <v>0</v>
      </c>
      <c r="I29" s="2255">
        <v>0</v>
      </c>
      <c r="J29" s="2253">
        <v>0</v>
      </c>
      <c r="K29" s="2258">
        <v>0</v>
      </c>
    </row>
    <row r="30" spans="1:12" ht="11.25" customHeight="1">
      <c r="A30" s="885" t="str">
        <f>'A5-Capex'!A72</f>
        <v>Borrowing</v>
      </c>
      <c r="B30" s="2268">
        <v>0</v>
      </c>
      <c r="C30" s="2253">
        <v>0</v>
      </c>
      <c r="D30" s="2257">
        <v>0</v>
      </c>
      <c r="E30" s="2255">
        <v>0</v>
      </c>
      <c r="F30" s="2253">
        <v>0</v>
      </c>
      <c r="G30" s="2258">
        <v>0</v>
      </c>
      <c r="H30" s="2254">
        <v>0</v>
      </c>
      <c r="I30" s="2255">
        <v>0</v>
      </c>
      <c r="J30" s="2253">
        <v>0</v>
      </c>
      <c r="K30" s="2258">
        <v>0</v>
      </c>
    </row>
    <row r="31" spans="1:12" ht="11.25" customHeight="1">
      <c r="A31" s="885" t="str">
        <f>'A5-Capex'!A73</f>
        <v>Internally generated funds</v>
      </c>
      <c r="B31" s="2268">
        <v>0</v>
      </c>
      <c r="C31" s="2253">
        <v>0</v>
      </c>
      <c r="D31" s="2257">
        <v>0</v>
      </c>
      <c r="E31" s="2255">
        <v>0</v>
      </c>
      <c r="F31" s="2253">
        <v>0</v>
      </c>
      <c r="G31" s="2258">
        <v>0</v>
      </c>
      <c r="H31" s="2254">
        <v>0</v>
      </c>
      <c r="I31" s="2255">
        <v>0</v>
      </c>
      <c r="J31" s="2253">
        <v>-11537000</v>
      </c>
      <c r="K31" s="2258">
        <v>0</v>
      </c>
    </row>
    <row r="32" spans="1:12" s="232" customFormat="1" ht="11.25" customHeight="1">
      <c r="A32" s="886" t="s">
        <v>410</v>
      </c>
      <c r="B32" s="2268">
        <v>0</v>
      </c>
      <c r="C32" s="2253">
        <v>0</v>
      </c>
      <c r="D32" s="2257">
        <v>0</v>
      </c>
      <c r="E32" s="2255">
        <v>0</v>
      </c>
      <c r="F32" s="2253">
        <v>0</v>
      </c>
      <c r="G32" s="2258">
        <v>0</v>
      </c>
      <c r="H32" s="2254">
        <v>0</v>
      </c>
      <c r="I32" s="2255">
        <v>9488000</v>
      </c>
      <c r="J32" s="2253">
        <v>0</v>
      </c>
      <c r="K32" s="2258">
        <v>12171000</v>
      </c>
    </row>
    <row r="33" spans="1:15" ht="5.0999999999999996" customHeight="1">
      <c r="A33" s="886"/>
      <c r="B33" s="2245"/>
      <c r="C33" s="2246"/>
      <c r="D33" s="2247"/>
      <c r="E33" s="2245"/>
      <c r="F33" s="2246"/>
      <c r="G33" s="2247"/>
      <c r="H33" s="2248"/>
      <c r="I33" s="2245"/>
      <c r="J33" s="2246"/>
      <c r="K33" s="2247"/>
      <c r="O33" s="232"/>
    </row>
    <row r="34" spans="1:15" ht="11.25" customHeight="1">
      <c r="A34" s="882" t="s">
        <v>205</v>
      </c>
      <c r="B34" s="2241"/>
      <c r="C34" s="2242"/>
      <c r="D34" s="2243"/>
      <c r="E34" s="2241"/>
      <c r="F34" s="2242"/>
      <c r="G34" s="2243"/>
      <c r="H34" s="2244"/>
      <c r="I34" s="2241"/>
      <c r="J34" s="2242"/>
      <c r="K34" s="2243"/>
      <c r="O34" s="232"/>
    </row>
    <row r="35" spans="1:15" ht="11.25" customHeight="1">
      <c r="A35" s="885" t="str">
        <f>'A6-FinPos'!A12</f>
        <v>Total current assets</v>
      </c>
      <c r="B35" s="2268">
        <v>0</v>
      </c>
      <c r="C35" s="2253">
        <v>13326390</v>
      </c>
      <c r="D35" s="2257">
        <v>14672169</v>
      </c>
      <c r="E35" s="2255">
        <v>21247482.52</v>
      </c>
      <c r="F35" s="2253">
        <v>20460838.363000005</v>
      </c>
      <c r="G35" s="2258">
        <v>19631838.363000005</v>
      </c>
      <c r="H35" s="2254">
        <v>0</v>
      </c>
      <c r="I35" s="2255">
        <v>23658435.223000005</v>
      </c>
      <c r="J35" s="2253">
        <v>20188338.540399998</v>
      </c>
      <c r="K35" s="2258">
        <v>27356063.439681999</v>
      </c>
      <c r="O35" s="232"/>
    </row>
    <row r="36" spans="1:15" ht="11.25" customHeight="1">
      <c r="A36" s="885" t="str">
        <f>'A6-FinPos'!A24</f>
        <v>Total non current assets</v>
      </c>
      <c r="B36" s="2268">
        <v>0</v>
      </c>
      <c r="C36" s="2253">
        <v>131362649</v>
      </c>
      <c r="D36" s="2257">
        <v>116967820</v>
      </c>
      <c r="E36" s="2255">
        <v>120659000</v>
      </c>
      <c r="F36" s="2253">
        <v>0</v>
      </c>
      <c r="G36" s="2258">
        <v>0</v>
      </c>
      <c r="H36" s="2254">
        <v>0</v>
      </c>
      <c r="I36" s="2255">
        <v>135448213.68684208</v>
      </c>
      <c r="J36" s="2253">
        <v>122116211.09045263</v>
      </c>
      <c r="K36" s="2258">
        <v>130450332.1383516</v>
      </c>
      <c r="O36" s="232"/>
    </row>
    <row r="37" spans="1:15" ht="11.25" customHeight="1">
      <c r="A37" s="885" t="str">
        <f>'A6-FinPos'!A34</f>
        <v>Total current liabilities</v>
      </c>
      <c r="B37" s="2268">
        <v>0</v>
      </c>
      <c r="C37" s="2253">
        <v>4696455</v>
      </c>
      <c r="D37" s="2257">
        <v>11774416</v>
      </c>
      <c r="E37" s="2255">
        <v>1404382</v>
      </c>
      <c r="F37" s="2253">
        <v>4302847.3500000006</v>
      </c>
      <c r="G37" s="2258">
        <v>0</v>
      </c>
      <c r="H37" s="2254">
        <v>0</v>
      </c>
      <c r="I37" s="2255">
        <v>8845969.7800000012</v>
      </c>
      <c r="J37" s="2253">
        <v>6712647.7199999997</v>
      </c>
      <c r="K37" s="2258">
        <v>4821546.5832000002</v>
      </c>
      <c r="O37" s="232"/>
    </row>
    <row r="38" spans="1:15" ht="11.25" customHeight="1">
      <c r="A38" s="885" t="str">
        <f>'A6-FinPos'!A39</f>
        <v>Total non current liabilities</v>
      </c>
      <c r="B38" s="2268">
        <v>0</v>
      </c>
      <c r="C38" s="2253">
        <v>1436000</v>
      </c>
      <c r="D38" s="2257">
        <v>1436000</v>
      </c>
      <c r="E38" s="2255">
        <v>1436000</v>
      </c>
      <c r="F38" s="2253">
        <v>1436000</v>
      </c>
      <c r="G38" s="2258">
        <v>0</v>
      </c>
      <c r="H38" s="2254">
        <v>0</v>
      </c>
      <c r="I38" s="2255">
        <v>1436000</v>
      </c>
      <c r="J38" s="2253">
        <v>1436000</v>
      </c>
      <c r="K38" s="2258">
        <v>1436000</v>
      </c>
      <c r="O38" s="232"/>
    </row>
    <row r="39" spans="1:15" ht="11.25" customHeight="1">
      <c r="A39" s="885" t="s">
        <v>37</v>
      </c>
      <c r="B39" s="2268">
        <v>0</v>
      </c>
      <c r="C39" s="2253">
        <v>219405492</v>
      </c>
      <c r="D39" s="2257">
        <v>121070281</v>
      </c>
      <c r="E39" s="2255">
        <v>105338940</v>
      </c>
      <c r="F39" s="2253">
        <v>1344218.8130000001</v>
      </c>
      <c r="G39" s="2258">
        <v>1344218.8130000001</v>
      </c>
      <c r="H39" s="2254">
        <v>1344218.8130000001</v>
      </c>
      <c r="I39" s="2255">
        <v>1424871.9417800002</v>
      </c>
      <c r="J39" s="2253">
        <v>1510364.2582868002</v>
      </c>
      <c r="K39" s="2258">
        <v>1600986.1137840084</v>
      </c>
      <c r="O39" s="232"/>
    </row>
    <row r="40" spans="1:15" ht="5.0999999999999996" customHeight="1">
      <c r="A40" s="1167"/>
      <c r="B40" s="2234"/>
      <c r="C40" s="2235"/>
      <c r="D40" s="2236"/>
      <c r="E40" s="2234"/>
      <c r="F40" s="2235"/>
      <c r="G40" s="2236"/>
      <c r="H40" s="2237"/>
      <c r="I40" s="2234"/>
      <c r="J40" s="2235"/>
      <c r="K40" s="2236"/>
      <c r="O40" s="232"/>
    </row>
    <row r="41" spans="1:15" ht="11.25" customHeight="1">
      <c r="A41" s="882" t="s">
        <v>206</v>
      </c>
      <c r="B41" s="2241"/>
      <c r="C41" s="2242"/>
      <c r="D41" s="2243"/>
      <c r="E41" s="2241"/>
      <c r="F41" s="2242"/>
      <c r="G41" s="2243"/>
      <c r="H41" s="2244"/>
      <c r="I41" s="2241"/>
      <c r="J41" s="2242"/>
      <c r="K41" s="2243"/>
      <c r="O41" s="232"/>
    </row>
    <row r="42" spans="1:15" ht="11.25" customHeight="1">
      <c r="A42" s="885" t="s">
        <v>1049</v>
      </c>
      <c r="B42" s="2268">
        <v>-1824754</v>
      </c>
      <c r="C42" s="2253">
        <v>9612887</v>
      </c>
      <c r="D42" s="2257">
        <v>20545849</v>
      </c>
      <c r="E42" s="2255">
        <v>91007977.882499993</v>
      </c>
      <c r="F42" s="2253">
        <v>11680290</v>
      </c>
      <c r="G42" s="2258">
        <v>0</v>
      </c>
      <c r="H42" s="2254">
        <v>0</v>
      </c>
      <c r="I42" s="2255">
        <v>13947644.098080002</v>
      </c>
      <c r="J42" s="2253">
        <v>-5954515.1785909832</v>
      </c>
      <c r="K42" s="2258">
        <v>-4825243.7728739157</v>
      </c>
    </row>
    <row r="43" spans="1:15" ht="11.25" customHeight="1">
      <c r="A43" s="885" t="s">
        <v>1050</v>
      </c>
      <c r="B43" s="2268">
        <v>-5162744</v>
      </c>
      <c r="C43" s="2253">
        <v>-16312304</v>
      </c>
      <c r="D43" s="2257">
        <v>546092</v>
      </c>
      <c r="E43" s="2255">
        <v>-10922955</v>
      </c>
      <c r="F43" s="2253">
        <v>-10922955</v>
      </c>
      <c r="G43" s="2258">
        <v>0</v>
      </c>
      <c r="H43" s="2254">
        <v>0</v>
      </c>
      <c r="I43" s="2255">
        <v>-9748140.9600000009</v>
      </c>
      <c r="J43" s="2253">
        <v>-11797140.960000001</v>
      </c>
      <c r="K43" s="2258">
        <v>-12446749.4176</v>
      </c>
    </row>
    <row r="44" spans="1:15" ht="11.25" customHeight="1">
      <c r="A44" s="885" t="s">
        <v>1048</v>
      </c>
      <c r="B44" s="2268">
        <v>-224773</v>
      </c>
      <c r="C44" s="2253">
        <v>-51157</v>
      </c>
      <c r="D44" s="2257">
        <v>37784</v>
      </c>
      <c r="E44" s="2255">
        <v>-324000</v>
      </c>
      <c r="F44" s="2253">
        <v>0</v>
      </c>
      <c r="G44" s="2258">
        <v>0</v>
      </c>
      <c r="H44" s="2254">
        <v>0</v>
      </c>
      <c r="I44" s="2255">
        <v>-1716000</v>
      </c>
      <c r="J44" s="2253">
        <v>-1705620</v>
      </c>
      <c r="K44" s="2258">
        <v>-1716000</v>
      </c>
    </row>
    <row r="45" spans="1:15" ht="11.25" customHeight="1">
      <c r="A45" s="886" t="str">
        <f>LEFT('A7-CFlow'!A38,37)</f>
        <v>Cash/cash equivalents at the year end</v>
      </c>
      <c r="B45" s="2268">
        <v>-473070</v>
      </c>
      <c r="C45" s="2253">
        <v>-7223644</v>
      </c>
      <c r="D45" s="2257">
        <v>13906081</v>
      </c>
      <c r="E45" s="2255">
        <v>93667103.882499993</v>
      </c>
      <c r="F45" s="2253">
        <v>14663416</v>
      </c>
      <c r="G45" s="2258">
        <v>14663416</v>
      </c>
      <c r="H45" s="2254">
        <v>13906081</v>
      </c>
      <c r="I45" s="2255">
        <v>16389584.138080001</v>
      </c>
      <c r="J45" s="2253">
        <v>-3067692.0005109832</v>
      </c>
      <c r="K45" s="2258">
        <v>-22055685.190984897</v>
      </c>
    </row>
    <row r="46" spans="1:15" ht="5.0999999999999996" customHeight="1">
      <c r="A46" s="1167"/>
      <c r="B46" s="2234"/>
      <c r="C46" s="2235"/>
      <c r="D46" s="2236"/>
      <c r="E46" s="2234"/>
      <c r="F46" s="2235"/>
      <c r="G46" s="2236"/>
      <c r="H46" s="2237"/>
      <c r="I46" s="2234"/>
      <c r="J46" s="2235"/>
      <c r="K46" s="2236"/>
    </row>
    <row r="47" spans="1:15" ht="11.25" customHeight="1">
      <c r="A47" s="882" t="s">
        <v>293</v>
      </c>
      <c r="B47" s="2241"/>
      <c r="C47" s="2242"/>
      <c r="D47" s="2243"/>
      <c r="E47" s="2241"/>
      <c r="F47" s="2242"/>
      <c r="G47" s="2243"/>
      <c r="H47" s="2244"/>
      <c r="I47" s="2241"/>
      <c r="J47" s="2242"/>
      <c r="K47" s="2243"/>
    </row>
    <row r="48" spans="1:15" ht="11.25" customHeight="1">
      <c r="A48" s="885" t="str">
        <f>'A8-ResRecon'!A4</f>
        <v>Cash and investments available</v>
      </c>
      <c r="B48" s="2268">
        <v>0</v>
      </c>
      <c r="C48" s="2253">
        <v>2933091</v>
      </c>
      <c r="D48" s="2257">
        <v>7668247</v>
      </c>
      <c r="E48" s="2255">
        <v>2530400</v>
      </c>
      <c r="F48" s="2253">
        <v>11245599.363000005</v>
      </c>
      <c r="G48" s="2258">
        <v>10416599.363000005</v>
      </c>
      <c r="H48" s="2254">
        <v>0</v>
      </c>
      <c r="I48" s="2255">
        <v>10367371.363000005</v>
      </c>
      <c r="J48" s="2253">
        <v>11743818.32</v>
      </c>
      <c r="K48" s="2258">
        <v>19959907.419199999</v>
      </c>
    </row>
    <row r="49" spans="1:12" ht="11.25" customHeight="1">
      <c r="A49" s="885" t="str">
        <f>'A8-ResRecon'!A10</f>
        <v>Application of cash and investments</v>
      </c>
      <c r="B49" s="2268">
        <v>0</v>
      </c>
      <c r="C49" s="2253">
        <v>-4068363</v>
      </c>
      <c r="D49" s="2257">
        <v>5148412</v>
      </c>
      <c r="E49" s="2255">
        <v>1170000</v>
      </c>
      <c r="F49" s="2253">
        <v>3227313.1630000006</v>
      </c>
      <c r="G49" s="2258">
        <v>1344218.8130000001</v>
      </c>
      <c r="H49" s="2254">
        <v>1344218.8130000001</v>
      </c>
      <c r="I49" s="2255">
        <v>-144989.30821999977</v>
      </c>
      <c r="J49" s="2253">
        <v>-185283.17766319984</v>
      </c>
      <c r="K49" s="2258">
        <v>-171563.47238458134</v>
      </c>
    </row>
    <row r="50" spans="1:12" ht="11.25" customHeight="1">
      <c r="A50" s="886" t="s">
        <v>1151</v>
      </c>
      <c r="B50" s="2268">
        <v>0</v>
      </c>
      <c r="C50" s="2253">
        <v>7001454</v>
      </c>
      <c r="D50" s="2257">
        <v>2519835</v>
      </c>
      <c r="E50" s="2255">
        <v>1360400</v>
      </c>
      <c r="F50" s="2253">
        <v>8018286.2000000048</v>
      </c>
      <c r="G50" s="2258">
        <v>9072380.5500000045</v>
      </c>
      <c r="H50" s="2254">
        <v>-1344218.8130000001</v>
      </c>
      <c r="I50" s="2255">
        <v>10512360.671220005</v>
      </c>
      <c r="J50" s="2253">
        <v>11929101.4976632</v>
      </c>
      <c r="K50" s="2258">
        <v>20131470.891584583</v>
      </c>
    </row>
    <row r="51" spans="1:12" ht="5.0999999999999996" customHeight="1">
      <c r="A51" s="911"/>
      <c r="B51" s="2249"/>
      <c r="C51" s="2250"/>
      <c r="D51" s="2251"/>
      <c r="E51" s="2249"/>
      <c r="F51" s="2250"/>
      <c r="G51" s="2251"/>
      <c r="H51" s="2252"/>
      <c r="I51" s="2249"/>
      <c r="J51" s="2250"/>
      <c r="K51" s="2251"/>
    </row>
    <row r="52" spans="1:12" ht="11.25" customHeight="1">
      <c r="A52" s="1168" t="s">
        <v>1330</v>
      </c>
      <c r="B52" s="2234"/>
      <c r="C52" s="2235"/>
      <c r="D52" s="2236"/>
      <c r="E52" s="2234"/>
      <c r="F52" s="2235"/>
      <c r="G52" s="2236"/>
      <c r="H52" s="2237"/>
      <c r="I52" s="2234"/>
      <c r="J52" s="2235"/>
      <c r="K52" s="2236"/>
      <c r="L52" s="345"/>
    </row>
    <row r="53" spans="1:12" ht="11.25" customHeight="1">
      <c r="A53" s="1169" t="s">
        <v>1023</v>
      </c>
      <c r="B53" s="2268">
        <v>0</v>
      </c>
      <c r="C53" s="2253">
        <v>19984100</v>
      </c>
      <c r="D53" s="2257">
        <v>19984100</v>
      </c>
      <c r="E53" s="2255">
        <v>0</v>
      </c>
      <c r="F53" s="2253">
        <v>0</v>
      </c>
      <c r="G53" s="2258">
        <v>0</v>
      </c>
      <c r="H53" s="2254">
        <v>19984100</v>
      </c>
      <c r="I53" s="2255">
        <v>19984100</v>
      </c>
      <c r="J53" s="2253">
        <v>0</v>
      </c>
      <c r="K53" s="2258">
        <v>0</v>
      </c>
      <c r="L53" s="345"/>
    </row>
    <row r="54" spans="1:12" ht="11.25" customHeight="1">
      <c r="A54" s="1169" t="str">
        <f>'A9-Asset'!A68</f>
        <v>Depreciation &amp; asset impairment</v>
      </c>
      <c r="B54" s="2268">
        <v>0</v>
      </c>
      <c r="C54" s="2253">
        <v>4025720.9765738035</v>
      </c>
      <c r="D54" s="2257">
        <v>4524935.8346276861</v>
      </c>
      <c r="E54" s="2255">
        <v>204800</v>
      </c>
      <c r="F54" s="2253">
        <v>221400</v>
      </c>
      <c r="G54" s="2258">
        <v>24798</v>
      </c>
      <c r="H54" s="2254">
        <v>5357533.0649144258</v>
      </c>
      <c r="I54" s="2255">
        <v>5357533.0649144258</v>
      </c>
      <c r="J54" s="2253">
        <v>5802697.0488092918</v>
      </c>
      <c r="K54" s="2258">
        <v>6140314.8717378499</v>
      </c>
      <c r="L54" s="345"/>
    </row>
    <row r="55" spans="1:12" ht="11.25" customHeight="1">
      <c r="A55" s="1169" t="s">
        <v>463</v>
      </c>
      <c r="B55" s="2268">
        <v>0</v>
      </c>
      <c r="C55" s="2253">
        <v>0</v>
      </c>
      <c r="D55" s="2257">
        <v>0</v>
      </c>
      <c r="E55" s="2255">
        <v>0</v>
      </c>
      <c r="F55" s="2253">
        <v>0</v>
      </c>
      <c r="G55" s="2258">
        <v>0</v>
      </c>
      <c r="H55" s="2254">
        <v>0</v>
      </c>
      <c r="I55" s="2255">
        <v>0</v>
      </c>
      <c r="J55" s="2253">
        <v>0</v>
      </c>
      <c r="K55" s="2258">
        <v>0</v>
      </c>
      <c r="L55" s="345"/>
    </row>
    <row r="56" spans="1:12" ht="11.25" customHeight="1">
      <c r="A56" s="1169" t="s">
        <v>464</v>
      </c>
      <c r="B56" s="2268">
        <v>0</v>
      </c>
      <c r="C56" s="2253">
        <v>0</v>
      </c>
      <c r="D56" s="2257">
        <v>0</v>
      </c>
      <c r="E56" s="2255">
        <v>0</v>
      </c>
      <c r="F56" s="2253">
        <v>0</v>
      </c>
      <c r="G56" s="2258">
        <v>0</v>
      </c>
      <c r="H56" s="2254">
        <v>0</v>
      </c>
      <c r="I56" s="2255">
        <v>0</v>
      </c>
      <c r="J56" s="2253">
        <v>0</v>
      </c>
      <c r="K56" s="2258">
        <v>0</v>
      </c>
      <c r="L56" s="345"/>
    </row>
    <row r="57" spans="1:12" ht="5.0999999999999996" customHeight="1">
      <c r="A57" s="1170"/>
      <c r="B57" s="2266"/>
      <c r="C57" s="2264"/>
      <c r="D57" s="2265"/>
      <c r="E57" s="2266"/>
      <c r="F57" s="2264"/>
      <c r="G57" s="2265"/>
      <c r="H57" s="2267"/>
      <c r="I57" s="2266"/>
      <c r="J57" s="2264"/>
      <c r="K57" s="2265"/>
      <c r="L57" s="345"/>
    </row>
    <row r="58" spans="1:12" ht="11.25" customHeight="1">
      <c r="A58" s="1168" t="s">
        <v>861</v>
      </c>
      <c r="B58" s="2234"/>
      <c r="C58" s="2235"/>
      <c r="D58" s="2236"/>
      <c r="E58" s="2234"/>
      <c r="F58" s="2235"/>
      <c r="G58" s="2236"/>
      <c r="H58" s="2237"/>
      <c r="I58" s="2238"/>
      <c r="J58" s="2239"/>
      <c r="K58" s="2240"/>
      <c r="L58" s="345"/>
    </row>
    <row r="59" spans="1:12" ht="11.25" customHeight="1">
      <c r="A59" s="1495" t="s">
        <v>863</v>
      </c>
      <c r="B59" s="2268">
        <v>0</v>
      </c>
      <c r="C59" s="2253">
        <v>421891000</v>
      </c>
      <c r="D59" s="2257">
        <v>421891000</v>
      </c>
      <c r="E59" s="2255">
        <v>421891000</v>
      </c>
      <c r="F59" s="2253">
        <v>421891000</v>
      </c>
      <c r="G59" s="2258">
        <v>421891000</v>
      </c>
      <c r="H59" s="2254">
        <v>0</v>
      </c>
      <c r="I59" s="2255">
        <v>0</v>
      </c>
      <c r="J59" s="2253">
        <v>0</v>
      </c>
      <c r="K59" s="2258">
        <v>0</v>
      </c>
      <c r="L59" s="345"/>
    </row>
    <row r="60" spans="1:12" ht="11.25" customHeight="1">
      <c r="A60" s="1495" t="s">
        <v>521</v>
      </c>
      <c r="B60" s="2268">
        <v>0</v>
      </c>
      <c r="C60" s="2253">
        <v>1917386</v>
      </c>
      <c r="D60" s="2257">
        <v>1917386</v>
      </c>
      <c r="E60" s="2255">
        <v>1917386</v>
      </c>
      <c r="F60" s="2253">
        <v>1917386</v>
      </c>
      <c r="G60" s="2258">
        <v>1917386</v>
      </c>
      <c r="H60" s="2254">
        <v>0</v>
      </c>
      <c r="I60" s="2255">
        <v>0</v>
      </c>
      <c r="J60" s="2253">
        <v>0</v>
      </c>
      <c r="K60" s="2258">
        <v>0</v>
      </c>
      <c r="L60" s="345"/>
    </row>
    <row r="61" spans="1:12" ht="11.25" customHeight="1">
      <c r="A61" s="1497" t="s">
        <v>862</v>
      </c>
      <c r="B61" s="2238"/>
      <c r="C61" s="2239"/>
      <c r="D61" s="2240"/>
      <c r="E61" s="2238"/>
      <c r="F61" s="2239"/>
      <c r="G61" s="2240"/>
      <c r="H61" s="2263"/>
      <c r="I61" s="2238"/>
      <c r="J61" s="2239"/>
      <c r="K61" s="2240"/>
      <c r="L61" s="345"/>
    </row>
    <row r="62" spans="1:12" ht="11.25" customHeight="1">
      <c r="A62" s="1299" t="str">
        <f>'A10-SerDel'!A5</f>
        <v>Water:</v>
      </c>
      <c r="B62" s="2261">
        <v>0</v>
      </c>
      <c r="C62" s="2259">
        <v>0</v>
      </c>
      <c r="D62" s="2260">
        <v>0</v>
      </c>
      <c r="E62" s="2261">
        <v>0</v>
      </c>
      <c r="F62" s="2259">
        <v>0</v>
      </c>
      <c r="G62" s="2260">
        <v>0</v>
      </c>
      <c r="H62" s="2262">
        <v>0</v>
      </c>
      <c r="I62" s="2261">
        <v>0</v>
      </c>
      <c r="J62" s="2259">
        <v>0</v>
      </c>
      <c r="K62" s="2260">
        <v>0</v>
      </c>
      <c r="L62" s="345"/>
    </row>
    <row r="63" spans="1:12" ht="11.25" customHeight="1">
      <c r="A63" s="1299" t="str">
        <f>'A10-SerDel'!A16</f>
        <v>Sanitation/sewerage:</v>
      </c>
      <c r="B63" s="2261">
        <v>0</v>
      </c>
      <c r="C63" s="2259">
        <v>1608000</v>
      </c>
      <c r="D63" s="2260">
        <v>0</v>
      </c>
      <c r="E63" s="2261">
        <v>400000</v>
      </c>
      <c r="F63" s="2259">
        <v>0</v>
      </c>
      <c r="G63" s="2260">
        <v>0</v>
      </c>
      <c r="H63" s="2262">
        <v>376000</v>
      </c>
      <c r="I63" s="2261">
        <v>376000</v>
      </c>
      <c r="J63" s="2259">
        <v>376000</v>
      </c>
      <c r="K63" s="2260">
        <v>0</v>
      </c>
      <c r="L63" s="345"/>
    </row>
    <row r="64" spans="1:12" ht="11.25" customHeight="1">
      <c r="A64" s="1299" t="str">
        <f>'A10-SerDel'!A28</f>
        <v>Energy:</v>
      </c>
      <c r="B64" s="2261">
        <v>0</v>
      </c>
      <c r="C64" s="2259">
        <v>0</v>
      </c>
      <c r="D64" s="2260">
        <v>0</v>
      </c>
      <c r="E64" s="2261">
        <v>0</v>
      </c>
      <c r="F64" s="2259">
        <v>0</v>
      </c>
      <c r="G64" s="2260">
        <v>0</v>
      </c>
      <c r="H64" s="2262">
        <v>0</v>
      </c>
      <c r="I64" s="2261">
        <v>0</v>
      </c>
      <c r="J64" s="2259">
        <v>0</v>
      </c>
      <c r="K64" s="2260">
        <v>0</v>
      </c>
      <c r="L64" s="345"/>
    </row>
    <row r="65" spans="1:12" ht="11.25" customHeight="1">
      <c r="A65" s="1299" t="str">
        <f>'A10-SerDel'!A37</f>
        <v>Refuse:</v>
      </c>
      <c r="B65" s="2261">
        <v>0</v>
      </c>
      <c r="C65" s="2259">
        <v>0</v>
      </c>
      <c r="D65" s="2260">
        <v>0</v>
      </c>
      <c r="E65" s="2261">
        <v>0</v>
      </c>
      <c r="F65" s="2259">
        <v>0</v>
      </c>
      <c r="G65" s="2260">
        <v>0</v>
      </c>
      <c r="H65" s="2262">
        <v>0</v>
      </c>
      <c r="I65" s="2261">
        <v>0</v>
      </c>
      <c r="J65" s="2259">
        <v>0</v>
      </c>
      <c r="K65" s="2260">
        <v>0</v>
      </c>
      <c r="L65" s="345"/>
    </row>
    <row r="66" spans="1:12" ht="5.0999999999999996" customHeight="1">
      <c r="A66" s="1170"/>
      <c r="B66" s="2266"/>
      <c r="C66" s="2264"/>
      <c r="D66" s="2265"/>
      <c r="E66" s="2266"/>
      <c r="F66" s="2264"/>
      <c r="G66" s="2265"/>
      <c r="H66" s="2267"/>
      <c r="I66" s="2266"/>
      <c r="J66" s="2264"/>
      <c r="K66" s="2265"/>
      <c r="L66" s="345"/>
    </row>
    <row r="67" spans="1:12" ht="4.5" customHeight="1">
      <c r="A67" s="232"/>
      <c r="B67" s="162"/>
      <c r="C67" s="162"/>
      <c r="D67" s="162"/>
      <c r="E67" s="162"/>
      <c r="F67" s="162"/>
      <c r="G67" s="162"/>
      <c r="H67" s="162"/>
      <c r="I67" s="162"/>
      <c r="J67" s="162"/>
      <c r="K67" s="162"/>
    </row>
    <row r="68" spans="1:12">
      <c r="A68" s="167"/>
      <c r="B68" s="167"/>
      <c r="C68" s="167"/>
      <c r="D68" s="167"/>
      <c r="E68" s="167"/>
      <c r="F68" s="167"/>
      <c r="G68" s="167"/>
      <c r="H68" s="167"/>
      <c r="I68" s="167"/>
      <c r="J68" s="167"/>
      <c r="K68" s="167"/>
    </row>
  </sheetData>
  <mergeCells count="3">
    <mergeCell ref="I2:K2"/>
    <mergeCell ref="E2:H2"/>
    <mergeCell ref="A1:C1"/>
  </mergeCells>
  <phoneticPr fontId="3" type="noConversion"/>
  <printOptions horizontalCentered="1"/>
  <pageMargins left="0.35" right="0.2" top="0.78740157480314998" bottom="0.59055118110236204" header="0.511811023622047" footer="0.39370078740157499"/>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indexed="44"/>
    <pageSetUpPr fitToPage="1"/>
  </sheetPr>
  <dimension ref="A1:R92"/>
  <sheetViews>
    <sheetView showGridLines="0" workbookViewId="0">
      <pane xSplit="2" ySplit="3" topLeftCell="C25" activePane="bottomRight" state="frozen"/>
      <selection activeCell="O37" sqref="A1:IV65536"/>
      <selection pane="topRight" activeCell="O37" sqref="A1:IV65536"/>
      <selection pane="bottomLeft" activeCell="O37" sqref="A1:IV65536"/>
      <selection pane="bottomRight" activeCell="F20" sqref="F20"/>
    </sheetView>
  </sheetViews>
  <sheetFormatPr defaultRowHeight="12.75"/>
  <cols>
    <col min="1" max="1" width="30.7109375" style="150" customWidth="1"/>
    <col min="2" max="2" width="3" style="233" hidden="1" customWidth="1"/>
    <col min="3" max="11" width="9.28515625" style="150" customWidth="1"/>
    <col min="12" max="41" width="9.5703125" style="150" customWidth="1"/>
    <col min="42" max="16384" width="9.140625" style="150"/>
  </cols>
  <sheetData>
    <row r="1" spans="1:18" ht="13.5">
      <c r="A1" s="148" t="str">
        <f>muni&amp;" - "&amp;Approve3</f>
        <v>NC071 Ubuntu - Table A2 Budgeted Financial Performance (revenue and expenditure by standard classification)</v>
      </c>
      <c r="B1" s="234"/>
      <c r="C1" s="234"/>
      <c r="D1" s="234"/>
      <c r="E1" s="234"/>
      <c r="F1" s="234"/>
      <c r="G1" s="234"/>
      <c r="H1" s="234"/>
      <c r="I1" s="234"/>
      <c r="J1" s="234"/>
      <c r="K1" s="234"/>
    </row>
    <row r="2" spans="1:18" ht="28.5" customHeight="1">
      <c r="A2" s="972" t="str">
        <f>"Standard Classification "&amp;desc</f>
        <v>Standard Classification Description</v>
      </c>
      <c r="B2" s="394" t="str">
        <f>head27</f>
        <v>Ref</v>
      </c>
      <c r="C2" s="151" t="str">
        <f>head1b</f>
        <v>2007/8</v>
      </c>
      <c r="D2" s="151" t="str">
        <f>head1A</f>
        <v>2008/9</v>
      </c>
      <c r="E2" s="147" t="str">
        <f>Head1</f>
        <v>2009/10</v>
      </c>
      <c r="F2" s="2772" t="str">
        <f>Head2</f>
        <v>Current Year 2010/11</v>
      </c>
      <c r="G2" s="2773"/>
      <c r="H2" s="2777"/>
      <c r="I2" s="2769" t="str">
        <f>Head3</f>
        <v>2011/12 Medium Term Revenue &amp; Expenditure Framework</v>
      </c>
      <c r="J2" s="2770"/>
      <c r="K2" s="2771"/>
    </row>
    <row r="3" spans="1:18" ht="25.5">
      <c r="A3" s="169" t="s">
        <v>697</v>
      </c>
      <c r="B3" s="980">
        <v>1</v>
      </c>
      <c r="C3" s="365" t="str">
        <f>Head5</f>
        <v>Audited Outcome</v>
      </c>
      <c r="D3" s="365" t="str">
        <f>Head5</f>
        <v>Audited Outcome</v>
      </c>
      <c r="E3" s="366" t="str">
        <f>Head5</f>
        <v>Audited Outcome</v>
      </c>
      <c r="F3" s="283" t="str">
        <f>Head6</f>
        <v>Original Budget</v>
      </c>
      <c r="G3" s="365" t="str">
        <f>Head7</f>
        <v>Adjusted Budget</v>
      </c>
      <c r="H3" s="366" t="str">
        <f>Head8</f>
        <v>Full Year Forecast</v>
      </c>
      <c r="I3" s="283" t="str">
        <f>Head9</f>
        <v>Budget Year 2011/12</v>
      </c>
      <c r="J3" s="365" t="str">
        <f>Head10</f>
        <v>Budget Year +1 2012/13</v>
      </c>
      <c r="K3" s="366" t="str">
        <f>Head11</f>
        <v>Budget Year +2 2013/14</v>
      </c>
    </row>
    <row r="4" spans="1:18" ht="11.25" customHeight="1">
      <c r="A4" s="235" t="s">
        <v>447</v>
      </c>
      <c r="B4" s="171"/>
      <c r="C4" s="173"/>
      <c r="D4" s="173"/>
      <c r="E4" s="174"/>
      <c r="F4" s="175"/>
      <c r="G4" s="173"/>
      <c r="H4" s="172"/>
      <c r="I4" s="176"/>
      <c r="J4" s="173"/>
      <c r="K4" s="174"/>
      <c r="L4" s="345"/>
    </row>
    <row r="5" spans="1:18" ht="11.25" customHeight="1">
      <c r="A5" s="1243" t="s">
        <v>1203</v>
      </c>
      <c r="B5" s="1194"/>
      <c r="C5" s="2313">
        <v>12688659.040000001</v>
      </c>
      <c r="D5" s="2313">
        <v>43371575.767341271</v>
      </c>
      <c r="E5" s="2318">
        <v>21077119.408112947</v>
      </c>
      <c r="F5" s="2317">
        <v>23158180</v>
      </c>
      <c r="G5" s="2313">
        <v>23467060</v>
      </c>
      <c r="H5" s="2319">
        <v>51688152</v>
      </c>
      <c r="I5" s="2320">
        <v>25274098.829999998</v>
      </c>
      <c r="J5" s="2313">
        <v>27152141.559799999</v>
      </c>
      <c r="K5" s="2319">
        <v>29583145.461388003</v>
      </c>
      <c r="L5" s="345"/>
      <c r="Q5" s="238"/>
      <c r="R5" s="239"/>
    </row>
    <row r="6" spans="1:18" ht="11.25" customHeight="1">
      <c r="A6" s="1244" t="s">
        <v>141</v>
      </c>
      <c r="B6" s="1194"/>
      <c r="C6" s="2307">
        <v>0</v>
      </c>
      <c r="D6" s="2307">
        <v>13070</v>
      </c>
      <c r="E6" s="2308">
        <v>900</v>
      </c>
      <c r="F6" s="2309">
        <v>523000</v>
      </c>
      <c r="G6" s="2307">
        <v>831880</v>
      </c>
      <c r="H6" s="2310">
        <v>484608</v>
      </c>
      <c r="I6" s="2311">
        <v>873000</v>
      </c>
      <c r="J6" s="2307">
        <v>595000</v>
      </c>
      <c r="K6" s="2308">
        <v>629000</v>
      </c>
      <c r="L6" s="345"/>
      <c r="Q6" s="238"/>
      <c r="R6" s="239"/>
    </row>
    <row r="7" spans="1:18" ht="11.25" customHeight="1">
      <c r="A7" s="1244" t="s">
        <v>142</v>
      </c>
      <c r="B7" s="1194"/>
      <c r="C7" s="2321">
        <v>12522292.940000001</v>
      </c>
      <c r="D7" s="2321">
        <v>43108032.937341273</v>
      </c>
      <c r="E7" s="2322">
        <v>20774677.698112946</v>
      </c>
      <c r="F7" s="2323">
        <v>22241260</v>
      </c>
      <c r="G7" s="2321">
        <v>22241260</v>
      </c>
      <c r="H7" s="2324">
        <v>50866430</v>
      </c>
      <c r="I7" s="2325">
        <v>24097968.829999998</v>
      </c>
      <c r="J7" s="2321">
        <v>26129121.1598</v>
      </c>
      <c r="K7" s="2322">
        <v>28509275.429388002</v>
      </c>
      <c r="L7" s="345"/>
      <c r="Q7" s="238"/>
      <c r="R7" s="239"/>
    </row>
    <row r="8" spans="1:18" ht="11.25" customHeight="1">
      <c r="A8" s="1244" t="s">
        <v>143</v>
      </c>
      <c r="B8" s="1194"/>
      <c r="C8" s="2307">
        <v>166366.1</v>
      </c>
      <c r="D8" s="2307">
        <v>250472.83000000002</v>
      </c>
      <c r="E8" s="2308">
        <v>301541.71000000008</v>
      </c>
      <c r="F8" s="2309">
        <v>393920</v>
      </c>
      <c r="G8" s="2307">
        <v>393920</v>
      </c>
      <c r="H8" s="2310">
        <v>337114</v>
      </c>
      <c r="I8" s="2311">
        <v>303130</v>
      </c>
      <c r="J8" s="2307">
        <v>428020.4</v>
      </c>
      <c r="K8" s="2308">
        <v>444870.03200000001</v>
      </c>
      <c r="L8" s="345"/>
      <c r="Q8" s="238"/>
      <c r="R8" s="239"/>
    </row>
    <row r="9" spans="1:18" ht="11.25" customHeight="1">
      <c r="A9" s="1243" t="s">
        <v>144</v>
      </c>
      <c r="B9" s="1194"/>
      <c r="C9" s="2313">
        <v>71615.45</v>
      </c>
      <c r="D9" s="2313">
        <v>967334.23380000005</v>
      </c>
      <c r="E9" s="2314">
        <v>317570.41000000003</v>
      </c>
      <c r="F9" s="2315">
        <v>625820</v>
      </c>
      <c r="G9" s="2313">
        <v>629520</v>
      </c>
      <c r="H9" s="2316">
        <v>246310</v>
      </c>
      <c r="I9" s="2317">
        <v>729000</v>
      </c>
      <c r="J9" s="2313">
        <v>779580</v>
      </c>
      <c r="K9" s="2314">
        <v>796584.8</v>
      </c>
      <c r="L9" s="345"/>
      <c r="Q9" s="238"/>
      <c r="R9" s="239"/>
    </row>
    <row r="10" spans="1:18" ht="11.25" customHeight="1">
      <c r="A10" s="1244" t="s">
        <v>145</v>
      </c>
      <c r="B10" s="1194"/>
      <c r="C10" s="2307">
        <v>66100.45</v>
      </c>
      <c r="D10" s="2307">
        <v>474910.34380000003</v>
      </c>
      <c r="E10" s="2308">
        <v>294922.41000000003</v>
      </c>
      <c r="F10" s="2309">
        <v>606820</v>
      </c>
      <c r="G10" s="2307">
        <v>610520</v>
      </c>
      <c r="H10" s="2310">
        <v>231072</v>
      </c>
      <c r="I10" s="2311">
        <v>715000</v>
      </c>
      <c r="J10" s="2307">
        <v>760580</v>
      </c>
      <c r="K10" s="2308">
        <v>777584.8</v>
      </c>
      <c r="L10" s="345"/>
      <c r="N10" s="345"/>
      <c r="Q10" s="238"/>
      <c r="R10" s="239"/>
    </row>
    <row r="11" spans="1:18" ht="11.25" customHeight="1">
      <c r="A11" s="1244" t="s">
        <v>146</v>
      </c>
      <c r="B11" s="1194"/>
      <c r="C11" s="2307">
        <v>5515</v>
      </c>
      <c r="D11" s="2307">
        <v>492423.89</v>
      </c>
      <c r="E11" s="2308">
        <v>21280</v>
      </c>
      <c r="F11" s="2309">
        <v>14000</v>
      </c>
      <c r="G11" s="2307">
        <v>14000</v>
      </c>
      <c r="H11" s="2310">
        <v>13444</v>
      </c>
      <c r="I11" s="2311">
        <v>12000</v>
      </c>
      <c r="J11" s="2307">
        <v>14000</v>
      </c>
      <c r="K11" s="2308">
        <v>14000</v>
      </c>
      <c r="L11" s="345"/>
      <c r="Q11" s="238"/>
      <c r="R11" s="239"/>
    </row>
    <row r="12" spans="1:18" ht="11.25" customHeight="1">
      <c r="A12" s="1244" t="s">
        <v>147</v>
      </c>
      <c r="B12" s="1194"/>
      <c r="C12" s="2307">
        <v>0</v>
      </c>
      <c r="D12" s="2307">
        <v>0</v>
      </c>
      <c r="E12" s="2308">
        <v>1368</v>
      </c>
      <c r="F12" s="2309">
        <v>5000</v>
      </c>
      <c r="G12" s="2307">
        <v>5000</v>
      </c>
      <c r="H12" s="2310">
        <v>1794</v>
      </c>
      <c r="I12" s="2311">
        <v>2000</v>
      </c>
      <c r="J12" s="2307">
        <v>5000</v>
      </c>
      <c r="K12" s="2308">
        <v>5000</v>
      </c>
      <c r="L12" s="345"/>
      <c r="Q12" s="238"/>
      <c r="R12" s="239"/>
    </row>
    <row r="13" spans="1:18" ht="11.25" customHeight="1">
      <c r="A13" s="1244" t="s">
        <v>1828</v>
      </c>
      <c r="B13" s="1194"/>
      <c r="C13" s="2307">
        <v>0</v>
      </c>
      <c r="D13" s="2307">
        <v>0</v>
      </c>
      <c r="E13" s="2308">
        <v>0</v>
      </c>
      <c r="F13" s="2309">
        <v>0</v>
      </c>
      <c r="G13" s="2307">
        <v>0</v>
      </c>
      <c r="H13" s="2310">
        <v>0</v>
      </c>
      <c r="I13" s="2311">
        <v>0</v>
      </c>
      <c r="J13" s="2307">
        <v>0</v>
      </c>
      <c r="K13" s="2308">
        <v>0</v>
      </c>
      <c r="L13" s="345"/>
      <c r="Q13" s="238"/>
      <c r="R13" s="239"/>
    </row>
    <row r="14" spans="1:18" ht="11.25" customHeight="1">
      <c r="A14" s="1244" t="s">
        <v>1912</v>
      </c>
      <c r="B14" s="1194"/>
      <c r="C14" s="2321">
        <v>0</v>
      </c>
      <c r="D14" s="2321">
        <v>0</v>
      </c>
      <c r="E14" s="2322">
        <v>0</v>
      </c>
      <c r="F14" s="2323">
        <v>0</v>
      </c>
      <c r="G14" s="2321">
        <v>0</v>
      </c>
      <c r="H14" s="2324">
        <v>0</v>
      </c>
      <c r="I14" s="2325">
        <v>0</v>
      </c>
      <c r="J14" s="2321">
        <v>0</v>
      </c>
      <c r="K14" s="2322">
        <v>0</v>
      </c>
      <c r="L14" s="345"/>
      <c r="Q14" s="238"/>
      <c r="R14" s="239"/>
    </row>
    <row r="15" spans="1:18" ht="11.25" customHeight="1">
      <c r="A15" s="1243" t="s">
        <v>148</v>
      </c>
      <c r="B15" s="1130"/>
      <c r="C15" s="2313">
        <v>4078576.8500000006</v>
      </c>
      <c r="D15" s="2313">
        <v>4675344.3099999996</v>
      </c>
      <c r="E15" s="2314">
        <v>5019622.6100000003</v>
      </c>
      <c r="F15" s="2315">
        <v>10833500</v>
      </c>
      <c r="G15" s="2313">
        <v>12133500</v>
      </c>
      <c r="H15" s="2316">
        <v>8558581</v>
      </c>
      <c r="I15" s="2317">
        <v>16524800</v>
      </c>
      <c r="J15" s="2313">
        <v>17370300</v>
      </c>
      <c r="K15" s="2314">
        <v>17880600</v>
      </c>
      <c r="L15" s="345"/>
      <c r="Q15" s="238"/>
      <c r="R15" s="239"/>
    </row>
    <row r="16" spans="1:18" ht="11.25" customHeight="1">
      <c r="A16" s="1244" t="s">
        <v>149</v>
      </c>
      <c r="B16" s="1194"/>
      <c r="C16" s="2307">
        <v>0</v>
      </c>
      <c r="D16" s="2307">
        <v>0</v>
      </c>
      <c r="E16" s="2308">
        <v>0</v>
      </c>
      <c r="F16" s="2309">
        <v>0</v>
      </c>
      <c r="G16" s="2307">
        <v>0</v>
      </c>
      <c r="H16" s="2310">
        <v>0</v>
      </c>
      <c r="I16" s="2311">
        <v>0</v>
      </c>
      <c r="J16" s="2307">
        <v>0</v>
      </c>
      <c r="K16" s="2308">
        <v>0</v>
      </c>
      <c r="L16" s="345"/>
      <c r="Q16" s="238"/>
      <c r="R16" s="239"/>
    </row>
    <row r="17" spans="1:18" ht="11.25" customHeight="1">
      <c r="A17" s="1244" t="s">
        <v>150</v>
      </c>
      <c r="B17" s="1194"/>
      <c r="C17" s="2307">
        <v>4078576.8500000006</v>
      </c>
      <c r="D17" s="2307">
        <v>4675344.3099999996</v>
      </c>
      <c r="E17" s="2308">
        <v>5019622.6100000003</v>
      </c>
      <c r="F17" s="2309">
        <v>10833500</v>
      </c>
      <c r="G17" s="2307">
        <v>12133500</v>
      </c>
      <c r="H17" s="2310">
        <v>8558581</v>
      </c>
      <c r="I17" s="2311">
        <v>16524800</v>
      </c>
      <c r="J17" s="2307">
        <v>17370300</v>
      </c>
      <c r="K17" s="2308">
        <v>17880600</v>
      </c>
      <c r="L17" s="345"/>
      <c r="Q17" s="238"/>
      <c r="R17" s="239"/>
    </row>
    <row r="18" spans="1:18" ht="11.25" customHeight="1">
      <c r="A18" s="1244" t="s">
        <v>151</v>
      </c>
      <c r="B18" s="1194"/>
      <c r="C18" s="2307">
        <v>0</v>
      </c>
      <c r="D18" s="2307">
        <v>0</v>
      </c>
      <c r="E18" s="2308">
        <v>0</v>
      </c>
      <c r="F18" s="2309">
        <v>0</v>
      </c>
      <c r="G18" s="2307">
        <v>0</v>
      </c>
      <c r="H18" s="2310">
        <v>0</v>
      </c>
      <c r="I18" s="2311">
        <v>0</v>
      </c>
      <c r="J18" s="2307">
        <v>0</v>
      </c>
      <c r="K18" s="2308">
        <v>0</v>
      </c>
      <c r="L18" s="345"/>
      <c r="Q18" s="238"/>
      <c r="R18" s="239"/>
    </row>
    <row r="19" spans="1:18" ht="11.25" customHeight="1">
      <c r="A19" s="1243" t="s">
        <v>152</v>
      </c>
      <c r="B19" s="1130"/>
      <c r="C19" s="2313">
        <v>10121054.800000001</v>
      </c>
      <c r="D19" s="2313">
        <v>19333414.59</v>
      </c>
      <c r="E19" s="2314">
        <v>25865982.175000004</v>
      </c>
      <c r="F19" s="2315">
        <v>15468195</v>
      </c>
      <c r="G19" s="2313">
        <v>15468195</v>
      </c>
      <c r="H19" s="2316">
        <v>16705446</v>
      </c>
      <c r="I19" s="2317">
        <v>11627450.833600001</v>
      </c>
      <c r="J19" s="2313">
        <v>15981865.385376001</v>
      </c>
      <c r="K19" s="2314">
        <v>17326164.273189999</v>
      </c>
      <c r="L19" s="345"/>
      <c r="Q19" s="238"/>
      <c r="R19" s="239"/>
    </row>
    <row r="20" spans="1:18" ht="11.25" customHeight="1">
      <c r="A20" s="1244" t="s">
        <v>684</v>
      </c>
      <c r="B20" s="1194"/>
      <c r="C20" s="2307">
        <v>3821820.7</v>
      </c>
      <c r="D20" s="2307">
        <v>9356402.3500000015</v>
      </c>
      <c r="E20" s="2308">
        <v>7893831.9999999991</v>
      </c>
      <c r="F20" s="2309">
        <v>6821175</v>
      </c>
      <c r="G20" s="2307">
        <v>6821175</v>
      </c>
      <c r="H20" s="2310">
        <v>6992407</v>
      </c>
      <c r="I20" s="2311">
        <v>5315062.8486000011</v>
      </c>
      <c r="J20" s="2307">
        <v>8361129.267376001</v>
      </c>
      <c r="K20" s="2308">
        <v>9138620</v>
      </c>
      <c r="L20" s="345"/>
      <c r="Q20" s="238"/>
      <c r="R20" s="239"/>
    </row>
    <row r="21" spans="1:18" ht="11.25" customHeight="1">
      <c r="A21" s="1244" t="s">
        <v>1018</v>
      </c>
      <c r="B21" s="1194"/>
      <c r="C21" s="2307">
        <v>2511230.62</v>
      </c>
      <c r="D21" s="2307">
        <v>5503983.0099999998</v>
      </c>
      <c r="E21" s="2308">
        <v>13895927.555000003</v>
      </c>
      <c r="F21" s="2309">
        <v>3906885</v>
      </c>
      <c r="G21" s="2307">
        <v>3906885</v>
      </c>
      <c r="H21" s="2310">
        <v>4877752</v>
      </c>
      <c r="I21" s="2311">
        <v>2116520.77</v>
      </c>
      <c r="J21" s="2307">
        <v>2343187.8470000001</v>
      </c>
      <c r="K21" s="2308">
        <v>2620523.5886400002</v>
      </c>
      <c r="L21" s="345"/>
      <c r="Q21" s="238"/>
      <c r="R21" s="239"/>
    </row>
    <row r="22" spans="1:18" ht="11.25" customHeight="1">
      <c r="A22" s="1244" t="s">
        <v>1205</v>
      </c>
      <c r="B22" s="1194"/>
      <c r="C22" s="2321">
        <v>1942206.9</v>
      </c>
      <c r="D22" s="2321">
        <v>2475726.42</v>
      </c>
      <c r="E22" s="2322">
        <v>1794711.9999999998</v>
      </c>
      <c r="F22" s="2323">
        <v>2410475</v>
      </c>
      <c r="G22" s="2321">
        <v>2410475</v>
      </c>
      <c r="H22" s="2324">
        <v>2430517</v>
      </c>
      <c r="I22" s="2325">
        <v>1603002.1949999998</v>
      </c>
      <c r="J22" s="2321">
        <v>2555100</v>
      </c>
      <c r="K22" s="2322">
        <v>2708410</v>
      </c>
      <c r="L22" s="345"/>
      <c r="Q22" s="238"/>
      <c r="R22" s="239"/>
    </row>
    <row r="23" spans="1:18" ht="11.25" customHeight="1">
      <c r="A23" s="1244" t="s">
        <v>1206</v>
      </c>
      <c r="B23" s="1194"/>
      <c r="C23" s="2307">
        <v>1845796.5799999998</v>
      </c>
      <c r="D23" s="2307">
        <v>1997302.81</v>
      </c>
      <c r="E23" s="2308">
        <v>2281510.62</v>
      </c>
      <c r="F23" s="2309">
        <v>2329660</v>
      </c>
      <c r="G23" s="2307">
        <v>2329660</v>
      </c>
      <c r="H23" s="2310">
        <v>2404770</v>
      </c>
      <c r="I23" s="2311">
        <v>2592865.02</v>
      </c>
      <c r="J23" s="2307">
        <v>2722448.2710000002</v>
      </c>
      <c r="K23" s="2308">
        <v>2858610.6845500004</v>
      </c>
      <c r="L23" s="345"/>
      <c r="Q23" s="238"/>
      <c r="R23" s="239"/>
    </row>
    <row r="24" spans="1:18" ht="11.25" customHeight="1">
      <c r="A24" s="1243" t="s">
        <v>297</v>
      </c>
      <c r="B24" s="1130">
        <v>4</v>
      </c>
      <c r="C24" s="2313">
        <v>0</v>
      </c>
      <c r="D24" s="2313">
        <v>0</v>
      </c>
      <c r="E24" s="2314">
        <v>0</v>
      </c>
      <c r="F24" s="2315">
        <v>0</v>
      </c>
      <c r="G24" s="2313">
        <v>0</v>
      </c>
      <c r="H24" s="2316">
        <v>0</v>
      </c>
      <c r="I24" s="2317">
        <v>0</v>
      </c>
      <c r="J24" s="2313">
        <v>0</v>
      </c>
      <c r="K24" s="2314">
        <v>0</v>
      </c>
      <c r="L24" s="345"/>
      <c r="Q24" s="231"/>
      <c r="R24" s="239"/>
    </row>
    <row r="25" spans="1:18" ht="11.25" customHeight="1">
      <c r="A25" s="1311" t="str">
        <f>"Total "&amp;A4</f>
        <v>Total Revenue - Standard</v>
      </c>
      <c r="B25" s="1312">
        <v>2</v>
      </c>
      <c r="C25" s="2303">
        <v>26959906.140000001</v>
      </c>
      <c r="D25" s="2303">
        <v>68347668.901141271</v>
      </c>
      <c r="E25" s="2304">
        <v>52280294.603112951</v>
      </c>
      <c r="F25" s="2305">
        <v>50085695</v>
      </c>
      <c r="G25" s="2303">
        <v>51698275</v>
      </c>
      <c r="H25" s="2306">
        <v>77198489</v>
      </c>
      <c r="I25" s="2312">
        <v>54155349.663599998</v>
      </c>
      <c r="J25" s="2303">
        <v>61283886.945175998</v>
      </c>
      <c r="K25" s="2304">
        <v>65586494.534578003</v>
      </c>
      <c r="L25" s="345"/>
      <c r="Q25" s="257"/>
      <c r="R25" s="258"/>
    </row>
    <row r="26" spans="1:18" ht="5.0999999999999996" customHeight="1">
      <c r="A26" s="1153"/>
      <c r="B26" s="1194"/>
      <c r="C26" s="2293"/>
      <c r="D26" s="2293"/>
      <c r="E26" s="2297"/>
      <c r="F26" s="2296"/>
      <c r="G26" s="2293"/>
      <c r="H26" s="2294"/>
      <c r="I26" s="2295"/>
      <c r="J26" s="2293"/>
      <c r="K26" s="2297"/>
      <c r="L26" s="345"/>
      <c r="Q26" s="231"/>
    </row>
    <row r="27" spans="1:18" ht="11.25" customHeight="1">
      <c r="A27" s="1129" t="s">
        <v>448</v>
      </c>
      <c r="B27" s="1196"/>
      <c r="C27" s="2293"/>
      <c r="D27" s="2293"/>
      <c r="E27" s="2297"/>
      <c r="F27" s="2296"/>
      <c r="G27" s="2293"/>
      <c r="H27" s="2294"/>
      <c r="I27" s="2295"/>
      <c r="J27" s="2293"/>
      <c r="K27" s="2297"/>
      <c r="L27" s="345"/>
      <c r="Q27" s="231"/>
    </row>
    <row r="28" spans="1:18" ht="11.25" customHeight="1">
      <c r="A28" s="1243" t="str">
        <f>A5</f>
        <v>Governance and administration</v>
      </c>
      <c r="B28" s="1194"/>
      <c r="C28" s="2313">
        <v>6719477.5899999999</v>
      </c>
      <c r="D28" s="2313">
        <v>24466540.767982766</v>
      </c>
      <c r="E28" s="2318">
        <v>12112362.578010164</v>
      </c>
      <c r="F28" s="2317">
        <v>13803200</v>
      </c>
      <c r="G28" s="2313">
        <v>13800095</v>
      </c>
      <c r="H28" s="2319">
        <v>45083165</v>
      </c>
      <c r="I28" s="2320">
        <v>30255476.628182437</v>
      </c>
      <c r="J28" s="2313">
        <v>23120404.945912141</v>
      </c>
      <c r="K28" s="2319">
        <v>24814749.070932921</v>
      </c>
      <c r="L28" s="345"/>
    </row>
    <row r="29" spans="1:18" ht="11.25" customHeight="1">
      <c r="A29" s="1244" t="str">
        <f t="shared" ref="A29:A47" si="0">A6</f>
        <v>Executive and council</v>
      </c>
      <c r="B29" s="1194"/>
      <c r="C29" s="2307">
        <v>0</v>
      </c>
      <c r="D29" s="2307">
        <v>0</v>
      </c>
      <c r="E29" s="2308">
        <v>0</v>
      </c>
      <c r="F29" s="2309">
        <v>0</v>
      </c>
      <c r="G29" s="2307">
        <v>0</v>
      </c>
      <c r="H29" s="2310">
        <v>0</v>
      </c>
      <c r="I29" s="2311">
        <v>0</v>
      </c>
      <c r="J29" s="2307">
        <v>0</v>
      </c>
      <c r="K29" s="2308">
        <v>0</v>
      </c>
      <c r="L29" s="345"/>
    </row>
    <row r="30" spans="1:18" ht="11.25" customHeight="1">
      <c r="A30" s="1244" t="str">
        <f t="shared" si="0"/>
        <v>Budget and treasury office</v>
      </c>
      <c r="B30" s="1194"/>
      <c r="C30" s="2321">
        <v>6602594.4299999997</v>
      </c>
      <c r="D30" s="2321">
        <v>23771777.657982767</v>
      </c>
      <c r="E30" s="2322">
        <v>11856231.308010165</v>
      </c>
      <c r="F30" s="2323">
        <v>12791675</v>
      </c>
      <c r="G30" s="2321">
        <v>12708220</v>
      </c>
      <c r="H30" s="2324">
        <v>44040278</v>
      </c>
      <c r="I30" s="2325">
        <v>29266935.165549092</v>
      </c>
      <c r="J30" s="2321">
        <v>22001676.77771502</v>
      </c>
      <c r="K30" s="2322">
        <v>23638532.249280032</v>
      </c>
      <c r="L30" s="345"/>
    </row>
    <row r="31" spans="1:18" ht="11.25" customHeight="1">
      <c r="A31" s="1244" t="str">
        <f t="shared" si="0"/>
        <v>Corporate services</v>
      </c>
      <c r="B31" s="1194"/>
      <c r="C31" s="2307">
        <v>116883.15999999999</v>
      </c>
      <c r="D31" s="2307">
        <v>694763.1100000001</v>
      </c>
      <c r="E31" s="2308">
        <v>256131.27</v>
      </c>
      <c r="F31" s="2309">
        <v>1011525</v>
      </c>
      <c r="G31" s="2307">
        <v>1091875</v>
      </c>
      <c r="H31" s="2310">
        <v>1042887</v>
      </c>
      <c r="I31" s="2311">
        <v>988541.462633344</v>
      </c>
      <c r="J31" s="2307">
        <v>1118728.1681971201</v>
      </c>
      <c r="K31" s="2308">
        <v>1176216.8216528897</v>
      </c>
      <c r="L31" s="345"/>
    </row>
    <row r="32" spans="1:18" ht="11.25" customHeight="1">
      <c r="A32" s="1243" t="str">
        <f t="shared" si="0"/>
        <v>Community and public safety</v>
      </c>
      <c r="B32" s="1194"/>
      <c r="C32" s="2313">
        <v>416309.33999999997</v>
      </c>
      <c r="D32" s="2313">
        <v>884722.69</v>
      </c>
      <c r="E32" s="2314">
        <v>665752.14</v>
      </c>
      <c r="F32" s="2315">
        <v>1480985</v>
      </c>
      <c r="G32" s="2313">
        <v>1306590</v>
      </c>
      <c r="H32" s="2316">
        <v>790361</v>
      </c>
      <c r="I32" s="2317">
        <v>1694922.842094752</v>
      </c>
      <c r="J32" s="2313">
        <v>1844179.5734116803</v>
      </c>
      <c r="K32" s="2314">
        <v>1932502.1392846145</v>
      </c>
      <c r="L32" s="345"/>
    </row>
    <row r="33" spans="1:17" ht="11.25" customHeight="1">
      <c r="A33" s="1244" t="str">
        <f t="shared" si="0"/>
        <v>Community and social services</v>
      </c>
      <c r="B33" s="1194"/>
      <c r="C33" s="2307">
        <v>416309.33999999997</v>
      </c>
      <c r="D33" s="2307">
        <v>884722.69</v>
      </c>
      <c r="E33" s="2308">
        <v>665752.14</v>
      </c>
      <c r="F33" s="2309">
        <v>1480985</v>
      </c>
      <c r="G33" s="2307">
        <v>1306590</v>
      </c>
      <c r="H33" s="2310">
        <v>790361</v>
      </c>
      <c r="I33" s="2311">
        <v>1694922.842094752</v>
      </c>
      <c r="J33" s="2307">
        <v>1844179.5734116803</v>
      </c>
      <c r="K33" s="2308">
        <v>1932502.1392846145</v>
      </c>
      <c r="L33" s="345"/>
    </row>
    <row r="34" spans="1:17" ht="11.25" customHeight="1">
      <c r="A34" s="1244" t="str">
        <f t="shared" si="0"/>
        <v>Sport and recreation</v>
      </c>
      <c r="B34" s="1194"/>
      <c r="C34" s="2307">
        <v>0</v>
      </c>
      <c r="D34" s="2307">
        <v>0</v>
      </c>
      <c r="E34" s="2308">
        <v>0</v>
      </c>
      <c r="F34" s="2309">
        <v>0</v>
      </c>
      <c r="G34" s="2307">
        <v>0</v>
      </c>
      <c r="H34" s="2310">
        <v>0</v>
      </c>
      <c r="I34" s="2311">
        <v>0</v>
      </c>
      <c r="J34" s="2307">
        <v>0</v>
      </c>
      <c r="K34" s="2308">
        <v>0</v>
      </c>
      <c r="L34" s="345"/>
    </row>
    <row r="35" spans="1:17" ht="11.25" customHeight="1">
      <c r="A35" s="1244" t="str">
        <f t="shared" si="0"/>
        <v>Public safety</v>
      </c>
      <c r="B35" s="1194"/>
      <c r="C35" s="2307">
        <v>0</v>
      </c>
      <c r="D35" s="2307">
        <v>0</v>
      </c>
      <c r="E35" s="2308">
        <v>0</v>
      </c>
      <c r="F35" s="2309">
        <v>0</v>
      </c>
      <c r="G35" s="2307">
        <v>0</v>
      </c>
      <c r="H35" s="2310">
        <v>0</v>
      </c>
      <c r="I35" s="2311">
        <v>0</v>
      </c>
      <c r="J35" s="2307">
        <v>0</v>
      </c>
      <c r="K35" s="2308">
        <v>0</v>
      </c>
      <c r="L35" s="345"/>
    </row>
    <row r="36" spans="1:17" ht="11.25" customHeight="1">
      <c r="A36" s="1244" t="str">
        <f t="shared" si="0"/>
        <v>Housing</v>
      </c>
      <c r="B36" s="1194"/>
      <c r="C36" s="2307">
        <v>0</v>
      </c>
      <c r="D36" s="2307">
        <v>0</v>
      </c>
      <c r="E36" s="2308">
        <v>0</v>
      </c>
      <c r="F36" s="2309">
        <v>0</v>
      </c>
      <c r="G36" s="2307">
        <v>0</v>
      </c>
      <c r="H36" s="2310">
        <v>0</v>
      </c>
      <c r="I36" s="2311">
        <v>0</v>
      </c>
      <c r="J36" s="2307">
        <v>0</v>
      </c>
      <c r="K36" s="2308">
        <v>0</v>
      </c>
      <c r="L36" s="345"/>
    </row>
    <row r="37" spans="1:17" ht="11.25" customHeight="1">
      <c r="A37" s="1244" t="str">
        <f t="shared" si="0"/>
        <v>Health</v>
      </c>
      <c r="B37" s="1194"/>
      <c r="C37" s="2321">
        <v>0</v>
      </c>
      <c r="D37" s="2321">
        <v>0</v>
      </c>
      <c r="E37" s="2322">
        <v>0</v>
      </c>
      <c r="F37" s="2323">
        <v>0</v>
      </c>
      <c r="G37" s="2321">
        <v>0</v>
      </c>
      <c r="H37" s="2324">
        <v>0</v>
      </c>
      <c r="I37" s="2325">
        <v>0</v>
      </c>
      <c r="J37" s="2321">
        <v>0</v>
      </c>
      <c r="K37" s="2322">
        <v>0</v>
      </c>
      <c r="L37" s="345"/>
    </row>
    <row r="38" spans="1:17" ht="11.25" customHeight="1">
      <c r="A38" s="1243" t="str">
        <f t="shared" si="0"/>
        <v>Economic and environmental services</v>
      </c>
      <c r="B38" s="1130"/>
      <c r="C38" s="2313">
        <v>675076.23999999987</v>
      </c>
      <c r="D38" s="2313">
        <v>1012311.04</v>
      </c>
      <c r="E38" s="2314">
        <v>1492667.01</v>
      </c>
      <c r="F38" s="2315">
        <v>1869020</v>
      </c>
      <c r="G38" s="2313">
        <v>2337400</v>
      </c>
      <c r="H38" s="2316">
        <v>2655357</v>
      </c>
      <c r="I38" s="2317">
        <v>3434737.004825728</v>
      </c>
      <c r="J38" s="2313">
        <v>3706664.4857391464</v>
      </c>
      <c r="K38" s="2314">
        <v>3901050.9705955391</v>
      </c>
      <c r="L38" s="345"/>
    </row>
    <row r="39" spans="1:17" ht="11.25" customHeight="1">
      <c r="A39" s="1244" t="str">
        <f t="shared" si="0"/>
        <v>Planning and development</v>
      </c>
      <c r="B39" s="1194"/>
      <c r="C39" s="2307">
        <v>0</v>
      </c>
      <c r="D39" s="2307">
        <v>0</v>
      </c>
      <c r="E39" s="2308">
        <v>0</v>
      </c>
      <c r="F39" s="2309">
        <v>0</v>
      </c>
      <c r="G39" s="2307">
        <v>0</v>
      </c>
      <c r="H39" s="2310">
        <v>0</v>
      </c>
      <c r="I39" s="2311">
        <v>0</v>
      </c>
      <c r="J39" s="2307">
        <v>0</v>
      </c>
      <c r="K39" s="2308">
        <v>0</v>
      </c>
      <c r="L39" s="345"/>
    </row>
    <row r="40" spans="1:17" ht="11.25" customHeight="1">
      <c r="A40" s="1244" t="str">
        <f t="shared" si="0"/>
        <v>Road transport</v>
      </c>
      <c r="B40" s="1194"/>
      <c r="C40" s="2307">
        <v>675076.23999999987</v>
      </c>
      <c r="D40" s="2307">
        <v>1012311.04</v>
      </c>
      <c r="E40" s="2308">
        <v>1492667.01</v>
      </c>
      <c r="F40" s="2309">
        <v>1869020</v>
      </c>
      <c r="G40" s="2307">
        <v>2337400</v>
      </c>
      <c r="H40" s="2310">
        <v>2655357</v>
      </c>
      <c r="I40" s="2311">
        <v>3434737.004825728</v>
      </c>
      <c r="J40" s="2307">
        <v>3706664.4857391464</v>
      </c>
      <c r="K40" s="2308">
        <v>3901050.9705955391</v>
      </c>
      <c r="L40" s="345"/>
    </row>
    <row r="41" spans="1:17" ht="11.25" customHeight="1">
      <c r="A41" s="1244" t="str">
        <f t="shared" si="0"/>
        <v>Environmental protection</v>
      </c>
      <c r="B41" s="1194"/>
      <c r="C41" s="2307">
        <v>0</v>
      </c>
      <c r="D41" s="2307">
        <v>0</v>
      </c>
      <c r="E41" s="2308">
        <v>0</v>
      </c>
      <c r="F41" s="2309">
        <v>0</v>
      </c>
      <c r="G41" s="2307">
        <v>0</v>
      </c>
      <c r="H41" s="2310">
        <v>0</v>
      </c>
      <c r="I41" s="2311">
        <v>0</v>
      </c>
      <c r="J41" s="2307">
        <v>0</v>
      </c>
      <c r="K41" s="2308">
        <v>0</v>
      </c>
      <c r="L41" s="345"/>
    </row>
    <row r="42" spans="1:17" ht="11.25" customHeight="1">
      <c r="A42" s="1243" t="str">
        <f t="shared" si="0"/>
        <v>Trading services</v>
      </c>
      <c r="B42" s="1130"/>
      <c r="C42" s="2313">
        <v>0</v>
      </c>
      <c r="D42" s="2313">
        <v>0</v>
      </c>
      <c r="E42" s="2314">
        <v>0</v>
      </c>
      <c r="F42" s="2315">
        <v>0</v>
      </c>
      <c r="G42" s="2313">
        <v>0</v>
      </c>
      <c r="H42" s="2316">
        <v>0</v>
      </c>
      <c r="I42" s="2317">
        <v>0</v>
      </c>
      <c r="J42" s="2313">
        <v>0</v>
      </c>
      <c r="K42" s="2314">
        <v>0</v>
      </c>
      <c r="L42" s="345"/>
    </row>
    <row r="43" spans="1:17" ht="11.25" customHeight="1">
      <c r="A43" s="1244" t="str">
        <f t="shared" si="0"/>
        <v>Electricity</v>
      </c>
      <c r="B43" s="1194"/>
      <c r="C43" s="2307">
        <v>0</v>
      </c>
      <c r="D43" s="2307">
        <v>0</v>
      </c>
      <c r="E43" s="2308">
        <v>0</v>
      </c>
      <c r="F43" s="2309">
        <v>0</v>
      </c>
      <c r="G43" s="2307">
        <v>0</v>
      </c>
      <c r="H43" s="2310">
        <v>0</v>
      </c>
      <c r="I43" s="2311">
        <v>0</v>
      </c>
      <c r="J43" s="2307">
        <v>0</v>
      </c>
      <c r="K43" s="2308">
        <v>0</v>
      </c>
      <c r="L43" s="345"/>
    </row>
    <row r="44" spans="1:17" ht="11.25" customHeight="1">
      <c r="A44" s="1244" t="str">
        <f t="shared" si="0"/>
        <v>Water</v>
      </c>
      <c r="B44" s="1194"/>
      <c r="C44" s="2307">
        <v>0</v>
      </c>
      <c r="D44" s="2307">
        <v>0</v>
      </c>
      <c r="E44" s="2308">
        <v>0</v>
      </c>
      <c r="F44" s="2309">
        <v>0</v>
      </c>
      <c r="G44" s="2307">
        <v>0</v>
      </c>
      <c r="H44" s="2310">
        <v>0</v>
      </c>
      <c r="I44" s="2311">
        <v>0</v>
      </c>
      <c r="J44" s="2307">
        <v>0</v>
      </c>
      <c r="K44" s="2308">
        <v>0</v>
      </c>
      <c r="L44" s="345"/>
    </row>
    <row r="45" spans="1:17" ht="11.25" customHeight="1">
      <c r="A45" s="1244" t="str">
        <f t="shared" si="0"/>
        <v>Waste water management</v>
      </c>
      <c r="B45" s="1194"/>
      <c r="C45" s="2321">
        <v>0</v>
      </c>
      <c r="D45" s="2321">
        <v>0</v>
      </c>
      <c r="E45" s="2322">
        <v>0</v>
      </c>
      <c r="F45" s="2323">
        <v>0</v>
      </c>
      <c r="G45" s="2321">
        <v>0</v>
      </c>
      <c r="H45" s="2324">
        <v>0</v>
      </c>
      <c r="I45" s="2325">
        <v>0</v>
      </c>
      <c r="J45" s="2321">
        <v>0</v>
      </c>
      <c r="K45" s="2322">
        <v>0</v>
      </c>
      <c r="L45" s="345"/>
    </row>
    <row r="46" spans="1:17" ht="11.25" customHeight="1">
      <c r="A46" s="1244" t="str">
        <f t="shared" si="0"/>
        <v>Waste management</v>
      </c>
      <c r="B46" s="1194"/>
      <c r="C46" s="2307">
        <v>0</v>
      </c>
      <c r="D46" s="2307">
        <v>0</v>
      </c>
      <c r="E46" s="2308">
        <v>0</v>
      </c>
      <c r="F46" s="2309">
        <v>0</v>
      </c>
      <c r="G46" s="2307">
        <v>0</v>
      </c>
      <c r="H46" s="2310">
        <v>0</v>
      </c>
      <c r="I46" s="2311">
        <v>0</v>
      </c>
      <c r="J46" s="2307">
        <v>0</v>
      </c>
      <c r="K46" s="2308">
        <v>0</v>
      </c>
      <c r="L46" s="345"/>
    </row>
    <row r="47" spans="1:17" ht="11.25" customHeight="1">
      <c r="A47" s="1243" t="str">
        <f t="shared" si="0"/>
        <v>Other</v>
      </c>
      <c r="B47" s="1130">
        <v>4</v>
      </c>
      <c r="C47" s="2313">
        <v>0</v>
      </c>
      <c r="D47" s="2313">
        <v>0</v>
      </c>
      <c r="E47" s="2314">
        <v>0</v>
      </c>
      <c r="F47" s="2315">
        <v>0</v>
      </c>
      <c r="G47" s="2313">
        <v>0</v>
      </c>
      <c r="H47" s="2316">
        <v>0</v>
      </c>
      <c r="I47" s="2317">
        <v>0</v>
      </c>
      <c r="J47" s="2313">
        <v>0</v>
      </c>
      <c r="K47" s="2314">
        <v>0</v>
      </c>
      <c r="L47" s="345"/>
    </row>
    <row r="48" spans="1:17" ht="11.25" customHeight="1">
      <c r="A48" s="1311" t="str">
        <f>"Total "&amp;A27</f>
        <v>Total Expenditure - Standard</v>
      </c>
      <c r="B48" s="1312">
        <v>3</v>
      </c>
      <c r="C48" s="2303">
        <v>7810863.1699999999</v>
      </c>
      <c r="D48" s="2303">
        <v>26363574.497982766</v>
      </c>
      <c r="E48" s="2304">
        <v>14270781.728010165</v>
      </c>
      <c r="F48" s="2305">
        <v>17153205</v>
      </c>
      <c r="G48" s="2303">
        <v>17444085</v>
      </c>
      <c r="H48" s="2306">
        <v>48528883</v>
      </c>
      <c r="I48" s="2312">
        <v>35385136.475102916</v>
      </c>
      <c r="J48" s="2303">
        <v>28671249.005062968</v>
      </c>
      <c r="K48" s="2304">
        <v>30648302.180813074</v>
      </c>
      <c r="L48" s="345"/>
      <c r="Q48" s="266"/>
    </row>
    <row r="49" spans="1:12">
      <c r="A49" s="1197" t="str">
        <f>result</f>
        <v>Surplus/(Deficit) for the year</v>
      </c>
      <c r="B49" s="1198"/>
      <c r="C49" s="2299">
        <v>19149042.969999999</v>
      </c>
      <c r="D49" s="2299">
        <v>41984094.403158501</v>
      </c>
      <c r="E49" s="2300">
        <v>38009512.875102788</v>
      </c>
      <c r="F49" s="2301">
        <v>32932490</v>
      </c>
      <c r="G49" s="2299">
        <v>34254190</v>
      </c>
      <c r="H49" s="2298">
        <v>28669606</v>
      </c>
      <c r="I49" s="2302">
        <v>18770213.188497081</v>
      </c>
      <c r="J49" s="2299">
        <v>32612637.94011303</v>
      </c>
      <c r="K49" s="2300">
        <v>34938192.353764929</v>
      </c>
      <c r="L49" s="345"/>
    </row>
    <row r="50" spans="1:12" hidden="1">
      <c r="A50" s="1199" t="str">
        <f>head27a</f>
        <v>References</v>
      </c>
      <c r="B50" s="1200"/>
      <c r="C50" s="1049"/>
      <c r="D50" s="1049"/>
      <c r="E50" s="1049"/>
      <c r="F50" s="1049"/>
      <c r="G50" s="1049"/>
      <c r="H50" s="1049"/>
      <c r="I50" s="1049"/>
      <c r="J50" s="1049"/>
      <c r="K50" s="1049"/>
    </row>
    <row r="51" spans="1:12" ht="11.25" hidden="1" customHeight="1">
      <c r="A51" s="1201" t="s">
        <v>1204</v>
      </c>
      <c r="B51" s="1200"/>
      <c r="C51" s="1202"/>
      <c r="D51" s="1202"/>
      <c r="E51" s="1203"/>
      <c r="F51" s="1203"/>
      <c r="G51" s="1203"/>
      <c r="H51" s="1203"/>
      <c r="I51" s="1203"/>
      <c r="J51" s="1203"/>
      <c r="K51" s="1203"/>
    </row>
    <row r="52" spans="1:12" ht="11.25" hidden="1" customHeight="1">
      <c r="A52" s="1204" t="s">
        <v>468</v>
      </c>
      <c r="B52" s="1200"/>
      <c r="C52" s="1202"/>
      <c r="D52" s="1202"/>
      <c r="E52" s="1203"/>
      <c r="F52" s="1203"/>
      <c r="G52" s="1203"/>
      <c r="H52" s="1203"/>
      <c r="I52" s="1203"/>
      <c r="J52" s="1203"/>
      <c r="K52" s="1203"/>
    </row>
    <row r="53" spans="1:12" ht="11.25" hidden="1" customHeight="1">
      <c r="A53" s="1201" t="s">
        <v>469</v>
      </c>
      <c r="B53" s="1200"/>
      <c r="C53" s="1202"/>
      <c r="D53" s="1202"/>
      <c r="E53" s="1203"/>
      <c r="F53" s="1203"/>
      <c r="G53" s="1203"/>
      <c r="H53" s="1203"/>
      <c r="I53" s="1203"/>
      <c r="J53" s="1203"/>
      <c r="K53" s="1203"/>
    </row>
    <row r="54" spans="1:12" ht="25.5" hidden="1" customHeight="1">
      <c r="A54" s="2776" t="s">
        <v>1281</v>
      </c>
      <c r="B54" s="2776"/>
      <c r="C54" s="2776"/>
      <c r="D54" s="2776"/>
      <c r="E54" s="2776"/>
      <c r="F54" s="2776"/>
      <c r="G54" s="2776"/>
      <c r="H54" s="2776"/>
      <c r="I54" s="2776"/>
      <c r="J54" s="2776"/>
      <c r="K54" s="2776"/>
    </row>
    <row r="55" spans="1:12" ht="11.25" hidden="1" customHeight="1">
      <c r="A55" s="232"/>
      <c r="B55" s="222"/>
      <c r="C55" s="226"/>
      <c r="D55" s="226"/>
      <c r="E55" s="227"/>
      <c r="F55" s="227"/>
      <c r="G55" s="227"/>
      <c r="H55" s="227"/>
      <c r="I55" s="227"/>
      <c r="J55" s="227"/>
      <c r="K55" s="227"/>
    </row>
    <row r="56" spans="1:12" ht="11.25" hidden="1" customHeight="1">
      <c r="A56" s="232"/>
      <c r="B56" s="222"/>
      <c r="C56" s="226"/>
      <c r="D56" s="226"/>
      <c r="E56" s="227"/>
      <c r="F56" s="227"/>
      <c r="G56" s="227"/>
      <c r="H56" s="227"/>
      <c r="I56" s="227"/>
      <c r="J56" s="227"/>
      <c r="K56" s="227"/>
    </row>
    <row r="57" spans="1:12" ht="11.25" hidden="1" customHeight="1">
      <c r="A57" s="273" t="s">
        <v>154</v>
      </c>
      <c r="B57" s="229"/>
      <c r="C57" s="274">
        <f>C25-'A4-FinPerf RE'!C60</f>
        <v>-201071.4299999997</v>
      </c>
      <c r="D57" s="274">
        <f>D25-'A4-FinPerf RE'!D60</f>
        <v>-1630889.400000006</v>
      </c>
      <c r="E57" s="1025">
        <f>E25-'A4-FinPerf RE'!E60</f>
        <v>-1086749.3789999932</v>
      </c>
      <c r="F57" s="274">
        <f>F25-'A4-FinPerf RE'!F60</f>
        <v>-230920</v>
      </c>
      <c r="G57" s="274">
        <f>G25-'A4-FinPerf RE'!G60</f>
        <v>693085</v>
      </c>
      <c r="H57" s="274">
        <f>H25-'A4-FinPerf RE'!H60</f>
        <v>35352582</v>
      </c>
      <c r="I57" s="274">
        <f>I25-'A4-FinPerf RE'!J60</f>
        <v>-8537626.2199999988</v>
      </c>
      <c r="J57" s="274">
        <f>J25-'A4-FinPerf RE'!K60</f>
        <v>-10539613.793200009</v>
      </c>
      <c r="K57" s="274">
        <f>K25-'A4-FinPerf RE'!L60</f>
        <v>-11112818.020792</v>
      </c>
    </row>
    <row r="58" spans="1:12" ht="11.25" hidden="1" customHeight="1">
      <c r="A58" s="273" t="s">
        <v>934</v>
      </c>
      <c r="B58" s="229"/>
      <c r="C58" s="274">
        <f>C48-'A4-FinPerf RE'!C36</f>
        <v>-18116170.160000004</v>
      </c>
      <c r="D58" s="274">
        <f>D48-'A4-FinPerf RE'!D36</f>
        <v>-24208655.368599679</v>
      </c>
      <c r="E58" s="1025">
        <f>E48-'A4-FinPerf RE'!E36</f>
        <v>-27974585.418617599</v>
      </c>
      <c r="F58" s="274">
        <f>F48-'A4-FinPerf RE'!F36</f>
        <v>-33163470</v>
      </c>
      <c r="G58" s="274">
        <f>G48-'A4-FinPerf RE'!G36</f>
        <v>-31645070</v>
      </c>
      <c r="H58" s="274">
        <f>H48-'A4-FinPerf RE'!H36</f>
        <v>6773213</v>
      </c>
      <c r="I58" s="274">
        <f>I48-'A4-FinPerf RE'!J36</f>
        <v>-34487470.766022563</v>
      </c>
      <c r="J58" s="274">
        <f>J48-'A4-FinPerf RE'!K36</f>
        <v>-37264792.964795038</v>
      </c>
      <c r="K58" s="274">
        <f>K48-'A4-FinPerf RE'!L36</f>
        <v>-40119067.568976402</v>
      </c>
    </row>
    <row r="59" spans="1:12" ht="11.25" hidden="1" customHeight="1"/>
    <row r="60" spans="1:12" ht="11.25" hidden="1" customHeight="1"/>
    <row r="61" spans="1:12" ht="11.25" hidden="1" customHeight="1"/>
    <row r="62" spans="1:12" ht="11.25" hidden="1" customHeight="1">
      <c r="E62" s="336"/>
    </row>
    <row r="63" spans="1:12" ht="11.25" hidden="1" customHeight="1"/>
    <row r="64" spans="1:12" ht="11.25" hidden="1" customHeight="1"/>
    <row r="65" ht="11.25" hidden="1" customHeight="1"/>
    <row r="66" ht="11.25" hidden="1" customHeight="1"/>
    <row r="67" ht="11.25" hidden="1" customHeight="1"/>
    <row r="68" ht="11.25" hidden="1" customHeight="1"/>
    <row r="69" ht="11.25" hidden="1" customHeight="1"/>
    <row r="70" ht="11.25" hidden="1"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sheetData>
  <mergeCells count="3">
    <mergeCell ref="A54:K54"/>
    <mergeCell ref="F2:H2"/>
    <mergeCell ref="I2:K2"/>
  </mergeCells>
  <phoneticPr fontId="3" type="noConversion"/>
  <printOptions horizontalCentered="1"/>
  <pageMargins left="0" right="0" top="0.78740157480314965" bottom="0.59055118110236227" header="0.51181102362204722" footer="0.39370078740157483"/>
  <pageSetup paperSize="9" scale="8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indexed="44"/>
  </sheetPr>
  <dimension ref="A1:R184"/>
  <sheetViews>
    <sheetView showGridLines="0" topLeftCell="A61" workbookViewId="0">
      <selection activeCell="H24" sqref="H24"/>
    </sheetView>
  </sheetViews>
  <sheetFormatPr defaultRowHeight="12.75"/>
  <cols>
    <col min="1" max="1" width="30.7109375" style="150" customWidth="1"/>
    <col min="2" max="2" width="3" style="233" hidden="1" customWidth="1"/>
    <col min="3" max="11" width="9.28515625" style="150" customWidth="1"/>
    <col min="12" max="41" width="9.5703125" style="150" customWidth="1"/>
    <col min="42" max="16384" width="9.140625" style="150"/>
  </cols>
  <sheetData>
    <row r="1" spans="1:18" ht="13.5">
      <c r="A1" s="148" t="str">
        <f>muni&amp;" - "&amp;Approve3</f>
        <v>NC071 Ubuntu - Table A2 Budgeted Financial Performance (revenue and expenditure by standard classification)</v>
      </c>
      <c r="B1" s="234"/>
      <c r="C1" s="234"/>
      <c r="D1" s="234"/>
      <c r="E1" s="234"/>
      <c r="F1" s="234"/>
      <c r="G1" s="234"/>
      <c r="H1" s="234"/>
      <c r="I1" s="234"/>
      <c r="J1" s="234"/>
      <c r="K1" s="234"/>
    </row>
    <row r="2" spans="1:18" ht="28.5" customHeight="1">
      <c r="A2" s="972" t="str">
        <f>"Standard Classification "&amp;desc</f>
        <v>Standard Classification Description</v>
      </c>
      <c r="B2" s="394" t="str">
        <f>head27</f>
        <v>Ref</v>
      </c>
      <c r="C2" s="151" t="str">
        <f>head1b</f>
        <v>2007/8</v>
      </c>
      <c r="D2" s="151" t="str">
        <f>head1A</f>
        <v>2008/9</v>
      </c>
      <c r="E2" s="147" t="str">
        <f>Head1</f>
        <v>2009/10</v>
      </c>
      <c r="F2" s="2772" t="str">
        <f>Head2</f>
        <v>Current Year 2010/11</v>
      </c>
      <c r="G2" s="2773"/>
      <c r="H2" s="2777"/>
      <c r="I2" s="2769" t="str">
        <f>Head3</f>
        <v>2011/12 Medium Term Revenue &amp; Expenditure Framework</v>
      </c>
      <c r="J2" s="2770"/>
      <c r="K2" s="2771"/>
    </row>
    <row r="3" spans="1:18" ht="25.5">
      <c r="A3" s="169" t="s">
        <v>697</v>
      </c>
      <c r="B3" s="980">
        <v>1</v>
      </c>
      <c r="C3" s="365" t="str">
        <f>Head5</f>
        <v>Audited Outcome</v>
      </c>
      <c r="D3" s="365" t="str">
        <f>Head5</f>
        <v>Audited Outcome</v>
      </c>
      <c r="E3" s="366" t="str">
        <f>Head5</f>
        <v>Audited Outcome</v>
      </c>
      <c r="F3" s="283" t="str">
        <f>Head6</f>
        <v>Original Budget</v>
      </c>
      <c r="G3" s="365" t="str">
        <f>Head7</f>
        <v>Adjusted Budget</v>
      </c>
      <c r="H3" s="366" t="str">
        <f>Head8</f>
        <v>Full Year Forecast</v>
      </c>
      <c r="I3" s="283" t="str">
        <f>Head9</f>
        <v>Budget Year 2011/12</v>
      </c>
      <c r="J3" s="365" t="str">
        <f>Head10</f>
        <v>Budget Year +1 2012/13</v>
      </c>
      <c r="K3" s="366" t="str">
        <f>Head11</f>
        <v>Budget Year +2 2013/14</v>
      </c>
    </row>
    <row r="4" spans="1:18" ht="11.25" customHeight="1">
      <c r="A4" s="235" t="s">
        <v>447</v>
      </c>
      <c r="B4" s="171"/>
      <c r="C4" s="173"/>
      <c r="D4" s="173"/>
      <c r="E4" s="172"/>
      <c r="F4" s="175"/>
      <c r="G4" s="173"/>
      <c r="H4" s="174"/>
      <c r="I4" s="1290"/>
      <c r="J4" s="173"/>
      <c r="K4" s="174"/>
      <c r="L4" s="345"/>
    </row>
    <row r="5" spans="1:18" ht="11.25" customHeight="1">
      <c r="A5" s="1243" t="s">
        <v>140</v>
      </c>
      <c r="B5" s="1194"/>
      <c r="C5" s="2343">
        <v>12688659.040000001</v>
      </c>
      <c r="D5" s="2343">
        <v>43371575.767341271</v>
      </c>
      <c r="E5" s="2347">
        <v>21077119.408112947</v>
      </c>
      <c r="F5" s="2344">
        <v>23158180</v>
      </c>
      <c r="G5" s="2343">
        <v>23467060</v>
      </c>
      <c r="H5" s="2348">
        <v>51688152</v>
      </c>
      <c r="I5" s="2349">
        <v>25274098.829999998</v>
      </c>
      <c r="J5" s="2343">
        <v>27152141.559799999</v>
      </c>
      <c r="K5" s="2348">
        <v>29583145.461388003</v>
      </c>
      <c r="L5" s="345"/>
      <c r="Q5" s="238"/>
      <c r="R5" s="239"/>
    </row>
    <row r="6" spans="1:18" ht="11.25" customHeight="1">
      <c r="A6" s="1286" t="s">
        <v>141</v>
      </c>
      <c r="B6" s="1194"/>
      <c r="C6" s="2338">
        <v>0</v>
      </c>
      <c r="D6" s="2338">
        <v>13070</v>
      </c>
      <c r="E6" s="2345">
        <v>900</v>
      </c>
      <c r="F6" s="2339">
        <v>523000</v>
      </c>
      <c r="G6" s="2338">
        <v>831880</v>
      </c>
      <c r="H6" s="2342">
        <v>484608</v>
      </c>
      <c r="I6" s="2346">
        <v>873000</v>
      </c>
      <c r="J6" s="2338">
        <v>595000</v>
      </c>
      <c r="K6" s="2342">
        <v>629000</v>
      </c>
      <c r="L6" s="345"/>
      <c r="Q6" s="238"/>
      <c r="R6" s="239"/>
    </row>
    <row r="7" spans="1:18" ht="11.25" customHeight="1">
      <c r="A7" s="1516" t="s">
        <v>342</v>
      </c>
      <c r="B7" s="1194"/>
      <c r="C7" s="2356">
        <v>0</v>
      </c>
      <c r="D7" s="2356">
        <v>13070</v>
      </c>
      <c r="E7" s="2357">
        <v>900</v>
      </c>
      <c r="F7" s="2358">
        <v>523000</v>
      </c>
      <c r="G7" s="2356">
        <v>831880</v>
      </c>
      <c r="H7" s="2359">
        <v>484608</v>
      </c>
      <c r="I7" s="2360">
        <v>873000</v>
      </c>
      <c r="J7" s="2356">
        <v>595000</v>
      </c>
      <c r="K7" s="2359">
        <v>629000</v>
      </c>
      <c r="L7" s="345"/>
      <c r="Q7" s="238"/>
      <c r="R7" s="239"/>
    </row>
    <row r="8" spans="1:18" ht="11.25" customHeight="1">
      <c r="A8" s="1516" t="s">
        <v>343</v>
      </c>
      <c r="B8" s="1194"/>
      <c r="C8" s="2356">
        <v>0</v>
      </c>
      <c r="D8" s="2356">
        <v>0</v>
      </c>
      <c r="E8" s="2357">
        <v>0</v>
      </c>
      <c r="F8" s="2358">
        <v>0</v>
      </c>
      <c r="G8" s="2356">
        <v>0</v>
      </c>
      <c r="H8" s="2359">
        <v>0</v>
      </c>
      <c r="I8" s="2360">
        <v>0</v>
      </c>
      <c r="J8" s="2356">
        <v>0</v>
      </c>
      <c r="K8" s="2359">
        <v>0</v>
      </c>
      <c r="L8" s="345"/>
      <c r="Q8" s="238"/>
      <c r="R8" s="239"/>
    </row>
    <row r="9" spans="1:18" ht="11.25" customHeight="1">
      <c r="A9" s="1286" t="s">
        <v>142</v>
      </c>
      <c r="B9" s="1194"/>
      <c r="C9" s="2361">
        <v>12522292.940000001</v>
      </c>
      <c r="D9" s="2361">
        <v>43108032.937341273</v>
      </c>
      <c r="E9" s="2362">
        <v>20774677.698112946</v>
      </c>
      <c r="F9" s="2363">
        <v>22241260</v>
      </c>
      <c r="G9" s="2361">
        <v>22241260</v>
      </c>
      <c r="H9" s="2364">
        <v>50866430</v>
      </c>
      <c r="I9" s="2365">
        <v>24097968.829999998</v>
      </c>
      <c r="J9" s="2361">
        <v>26129121.1598</v>
      </c>
      <c r="K9" s="2364">
        <v>28509275.429388002</v>
      </c>
      <c r="L9" s="345"/>
      <c r="Q9" s="238"/>
      <c r="R9" s="239"/>
    </row>
    <row r="10" spans="1:18" ht="11.25" customHeight="1">
      <c r="A10" s="1286" t="s">
        <v>143</v>
      </c>
      <c r="B10" s="1194"/>
      <c r="C10" s="2338">
        <v>166366.1</v>
      </c>
      <c r="D10" s="2338">
        <v>250472.83000000002</v>
      </c>
      <c r="E10" s="2345">
        <v>301541.71000000008</v>
      </c>
      <c r="F10" s="2339">
        <v>393920</v>
      </c>
      <c r="G10" s="2338">
        <v>393920</v>
      </c>
      <c r="H10" s="2342">
        <v>337114</v>
      </c>
      <c r="I10" s="2346">
        <v>303130</v>
      </c>
      <c r="J10" s="2338">
        <v>428020.4</v>
      </c>
      <c r="K10" s="2342">
        <v>444870.03200000001</v>
      </c>
      <c r="L10" s="345"/>
      <c r="Q10" s="238"/>
      <c r="R10" s="239"/>
    </row>
    <row r="11" spans="1:18" ht="11.25" customHeight="1">
      <c r="A11" s="1516" t="s">
        <v>344</v>
      </c>
      <c r="B11" s="1194"/>
      <c r="C11" s="2356">
        <v>0</v>
      </c>
      <c r="D11" s="2356">
        <v>0</v>
      </c>
      <c r="E11" s="2357">
        <v>0</v>
      </c>
      <c r="F11" s="2358">
        <v>0</v>
      </c>
      <c r="G11" s="2356">
        <v>0</v>
      </c>
      <c r="H11" s="2359">
        <v>0</v>
      </c>
      <c r="I11" s="2360">
        <v>0</v>
      </c>
      <c r="J11" s="2356">
        <v>0</v>
      </c>
      <c r="K11" s="2359">
        <v>0</v>
      </c>
      <c r="L11" s="345"/>
      <c r="Q11" s="238"/>
      <c r="R11" s="239"/>
    </row>
    <row r="12" spans="1:18" ht="11.25" customHeight="1">
      <c r="A12" s="1516" t="s">
        <v>345</v>
      </c>
      <c r="B12" s="1194"/>
      <c r="C12" s="2356">
        <v>0</v>
      </c>
      <c r="D12" s="2356">
        <v>0</v>
      </c>
      <c r="E12" s="2357">
        <v>0</v>
      </c>
      <c r="F12" s="2358">
        <v>0</v>
      </c>
      <c r="G12" s="2356">
        <v>0</v>
      </c>
      <c r="H12" s="2359">
        <v>0</v>
      </c>
      <c r="I12" s="2360">
        <v>0</v>
      </c>
      <c r="J12" s="2356">
        <v>0</v>
      </c>
      <c r="K12" s="2359">
        <v>0</v>
      </c>
      <c r="L12" s="345"/>
      <c r="Q12" s="238"/>
      <c r="R12" s="239"/>
    </row>
    <row r="13" spans="1:18" ht="11.25" customHeight="1">
      <c r="A13" s="1516" t="s">
        <v>1129</v>
      </c>
      <c r="B13" s="1194"/>
      <c r="C13" s="2356">
        <v>166366.1</v>
      </c>
      <c r="D13" s="2356">
        <v>250472.83000000002</v>
      </c>
      <c r="E13" s="2357">
        <v>301541.71000000008</v>
      </c>
      <c r="F13" s="2358">
        <v>393920</v>
      </c>
      <c r="G13" s="2356">
        <v>393920</v>
      </c>
      <c r="H13" s="2359">
        <v>337114</v>
      </c>
      <c r="I13" s="2360">
        <v>303130</v>
      </c>
      <c r="J13" s="2356">
        <v>428020.4</v>
      </c>
      <c r="K13" s="2359">
        <v>444870.03200000001</v>
      </c>
      <c r="L13" s="345"/>
      <c r="Q13" s="238"/>
      <c r="R13" s="239"/>
    </row>
    <row r="14" spans="1:18" ht="11.25" customHeight="1">
      <c r="A14" s="1516" t="s">
        <v>1130</v>
      </c>
      <c r="B14" s="1194"/>
      <c r="C14" s="2356">
        <v>0</v>
      </c>
      <c r="D14" s="2356">
        <v>0</v>
      </c>
      <c r="E14" s="2357">
        <v>0</v>
      </c>
      <c r="F14" s="2358">
        <v>0</v>
      </c>
      <c r="G14" s="2356">
        <v>0</v>
      </c>
      <c r="H14" s="2359">
        <v>0</v>
      </c>
      <c r="I14" s="2360">
        <v>0</v>
      </c>
      <c r="J14" s="2356">
        <v>0</v>
      </c>
      <c r="K14" s="2359">
        <v>0</v>
      </c>
      <c r="L14" s="345"/>
      <c r="Q14" s="238"/>
      <c r="R14" s="239"/>
    </row>
    <row r="15" spans="1:18" ht="11.25" customHeight="1">
      <c r="A15" s="1243" t="s">
        <v>144</v>
      </c>
      <c r="B15" s="1194"/>
      <c r="C15" s="2343">
        <v>71615.45</v>
      </c>
      <c r="D15" s="2343">
        <v>967334.23380000005</v>
      </c>
      <c r="E15" s="2347">
        <v>317570.41000000003</v>
      </c>
      <c r="F15" s="2344">
        <v>625820</v>
      </c>
      <c r="G15" s="2343">
        <v>629520</v>
      </c>
      <c r="H15" s="2348">
        <v>246310</v>
      </c>
      <c r="I15" s="2349">
        <v>729000</v>
      </c>
      <c r="J15" s="2343">
        <v>779580</v>
      </c>
      <c r="K15" s="2348">
        <v>796584.8</v>
      </c>
      <c r="L15" s="345"/>
      <c r="Q15" s="238"/>
      <c r="R15" s="239"/>
    </row>
    <row r="16" spans="1:18" ht="11.25" customHeight="1">
      <c r="A16" s="1286" t="s">
        <v>145</v>
      </c>
      <c r="B16" s="1194"/>
      <c r="C16" s="2340">
        <v>66100.45</v>
      </c>
      <c r="D16" s="2340">
        <v>474910.34380000003</v>
      </c>
      <c r="E16" s="2350">
        <v>294922.41000000003</v>
      </c>
      <c r="F16" s="2341">
        <v>606820</v>
      </c>
      <c r="G16" s="2340">
        <v>610520</v>
      </c>
      <c r="H16" s="2351">
        <v>231072</v>
      </c>
      <c r="I16" s="2352">
        <v>715000</v>
      </c>
      <c r="J16" s="2340">
        <v>760580</v>
      </c>
      <c r="K16" s="2351">
        <v>777584.8</v>
      </c>
      <c r="L16" s="345"/>
      <c r="Q16" s="238"/>
      <c r="R16" s="239"/>
    </row>
    <row r="17" spans="1:18" ht="11.25" customHeight="1">
      <c r="A17" s="1516" t="s">
        <v>1765</v>
      </c>
      <c r="B17" s="1194"/>
      <c r="C17" s="2356">
        <v>2180.4499999999998</v>
      </c>
      <c r="D17" s="2356">
        <v>438212.1838</v>
      </c>
      <c r="E17" s="2357">
        <v>266292.03000000003</v>
      </c>
      <c r="F17" s="2358">
        <v>544520</v>
      </c>
      <c r="G17" s="2356">
        <v>544520</v>
      </c>
      <c r="H17" s="2359">
        <v>184876</v>
      </c>
      <c r="I17" s="2360">
        <v>543000</v>
      </c>
      <c r="J17" s="2356">
        <v>579500</v>
      </c>
      <c r="K17" s="2359">
        <v>586000</v>
      </c>
      <c r="L17" s="345"/>
      <c r="Q17" s="238"/>
      <c r="R17" s="239"/>
    </row>
    <row r="18" spans="1:18" ht="11.25" customHeight="1">
      <c r="A18" s="1516" t="s">
        <v>865</v>
      </c>
      <c r="B18" s="1194"/>
      <c r="C18" s="2356">
        <v>0</v>
      </c>
      <c r="D18" s="2356">
        <v>0</v>
      </c>
      <c r="E18" s="2357">
        <v>0</v>
      </c>
      <c r="F18" s="2358">
        <v>0</v>
      </c>
      <c r="G18" s="2356">
        <v>0</v>
      </c>
      <c r="H18" s="2359">
        <v>0</v>
      </c>
      <c r="I18" s="2360">
        <v>0</v>
      </c>
      <c r="J18" s="2356">
        <v>0</v>
      </c>
      <c r="K18" s="2359">
        <v>0</v>
      </c>
      <c r="L18" s="345"/>
      <c r="Q18" s="238"/>
      <c r="R18" s="239"/>
    </row>
    <row r="19" spans="1:18" ht="11.25" customHeight="1">
      <c r="A19" s="1516" t="s">
        <v>866</v>
      </c>
      <c r="B19" s="1194"/>
      <c r="C19" s="2356">
        <v>0</v>
      </c>
      <c r="D19" s="2356">
        <v>0</v>
      </c>
      <c r="E19" s="2357">
        <v>0</v>
      </c>
      <c r="F19" s="2358">
        <v>0</v>
      </c>
      <c r="G19" s="2356">
        <v>0</v>
      </c>
      <c r="H19" s="2359">
        <v>0</v>
      </c>
      <c r="I19" s="2360">
        <v>0</v>
      </c>
      <c r="J19" s="2356">
        <v>0</v>
      </c>
      <c r="K19" s="2359">
        <v>0</v>
      </c>
      <c r="L19" s="345"/>
      <c r="Q19" s="238"/>
      <c r="R19" s="239"/>
    </row>
    <row r="20" spans="1:18" ht="11.25" customHeight="1">
      <c r="A20" s="1516" t="s">
        <v>867</v>
      </c>
      <c r="B20" s="1194"/>
      <c r="C20" s="2356">
        <v>13720</v>
      </c>
      <c r="D20" s="2356">
        <v>3795</v>
      </c>
      <c r="E20" s="2357">
        <v>2840</v>
      </c>
      <c r="F20" s="2358">
        <v>8300</v>
      </c>
      <c r="G20" s="2356">
        <v>12000</v>
      </c>
      <c r="H20" s="2359">
        <v>9734</v>
      </c>
      <c r="I20" s="2360">
        <v>10000</v>
      </c>
      <c r="J20" s="2356">
        <v>12000</v>
      </c>
      <c r="K20" s="2359">
        <v>15000</v>
      </c>
      <c r="L20" s="345"/>
      <c r="Q20" s="238"/>
      <c r="R20" s="239"/>
    </row>
    <row r="21" spans="1:18" ht="11.25" customHeight="1">
      <c r="A21" s="1516" t="s">
        <v>1766</v>
      </c>
      <c r="B21" s="1194"/>
      <c r="C21" s="2356">
        <v>0</v>
      </c>
      <c r="D21" s="2356">
        <v>0</v>
      </c>
      <c r="E21" s="2357">
        <v>0</v>
      </c>
      <c r="F21" s="2358">
        <v>0</v>
      </c>
      <c r="G21" s="2356">
        <v>0</v>
      </c>
      <c r="H21" s="2359">
        <v>0</v>
      </c>
      <c r="I21" s="2360">
        <v>0</v>
      </c>
      <c r="J21" s="2356">
        <v>0</v>
      </c>
      <c r="K21" s="2359">
        <v>0</v>
      </c>
      <c r="L21" s="345"/>
      <c r="Q21" s="238"/>
      <c r="R21" s="239"/>
    </row>
    <row r="22" spans="1:18" ht="11.25" customHeight="1">
      <c r="A22" s="1516" t="s">
        <v>1767</v>
      </c>
      <c r="B22" s="1194"/>
      <c r="C22" s="2356">
        <v>0</v>
      </c>
      <c r="D22" s="2356">
        <v>0</v>
      </c>
      <c r="E22" s="2357">
        <v>0</v>
      </c>
      <c r="F22" s="2358">
        <v>0</v>
      </c>
      <c r="G22" s="2356">
        <v>0</v>
      </c>
      <c r="H22" s="2359">
        <v>0</v>
      </c>
      <c r="I22" s="2360">
        <v>0</v>
      </c>
      <c r="J22" s="2356">
        <v>0</v>
      </c>
      <c r="K22" s="2359">
        <v>0</v>
      </c>
      <c r="L22" s="345"/>
      <c r="Q22" s="238"/>
      <c r="R22" s="239"/>
    </row>
    <row r="23" spans="1:18" ht="11.25" customHeight="1">
      <c r="A23" s="1516" t="s">
        <v>1768</v>
      </c>
      <c r="B23" s="1194"/>
      <c r="C23" s="2356">
        <v>50200</v>
      </c>
      <c r="D23" s="2356">
        <v>32903.160000000003</v>
      </c>
      <c r="E23" s="2357">
        <v>25790.38</v>
      </c>
      <c r="F23" s="2358">
        <v>54000</v>
      </c>
      <c r="G23" s="2356">
        <v>54000</v>
      </c>
      <c r="H23" s="2359">
        <v>36462</v>
      </c>
      <c r="I23" s="2360">
        <v>162000</v>
      </c>
      <c r="J23" s="2356">
        <v>169080</v>
      </c>
      <c r="K23" s="2359">
        <v>176584.80000000002</v>
      </c>
      <c r="L23" s="345"/>
      <c r="Q23" s="238"/>
      <c r="R23" s="239"/>
    </row>
    <row r="24" spans="1:18" ht="11.25" customHeight="1">
      <c r="A24" s="1516" t="s">
        <v>1769</v>
      </c>
      <c r="B24" s="1194"/>
      <c r="C24" s="2356">
        <v>0</v>
      </c>
      <c r="D24" s="2356">
        <v>0</v>
      </c>
      <c r="E24" s="2357">
        <v>0</v>
      </c>
      <c r="F24" s="2358">
        <v>0</v>
      </c>
      <c r="G24" s="2356">
        <v>0</v>
      </c>
      <c r="H24" s="2359">
        <v>0</v>
      </c>
      <c r="I24" s="2360">
        <v>0</v>
      </c>
      <c r="J24" s="2356">
        <v>0</v>
      </c>
      <c r="K24" s="2359">
        <v>0</v>
      </c>
      <c r="L24" s="345"/>
      <c r="Q24" s="238"/>
      <c r="R24" s="239"/>
    </row>
    <row r="25" spans="1:18" ht="11.25" customHeight="1">
      <c r="A25" s="1286" t="s">
        <v>146</v>
      </c>
      <c r="B25" s="1194"/>
      <c r="C25" s="2356">
        <v>5515</v>
      </c>
      <c r="D25" s="2356">
        <v>492423.89</v>
      </c>
      <c r="E25" s="2357">
        <v>21280</v>
      </c>
      <c r="F25" s="2358">
        <v>14000</v>
      </c>
      <c r="G25" s="2356">
        <v>14000</v>
      </c>
      <c r="H25" s="2359">
        <v>13444</v>
      </c>
      <c r="I25" s="2360">
        <v>12000</v>
      </c>
      <c r="J25" s="2356">
        <v>14000</v>
      </c>
      <c r="K25" s="2359">
        <v>14000</v>
      </c>
      <c r="L25" s="345"/>
      <c r="Q25" s="238"/>
      <c r="R25" s="239"/>
    </row>
    <row r="26" spans="1:18" ht="11.25" customHeight="1">
      <c r="A26" s="1286" t="s">
        <v>147</v>
      </c>
      <c r="B26" s="1194"/>
      <c r="C26" s="2340">
        <v>0</v>
      </c>
      <c r="D26" s="2340">
        <v>0</v>
      </c>
      <c r="E26" s="2350">
        <v>1368</v>
      </c>
      <c r="F26" s="2341">
        <v>5000</v>
      </c>
      <c r="G26" s="2340">
        <v>5000</v>
      </c>
      <c r="H26" s="2351">
        <v>1794</v>
      </c>
      <c r="I26" s="2352">
        <v>2000</v>
      </c>
      <c r="J26" s="2340">
        <v>5000</v>
      </c>
      <c r="K26" s="2351">
        <v>5000</v>
      </c>
      <c r="L26" s="345"/>
      <c r="Q26" s="238"/>
      <c r="R26" s="239"/>
    </row>
    <row r="27" spans="1:18" ht="11.25" customHeight="1">
      <c r="A27" s="1516" t="s">
        <v>1770</v>
      </c>
      <c r="B27" s="1194"/>
      <c r="C27" s="2356">
        <v>0</v>
      </c>
      <c r="D27" s="2356">
        <v>0</v>
      </c>
      <c r="E27" s="2357">
        <v>0</v>
      </c>
      <c r="F27" s="2358">
        <v>0</v>
      </c>
      <c r="G27" s="2356">
        <v>0</v>
      </c>
      <c r="H27" s="2359">
        <v>0</v>
      </c>
      <c r="I27" s="2360">
        <v>0</v>
      </c>
      <c r="J27" s="2356">
        <v>0</v>
      </c>
      <c r="K27" s="2359">
        <v>0</v>
      </c>
      <c r="L27" s="345"/>
      <c r="Q27" s="238"/>
      <c r="R27" s="239"/>
    </row>
    <row r="28" spans="1:18" ht="11.25" customHeight="1">
      <c r="A28" s="1516" t="s">
        <v>1626</v>
      </c>
      <c r="B28" s="1194"/>
      <c r="C28" s="2356">
        <v>0</v>
      </c>
      <c r="D28" s="2356">
        <v>0</v>
      </c>
      <c r="E28" s="2357">
        <v>1368</v>
      </c>
      <c r="F28" s="2358">
        <v>5000</v>
      </c>
      <c r="G28" s="2356">
        <v>5000</v>
      </c>
      <c r="H28" s="2359">
        <v>1794</v>
      </c>
      <c r="I28" s="2360">
        <v>2000</v>
      </c>
      <c r="J28" s="2356">
        <v>5000</v>
      </c>
      <c r="K28" s="2359">
        <v>5000</v>
      </c>
      <c r="L28" s="345"/>
      <c r="Q28" s="238"/>
      <c r="R28" s="239"/>
    </row>
    <row r="29" spans="1:18" ht="11.25" customHeight="1">
      <c r="A29" s="1516" t="s">
        <v>846</v>
      </c>
      <c r="B29" s="1194"/>
      <c r="C29" s="2356">
        <v>0</v>
      </c>
      <c r="D29" s="2356">
        <v>0</v>
      </c>
      <c r="E29" s="2357">
        <v>0</v>
      </c>
      <c r="F29" s="2358">
        <v>0</v>
      </c>
      <c r="G29" s="2356">
        <v>0</v>
      </c>
      <c r="H29" s="2359">
        <v>0</v>
      </c>
      <c r="I29" s="2360">
        <v>0</v>
      </c>
      <c r="J29" s="2356">
        <v>0</v>
      </c>
      <c r="K29" s="2359">
        <v>0</v>
      </c>
      <c r="L29" s="345"/>
      <c r="Q29" s="238"/>
      <c r="R29" s="239"/>
    </row>
    <row r="30" spans="1:18" ht="11.25" customHeight="1">
      <c r="A30" s="1516" t="s">
        <v>136</v>
      </c>
      <c r="B30" s="1194"/>
      <c r="C30" s="2356">
        <v>0</v>
      </c>
      <c r="D30" s="2356">
        <v>0</v>
      </c>
      <c r="E30" s="2357">
        <v>0</v>
      </c>
      <c r="F30" s="2358">
        <v>0</v>
      </c>
      <c r="G30" s="2356">
        <v>0</v>
      </c>
      <c r="H30" s="2359">
        <v>0</v>
      </c>
      <c r="I30" s="2360">
        <v>0</v>
      </c>
      <c r="J30" s="2356">
        <v>0</v>
      </c>
      <c r="K30" s="2359">
        <v>0</v>
      </c>
      <c r="L30" s="345"/>
      <c r="Q30" s="238"/>
      <c r="R30" s="239"/>
    </row>
    <row r="31" spans="1:18" ht="11.25" customHeight="1">
      <c r="A31" s="1516" t="s">
        <v>297</v>
      </c>
      <c r="B31" s="1194"/>
      <c r="C31" s="2356">
        <v>0</v>
      </c>
      <c r="D31" s="2356">
        <v>0</v>
      </c>
      <c r="E31" s="2357">
        <v>0</v>
      </c>
      <c r="F31" s="2358">
        <v>0</v>
      </c>
      <c r="G31" s="2356">
        <v>0</v>
      </c>
      <c r="H31" s="2359">
        <v>0</v>
      </c>
      <c r="I31" s="2360">
        <v>0</v>
      </c>
      <c r="J31" s="2356">
        <v>0</v>
      </c>
      <c r="K31" s="2359">
        <v>0</v>
      </c>
      <c r="L31" s="345"/>
      <c r="Q31" s="238"/>
      <c r="R31" s="239"/>
    </row>
    <row r="32" spans="1:18" ht="11.25" customHeight="1">
      <c r="A32" s="1286" t="s">
        <v>1828</v>
      </c>
      <c r="B32" s="1194"/>
      <c r="C32" s="2366">
        <v>0</v>
      </c>
      <c r="D32" s="2366">
        <v>0</v>
      </c>
      <c r="E32" s="2367">
        <v>0</v>
      </c>
      <c r="F32" s="2368">
        <v>0</v>
      </c>
      <c r="G32" s="2366">
        <v>0</v>
      </c>
      <c r="H32" s="2369">
        <v>0</v>
      </c>
      <c r="I32" s="2370">
        <v>0</v>
      </c>
      <c r="J32" s="2366">
        <v>0</v>
      </c>
      <c r="K32" s="2369">
        <v>0</v>
      </c>
      <c r="L32" s="345"/>
      <c r="Q32" s="238"/>
      <c r="R32" s="239"/>
    </row>
    <row r="33" spans="1:18" ht="11.25" customHeight="1">
      <c r="A33" s="1286" t="s">
        <v>1912</v>
      </c>
      <c r="B33" s="1194"/>
      <c r="C33" s="2340">
        <v>0</v>
      </c>
      <c r="D33" s="2340">
        <v>0</v>
      </c>
      <c r="E33" s="2350">
        <v>0</v>
      </c>
      <c r="F33" s="2341">
        <v>0</v>
      </c>
      <c r="G33" s="2340">
        <v>0</v>
      </c>
      <c r="H33" s="2351">
        <v>0</v>
      </c>
      <c r="I33" s="2352">
        <v>0</v>
      </c>
      <c r="J33" s="2340">
        <v>0</v>
      </c>
      <c r="K33" s="2351">
        <v>0</v>
      </c>
      <c r="L33" s="345"/>
      <c r="Q33" s="238"/>
      <c r="R33" s="239"/>
    </row>
    <row r="34" spans="1:18" ht="11.25" customHeight="1">
      <c r="A34" s="1516" t="s">
        <v>1375</v>
      </c>
      <c r="B34" s="1194"/>
      <c r="C34" s="2356">
        <v>0</v>
      </c>
      <c r="D34" s="2356">
        <v>0</v>
      </c>
      <c r="E34" s="2357">
        <v>0</v>
      </c>
      <c r="F34" s="2358">
        <v>0</v>
      </c>
      <c r="G34" s="2356">
        <v>0</v>
      </c>
      <c r="H34" s="2359">
        <v>0</v>
      </c>
      <c r="I34" s="2360">
        <v>0</v>
      </c>
      <c r="J34" s="2356">
        <v>0</v>
      </c>
      <c r="K34" s="2359">
        <v>0</v>
      </c>
      <c r="L34" s="345"/>
      <c r="Q34" s="238"/>
      <c r="R34" s="239"/>
    </row>
    <row r="35" spans="1:18" ht="11.25" customHeight="1">
      <c r="A35" s="1516" t="s">
        <v>659</v>
      </c>
      <c r="B35" s="1194"/>
      <c r="C35" s="2356">
        <v>0</v>
      </c>
      <c r="D35" s="2356">
        <v>0</v>
      </c>
      <c r="E35" s="2357">
        <v>0</v>
      </c>
      <c r="F35" s="2358">
        <v>0</v>
      </c>
      <c r="G35" s="2356">
        <v>0</v>
      </c>
      <c r="H35" s="2359">
        <v>0</v>
      </c>
      <c r="I35" s="2360">
        <v>0</v>
      </c>
      <c r="J35" s="2356">
        <v>0</v>
      </c>
      <c r="K35" s="2359">
        <v>0</v>
      </c>
      <c r="L35" s="345"/>
      <c r="Q35" s="238"/>
      <c r="R35" s="239"/>
    </row>
    <row r="36" spans="1:18" ht="11.25" customHeight="1">
      <c r="A36" s="1516" t="s">
        <v>660</v>
      </c>
      <c r="B36" s="1194"/>
      <c r="C36" s="2356">
        <v>0</v>
      </c>
      <c r="D36" s="2356">
        <v>0</v>
      </c>
      <c r="E36" s="2357">
        <v>0</v>
      </c>
      <c r="F36" s="2358">
        <v>0</v>
      </c>
      <c r="G36" s="2356">
        <v>0</v>
      </c>
      <c r="H36" s="2359">
        <v>0</v>
      </c>
      <c r="I36" s="2360">
        <v>0</v>
      </c>
      <c r="J36" s="2356">
        <v>0</v>
      </c>
      <c r="K36" s="2359">
        <v>0</v>
      </c>
      <c r="L36" s="345"/>
      <c r="Q36" s="238"/>
      <c r="R36" s="239"/>
    </row>
    <row r="37" spans="1:18" ht="11.25" customHeight="1">
      <c r="A37" s="1243" t="s">
        <v>148</v>
      </c>
      <c r="B37" s="1130"/>
      <c r="C37" s="2343">
        <v>4078576.8500000006</v>
      </c>
      <c r="D37" s="2343">
        <v>4675344.3099999996</v>
      </c>
      <c r="E37" s="2347">
        <v>5019622.6100000003</v>
      </c>
      <c r="F37" s="2344">
        <v>10833500</v>
      </c>
      <c r="G37" s="2343">
        <v>12133500</v>
      </c>
      <c r="H37" s="2348">
        <v>8558581</v>
      </c>
      <c r="I37" s="2349">
        <v>16524800</v>
      </c>
      <c r="J37" s="2343">
        <v>17370300</v>
      </c>
      <c r="K37" s="2348">
        <v>17880600</v>
      </c>
      <c r="L37" s="345"/>
      <c r="Q37" s="238"/>
      <c r="R37" s="239"/>
    </row>
    <row r="38" spans="1:18" ht="11.25" customHeight="1">
      <c r="A38" s="1286" t="s">
        <v>149</v>
      </c>
      <c r="B38" s="1130"/>
      <c r="C38" s="2340">
        <v>0</v>
      </c>
      <c r="D38" s="2340">
        <v>0</v>
      </c>
      <c r="E38" s="2350">
        <v>0</v>
      </c>
      <c r="F38" s="2341">
        <v>0</v>
      </c>
      <c r="G38" s="2340">
        <v>0</v>
      </c>
      <c r="H38" s="2351">
        <v>0</v>
      </c>
      <c r="I38" s="2352">
        <v>0</v>
      </c>
      <c r="J38" s="2340">
        <v>0</v>
      </c>
      <c r="K38" s="2351">
        <v>0</v>
      </c>
      <c r="L38" s="345"/>
      <c r="Q38" s="238"/>
      <c r="R38" s="239"/>
    </row>
    <row r="39" spans="1:18" ht="11.25" customHeight="1">
      <c r="A39" s="1516" t="s">
        <v>595</v>
      </c>
      <c r="B39" s="1130"/>
      <c r="C39" s="2356">
        <v>0</v>
      </c>
      <c r="D39" s="2356">
        <v>0</v>
      </c>
      <c r="E39" s="2357">
        <v>0</v>
      </c>
      <c r="F39" s="2358">
        <v>0</v>
      </c>
      <c r="G39" s="2356">
        <v>0</v>
      </c>
      <c r="H39" s="2359">
        <v>0</v>
      </c>
      <c r="I39" s="2360">
        <v>0</v>
      </c>
      <c r="J39" s="2356">
        <v>0</v>
      </c>
      <c r="K39" s="2359">
        <v>0</v>
      </c>
      <c r="L39" s="345"/>
      <c r="Q39" s="238"/>
      <c r="R39" s="239"/>
    </row>
    <row r="40" spans="1:18" ht="11.25" customHeight="1">
      <c r="A40" s="1516" t="s">
        <v>657</v>
      </c>
      <c r="B40" s="1130"/>
      <c r="C40" s="2356">
        <v>0</v>
      </c>
      <c r="D40" s="2356">
        <v>0</v>
      </c>
      <c r="E40" s="2357">
        <v>0</v>
      </c>
      <c r="F40" s="2358">
        <v>0</v>
      </c>
      <c r="G40" s="2356">
        <v>0</v>
      </c>
      <c r="H40" s="2359">
        <v>0</v>
      </c>
      <c r="I40" s="2360">
        <v>0</v>
      </c>
      <c r="J40" s="2356">
        <v>0</v>
      </c>
      <c r="K40" s="2359">
        <v>0</v>
      </c>
      <c r="L40" s="345"/>
      <c r="Q40" s="238"/>
      <c r="R40" s="239"/>
    </row>
    <row r="41" spans="1:18" ht="11.25" customHeight="1">
      <c r="A41" s="1516" t="s">
        <v>97</v>
      </c>
      <c r="B41" s="1130"/>
      <c r="C41" s="2356">
        <v>0</v>
      </c>
      <c r="D41" s="2356">
        <v>0</v>
      </c>
      <c r="E41" s="2357">
        <v>0</v>
      </c>
      <c r="F41" s="2358">
        <v>0</v>
      </c>
      <c r="G41" s="2356">
        <v>0</v>
      </c>
      <c r="H41" s="2359">
        <v>0</v>
      </c>
      <c r="I41" s="2360">
        <v>0</v>
      </c>
      <c r="J41" s="2356">
        <v>0</v>
      </c>
      <c r="K41" s="2359">
        <v>0</v>
      </c>
      <c r="L41" s="345"/>
      <c r="Q41" s="238"/>
      <c r="R41" s="239"/>
    </row>
    <row r="42" spans="1:18" ht="11.25" customHeight="1">
      <c r="A42" s="1286" t="s">
        <v>150</v>
      </c>
      <c r="B42" s="1130"/>
      <c r="C42" s="2340">
        <v>4078576.8500000006</v>
      </c>
      <c r="D42" s="2340">
        <v>4675344.3099999996</v>
      </c>
      <c r="E42" s="2350">
        <v>5019622.6100000003</v>
      </c>
      <c r="F42" s="2341">
        <v>10833500</v>
      </c>
      <c r="G42" s="2340">
        <v>12133500</v>
      </c>
      <c r="H42" s="2351">
        <v>8558581</v>
      </c>
      <c r="I42" s="2352">
        <v>16524800</v>
      </c>
      <c r="J42" s="2340">
        <v>17370300</v>
      </c>
      <c r="K42" s="2351">
        <v>17880600</v>
      </c>
      <c r="L42" s="345"/>
      <c r="Q42" s="238"/>
      <c r="R42" s="239"/>
    </row>
    <row r="43" spans="1:18" ht="11.25" customHeight="1">
      <c r="A43" s="1516" t="s">
        <v>771</v>
      </c>
      <c r="B43" s="1130"/>
      <c r="C43" s="2356">
        <v>0</v>
      </c>
      <c r="D43" s="2356">
        <v>0</v>
      </c>
      <c r="E43" s="2357">
        <v>0</v>
      </c>
      <c r="F43" s="2358">
        <v>0</v>
      </c>
      <c r="G43" s="2356">
        <v>0</v>
      </c>
      <c r="H43" s="2359">
        <v>0</v>
      </c>
      <c r="I43" s="2360">
        <v>0</v>
      </c>
      <c r="J43" s="2356">
        <v>0</v>
      </c>
      <c r="K43" s="2359">
        <v>0</v>
      </c>
      <c r="L43" s="345"/>
      <c r="Q43" s="238"/>
      <c r="R43" s="239"/>
    </row>
    <row r="44" spans="1:18" ht="11.25" customHeight="1">
      <c r="A44" s="1516" t="s">
        <v>772</v>
      </c>
      <c r="B44" s="1130"/>
      <c r="C44" s="2356">
        <v>0</v>
      </c>
      <c r="D44" s="2356">
        <v>0</v>
      </c>
      <c r="E44" s="2357">
        <v>0</v>
      </c>
      <c r="F44" s="2358">
        <v>0</v>
      </c>
      <c r="G44" s="2356">
        <v>0</v>
      </c>
      <c r="H44" s="2359">
        <v>0</v>
      </c>
      <c r="I44" s="2360">
        <v>0</v>
      </c>
      <c r="J44" s="2356">
        <v>0</v>
      </c>
      <c r="K44" s="2359">
        <v>0</v>
      </c>
      <c r="L44" s="345"/>
      <c r="Q44" s="238"/>
      <c r="R44" s="239"/>
    </row>
    <row r="45" spans="1:18" ht="11.25" customHeight="1">
      <c r="A45" s="1516" t="s">
        <v>773</v>
      </c>
      <c r="B45" s="1130"/>
      <c r="C45" s="2356">
        <v>0</v>
      </c>
      <c r="D45" s="2356">
        <v>0</v>
      </c>
      <c r="E45" s="2357">
        <v>0</v>
      </c>
      <c r="F45" s="2358">
        <v>0</v>
      </c>
      <c r="G45" s="2356">
        <v>0</v>
      </c>
      <c r="H45" s="2359">
        <v>0</v>
      </c>
      <c r="I45" s="2360">
        <v>0</v>
      </c>
      <c r="J45" s="2356">
        <v>0</v>
      </c>
      <c r="K45" s="2359">
        <v>0</v>
      </c>
      <c r="L45" s="345"/>
      <c r="Q45" s="238"/>
      <c r="R45" s="239"/>
    </row>
    <row r="46" spans="1:18" ht="11.25" customHeight="1">
      <c r="A46" s="1516" t="s">
        <v>868</v>
      </c>
      <c r="B46" s="1130"/>
      <c r="C46" s="2356">
        <v>4078576.8500000006</v>
      </c>
      <c r="D46" s="2356">
        <v>4675344.3099999996</v>
      </c>
      <c r="E46" s="2357">
        <v>5019622.6100000003</v>
      </c>
      <c r="F46" s="2358">
        <v>10833500</v>
      </c>
      <c r="G46" s="2356">
        <v>12133500</v>
      </c>
      <c r="H46" s="2359">
        <v>8558581</v>
      </c>
      <c r="I46" s="2360">
        <v>16524800</v>
      </c>
      <c r="J46" s="2356">
        <v>17370300</v>
      </c>
      <c r="K46" s="2359">
        <v>17880600</v>
      </c>
      <c r="L46" s="345"/>
      <c r="Q46" s="238"/>
      <c r="R46" s="239"/>
    </row>
    <row r="47" spans="1:18" ht="11.25" customHeight="1">
      <c r="A47" s="1516" t="s">
        <v>3043</v>
      </c>
      <c r="B47" s="1130"/>
      <c r="C47" s="2356">
        <v>0</v>
      </c>
      <c r="D47" s="2356">
        <v>0</v>
      </c>
      <c r="E47" s="2357">
        <v>0</v>
      </c>
      <c r="F47" s="2358">
        <v>0</v>
      </c>
      <c r="G47" s="2356">
        <v>0</v>
      </c>
      <c r="H47" s="2359">
        <v>0</v>
      </c>
      <c r="I47" s="2360">
        <v>0</v>
      </c>
      <c r="J47" s="2356">
        <v>0</v>
      </c>
      <c r="K47" s="2359">
        <v>0</v>
      </c>
      <c r="L47" s="345"/>
      <c r="Q47" s="238"/>
      <c r="R47" s="239"/>
    </row>
    <row r="48" spans="1:18" ht="11.25" customHeight="1">
      <c r="A48" s="1286" t="s">
        <v>151</v>
      </c>
      <c r="B48" s="1130"/>
      <c r="C48" s="2340">
        <v>0</v>
      </c>
      <c r="D48" s="2340">
        <v>0</v>
      </c>
      <c r="E48" s="2350">
        <v>0</v>
      </c>
      <c r="F48" s="2341">
        <v>0</v>
      </c>
      <c r="G48" s="2340">
        <v>0</v>
      </c>
      <c r="H48" s="2351">
        <v>0</v>
      </c>
      <c r="I48" s="2352">
        <v>0</v>
      </c>
      <c r="J48" s="2340">
        <v>0</v>
      </c>
      <c r="K48" s="2351">
        <v>0</v>
      </c>
      <c r="L48" s="345"/>
      <c r="Q48" s="238"/>
      <c r="R48" s="239"/>
    </row>
    <row r="49" spans="1:18" ht="11.25" customHeight="1">
      <c r="A49" s="1516" t="s">
        <v>765</v>
      </c>
      <c r="B49" s="1130"/>
      <c r="C49" s="2356">
        <v>0</v>
      </c>
      <c r="D49" s="2356">
        <v>0</v>
      </c>
      <c r="E49" s="2357">
        <v>0</v>
      </c>
      <c r="F49" s="2358">
        <v>0</v>
      </c>
      <c r="G49" s="2356">
        <v>0</v>
      </c>
      <c r="H49" s="2359">
        <v>0</v>
      </c>
      <c r="I49" s="2360">
        <v>0</v>
      </c>
      <c r="J49" s="2356">
        <v>0</v>
      </c>
      <c r="K49" s="2359">
        <v>0</v>
      </c>
      <c r="L49" s="345"/>
      <c r="Q49" s="238"/>
      <c r="R49" s="239"/>
    </row>
    <row r="50" spans="1:18" ht="11.25" customHeight="1">
      <c r="A50" s="1516" t="s">
        <v>766</v>
      </c>
      <c r="B50" s="1130"/>
      <c r="C50" s="2356">
        <v>0</v>
      </c>
      <c r="D50" s="2356">
        <v>0</v>
      </c>
      <c r="E50" s="2357">
        <v>0</v>
      </c>
      <c r="F50" s="2358">
        <v>0</v>
      </c>
      <c r="G50" s="2356">
        <v>0</v>
      </c>
      <c r="H50" s="2359">
        <v>0</v>
      </c>
      <c r="I50" s="2360">
        <v>0</v>
      </c>
      <c r="J50" s="2356">
        <v>0</v>
      </c>
      <c r="K50" s="2359">
        <v>0</v>
      </c>
      <c r="L50" s="345"/>
      <c r="Q50" s="238"/>
      <c r="R50" s="239"/>
    </row>
    <row r="51" spans="1:18" ht="11.25" customHeight="1">
      <c r="A51" s="1516" t="s">
        <v>297</v>
      </c>
      <c r="B51" s="1130"/>
      <c r="C51" s="2356">
        <v>0</v>
      </c>
      <c r="D51" s="2356">
        <v>0</v>
      </c>
      <c r="E51" s="2357">
        <v>0</v>
      </c>
      <c r="F51" s="2358">
        <v>0</v>
      </c>
      <c r="G51" s="2356">
        <v>0</v>
      </c>
      <c r="H51" s="2359">
        <v>0</v>
      </c>
      <c r="I51" s="2360">
        <v>0</v>
      </c>
      <c r="J51" s="2356">
        <v>0</v>
      </c>
      <c r="K51" s="2359">
        <v>0</v>
      </c>
      <c r="L51" s="345"/>
      <c r="Q51" s="238"/>
      <c r="R51" s="239"/>
    </row>
    <row r="52" spans="1:18" ht="11.25" customHeight="1">
      <c r="A52" s="1243" t="s">
        <v>152</v>
      </c>
      <c r="B52" s="1130"/>
      <c r="C52" s="2343">
        <v>10121054.800000001</v>
      </c>
      <c r="D52" s="2343">
        <v>19333414.59</v>
      </c>
      <c r="E52" s="2347">
        <v>25865982.175000004</v>
      </c>
      <c r="F52" s="2344">
        <v>15468195</v>
      </c>
      <c r="G52" s="2343">
        <v>15468195</v>
      </c>
      <c r="H52" s="2348">
        <v>16705446</v>
      </c>
      <c r="I52" s="2349">
        <v>11627450.833600001</v>
      </c>
      <c r="J52" s="2343">
        <v>15981865.385376001</v>
      </c>
      <c r="K52" s="2348">
        <v>17326164.273189999</v>
      </c>
      <c r="L52" s="345"/>
      <c r="Q52" s="238"/>
      <c r="R52" s="239"/>
    </row>
    <row r="53" spans="1:18" ht="11.25" customHeight="1">
      <c r="A53" s="1286" t="s">
        <v>684</v>
      </c>
      <c r="B53" s="1130"/>
      <c r="C53" s="2340">
        <v>3821820.7</v>
      </c>
      <c r="D53" s="2340">
        <v>9356402.3500000015</v>
      </c>
      <c r="E53" s="2350">
        <v>7893831.9999999991</v>
      </c>
      <c r="F53" s="2341">
        <v>6821175</v>
      </c>
      <c r="G53" s="2340">
        <v>6821175</v>
      </c>
      <c r="H53" s="2351">
        <v>6992407</v>
      </c>
      <c r="I53" s="2352">
        <v>5315062.8486000011</v>
      </c>
      <c r="J53" s="2340">
        <v>8361129.267376001</v>
      </c>
      <c r="K53" s="2351">
        <v>9138620</v>
      </c>
      <c r="L53" s="345"/>
      <c r="Q53" s="238"/>
      <c r="R53" s="239"/>
    </row>
    <row r="54" spans="1:18" ht="11.25" customHeight="1">
      <c r="A54" s="1516" t="s">
        <v>776</v>
      </c>
      <c r="B54" s="1130"/>
      <c r="C54" s="2356">
        <v>3821820.7</v>
      </c>
      <c r="D54" s="2356">
        <v>9356402.3500000015</v>
      </c>
      <c r="E54" s="2357">
        <v>7893831.9999999991</v>
      </c>
      <c r="F54" s="2358">
        <v>6821175</v>
      </c>
      <c r="G54" s="2356">
        <v>6821175</v>
      </c>
      <c r="H54" s="2359">
        <v>6992407</v>
      </c>
      <c r="I54" s="2360">
        <v>5315062.8486000011</v>
      </c>
      <c r="J54" s="2356">
        <v>8361129.267376001</v>
      </c>
      <c r="K54" s="2359">
        <v>9138620</v>
      </c>
      <c r="L54" s="345"/>
      <c r="Q54" s="238"/>
      <c r="R54" s="239"/>
    </row>
    <row r="55" spans="1:18" ht="11.25" customHeight="1">
      <c r="A55" s="1516" t="s">
        <v>94</v>
      </c>
      <c r="B55" s="1130"/>
      <c r="C55" s="2356">
        <v>0</v>
      </c>
      <c r="D55" s="2356">
        <v>0</v>
      </c>
      <c r="E55" s="2357">
        <v>0</v>
      </c>
      <c r="F55" s="2358">
        <v>0</v>
      </c>
      <c r="G55" s="2356">
        <v>0</v>
      </c>
      <c r="H55" s="2359">
        <v>0</v>
      </c>
      <c r="I55" s="2360">
        <v>0</v>
      </c>
      <c r="J55" s="2356">
        <v>0</v>
      </c>
      <c r="K55" s="2359">
        <v>0</v>
      </c>
      <c r="L55" s="345"/>
      <c r="Q55" s="238"/>
      <c r="R55" s="239"/>
    </row>
    <row r="56" spans="1:18" ht="11.25" customHeight="1">
      <c r="A56" s="1286" t="s">
        <v>1018</v>
      </c>
      <c r="B56" s="1130"/>
      <c r="C56" s="2340">
        <v>2511230.62</v>
      </c>
      <c r="D56" s="2340">
        <v>5503983.0099999998</v>
      </c>
      <c r="E56" s="2350">
        <v>13895927.555000003</v>
      </c>
      <c r="F56" s="2341">
        <v>3906885</v>
      </c>
      <c r="G56" s="2340">
        <v>3906885</v>
      </c>
      <c r="H56" s="2351">
        <v>4877752</v>
      </c>
      <c r="I56" s="2352">
        <v>2116520.77</v>
      </c>
      <c r="J56" s="2340">
        <v>2343187.8470000001</v>
      </c>
      <c r="K56" s="2351">
        <v>2620523.5886400002</v>
      </c>
      <c r="L56" s="345"/>
      <c r="Q56" s="238"/>
      <c r="R56" s="239"/>
    </row>
    <row r="57" spans="1:18" ht="11.25" customHeight="1">
      <c r="A57" s="1516" t="s">
        <v>774</v>
      </c>
      <c r="B57" s="1130"/>
      <c r="C57" s="2356">
        <v>2511230.62</v>
      </c>
      <c r="D57" s="2356">
        <v>5503983.0099999998</v>
      </c>
      <c r="E57" s="2357">
        <v>13895927.555000003</v>
      </c>
      <c r="F57" s="2358">
        <v>3906885</v>
      </c>
      <c r="G57" s="2356">
        <v>3906885</v>
      </c>
      <c r="H57" s="2359">
        <v>4877752</v>
      </c>
      <c r="I57" s="2360">
        <v>2116520.77</v>
      </c>
      <c r="J57" s="2356">
        <v>2343187.8470000001</v>
      </c>
      <c r="K57" s="2359">
        <v>2620523.5886400002</v>
      </c>
      <c r="L57" s="345"/>
      <c r="Q57" s="238"/>
      <c r="R57" s="239"/>
    </row>
    <row r="58" spans="1:18" ht="11.25" customHeight="1">
      <c r="A58" s="1516" t="s">
        <v>775</v>
      </c>
      <c r="B58" s="1130"/>
      <c r="C58" s="2356">
        <v>0</v>
      </c>
      <c r="D58" s="2356">
        <v>0</v>
      </c>
      <c r="E58" s="2357">
        <v>0</v>
      </c>
      <c r="F58" s="2358">
        <v>0</v>
      </c>
      <c r="G58" s="2356">
        <v>0</v>
      </c>
      <c r="H58" s="2359">
        <v>0</v>
      </c>
      <c r="I58" s="2360">
        <v>0</v>
      </c>
      <c r="J58" s="2356">
        <v>0</v>
      </c>
      <c r="K58" s="2359">
        <v>0</v>
      </c>
      <c r="L58" s="345"/>
      <c r="Q58" s="238"/>
      <c r="R58" s="239"/>
    </row>
    <row r="59" spans="1:18" ht="11.25" customHeight="1">
      <c r="A59" s="1286" t="s">
        <v>1205</v>
      </c>
      <c r="B59" s="1130"/>
      <c r="C59" s="2340">
        <v>1942206.9</v>
      </c>
      <c r="D59" s="2340">
        <v>2475726.42</v>
      </c>
      <c r="E59" s="2350">
        <v>1794711.9999999998</v>
      </c>
      <c r="F59" s="2341">
        <v>2410475</v>
      </c>
      <c r="G59" s="2340">
        <v>2410475</v>
      </c>
      <c r="H59" s="2351">
        <v>2430517</v>
      </c>
      <c r="I59" s="2352">
        <v>1603002.1949999998</v>
      </c>
      <c r="J59" s="2340">
        <v>2555100</v>
      </c>
      <c r="K59" s="2351">
        <v>2708410</v>
      </c>
      <c r="L59" s="345"/>
      <c r="Q59" s="238"/>
      <c r="R59" s="239"/>
    </row>
    <row r="60" spans="1:18" ht="11.25" customHeight="1">
      <c r="A60" s="1516" t="s">
        <v>768</v>
      </c>
      <c r="B60" s="1130"/>
      <c r="C60" s="2356">
        <v>1942206.9</v>
      </c>
      <c r="D60" s="2356">
        <v>2475726.42</v>
      </c>
      <c r="E60" s="2357">
        <v>1794711.9999999998</v>
      </c>
      <c r="F60" s="2358">
        <v>2410475</v>
      </c>
      <c r="G60" s="2356">
        <v>2410475</v>
      </c>
      <c r="H60" s="2359">
        <v>2430517</v>
      </c>
      <c r="I60" s="2360">
        <v>1603002.1949999998</v>
      </c>
      <c r="J60" s="2356">
        <v>2555100</v>
      </c>
      <c r="K60" s="2359">
        <v>2708410</v>
      </c>
      <c r="L60" s="345"/>
      <c r="Q60" s="238"/>
      <c r="R60" s="239"/>
    </row>
    <row r="61" spans="1:18" ht="11.25" customHeight="1">
      <c r="A61" s="1516" t="s">
        <v>769</v>
      </c>
      <c r="B61" s="1130"/>
      <c r="C61" s="2356">
        <v>0</v>
      </c>
      <c r="D61" s="2356">
        <v>0</v>
      </c>
      <c r="E61" s="2357">
        <v>0</v>
      </c>
      <c r="F61" s="2358">
        <v>0</v>
      </c>
      <c r="G61" s="2356">
        <v>0</v>
      </c>
      <c r="H61" s="2359">
        <v>0</v>
      </c>
      <c r="I61" s="2360">
        <v>0</v>
      </c>
      <c r="J61" s="2356">
        <v>0</v>
      </c>
      <c r="K61" s="2359">
        <v>0</v>
      </c>
      <c r="L61" s="345"/>
      <c r="Q61" s="238"/>
      <c r="R61" s="239"/>
    </row>
    <row r="62" spans="1:18" ht="11.25" customHeight="1">
      <c r="A62" s="1516" t="s">
        <v>770</v>
      </c>
      <c r="B62" s="1130"/>
      <c r="C62" s="2356">
        <v>0</v>
      </c>
      <c r="D62" s="2356">
        <v>0</v>
      </c>
      <c r="E62" s="2357">
        <v>0</v>
      </c>
      <c r="F62" s="2358">
        <v>0</v>
      </c>
      <c r="G62" s="2356">
        <v>0</v>
      </c>
      <c r="H62" s="2359">
        <v>0</v>
      </c>
      <c r="I62" s="2360">
        <v>0</v>
      </c>
      <c r="J62" s="2356">
        <v>0</v>
      </c>
      <c r="K62" s="2359">
        <v>0</v>
      </c>
      <c r="L62" s="345"/>
      <c r="Q62" s="238"/>
      <c r="R62" s="239"/>
    </row>
    <row r="63" spans="1:18" ht="11.25" customHeight="1">
      <c r="A63" s="1286" t="s">
        <v>1206</v>
      </c>
      <c r="B63" s="1130"/>
      <c r="C63" s="2340">
        <v>1845796.5799999998</v>
      </c>
      <c r="D63" s="2340">
        <v>1997302.81</v>
      </c>
      <c r="E63" s="2350">
        <v>2281510.62</v>
      </c>
      <c r="F63" s="2341">
        <v>2329660</v>
      </c>
      <c r="G63" s="2340">
        <v>2329660</v>
      </c>
      <c r="H63" s="2351">
        <v>2404770</v>
      </c>
      <c r="I63" s="2352">
        <v>2592865.02</v>
      </c>
      <c r="J63" s="2340">
        <v>2722448.2710000002</v>
      </c>
      <c r="K63" s="2351">
        <v>2858610.6845500004</v>
      </c>
      <c r="L63" s="345"/>
      <c r="Q63" s="238"/>
      <c r="R63" s="239"/>
    </row>
    <row r="64" spans="1:18" ht="11.25" customHeight="1">
      <c r="A64" s="1516" t="s">
        <v>767</v>
      </c>
      <c r="B64" s="1130"/>
      <c r="C64" s="2356">
        <v>1845796.5799999998</v>
      </c>
      <c r="D64" s="2356">
        <v>1997302.81</v>
      </c>
      <c r="E64" s="2357">
        <v>2281510.62</v>
      </c>
      <c r="F64" s="2358">
        <v>2329660</v>
      </c>
      <c r="G64" s="2356">
        <v>2329660</v>
      </c>
      <c r="H64" s="2359">
        <v>2404770</v>
      </c>
      <c r="I64" s="2360">
        <v>2592865.02</v>
      </c>
      <c r="J64" s="2356">
        <v>2722448.2710000002</v>
      </c>
      <c r="K64" s="2359">
        <v>2858610.6845500004</v>
      </c>
      <c r="L64" s="345"/>
      <c r="Q64" s="238"/>
      <c r="R64" s="239"/>
    </row>
    <row r="65" spans="1:18" ht="11.25" customHeight="1">
      <c r="A65" s="1243" t="s">
        <v>297</v>
      </c>
      <c r="B65" s="1130"/>
      <c r="C65" s="2343">
        <v>0</v>
      </c>
      <c r="D65" s="2343">
        <v>0</v>
      </c>
      <c r="E65" s="2347">
        <v>0</v>
      </c>
      <c r="F65" s="2344">
        <v>0</v>
      </c>
      <c r="G65" s="2343">
        <v>0</v>
      </c>
      <c r="H65" s="2348">
        <v>0</v>
      </c>
      <c r="I65" s="2349">
        <v>0</v>
      </c>
      <c r="J65" s="2343">
        <v>0</v>
      </c>
      <c r="K65" s="2348">
        <v>0</v>
      </c>
      <c r="L65" s="345"/>
      <c r="Q65" s="238"/>
      <c r="R65" s="239"/>
    </row>
    <row r="66" spans="1:18" ht="11.25" customHeight="1">
      <c r="A66" s="1286" t="s">
        <v>95</v>
      </c>
      <c r="B66" s="1130"/>
      <c r="C66" s="2356">
        <v>0</v>
      </c>
      <c r="D66" s="2356">
        <v>0</v>
      </c>
      <c r="E66" s="2357">
        <v>0</v>
      </c>
      <c r="F66" s="2358">
        <v>0</v>
      </c>
      <c r="G66" s="2356">
        <v>0</v>
      </c>
      <c r="H66" s="2359">
        <v>0</v>
      </c>
      <c r="I66" s="2360">
        <v>0</v>
      </c>
      <c r="J66" s="2356">
        <v>0</v>
      </c>
      <c r="K66" s="2359">
        <v>0</v>
      </c>
      <c r="L66" s="345"/>
      <c r="Q66" s="238"/>
      <c r="R66" s="239"/>
    </row>
    <row r="67" spans="1:18" ht="11.25" customHeight="1">
      <c r="A67" s="1286" t="s">
        <v>1332</v>
      </c>
      <c r="B67" s="1130"/>
      <c r="C67" s="2356">
        <v>0</v>
      </c>
      <c r="D67" s="2356">
        <v>0</v>
      </c>
      <c r="E67" s="2357">
        <v>0</v>
      </c>
      <c r="F67" s="2358">
        <v>0</v>
      </c>
      <c r="G67" s="2356">
        <v>0</v>
      </c>
      <c r="H67" s="2359">
        <v>0</v>
      </c>
      <c r="I67" s="2360">
        <v>0</v>
      </c>
      <c r="J67" s="2356">
        <v>0</v>
      </c>
      <c r="K67" s="2359">
        <v>0</v>
      </c>
      <c r="L67" s="345"/>
      <c r="Q67" s="238"/>
      <c r="R67" s="239"/>
    </row>
    <row r="68" spans="1:18" ht="11.25" customHeight="1">
      <c r="A68" s="1286" t="s">
        <v>658</v>
      </c>
      <c r="B68" s="1130"/>
      <c r="C68" s="2356">
        <v>0</v>
      </c>
      <c r="D68" s="2356">
        <v>0</v>
      </c>
      <c r="E68" s="2357">
        <v>0</v>
      </c>
      <c r="F68" s="2358">
        <v>0</v>
      </c>
      <c r="G68" s="2356">
        <v>0</v>
      </c>
      <c r="H68" s="2359">
        <v>0</v>
      </c>
      <c r="I68" s="2360">
        <v>0</v>
      </c>
      <c r="J68" s="2356">
        <v>0</v>
      </c>
      <c r="K68" s="2359">
        <v>0</v>
      </c>
      <c r="L68" s="345"/>
      <c r="Q68" s="238"/>
      <c r="R68" s="239"/>
    </row>
    <row r="69" spans="1:18" ht="11.25" customHeight="1">
      <c r="A69" s="1286" t="s">
        <v>96</v>
      </c>
      <c r="B69" s="1194"/>
      <c r="C69" s="2356">
        <v>0</v>
      </c>
      <c r="D69" s="2356">
        <v>0</v>
      </c>
      <c r="E69" s="2357">
        <v>0</v>
      </c>
      <c r="F69" s="2358">
        <v>0</v>
      </c>
      <c r="G69" s="2356">
        <v>0</v>
      </c>
      <c r="H69" s="2359">
        <v>0</v>
      </c>
      <c r="I69" s="2360">
        <v>0</v>
      </c>
      <c r="J69" s="2356">
        <v>0</v>
      </c>
      <c r="K69" s="2359">
        <v>0</v>
      </c>
      <c r="L69" s="345"/>
      <c r="Q69" s="238"/>
      <c r="R69" s="239"/>
    </row>
    <row r="70" spans="1:18" ht="11.25" customHeight="1">
      <c r="A70" s="1286" t="s">
        <v>1333</v>
      </c>
      <c r="B70" s="1194"/>
      <c r="C70" s="2356">
        <v>0</v>
      </c>
      <c r="D70" s="2356">
        <v>0</v>
      </c>
      <c r="E70" s="2357">
        <v>0</v>
      </c>
      <c r="F70" s="2358">
        <v>0</v>
      </c>
      <c r="G70" s="2356">
        <v>0</v>
      </c>
      <c r="H70" s="2359">
        <v>0</v>
      </c>
      <c r="I70" s="2360">
        <v>0</v>
      </c>
      <c r="J70" s="2356">
        <v>0</v>
      </c>
      <c r="K70" s="2359">
        <v>0</v>
      </c>
      <c r="L70" s="345"/>
      <c r="Q70" s="238"/>
      <c r="R70" s="239"/>
    </row>
    <row r="71" spans="1:18" ht="11.25" customHeight="1">
      <c r="A71" s="1195" t="str">
        <f>"Total "&amp;A4</f>
        <v>Total Revenue - Standard</v>
      </c>
      <c r="B71" s="1194">
        <v>2</v>
      </c>
      <c r="C71" s="2331">
        <v>26959906.140000001</v>
      </c>
      <c r="D71" s="2331">
        <v>68347668.901141271</v>
      </c>
      <c r="E71" s="2353">
        <v>52280294.603112951</v>
      </c>
      <c r="F71" s="2332">
        <v>50085695</v>
      </c>
      <c r="G71" s="2331">
        <v>51698275</v>
      </c>
      <c r="H71" s="2354">
        <v>77198489</v>
      </c>
      <c r="I71" s="2355">
        <v>54155349.663599998</v>
      </c>
      <c r="J71" s="2331">
        <v>61283886.945175998</v>
      </c>
      <c r="K71" s="2354">
        <v>65586494.534578003</v>
      </c>
      <c r="L71" s="345"/>
      <c r="Q71" s="257"/>
      <c r="R71" s="258"/>
    </row>
    <row r="72" spans="1:18" ht="5.0999999999999996" customHeight="1">
      <c r="A72" s="1153"/>
      <c r="B72" s="1194"/>
      <c r="C72" s="2327"/>
      <c r="D72" s="2327"/>
      <c r="E72" s="2328"/>
      <c r="F72" s="2329"/>
      <c r="G72" s="2327"/>
      <c r="H72" s="2326"/>
      <c r="I72" s="2330"/>
      <c r="J72" s="2327"/>
      <c r="K72" s="2328"/>
      <c r="L72" s="345"/>
      <c r="Q72" s="231"/>
    </row>
    <row r="73" spans="1:18" ht="11.25" customHeight="1">
      <c r="A73" s="1129" t="s">
        <v>448</v>
      </c>
      <c r="B73" s="1196"/>
      <c r="C73" s="2327"/>
      <c r="D73" s="2327"/>
      <c r="E73" s="2328"/>
      <c r="F73" s="2329"/>
      <c r="G73" s="2327"/>
      <c r="H73" s="2326"/>
      <c r="I73" s="2330"/>
      <c r="J73" s="2327"/>
      <c r="K73" s="2328"/>
      <c r="L73" s="345"/>
      <c r="Q73" s="231"/>
    </row>
    <row r="74" spans="1:18" ht="11.25" customHeight="1">
      <c r="A74" s="1243" t="str">
        <f>A5</f>
        <v>Municipal governance and administration</v>
      </c>
      <c r="B74" s="1196"/>
      <c r="C74" s="2343">
        <v>6719477.5899999999</v>
      </c>
      <c r="D74" s="2343">
        <v>24466540.767982766</v>
      </c>
      <c r="E74" s="2347">
        <v>12112362.578010164</v>
      </c>
      <c r="F74" s="2344">
        <v>13803200</v>
      </c>
      <c r="G74" s="2343">
        <v>13800095</v>
      </c>
      <c r="H74" s="2348">
        <v>45083165</v>
      </c>
      <c r="I74" s="2349">
        <v>30255476.628182437</v>
      </c>
      <c r="J74" s="2343">
        <v>23120404.945912141</v>
      </c>
      <c r="K74" s="2348">
        <v>24814749.070932921</v>
      </c>
      <c r="L74" s="345"/>
      <c r="Q74" s="231"/>
    </row>
    <row r="75" spans="1:18" ht="11.25" customHeight="1">
      <c r="A75" s="1286" t="str">
        <f t="shared" ref="A75:A138" si="0">A6</f>
        <v>Executive and council</v>
      </c>
      <c r="B75" s="1196"/>
      <c r="C75" s="2338">
        <v>0</v>
      </c>
      <c r="D75" s="2338">
        <v>0</v>
      </c>
      <c r="E75" s="2345">
        <v>0</v>
      </c>
      <c r="F75" s="2339">
        <v>0</v>
      </c>
      <c r="G75" s="2338">
        <v>0</v>
      </c>
      <c r="H75" s="2342">
        <v>0</v>
      </c>
      <c r="I75" s="2346">
        <v>0</v>
      </c>
      <c r="J75" s="2338">
        <v>0</v>
      </c>
      <c r="K75" s="2342">
        <v>0</v>
      </c>
      <c r="L75" s="345"/>
      <c r="Q75" s="231"/>
    </row>
    <row r="76" spans="1:18" ht="11.25" customHeight="1">
      <c r="A76" s="1516" t="str">
        <f t="shared" si="0"/>
        <v>Mayor and Council</v>
      </c>
      <c r="B76" s="1196"/>
      <c r="C76" s="2356">
        <v>0</v>
      </c>
      <c r="D76" s="2356">
        <v>0</v>
      </c>
      <c r="E76" s="2357">
        <v>0</v>
      </c>
      <c r="F76" s="2358">
        <v>0</v>
      </c>
      <c r="G76" s="2356">
        <v>0</v>
      </c>
      <c r="H76" s="2359">
        <v>0</v>
      </c>
      <c r="I76" s="2360">
        <v>0</v>
      </c>
      <c r="J76" s="2356">
        <v>0</v>
      </c>
      <c r="K76" s="2359">
        <v>0</v>
      </c>
      <c r="L76" s="345"/>
      <c r="Q76" s="231"/>
    </row>
    <row r="77" spans="1:18" ht="11.25" customHeight="1">
      <c r="A77" s="1516" t="str">
        <f t="shared" si="0"/>
        <v>Municipal Manager</v>
      </c>
      <c r="B77" s="1196"/>
      <c r="C77" s="2356">
        <v>0</v>
      </c>
      <c r="D77" s="2356">
        <v>0</v>
      </c>
      <c r="E77" s="2357">
        <v>0</v>
      </c>
      <c r="F77" s="2358">
        <v>0</v>
      </c>
      <c r="G77" s="2356">
        <v>0</v>
      </c>
      <c r="H77" s="2359">
        <v>0</v>
      </c>
      <c r="I77" s="2360">
        <v>0</v>
      </c>
      <c r="J77" s="2356">
        <v>0</v>
      </c>
      <c r="K77" s="2359">
        <v>0</v>
      </c>
      <c r="L77" s="345"/>
      <c r="Q77" s="231"/>
    </row>
    <row r="78" spans="1:18" ht="11.25" customHeight="1">
      <c r="A78" s="1286" t="str">
        <f t="shared" si="0"/>
        <v>Budget and treasury office</v>
      </c>
      <c r="B78" s="1196"/>
      <c r="C78" s="2361">
        <v>6602594.4299999997</v>
      </c>
      <c r="D78" s="2361">
        <v>23771777.657982767</v>
      </c>
      <c r="E78" s="2362">
        <v>11856231.308010165</v>
      </c>
      <c r="F78" s="2363">
        <v>12791675</v>
      </c>
      <c r="G78" s="2361">
        <v>12708220</v>
      </c>
      <c r="H78" s="2364">
        <v>44040278</v>
      </c>
      <c r="I78" s="2365">
        <v>29266935.165549092</v>
      </c>
      <c r="J78" s="2361">
        <v>22001676.77771502</v>
      </c>
      <c r="K78" s="2364">
        <v>23638532.249280032</v>
      </c>
      <c r="L78" s="345"/>
      <c r="Q78" s="231"/>
    </row>
    <row r="79" spans="1:18" ht="11.25" customHeight="1">
      <c r="A79" s="1286" t="str">
        <f t="shared" si="0"/>
        <v>Corporate services</v>
      </c>
      <c r="B79" s="1196"/>
      <c r="C79" s="2338">
        <v>116883.15999999999</v>
      </c>
      <c r="D79" s="2338">
        <v>694763.1100000001</v>
      </c>
      <c r="E79" s="2345">
        <v>256131.27</v>
      </c>
      <c r="F79" s="2339">
        <v>1011525</v>
      </c>
      <c r="G79" s="2338">
        <v>1091875</v>
      </c>
      <c r="H79" s="2342">
        <v>1042887</v>
      </c>
      <c r="I79" s="2346">
        <v>988541.462633344</v>
      </c>
      <c r="J79" s="2338">
        <v>1118728.1681971201</v>
      </c>
      <c r="K79" s="2342">
        <v>1176216.8216528897</v>
      </c>
      <c r="L79" s="345"/>
      <c r="Q79" s="231"/>
    </row>
    <row r="80" spans="1:18" ht="11.25" customHeight="1">
      <c r="A80" s="1516" t="str">
        <f t="shared" si="0"/>
        <v>Human Resources</v>
      </c>
      <c r="B80" s="1196"/>
      <c r="C80" s="2356">
        <v>0</v>
      </c>
      <c r="D80" s="2356">
        <v>0</v>
      </c>
      <c r="E80" s="2357">
        <v>0</v>
      </c>
      <c r="F80" s="2358">
        <v>0</v>
      </c>
      <c r="G80" s="2356">
        <v>0</v>
      </c>
      <c r="H80" s="2359">
        <v>0</v>
      </c>
      <c r="I80" s="2360">
        <v>0</v>
      </c>
      <c r="J80" s="2356">
        <v>0</v>
      </c>
      <c r="K80" s="2359">
        <v>0</v>
      </c>
      <c r="L80" s="345"/>
      <c r="Q80" s="231"/>
    </row>
    <row r="81" spans="1:17" ht="11.25" customHeight="1">
      <c r="A81" s="1516" t="str">
        <f t="shared" si="0"/>
        <v>Information Technology</v>
      </c>
      <c r="B81" s="1196"/>
      <c r="C81" s="2356">
        <v>0</v>
      </c>
      <c r="D81" s="2356">
        <v>0</v>
      </c>
      <c r="E81" s="2357">
        <v>0</v>
      </c>
      <c r="F81" s="2358">
        <v>0</v>
      </c>
      <c r="G81" s="2356">
        <v>0</v>
      </c>
      <c r="H81" s="2359">
        <v>0</v>
      </c>
      <c r="I81" s="2360">
        <v>0</v>
      </c>
      <c r="J81" s="2356">
        <v>0</v>
      </c>
      <c r="K81" s="2359">
        <v>0</v>
      </c>
      <c r="L81" s="345"/>
      <c r="Q81" s="231"/>
    </row>
    <row r="82" spans="1:17" ht="11.25" customHeight="1">
      <c r="A82" s="1516" t="str">
        <f t="shared" si="0"/>
        <v>Property Services</v>
      </c>
      <c r="B82" s="1196"/>
      <c r="C82" s="2356">
        <v>116883.15999999999</v>
      </c>
      <c r="D82" s="2356">
        <v>694763.1100000001</v>
      </c>
      <c r="E82" s="2357">
        <v>256131.27</v>
      </c>
      <c r="F82" s="2358">
        <v>1011525</v>
      </c>
      <c r="G82" s="2356">
        <v>1091875</v>
      </c>
      <c r="H82" s="2359">
        <v>1042887</v>
      </c>
      <c r="I82" s="2360">
        <v>988541.462633344</v>
      </c>
      <c r="J82" s="2356">
        <v>1118728.1681971201</v>
      </c>
      <c r="K82" s="2359">
        <v>1176216.8216528897</v>
      </c>
      <c r="L82" s="345"/>
      <c r="Q82" s="231"/>
    </row>
    <row r="83" spans="1:17" ht="11.25" customHeight="1">
      <c r="A83" s="1516" t="str">
        <f t="shared" si="0"/>
        <v>Other Admin</v>
      </c>
      <c r="B83" s="1196"/>
      <c r="C83" s="2356">
        <v>0</v>
      </c>
      <c r="D83" s="2356">
        <v>0</v>
      </c>
      <c r="E83" s="2357">
        <v>0</v>
      </c>
      <c r="F83" s="2358">
        <v>0</v>
      </c>
      <c r="G83" s="2356">
        <v>0</v>
      </c>
      <c r="H83" s="2359">
        <v>0</v>
      </c>
      <c r="I83" s="2360">
        <v>0</v>
      </c>
      <c r="J83" s="2356">
        <v>0</v>
      </c>
      <c r="K83" s="2359">
        <v>0</v>
      </c>
      <c r="L83" s="345"/>
      <c r="Q83" s="231"/>
    </row>
    <row r="84" spans="1:17" ht="11.25" customHeight="1">
      <c r="A84" s="1243" t="str">
        <f t="shared" si="0"/>
        <v>Community and public safety</v>
      </c>
      <c r="B84" s="1196"/>
      <c r="C84" s="2343">
        <v>416309.33999999997</v>
      </c>
      <c r="D84" s="2343">
        <v>884722.69</v>
      </c>
      <c r="E84" s="2347">
        <v>665752.14</v>
      </c>
      <c r="F84" s="2344">
        <v>1480985</v>
      </c>
      <c r="G84" s="2343">
        <v>1306590</v>
      </c>
      <c r="H84" s="2348">
        <v>790361</v>
      </c>
      <c r="I84" s="2349">
        <v>1694922.842094752</v>
      </c>
      <c r="J84" s="2343">
        <v>1844179.5734116803</v>
      </c>
      <c r="K84" s="2348">
        <v>1932502.1392846145</v>
      </c>
      <c r="L84" s="345"/>
      <c r="Q84" s="231"/>
    </row>
    <row r="85" spans="1:17" ht="11.25" customHeight="1">
      <c r="A85" s="1286" t="str">
        <f t="shared" si="0"/>
        <v>Community and social services</v>
      </c>
      <c r="B85" s="1196"/>
      <c r="C85" s="2340">
        <v>416309.33999999997</v>
      </c>
      <c r="D85" s="2340">
        <v>884722.69</v>
      </c>
      <c r="E85" s="2350">
        <v>665752.14</v>
      </c>
      <c r="F85" s="2341">
        <v>1480985</v>
      </c>
      <c r="G85" s="2340">
        <v>1306590</v>
      </c>
      <c r="H85" s="2351">
        <v>790361</v>
      </c>
      <c r="I85" s="2352">
        <v>1694922.842094752</v>
      </c>
      <c r="J85" s="2340">
        <v>1844179.5734116803</v>
      </c>
      <c r="K85" s="2351">
        <v>1932502.1392846145</v>
      </c>
      <c r="L85" s="345"/>
      <c r="Q85" s="231"/>
    </row>
    <row r="86" spans="1:17" ht="11.25" customHeight="1">
      <c r="A86" s="1516" t="str">
        <f t="shared" si="0"/>
        <v>Libraries and Archives</v>
      </c>
      <c r="B86" s="1196"/>
      <c r="C86" s="2356">
        <v>399888.73</v>
      </c>
      <c r="D86" s="2356">
        <v>833414.22</v>
      </c>
      <c r="E86" s="2357">
        <v>638316.11</v>
      </c>
      <c r="F86" s="2358">
        <v>1274750</v>
      </c>
      <c r="G86" s="2356">
        <v>1238240</v>
      </c>
      <c r="H86" s="2359">
        <v>764648</v>
      </c>
      <c r="I86" s="2360">
        <v>1539572.842094752</v>
      </c>
      <c r="J86" s="2356">
        <v>1665829.5734116803</v>
      </c>
      <c r="K86" s="2359">
        <v>1754152.1392846145</v>
      </c>
      <c r="L86" s="345"/>
      <c r="Q86" s="231"/>
    </row>
    <row r="87" spans="1:17" ht="11.25" customHeight="1">
      <c r="A87" s="1516" t="str">
        <f t="shared" si="0"/>
        <v>Museums &amp; Art Galleries etc</v>
      </c>
      <c r="B87" s="1196"/>
      <c r="C87" s="2356">
        <v>0</v>
      </c>
      <c r="D87" s="2356">
        <v>0</v>
      </c>
      <c r="E87" s="2357">
        <v>0</v>
      </c>
      <c r="F87" s="2358">
        <v>0</v>
      </c>
      <c r="G87" s="2356">
        <v>0</v>
      </c>
      <c r="H87" s="2359">
        <v>0</v>
      </c>
      <c r="I87" s="2360">
        <v>0</v>
      </c>
      <c r="J87" s="2356">
        <v>0</v>
      </c>
      <c r="K87" s="2359">
        <v>0</v>
      </c>
      <c r="L87" s="345"/>
      <c r="Q87" s="231"/>
    </row>
    <row r="88" spans="1:17" ht="11.25" customHeight="1">
      <c r="A88" s="1516" t="str">
        <f t="shared" si="0"/>
        <v>Community halls and Facilities</v>
      </c>
      <c r="B88" s="1196"/>
      <c r="C88" s="2356">
        <v>0</v>
      </c>
      <c r="D88" s="2356">
        <v>0</v>
      </c>
      <c r="E88" s="2357">
        <v>0</v>
      </c>
      <c r="F88" s="2358">
        <v>0</v>
      </c>
      <c r="G88" s="2356">
        <v>0</v>
      </c>
      <c r="H88" s="2359">
        <v>0</v>
      </c>
      <c r="I88" s="2360">
        <v>0</v>
      </c>
      <c r="J88" s="2356">
        <v>0</v>
      </c>
      <c r="K88" s="2359">
        <v>0</v>
      </c>
      <c r="L88" s="345"/>
      <c r="Q88" s="231"/>
    </row>
    <row r="89" spans="1:17" ht="11.25" customHeight="1">
      <c r="A89" s="1516" t="str">
        <f t="shared" si="0"/>
        <v>Cemeteries &amp; Crematoriums</v>
      </c>
      <c r="B89" s="1196"/>
      <c r="C89" s="2356">
        <v>0</v>
      </c>
      <c r="D89" s="2356">
        <v>1069.0999999999999</v>
      </c>
      <c r="E89" s="2357">
        <v>0</v>
      </c>
      <c r="F89" s="2358">
        <v>120000</v>
      </c>
      <c r="G89" s="2356">
        <v>30000</v>
      </c>
      <c r="H89" s="2359">
        <v>13586</v>
      </c>
      <c r="I89" s="2360">
        <v>120000</v>
      </c>
      <c r="J89" s="2356">
        <v>120000</v>
      </c>
      <c r="K89" s="2359">
        <v>120000</v>
      </c>
      <c r="L89" s="345"/>
      <c r="Q89" s="231"/>
    </row>
    <row r="90" spans="1:17" ht="11.25" customHeight="1">
      <c r="A90" s="1516" t="str">
        <f t="shared" si="0"/>
        <v>Child Care</v>
      </c>
      <c r="B90" s="1196"/>
      <c r="C90" s="2356">
        <v>0</v>
      </c>
      <c r="D90" s="2356">
        <v>0</v>
      </c>
      <c r="E90" s="2357">
        <v>0</v>
      </c>
      <c r="F90" s="2358">
        <v>0</v>
      </c>
      <c r="G90" s="2356">
        <v>0</v>
      </c>
      <c r="H90" s="2359">
        <v>0</v>
      </c>
      <c r="I90" s="2360">
        <v>0</v>
      </c>
      <c r="J90" s="2356">
        <v>0</v>
      </c>
      <c r="K90" s="2359">
        <v>0</v>
      </c>
      <c r="L90" s="345"/>
      <c r="Q90" s="231"/>
    </row>
    <row r="91" spans="1:17" ht="11.25" customHeight="1">
      <c r="A91" s="1516" t="str">
        <f t="shared" si="0"/>
        <v>Aged Care</v>
      </c>
      <c r="B91" s="1196"/>
      <c r="C91" s="2356">
        <v>0</v>
      </c>
      <c r="D91" s="2356">
        <v>0</v>
      </c>
      <c r="E91" s="2357">
        <v>0</v>
      </c>
      <c r="F91" s="2358">
        <v>0</v>
      </c>
      <c r="G91" s="2356">
        <v>0</v>
      </c>
      <c r="H91" s="2359">
        <v>0</v>
      </c>
      <c r="I91" s="2360">
        <v>0</v>
      </c>
      <c r="J91" s="2356">
        <v>0</v>
      </c>
      <c r="K91" s="2359">
        <v>0</v>
      </c>
      <c r="L91" s="345"/>
      <c r="Q91" s="231"/>
    </row>
    <row r="92" spans="1:17" ht="11.25" customHeight="1">
      <c r="A92" s="1516" t="str">
        <f t="shared" si="0"/>
        <v>Other Community</v>
      </c>
      <c r="B92" s="1196"/>
      <c r="C92" s="2356">
        <v>16420.61</v>
      </c>
      <c r="D92" s="2356">
        <v>50239.369999999995</v>
      </c>
      <c r="E92" s="2357">
        <v>27436.03</v>
      </c>
      <c r="F92" s="2358">
        <v>86235</v>
      </c>
      <c r="G92" s="2356">
        <v>38350</v>
      </c>
      <c r="H92" s="2359">
        <v>12127</v>
      </c>
      <c r="I92" s="2360">
        <v>35350</v>
      </c>
      <c r="J92" s="2356">
        <v>58350</v>
      </c>
      <c r="K92" s="2359">
        <v>58350</v>
      </c>
      <c r="L92" s="345"/>
      <c r="Q92" s="231"/>
    </row>
    <row r="93" spans="1:17" ht="11.25" customHeight="1">
      <c r="A93" s="1516" t="str">
        <f t="shared" si="0"/>
        <v>Other Social</v>
      </c>
      <c r="B93" s="1196"/>
      <c r="C93" s="2356">
        <v>0</v>
      </c>
      <c r="D93" s="2356">
        <v>0</v>
      </c>
      <c r="E93" s="2357">
        <v>0</v>
      </c>
      <c r="F93" s="2358">
        <v>0</v>
      </c>
      <c r="G93" s="2356">
        <v>0</v>
      </c>
      <c r="H93" s="2359">
        <v>0</v>
      </c>
      <c r="I93" s="2360">
        <v>0</v>
      </c>
      <c r="J93" s="2356">
        <v>0</v>
      </c>
      <c r="K93" s="2359">
        <v>0</v>
      </c>
      <c r="L93" s="345"/>
      <c r="Q93" s="231"/>
    </row>
    <row r="94" spans="1:17" ht="11.25" customHeight="1">
      <c r="A94" s="1286" t="str">
        <f t="shared" si="0"/>
        <v>Sport and recreation</v>
      </c>
      <c r="B94" s="1196"/>
      <c r="C94" s="2356">
        <v>0</v>
      </c>
      <c r="D94" s="2356">
        <v>0</v>
      </c>
      <c r="E94" s="2357">
        <v>0</v>
      </c>
      <c r="F94" s="2358">
        <v>0</v>
      </c>
      <c r="G94" s="2356">
        <v>0</v>
      </c>
      <c r="H94" s="2359">
        <v>0</v>
      </c>
      <c r="I94" s="2360">
        <v>0</v>
      </c>
      <c r="J94" s="2356">
        <v>0</v>
      </c>
      <c r="K94" s="2359">
        <v>0</v>
      </c>
      <c r="L94" s="345"/>
      <c r="Q94" s="231"/>
    </row>
    <row r="95" spans="1:17" ht="11.25" customHeight="1">
      <c r="A95" s="1286" t="str">
        <f t="shared" si="0"/>
        <v>Public safety</v>
      </c>
      <c r="B95" s="1196"/>
      <c r="C95" s="2340">
        <v>0</v>
      </c>
      <c r="D95" s="2340">
        <v>0</v>
      </c>
      <c r="E95" s="2350">
        <v>0</v>
      </c>
      <c r="F95" s="2341">
        <v>0</v>
      </c>
      <c r="G95" s="2340">
        <v>0</v>
      </c>
      <c r="H95" s="2351">
        <v>0</v>
      </c>
      <c r="I95" s="2352">
        <v>0</v>
      </c>
      <c r="J95" s="2340">
        <v>0</v>
      </c>
      <c r="K95" s="2351">
        <v>0</v>
      </c>
      <c r="L95" s="345"/>
      <c r="Q95" s="231"/>
    </row>
    <row r="96" spans="1:17" ht="11.25" customHeight="1">
      <c r="A96" s="1516" t="str">
        <f t="shared" si="0"/>
        <v>Police</v>
      </c>
      <c r="B96" s="1196"/>
      <c r="C96" s="2356">
        <v>0</v>
      </c>
      <c r="D96" s="2356">
        <v>0</v>
      </c>
      <c r="E96" s="2357">
        <v>0</v>
      </c>
      <c r="F96" s="2358">
        <v>0</v>
      </c>
      <c r="G96" s="2356">
        <v>0</v>
      </c>
      <c r="H96" s="2359">
        <v>0</v>
      </c>
      <c r="I96" s="2360">
        <v>0</v>
      </c>
      <c r="J96" s="2356">
        <v>0</v>
      </c>
      <c r="K96" s="2359">
        <v>0</v>
      </c>
      <c r="L96" s="345"/>
      <c r="Q96" s="231"/>
    </row>
    <row r="97" spans="1:17" ht="11.25" customHeight="1">
      <c r="A97" s="1516" t="str">
        <f t="shared" si="0"/>
        <v>Fire</v>
      </c>
      <c r="B97" s="1196"/>
      <c r="C97" s="2356">
        <v>0</v>
      </c>
      <c r="D97" s="2356">
        <v>0</v>
      </c>
      <c r="E97" s="2357">
        <v>0</v>
      </c>
      <c r="F97" s="2358">
        <v>0</v>
      </c>
      <c r="G97" s="2356">
        <v>0</v>
      </c>
      <c r="H97" s="2359">
        <v>0</v>
      </c>
      <c r="I97" s="2360">
        <v>0</v>
      </c>
      <c r="J97" s="2356">
        <v>0</v>
      </c>
      <c r="K97" s="2359">
        <v>0</v>
      </c>
      <c r="L97" s="345"/>
      <c r="Q97" s="231"/>
    </row>
    <row r="98" spans="1:17" ht="11.25" customHeight="1">
      <c r="A98" s="1516" t="str">
        <f t="shared" si="0"/>
        <v>Civil Defence</v>
      </c>
      <c r="B98" s="1196"/>
      <c r="C98" s="2356">
        <v>0</v>
      </c>
      <c r="D98" s="2356">
        <v>0</v>
      </c>
      <c r="E98" s="2357">
        <v>0</v>
      </c>
      <c r="F98" s="2358">
        <v>0</v>
      </c>
      <c r="G98" s="2356">
        <v>0</v>
      </c>
      <c r="H98" s="2359">
        <v>0</v>
      </c>
      <c r="I98" s="2360">
        <v>0</v>
      </c>
      <c r="J98" s="2356">
        <v>0</v>
      </c>
      <c r="K98" s="2359">
        <v>0</v>
      </c>
      <c r="L98" s="345"/>
      <c r="Q98" s="231"/>
    </row>
    <row r="99" spans="1:17" ht="11.25" customHeight="1">
      <c r="A99" s="1516" t="str">
        <f t="shared" si="0"/>
        <v>Street Lighting</v>
      </c>
      <c r="B99" s="1196"/>
      <c r="C99" s="2356">
        <v>0</v>
      </c>
      <c r="D99" s="2356">
        <v>0</v>
      </c>
      <c r="E99" s="2357">
        <v>0</v>
      </c>
      <c r="F99" s="2358">
        <v>0</v>
      </c>
      <c r="G99" s="2356">
        <v>0</v>
      </c>
      <c r="H99" s="2359">
        <v>0</v>
      </c>
      <c r="I99" s="2360">
        <v>0</v>
      </c>
      <c r="J99" s="2356">
        <v>0</v>
      </c>
      <c r="K99" s="2359">
        <v>0</v>
      </c>
      <c r="L99" s="345"/>
      <c r="Q99" s="231"/>
    </row>
    <row r="100" spans="1:17" ht="11.25" customHeight="1">
      <c r="A100" s="1516" t="str">
        <f t="shared" si="0"/>
        <v>Other</v>
      </c>
      <c r="B100" s="1196"/>
      <c r="C100" s="2356">
        <v>0</v>
      </c>
      <c r="D100" s="2356">
        <v>0</v>
      </c>
      <c r="E100" s="2357">
        <v>0</v>
      </c>
      <c r="F100" s="2358">
        <v>0</v>
      </c>
      <c r="G100" s="2356">
        <v>0</v>
      </c>
      <c r="H100" s="2359">
        <v>0</v>
      </c>
      <c r="I100" s="2360">
        <v>0</v>
      </c>
      <c r="J100" s="2356">
        <v>0</v>
      </c>
      <c r="K100" s="2359">
        <v>0</v>
      </c>
      <c r="L100" s="345"/>
      <c r="Q100" s="231"/>
    </row>
    <row r="101" spans="1:17" ht="11.25" customHeight="1">
      <c r="A101" s="1286" t="str">
        <f t="shared" si="0"/>
        <v>Housing</v>
      </c>
      <c r="B101" s="1196"/>
      <c r="C101" s="2366">
        <v>0</v>
      </c>
      <c r="D101" s="2366">
        <v>0</v>
      </c>
      <c r="E101" s="2367">
        <v>0</v>
      </c>
      <c r="F101" s="2368">
        <v>0</v>
      </c>
      <c r="G101" s="2366">
        <v>0</v>
      </c>
      <c r="H101" s="2369">
        <v>0</v>
      </c>
      <c r="I101" s="2370">
        <v>0</v>
      </c>
      <c r="J101" s="2366">
        <v>0</v>
      </c>
      <c r="K101" s="2369">
        <v>0</v>
      </c>
      <c r="L101" s="345"/>
      <c r="Q101" s="231"/>
    </row>
    <row r="102" spans="1:17" ht="11.25" customHeight="1">
      <c r="A102" s="1286" t="str">
        <f t="shared" si="0"/>
        <v>Health</v>
      </c>
      <c r="B102" s="1196"/>
      <c r="C102" s="2340">
        <v>0</v>
      </c>
      <c r="D102" s="2340">
        <v>0</v>
      </c>
      <c r="E102" s="2350">
        <v>0</v>
      </c>
      <c r="F102" s="2341">
        <v>0</v>
      </c>
      <c r="G102" s="2340">
        <v>0</v>
      </c>
      <c r="H102" s="2351">
        <v>0</v>
      </c>
      <c r="I102" s="2352">
        <v>0</v>
      </c>
      <c r="J102" s="2340">
        <v>0</v>
      </c>
      <c r="K102" s="2351">
        <v>0</v>
      </c>
      <c r="L102" s="345"/>
      <c r="Q102" s="231"/>
    </row>
    <row r="103" spans="1:17" ht="11.25" customHeight="1">
      <c r="A103" s="1516" t="str">
        <f t="shared" si="0"/>
        <v>Clinics</v>
      </c>
      <c r="B103" s="1196"/>
      <c r="C103" s="2356">
        <v>0</v>
      </c>
      <c r="D103" s="2356">
        <v>0</v>
      </c>
      <c r="E103" s="2357">
        <v>0</v>
      </c>
      <c r="F103" s="2358">
        <v>0</v>
      </c>
      <c r="G103" s="2356">
        <v>0</v>
      </c>
      <c r="H103" s="2359">
        <v>0</v>
      </c>
      <c r="I103" s="2360">
        <v>0</v>
      </c>
      <c r="J103" s="2356">
        <v>0</v>
      </c>
      <c r="K103" s="2359">
        <v>0</v>
      </c>
      <c r="L103" s="345"/>
      <c r="Q103" s="231"/>
    </row>
    <row r="104" spans="1:17" ht="11.25" customHeight="1">
      <c r="A104" s="1516" t="str">
        <f t="shared" si="0"/>
        <v>Ambulance</v>
      </c>
      <c r="B104" s="1196"/>
      <c r="C104" s="2356">
        <v>0</v>
      </c>
      <c r="D104" s="2356">
        <v>0</v>
      </c>
      <c r="E104" s="2357">
        <v>0</v>
      </c>
      <c r="F104" s="2358">
        <v>0</v>
      </c>
      <c r="G104" s="2356">
        <v>0</v>
      </c>
      <c r="H104" s="2359">
        <v>0</v>
      </c>
      <c r="I104" s="2360">
        <v>0</v>
      </c>
      <c r="J104" s="2356">
        <v>0</v>
      </c>
      <c r="K104" s="2359">
        <v>0</v>
      </c>
      <c r="L104" s="345"/>
      <c r="Q104" s="231"/>
    </row>
    <row r="105" spans="1:17" ht="11.25" customHeight="1">
      <c r="A105" s="1516" t="str">
        <f t="shared" si="0"/>
        <v xml:space="preserve">Other   </v>
      </c>
      <c r="B105" s="1196"/>
      <c r="C105" s="2356">
        <v>0</v>
      </c>
      <c r="D105" s="2356">
        <v>0</v>
      </c>
      <c r="E105" s="2357">
        <v>0</v>
      </c>
      <c r="F105" s="2358">
        <v>0</v>
      </c>
      <c r="G105" s="2356">
        <v>0</v>
      </c>
      <c r="H105" s="2359">
        <v>0</v>
      </c>
      <c r="I105" s="2360">
        <v>0</v>
      </c>
      <c r="J105" s="2356">
        <v>0</v>
      </c>
      <c r="K105" s="2359">
        <v>0</v>
      </c>
      <c r="L105" s="345"/>
      <c r="Q105" s="231"/>
    </row>
    <row r="106" spans="1:17" ht="11.25" customHeight="1">
      <c r="A106" s="1243" t="str">
        <f t="shared" si="0"/>
        <v>Economic and environmental services</v>
      </c>
      <c r="B106" s="1196"/>
      <c r="C106" s="2343">
        <v>675076.23999999987</v>
      </c>
      <c r="D106" s="2343">
        <v>1012311.04</v>
      </c>
      <c r="E106" s="2347">
        <v>1492667.01</v>
      </c>
      <c r="F106" s="2344">
        <v>1869020</v>
      </c>
      <c r="G106" s="2343">
        <v>2337400</v>
      </c>
      <c r="H106" s="2348">
        <v>2655357</v>
      </c>
      <c r="I106" s="2349">
        <v>3434737.004825728</v>
      </c>
      <c r="J106" s="2343">
        <v>3706664.4857391464</v>
      </c>
      <c r="K106" s="2348">
        <v>3901050.9705955391</v>
      </c>
      <c r="L106" s="345"/>
      <c r="Q106" s="231"/>
    </row>
    <row r="107" spans="1:17" ht="11.25" customHeight="1">
      <c r="A107" s="1286" t="str">
        <f t="shared" si="0"/>
        <v>Planning and development</v>
      </c>
      <c r="B107" s="1196"/>
      <c r="C107" s="2340">
        <v>0</v>
      </c>
      <c r="D107" s="2340">
        <v>0</v>
      </c>
      <c r="E107" s="2350">
        <v>0</v>
      </c>
      <c r="F107" s="2341">
        <v>0</v>
      </c>
      <c r="G107" s="2340">
        <v>0</v>
      </c>
      <c r="H107" s="2351">
        <v>0</v>
      </c>
      <c r="I107" s="2352">
        <v>0</v>
      </c>
      <c r="J107" s="2340">
        <v>0</v>
      </c>
      <c r="K107" s="2351">
        <v>0</v>
      </c>
      <c r="L107" s="345"/>
      <c r="Q107" s="231"/>
    </row>
    <row r="108" spans="1:17" ht="11.25" customHeight="1">
      <c r="A108" s="1516" t="str">
        <f t="shared" si="0"/>
        <v xml:space="preserve">Economic Development/Planning </v>
      </c>
      <c r="B108" s="1196"/>
      <c r="C108" s="2356">
        <v>0</v>
      </c>
      <c r="D108" s="2356">
        <v>0</v>
      </c>
      <c r="E108" s="2357">
        <v>0</v>
      </c>
      <c r="F108" s="2358">
        <v>0</v>
      </c>
      <c r="G108" s="2356">
        <v>0</v>
      </c>
      <c r="H108" s="2359">
        <v>0</v>
      </c>
      <c r="I108" s="2360">
        <v>0</v>
      </c>
      <c r="J108" s="2356">
        <v>0</v>
      </c>
      <c r="K108" s="2359">
        <v>0</v>
      </c>
      <c r="L108" s="345"/>
      <c r="Q108" s="231"/>
    </row>
    <row r="109" spans="1:17" ht="11.25" customHeight="1">
      <c r="A109" s="1516" t="str">
        <f t="shared" si="0"/>
        <v xml:space="preserve">Town Planning/Building enforcement </v>
      </c>
      <c r="B109" s="1196"/>
      <c r="C109" s="2356">
        <v>0</v>
      </c>
      <c r="D109" s="2356">
        <v>0</v>
      </c>
      <c r="E109" s="2357">
        <v>0</v>
      </c>
      <c r="F109" s="2358">
        <v>0</v>
      </c>
      <c r="G109" s="2356">
        <v>0</v>
      </c>
      <c r="H109" s="2359">
        <v>0</v>
      </c>
      <c r="I109" s="2360">
        <v>0</v>
      </c>
      <c r="J109" s="2356">
        <v>0</v>
      </c>
      <c r="K109" s="2359">
        <v>0</v>
      </c>
      <c r="L109" s="345"/>
      <c r="Q109" s="231"/>
    </row>
    <row r="110" spans="1:17" ht="11.25" customHeight="1">
      <c r="A110" s="1516" t="str">
        <f t="shared" si="0"/>
        <v>Licensing &amp; Regulation</v>
      </c>
      <c r="B110" s="1196"/>
      <c r="C110" s="2356">
        <v>0</v>
      </c>
      <c r="D110" s="2356">
        <v>0</v>
      </c>
      <c r="E110" s="2357">
        <v>0</v>
      </c>
      <c r="F110" s="2358">
        <v>0</v>
      </c>
      <c r="G110" s="2356">
        <v>0</v>
      </c>
      <c r="H110" s="2359">
        <v>0</v>
      </c>
      <c r="I110" s="2360">
        <v>0</v>
      </c>
      <c r="J110" s="2356">
        <v>0</v>
      </c>
      <c r="K110" s="2359">
        <v>0</v>
      </c>
      <c r="L110" s="345"/>
      <c r="Q110" s="231"/>
    </row>
    <row r="111" spans="1:17" ht="11.25" customHeight="1">
      <c r="A111" s="1286" t="str">
        <f t="shared" si="0"/>
        <v>Road transport</v>
      </c>
      <c r="B111" s="1196"/>
      <c r="C111" s="2340">
        <v>675076.23999999987</v>
      </c>
      <c r="D111" s="2340">
        <v>1012311.04</v>
      </c>
      <c r="E111" s="2350">
        <v>1492667.01</v>
      </c>
      <c r="F111" s="2341">
        <v>1869020</v>
      </c>
      <c r="G111" s="2340">
        <v>2337400</v>
      </c>
      <c r="H111" s="2351">
        <v>2655357</v>
      </c>
      <c r="I111" s="2352">
        <v>3434737.004825728</v>
      </c>
      <c r="J111" s="2340">
        <v>3706664.4857391464</v>
      </c>
      <c r="K111" s="2351">
        <v>3901050.9705955391</v>
      </c>
      <c r="L111" s="345"/>
      <c r="Q111" s="231"/>
    </row>
    <row r="112" spans="1:17" ht="11.25" customHeight="1">
      <c r="A112" s="1516" t="str">
        <f t="shared" si="0"/>
        <v>Roads</v>
      </c>
      <c r="B112" s="1196"/>
      <c r="C112" s="2356">
        <v>0</v>
      </c>
      <c r="D112" s="2356">
        <v>0</v>
      </c>
      <c r="E112" s="2357">
        <v>0</v>
      </c>
      <c r="F112" s="2358">
        <v>0</v>
      </c>
      <c r="G112" s="2356">
        <v>0</v>
      </c>
      <c r="H112" s="2359">
        <v>0</v>
      </c>
      <c r="I112" s="2360">
        <v>0</v>
      </c>
      <c r="J112" s="2356">
        <v>0</v>
      </c>
      <c r="K112" s="2359">
        <v>0</v>
      </c>
      <c r="L112" s="345"/>
      <c r="Q112" s="231"/>
    </row>
    <row r="113" spans="1:17" ht="11.25" customHeight="1">
      <c r="A113" s="1516" t="str">
        <f t="shared" si="0"/>
        <v>Public Buses</v>
      </c>
      <c r="B113" s="1196"/>
      <c r="C113" s="2356">
        <v>0</v>
      </c>
      <c r="D113" s="2356">
        <v>0</v>
      </c>
      <c r="E113" s="2357">
        <v>0</v>
      </c>
      <c r="F113" s="2358">
        <v>0</v>
      </c>
      <c r="G113" s="2356">
        <v>0</v>
      </c>
      <c r="H113" s="2359">
        <v>0</v>
      </c>
      <c r="I113" s="2360">
        <v>0</v>
      </c>
      <c r="J113" s="2356">
        <v>0</v>
      </c>
      <c r="K113" s="2359">
        <v>0</v>
      </c>
      <c r="L113" s="345"/>
      <c r="Q113" s="231"/>
    </row>
    <row r="114" spans="1:17" ht="11.25" customHeight="1">
      <c r="A114" s="1516" t="str">
        <f t="shared" si="0"/>
        <v>Parking Garages</v>
      </c>
      <c r="B114" s="1196"/>
      <c r="C114" s="2356">
        <v>0</v>
      </c>
      <c r="D114" s="2356">
        <v>0</v>
      </c>
      <c r="E114" s="2357">
        <v>0</v>
      </c>
      <c r="F114" s="2358">
        <v>0</v>
      </c>
      <c r="G114" s="2356">
        <v>0</v>
      </c>
      <c r="H114" s="2359">
        <v>0</v>
      </c>
      <c r="I114" s="2360">
        <v>0</v>
      </c>
      <c r="J114" s="2356">
        <v>0</v>
      </c>
      <c r="K114" s="2359">
        <v>0</v>
      </c>
      <c r="L114" s="345"/>
      <c r="Q114" s="231"/>
    </row>
    <row r="115" spans="1:17" ht="11.25" customHeight="1">
      <c r="A115" s="1516" t="str">
        <f t="shared" si="0"/>
        <v>Vehicle Licensing and Testing</v>
      </c>
      <c r="B115" s="1196"/>
      <c r="C115" s="2356">
        <v>675076.23999999987</v>
      </c>
      <c r="D115" s="2356">
        <v>1012311.04</v>
      </c>
      <c r="E115" s="2357">
        <v>1492667.01</v>
      </c>
      <c r="F115" s="2358">
        <v>1869020</v>
      </c>
      <c r="G115" s="2356">
        <v>2337400</v>
      </c>
      <c r="H115" s="2359">
        <v>2655357</v>
      </c>
      <c r="I115" s="2360">
        <v>3434737.004825728</v>
      </c>
      <c r="J115" s="2356">
        <v>3706664.4857391464</v>
      </c>
      <c r="K115" s="2359">
        <v>3901050.9705955391</v>
      </c>
      <c r="L115" s="345"/>
      <c r="Q115" s="231"/>
    </row>
    <row r="116" spans="1:17" ht="11.25" customHeight="1">
      <c r="A116" s="1516" t="str">
        <f t="shared" si="0"/>
        <v>Other road transport</v>
      </c>
      <c r="B116" s="1196"/>
      <c r="C116" s="2356">
        <v>0</v>
      </c>
      <c r="D116" s="2356">
        <v>0</v>
      </c>
      <c r="E116" s="2357">
        <v>0</v>
      </c>
      <c r="F116" s="2358">
        <v>0</v>
      </c>
      <c r="G116" s="2356">
        <v>0</v>
      </c>
      <c r="H116" s="2359">
        <v>0</v>
      </c>
      <c r="I116" s="2360">
        <v>0</v>
      </c>
      <c r="J116" s="2356">
        <v>0</v>
      </c>
      <c r="K116" s="2359">
        <v>0</v>
      </c>
      <c r="L116" s="345"/>
      <c r="Q116" s="231"/>
    </row>
    <row r="117" spans="1:17" ht="11.25" customHeight="1">
      <c r="A117" s="1286" t="str">
        <f t="shared" si="0"/>
        <v>Environmental protection</v>
      </c>
      <c r="B117" s="1196"/>
      <c r="C117" s="2340">
        <v>0</v>
      </c>
      <c r="D117" s="2340">
        <v>0</v>
      </c>
      <c r="E117" s="2350">
        <v>0</v>
      </c>
      <c r="F117" s="2341">
        <v>0</v>
      </c>
      <c r="G117" s="2340">
        <v>0</v>
      </c>
      <c r="H117" s="2351">
        <v>0</v>
      </c>
      <c r="I117" s="2352">
        <v>0</v>
      </c>
      <c r="J117" s="2340">
        <v>0</v>
      </c>
      <c r="K117" s="2351">
        <v>0</v>
      </c>
      <c r="L117" s="345"/>
      <c r="Q117" s="231"/>
    </row>
    <row r="118" spans="1:17" ht="11.25" customHeight="1">
      <c r="A118" s="1516" t="str">
        <f t="shared" si="0"/>
        <v>Pollution Control</v>
      </c>
      <c r="B118" s="1196"/>
      <c r="C118" s="2356">
        <v>0</v>
      </c>
      <c r="D118" s="2356">
        <v>0</v>
      </c>
      <c r="E118" s="2357">
        <v>0</v>
      </c>
      <c r="F118" s="2358">
        <v>0</v>
      </c>
      <c r="G118" s="2356">
        <v>0</v>
      </c>
      <c r="H118" s="2359">
        <v>0</v>
      </c>
      <c r="I118" s="2360">
        <v>0</v>
      </c>
      <c r="J118" s="2356">
        <v>0</v>
      </c>
      <c r="K118" s="2359">
        <v>0</v>
      </c>
      <c r="L118" s="345"/>
      <c r="Q118" s="231"/>
    </row>
    <row r="119" spans="1:17" ht="11.25" customHeight="1">
      <c r="A119" s="1516" t="str">
        <f t="shared" si="0"/>
        <v>Biodiversity &amp; Landscape</v>
      </c>
      <c r="B119" s="1196"/>
      <c r="C119" s="2356">
        <v>0</v>
      </c>
      <c r="D119" s="2356">
        <v>0</v>
      </c>
      <c r="E119" s="2357">
        <v>0</v>
      </c>
      <c r="F119" s="2358">
        <v>0</v>
      </c>
      <c r="G119" s="2356">
        <v>0</v>
      </c>
      <c r="H119" s="2359">
        <v>0</v>
      </c>
      <c r="I119" s="2360">
        <v>0</v>
      </c>
      <c r="J119" s="2356">
        <v>0</v>
      </c>
      <c r="K119" s="2359">
        <v>0</v>
      </c>
      <c r="L119" s="345"/>
      <c r="Q119" s="231"/>
    </row>
    <row r="120" spans="1:17" ht="11.25" customHeight="1">
      <c r="A120" s="1516" t="str">
        <f t="shared" si="0"/>
        <v>Other</v>
      </c>
      <c r="B120" s="1196"/>
      <c r="C120" s="2356">
        <v>0</v>
      </c>
      <c r="D120" s="2356">
        <v>0</v>
      </c>
      <c r="E120" s="2357">
        <v>0</v>
      </c>
      <c r="F120" s="2358">
        <v>0</v>
      </c>
      <c r="G120" s="2356">
        <v>0</v>
      </c>
      <c r="H120" s="2359">
        <v>0</v>
      </c>
      <c r="I120" s="2360">
        <v>0</v>
      </c>
      <c r="J120" s="2356">
        <v>0</v>
      </c>
      <c r="K120" s="2359">
        <v>0</v>
      </c>
      <c r="L120" s="345"/>
      <c r="Q120" s="231"/>
    </row>
    <row r="121" spans="1:17" ht="11.25" customHeight="1">
      <c r="A121" s="1243" t="str">
        <f t="shared" si="0"/>
        <v>Trading services</v>
      </c>
      <c r="B121" s="1196"/>
      <c r="C121" s="2343">
        <v>0</v>
      </c>
      <c r="D121" s="2343">
        <v>0</v>
      </c>
      <c r="E121" s="2347">
        <v>0</v>
      </c>
      <c r="F121" s="2344">
        <v>0</v>
      </c>
      <c r="G121" s="2343">
        <v>0</v>
      </c>
      <c r="H121" s="2348">
        <v>0</v>
      </c>
      <c r="I121" s="2349">
        <v>0</v>
      </c>
      <c r="J121" s="2343">
        <v>0</v>
      </c>
      <c r="K121" s="2348">
        <v>0</v>
      </c>
      <c r="L121" s="345"/>
      <c r="Q121" s="231"/>
    </row>
    <row r="122" spans="1:17" ht="11.25" customHeight="1">
      <c r="A122" s="1286" t="str">
        <f t="shared" si="0"/>
        <v>Electricity</v>
      </c>
      <c r="B122" s="1196"/>
      <c r="C122" s="2340">
        <v>0</v>
      </c>
      <c r="D122" s="2340">
        <v>0</v>
      </c>
      <c r="E122" s="2350">
        <v>0</v>
      </c>
      <c r="F122" s="2341">
        <v>0</v>
      </c>
      <c r="G122" s="2340">
        <v>0</v>
      </c>
      <c r="H122" s="2351">
        <v>0</v>
      </c>
      <c r="I122" s="2352">
        <v>0</v>
      </c>
      <c r="J122" s="2340">
        <v>0</v>
      </c>
      <c r="K122" s="2351">
        <v>0</v>
      </c>
      <c r="L122" s="345"/>
      <c r="Q122" s="231"/>
    </row>
    <row r="123" spans="1:17" ht="11.25" customHeight="1">
      <c r="A123" s="1516" t="str">
        <f t="shared" si="0"/>
        <v>Electricity Distribution</v>
      </c>
      <c r="B123" s="1196"/>
      <c r="C123" s="2356">
        <v>0</v>
      </c>
      <c r="D123" s="2356">
        <v>0</v>
      </c>
      <c r="E123" s="2357">
        <v>0</v>
      </c>
      <c r="F123" s="2358">
        <v>0</v>
      </c>
      <c r="G123" s="2356">
        <v>0</v>
      </c>
      <c r="H123" s="2359">
        <v>0</v>
      </c>
      <c r="I123" s="2360">
        <v>0</v>
      </c>
      <c r="J123" s="2356">
        <v>0</v>
      </c>
      <c r="K123" s="2359">
        <v>0</v>
      </c>
      <c r="L123" s="345"/>
      <c r="Q123" s="231"/>
    </row>
    <row r="124" spans="1:17" ht="11.25" customHeight="1">
      <c r="A124" s="1516" t="str">
        <f t="shared" si="0"/>
        <v>Electricity Generation</v>
      </c>
      <c r="B124" s="1196"/>
      <c r="C124" s="2356">
        <v>0</v>
      </c>
      <c r="D124" s="2356">
        <v>0</v>
      </c>
      <c r="E124" s="2357">
        <v>0</v>
      </c>
      <c r="F124" s="2358">
        <v>0</v>
      </c>
      <c r="G124" s="2356">
        <v>0</v>
      </c>
      <c r="H124" s="2359">
        <v>0</v>
      </c>
      <c r="I124" s="2360">
        <v>0</v>
      </c>
      <c r="J124" s="2356">
        <v>0</v>
      </c>
      <c r="K124" s="2359">
        <v>0</v>
      </c>
      <c r="L124" s="345"/>
      <c r="Q124" s="231"/>
    </row>
    <row r="125" spans="1:17" ht="11.25" customHeight="1">
      <c r="A125" s="1286" t="str">
        <f t="shared" si="0"/>
        <v>Water</v>
      </c>
      <c r="B125" s="1196"/>
      <c r="C125" s="2340">
        <v>0</v>
      </c>
      <c r="D125" s="2340">
        <v>0</v>
      </c>
      <c r="E125" s="2350">
        <v>0</v>
      </c>
      <c r="F125" s="2341">
        <v>0</v>
      </c>
      <c r="G125" s="2340">
        <v>0</v>
      </c>
      <c r="H125" s="2351">
        <v>0</v>
      </c>
      <c r="I125" s="2352">
        <v>0</v>
      </c>
      <c r="J125" s="2340">
        <v>0</v>
      </c>
      <c r="K125" s="2351">
        <v>0</v>
      </c>
      <c r="L125" s="345"/>
      <c r="Q125" s="231"/>
    </row>
    <row r="126" spans="1:17" ht="11.25" customHeight="1">
      <c r="A126" s="1516" t="str">
        <f t="shared" si="0"/>
        <v>Water Distribution</v>
      </c>
      <c r="B126" s="1196"/>
      <c r="C126" s="2356">
        <v>0</v>
      </c>
      <c r="D126" s="2356">
        <v>0</v>
      </c>
      <c r="E126" s="2357">
        <v>0</v>
      </c>
      <c r="F126" s="2358">
        <v>0</v>
      </c>
      <c r="G126" s="2356">
        <v>0</v>
      </c>
      <c r="H126" s="2359">
        <v>0</v>
      </c>
      <c r="I126" s="2360">
        <v>0</v>
      </c>
      <c r="J126" s="2356">
        <v>0</v>
      </c>
      <c r="K126" s="2359">
        <v>0</v>
      </c>
      <c r="L126" s="345"/>
      <c r="Q126" s="231"/>
    </row>
    <row r="127" spans="1:17" ht="11.25" customHeight="1">
      <c r="A127" s="1516" t="str">
        <f t="shared" si="0"/>
        <v>Water Storage</v>
      </c>
      <c r="B127" s="1196"/>
      <c r="C127" s="2356">
        <v>0</v>
      </c>
      <c r="D127" s="2356">
        <v>0</v>
      </c>
      <c r="E127" s="2357">
        <v>0</v>
      </c>
      <c r="F127" s="2358">
        <v>0</v>
      </c>
      <c r="G127" s="2356">
        <v>0</v>
      </c>
      <c r="H127" s="2359">
        <v>0</v>
      </c>
      <c r="I127" s="2360">
        <v>0</v>
      </c>
      <c r="J127" s="2356">
        <v>0</v>
      </c>
      <c r="K127" s="2359">
        <v>0</v>
      </c>
      <c r="L127" s="345"/>
      <c r="Q127" s="231"/>
    </row>
    <row r="128" spans="1:17" ht="11.25" customHeight="1">
      <c r="A128" s="1286" t="str">
        <f t="shared" si="0"/>
        <v>Waste water management</v>
      </c>
      <c r="B128" s="1196"/>
      <c r="C128" s="2340">
        <v>0</v>
      </c>
      <c r="D128" s="2340">
        <v>0</v>
      </c>
      <c r="E128" s="2350">
        <v>0</v>
      </c>
      <c r="F128" s="2341">
        <v>0</v>
      </c>
      <c r="G128" s="2340">
        <v>0</v>
      </c>
      <c r="H128" s="2351">
        <v>0</v>
      </c>
      <c r="I128" s="2352">
        <v>0</v>
      </c>
      <c r="J128" s="2340">
        <v>0</v>
      </c>
      <c r="K128" s="2351">
        <v>0</v>
      </c>
      <c r="L128" s="345"/>
      <c r="Q128" s="231"/>
    </row>
    <row r="129" spans="1:17" ht="11.25" customHeight="1">
      <c r="A129" s="1516" t="str">
        <f t="shared" si="0"/>
        <v>Sewerage</v>
      </c>
      <c r="B129" s="1196"/>
      <c r="C129" s="2356">
        <v>0</v>
      </c>
      <c r="D129" s="2356">
        <v>0</v>
      </c>
      <c r="E129" s="2357">
        <v>0</v>
      </c>
      <c r="F129" s="2358">
        <v>0</v>
      </c>
      <c r="G129" s="2356">
        <v>0</v>
      </c>
      <c r="H129" s="2359">
        <v>0</v>
      </c>
      <c r="I129" s="2360">
        <v>0</v>
      </c>
      <c r="J129" s="2356">
        <v>0</v>
      </c>
      <c r="K129" s="2359">
        <v>0</v>
      </c>
      <c r="L129" s="345"/>
      <c r="Q129" s="231"/>
    </row>
    <row r="130" spans="1:17" ht="11.25" customHeight="1">
      <c r="A130" s="1516" t="str">
        <f t="shared" si="0"/>
        <v>Storm Water Management</v>
      </c>
      <c r="B130" s="1196"/>
      <c r="C130" s="2356">
        <v>0</v>
      </c>
      <c r="D130" s="2356">
        <v>0</v>
      </c>
      <c r="E130" s="2357">
        <v>0</v>
      </c>
      <c r="F130" s="2358">
        <v>0</v>
      </c>
      <c r="G130" s="2356">
        <v>0</v>
      </c>
      <c r="H130" s="2359">
        <v>0</v>
      </c>
      <c r="I130" s="2360">
        <v>0</v>
      </c>
      <c r="J130" s="2356">
        <v>0</v>
      </c>
      <c r="K130" s="2359">
        <v>0</v>
      </c>
      <c r="L130" s="345"/>
      <c r="Q130" s="231"/>
    </row>
    <row r="131" spans="1:17" ht="11.25" customHeight="1">
      <c r="A131" s="1516" t="str">
        <f t="shared" si="0"/>
        <v>Public Toilets</v>
      </c>
      <c r="B131" s="1196"/>
      <c r="C131" s="2356">
        <v>0</v>
      </c>
      <c r="D131" s="2356">
        <v>0</v>
      </c>
      <c r="E131" s="2357">
        <v>0</v>
      </c>
      <c r="F131" s="2358">
        <v>0</v>
      </c>
      <c r="G131" s="2356">
        <v>0</v>
      </c>
      <c r="H131" s="2359">
        <v>0</v>
      </c>
      <c r="I131" s="2360">
        <v>0</v>
      </c>
      <c r="J131" s="2356">
        <v>0</v>
      </c>
      <c r="K131" s="2359">
        <v>0</v>
      </c>
      <c r="L131" s="345"/>
      <c r="Q131" s="231"/>
    </row>
    <row r="132" spans="1:17" ht="11.25" customHeight="1">
      <c r="A132" s="1286" t="str">
        <f t="shared" si="0"/>
        <v>Waste management</v>
      </c>
      <c r="B132" s="1196"/>
      <c r="C132" s="2340">
        <v>0</v>
      </c>
      <c r="D132" s="2340">
        <v>0</v>
      </c>
      <c r="E132" s="2350">
        <v>0</v>
      </c>
      <c r="F132" s="2341">
        <v>0</v>
      </c>
      <c r="G132" s="2340">
        <v>0</v>
      </c>
      <c r="H132" s="2351">
        <v>0</v>
      </c>
      <c r="I132" s="2352">
        <v>0</v>
      </c>
      <c r="J132" s="2340">
        <v>0</v>
      </c>
      <c r="K132" s="2351">
        <v>0</v>
      </c>
      <c r="L132" s="345"/>
      <c r="Q132" s="231"/>
    </row>
    <row r="133" spans="1:17" ht="11.25" customHeight="1">
      <c r="A133" s="1516" t="str">
        <f t="shared" si="0"/>
        <v>Solid Waste</v>
      </c>
      <c r="B133" s="1194"/>
      <c r="C133" s="2356">
        <v>0</v>
      </c>
      <c r="D133" s="2356">
        <v>0</v>
      </c>
      <c r="E133" s="2357">
        <v>0</v>
      </c>
      <c r="F133" s="2358">
        <v>0</v>
      </c>
      <c r="G133" s="2356">
        <v>0</v>
      </c>
      <c r="H133" s="2359">
        <v>0</v>
      </c>
      <c r="I133" s="2360">
        <v>0</v>
      </c>
      <c r="J133" s="2356">
        <v>0</v>
      </c>
      <c r="K133" s="2359">
        <v>0</v>
      </c>
      <c r="L133" s="345"/>
    </row>
    <row r="134" spans="1:17" ht="11.25" customHeight="1">
      <c r="A134" s="1243" t="str">
        <f t="shared" si="0"/>
        <v>Other</v>
      </c>
      <c r="B134" s="1194"/>
      <c r="C134" s="2343">
        <v>0</v>
      </c>
      <c r="D134" s="2343">
        <v>0</v>
      </c>
      <c r="E134" s="2347">
        <v>0</v>
      </c>
      <c r="F134" s="2344">
        <v>0</v>
      </c>
      <c r="G134" s="2343">
        <v>0</v>
      </c>
      <c r="H134" s="2348">
        <v>0</v>
      </c>
      <c r="I134" s="2349">
        <v>0</v>
      </c>
      <c r="J134" s="2343">
        <v>0</v>
      </c>
      <c r="K134" s="2348">
        <v>0</v>
      </c>
      <c r="L134" s="345"/>
    </row>
    <row r="135" spans="1:17" ht="11.25" customHeight="1">
      <c r="A135" s="1286" t="str">
        <f t="shared" si="0"/>
        <v>Air Transport</v>
      </c>
      <c r="B135" s="1194"/>
      <c r="C135" s="2356">
        <v>0</v>
      </c>
      <c r="D135" s="2356">
        <v>0</v>
      </c>
      <c r="E135" s="2357">
        <v>0</v>
      </c>
      <c r="F135" s="2358">
        <v>0</v>
      </c>
      <c r="G135" s="2356">
        <v>0</v>
      </c>
      <c r="H135" s="2359">
        <v>0</v>
      </c>
      <c r="I135" s="2360">
        <v>0</v>
      </c>
      <c r="J135" s="2356">
        <v>0</v>
      </c>
      <c r="K135" s="2359">
        <v>0</v>
      </c>
      <c r="L135" s="345"/>
    </row>
    <row r="136" spans="1:17" ht="11.25" customHeight="1">
      <c r="A136" s="1286" t="str">
        <f t="shared" si="0"/>
        <v>Abattoirs</v>
      </c>
      <c r="B136" s="1194"/>
      <c r="C136" s="2356">
        <v>0</v>
      </c>
      <c r="D136" s="2356">
        <v>0</v>
      </c>
      <c r="E136" s="2357">
        <v>0</v>
      </c>
      <c r="F136" s="2358">
        <v>0</v>
      </c>
      <c r="G136" s="2356">
        <v>0</v>
      </c>
      <c r="H136" s="2359">
        <v>0</v>
      </c>
      <c r="I136" s="2360">
        <v>0</v>
      </c>
      <c r="J136" s="2356">
        <v>0</v>
      </c>
      <c r="K136" s="2359">
        <v>0</v>
      </c>
      <c r="L136" s="345"/>
    </row>
    <row r="137" spans="1:17" ht="11.25" customHeight="1">
      <c r="A137" s="1286" t="str">
        <f t="shared" si="0"/>
        <v>Tourism</v>
      </c>
      <c r="B137" s="1194"/>
      <c r="C137" s="2356">
        <v>0</v>
      </c>
      <c r="D137" s="2356">
        <v>0</v>
      </c>
      <c r="E137" s="2357">
        <v>0</v>
      </c>
      <c r="F137" s="2358">
        <v>0</v>
      </c>
      <c r="G137" s="2356">
        <v>0</v>
      </c>
      <c r="H137" s="2359">
        <v>0</v>
      </c>
      <c r="I137" s="2360">
        <v>0</v>
      </c>
      <c r="J137" s="2356">
        <v>0</v>
      </c>
      <c r="K137" s="2359">
        <v>0</v>
      </c>
      <c r="L137" s="345"/>
    </row>
    <row r="138" spans="1:17" ht="11.25" customHeight="1">
      <c r="A138" s="1286" t="str">
        <f t="shared" si="0"/>
        <v>Forestry</v>
      </c>
      <c r="B138" s="1194"/>
      <c r="C138" s="2356">
        <v>0</v>
      </c>
      <c r="D138" s="2356">
        <v>0</v>
      </c>
      <c r="E138" s="2357">
        <v>0</v>
      </c>
      <c r="F138" s="2358">
        <v>0</v>
      </c>
      <c r="G138" s="2356">
        <v>0</v>
      </c>
      <c r="H138" s="2359">
        <v>0</v>
      </c>
      <c r="I138" s="2360">
        <v>0</v>
      </c>
      <c r="J138" s="2356">
        <v>0</v>
      </c>
      <c r="K138" s="2359">
        <v>0</v>
      </c>
      <c r="L138" s="345"/>
    </row>
    <row r="139" spans="1:17" ht="11.25" customHeight="1">
      <c r="A139" s="1286" t="str">
        <f>A70</f>
        <v>Markets</v>
      </c>
      <c r="B139" s="1194"/>
      <c r="C139" s="2356">
        <v>0</v>
      </c>
      <c r="D139" s="2356">
        <v>0</v>
      </c>
      <c r="E139" s="2357">
        <v>0</v>
      </c>
      <c r="F139" s="2358">
        <v>0</v>
      </c>
      <c r="G139" s="2356">
        <v>0</v>
      </c>
      <c r="H139" s="2359">
        <v>0</v>
      </c>
      <c r="I139" s="2360">
        <v>0</v>
      </c>
      <c r="J139" s="2356">
        <v>0</v>
      </c>
      <c r="K139" s="2359">
        <v>0</v>
      </c>
      <c r="L139" s="345"/>
    </row>
    <row r="140" spans="1:17" ht="11.25" customHeight="1">
      <c r="A140" s="1195" t="str">
        <f>"Total "&amp;A73</f>
        <v>Total Expenditure - Standard</v>
      </c>
      <c r="B140" s="1194">
        <v>3</v>
      </c>
      <c r="C140" s="2331">
        <v>7810863.1699999999</v>
      </c>
      <c r="D140" s="2331">
        <v>26363574.497982766</v>
      </c>
      <c r="E140" s="2353">
        <v>14270781.728010165</v>
      </c>
      <c r="F140" s="2332">
        <v>17153205</v>
      </c>
      <c r="G140" s="2331">
        <v>17444085</v>
      </c>
      <c r="H140" s="2354">
        <v>48528883</v>
      </c>
      <c r="I140" s="2355">
        <v>35385136.475102916</v>
      </c>
      <c r="J140" s="2331">
        <v>28671249.005062968</v>
      </c>
      <c r="K140" s="2354">
        <v>30648302.180813074</v>
      </c>
      <c r="L140" s="345"/>
      <c r="Q140" s="266"/>
    </row>
    <row r="141" spans="1:17">
      <c r="A141" s="1197" t="str">
        <f>result</f>
        <v>Surplus/(Deficit) for the year</v>
      </c>
      <c r="B141" s="1198"/>
      <c r="C141" s="2334">
        <v>19149042.969999999</v>
      </c>
      <c r="D141" s="2334">
        <v>41984094.403158501</v>
      </c>
      <c r="E141" s="2335">
        <v>38009512.875102788</v>
      </c>
      <c r="F141" s="2336">
        <v>32932490</v>
      </c>
      <c r="G141" s="2334">
        <v>34254190</v>
      </c>
      <c r="H141" s="2333">
        <v>28669606</v>
      </c>
      <c r="I141" s="2337">
        <v>18770213.188497081</v>
      </c>
      <c r="J141" s="2334">
        <v>32612637.94011303</v>
      </c>
      <c r="K141" s="2335">
        <v>34938192.353764929</v>
      </c>
      <c r="L141" s="345"/>
    </row>
    <row r="142" spans="1:17" hidden="1">
      <c r="A142" s="1199" t="str">
        <f>head27a</f>
        <v>References</v>
      </c>
      <c r="B142" s="1200"/>
      <c r="C142" s="1049"/>
      <c r="D142" s="1049"/>
      <c r="E142" s="1049"/>
      <c r="F142" s="1049"/>
      <c r="G142" s="1049"/>
      <c r="H142" s="1049"/>
      <c r="I142" s="1049"/>
      <c r="J142" s="1049"/>
      <c r="K142" s="1049"/>
      <c r="L142" s="345"/>
    </row>
    <row r="143" spans="1:17" ht="11.25" hidden="1" customHeight="1">
      <c r="A143" s="1201" t="s">
        <v>455</v>
      </c>
      <c r="B143" s="1200"/>
      <c r="C143" s="1202"/>
      <c r="D143" s="1202"/>
      <c r="E143" s="1203"/>
      <c r="F143" s="1203"/>
      <c r="G143" s="1203"/>
      <c r="H143" s="1203"/>
      <c r="I143" s="1203"/>
      <c r="J143" s="1203"/>
      <c r="K143" s="1203"/>
    </row>
    <row r="144" spans="1:17" ht="11.25" hidden="1" customHeight="1">
      <c r="A144" s="1204" t="s">
        <v>1925</v>
      </c>
      <c r="B144" s="1200"/>
      <c r="C144" s="1202"/>
      <c r="D144" s="1202"/>
      <c r="E144" s="1203"/>
      <c r="F144" s="1203"/>
      <c r="G144" s="1203"/>
      <c r="H144" s="1203"/>
      <c r="I144" s="1203"/>
      <c r="J144" s="1203"/>
      <c r="K144" s="1203"/>
    </row>
    <row r="145" spans="1:11" ht="11.25" hidden="1" customHeight="1">
      <c r="A145" s="1201" t="s">
        <v>1926</v>
      </c>
      <c r="B145" s="1200"/>
      <c r="C145" s="1202"/>
      <c r="D145" s="1202"/>
      <c r="E145" s="1203"/>
      <c r="F145" s="1203"/>
      <c r="G145" s="1203"/>
      <c r="H145" s="1203"/>
      <c r="I145" s="1203"/>
      <c r="J145" s="1203"/>
      <c r="K145" s="1203"/>
    </row>
    <row r="146" spans="1:11" ht="22.5" hidden="1" customHeight="1">
      <c r="A146" s="2776" t="s">
        <v>139</v>
      </c>
      <c r="B146" s="2776"/>
      <c r="C146" s="2776"/>
      <c r="D146" s="2776"/>
      <c r="E146" s="2776"/>
      <c r="F146" s="2776"/>
      <c r="G146" s="2776"/>
      <c r="H146" s="2776"/>
      <c r="I146" s="2776"/>
      <c r="J146" s="2776"/>
      <c r="K146" s="2776"/>
    </row>
    <row r="147" spans="1:11" ht="11.25" hidden="1" customHeight="1">
      <c r="A147" s="232"/>
      <c r="B147" s="222"/>
      <c r="C147" s="226"/>
      <c r="D147" s="226"/>
      <c r="E147" s="227"/>
      <c r="F147" s="227"/>
      <c r="G147" s="227"/>
      <c r="H147" s="227"/>
      <c r="I147" s="227"/>
      <c r="J147" s="227"/>
      <c r="K147" s="227"/>
    </row>
    <row r="148" spans="1:11" ht="11.25" hidden="1" customHeight="1">
      <c r="A148" s="232"/>
      <c r="B148" s="222"/>
      <c r="C148" s="226"/>
      <c r="D148" s="226"/>
      <c r="E148" s="227"/>
      <c r="F148" s="227"/>
      <c r="G148" s="227"/>
      <c r="H148" s="227"/>
      <c r="I148" s="227"/>
      <c r="J148" s="227"/>
      <c r="K148" s="227"/>
    </row>
    <row r="149" spans="1:11" ht="11.25" hidden="1" customHeight="1">
      <c r="A149" s="273" t="s">
        <v>154</v>
      </c>
      <c r="B149" s="229"/>
      <c r="C149" s="274">
        <f>C71-'A4-FinPerf RE'!C60</f>
        <v>-201071.4299999997</v>
      </c>
      <c r="D149" s="274">
        <f>D71-'A4-FinPerf RE'!D60</f>
        <v>-1630889.400000006</v>
      </c>
      <c r="E149" s="1025">
        <f>E71-'A4-FinPerf RE'!E60</f>
        <v>-1086749.3789999932</v>
      </c>
      <c r="F149" s="274">
        <f>F71-'A4-FinPerf RE'!F60</f>
        <v>-230920</v>
      </c>
      <c r="G149" s="274">
        <f>G71-'A4-FinPerf RE'!G60</f>
        <v>693085</v>
      </c>
      <c r="H149" s="274">
        <f>H71-'A4-FinPerf RE'!H60</f>
        <v>35352582</v>
      </c>
      <c r="I149" s="274">
        <f>I71-'A4-FinPerf RE'!J60</f>
        <v>-8537626.2199999988</v>
      </c>
      <c r="J149" s="274">
        <f>J71-'A4-FinPerf RE'!K60</f>
        <v>-10539613.793200009</v>
      </c>
      <c r="K149" s="274">
        <f>K71-'A4-FinPerf RE'!L60</f>
        <v>-11112818.020792</v>
      </c>
    </row>
    <row r="150" spans="1:11" ht="11.25" hidden="1" customHeight="1">
      <c r="A150" s="273" t="s">
        <v>934</v>
      </c>
      <c r="B150" s="229"/>
      <c r="C150" s="274">
        <f>C140-'A4-FinPerf RE'!C36</f>
        <v>-18116170.160000004</v>
      </c>
      <c r="D150" s="274">
        <f>D140-'A4-FinPerf RE'!D36</f>
        <v>-24208655.368599679</v>
      </c>
      <c r="E150" s="1025">
        <f>E140-'A4-FinPerf RE'!E36</f>
        <v>-27974585.418617599</v>
      </c>
      <c r="F150" s="274">
        <f>F140-'A4-FinPerf RE'!F36</f>
        <v>-33163470</v>
      </c>
      <c r="G150" s="274">
        <f>G140-'A4-FinPerf RE'!G36</f>
        <v>-31645070</v>
      </c>
      <c r="H150" s="274">
        <f>H140-'A4-FinPerf RE'!H36</f>
        <v>6773213</v>
      </c>
      <c r="I150" s="274">
        <f>I140-'A4-FinPerf RE'!J36</f>
        <v>-34487470.766022563</v>
      </c>
      <c r="J150" s="274">
        <f>J140-'A4-FinPerf RE'!K36</f>
        <v>-37264792.964795038</v>
      </c>
      <c r="K150" s="274">
        <f>K140-'A4-FinPerf RE'!L36</f>
        <v>-40119067.568976402</v>
      </c>
    </row>
    <row r="151" spans="1:11" ht="11.25" hidden="1" customHeight="1"/>
    <row r="152" spans="1:11" ht="11.25" hidden="1" customHeight="1"/>
    <row r="153" spans="1:11" ht="11.25" hidden="1" customHeight="1"/>
    <row r="154" spans="1:11" ht="11.25" hidden="1" customHeight="1">
      <c r="E154" s="336"/>
    </row>
    <row r="155" spans="1:11" ht="11.25" hidden="1" customHeight="1"/>
    <row r="156" spans="1:11" ht="11.25" hidden="1" customHeight="1"/>
    <row r="157" spans="1:11" ht="11.25" hidden="1" customHeight="1"/>
    <row r="158" spans="1:11" ht="11.25" hidden="1" customHeight="1"/>
    <row r="159" spans="1:11" ht="11.25" hidden="1" customHeight="1"/>
    <row r="160" spans="1:11" ht="11.25" hidden="1" customHeight="1"/>
    <row r="161" ht="11.25" hidden="1" customHeight="1"/>
    <row r="162" ht="11.25" hidden="1"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sheetData>
  <mergeCells count="3">
    <mergeCell ref="F2:H2"/>
    <mergeCell ref="I2:K2"/>
    <mergeCell ref="A146:K146"/>
  </mergeCells>
  <phoneticPr fontId="3"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59</vt:i4>
      </vt:variant>
      <vt:variant>
        <vt:lpstr>Named Ranges</vt:lpstr>
      </vt:variant>
      <vt:variant>
        <vt:i4>243</vt:i4>
      </vt:variant>
    </vt:vector>
  </HeadingPairs>
  <TitlesOfParts>
    <vt:vector size="302" baseType="lpstr">
      <vt:lpstr>START</vt:lpstr>
      <vt:lpstr>Instructions</vt:lpstr>
      <vt:lpstr>Org structure</vt:lpstr>
      <vt:lpstr>Contacts</vt:lpstr>
      <vt:lpstr>A1-Sum</vt:lpstr>
      <vt:lpstr>A2-FinPerf SC</vt:lpstr>
      <vt:lpstr>A2A</vt:lpstr>
      <vt:lpstr>A3-FinPerf V</vt:lpstr>
      <vt:lpstr>A3A</vt:lpstr>
      <vt:lpstr>A4-FinPerf RE</vt:lpstr>
      <vt:lpstr>A5-Capex</vt:lpstr>
      <vt:lpstr>A5A</vt:lpstr>
      <vt:lpstr>A6-FinPos</vt:lpstr>
      <vt:lpstr>A7-CFlow</vt:lpstr>
      <vt:lpstr>A8-ResRecon</vt:lpstr>
      <vt:lpstr>A9-Asset</vt:lpstr>
      <vt:lpstr>A10-SerDel</vt:lpstr>
      <vt:lpstr>SA1</vt:lpstr>
      <vt:lpstr>SA2</vt:lpstr>
      <vt:lpstr>SA3</vt:lpstr>
      <vt:lpstr>SA4</vt:lpstr>
      <vt:lpstr>SA5</vt:lpstr>
      <vt:lpstr>SA6</vt:lpstr>
      <vt:lpstr>SA7</vt:lpstr>
      <vt:lpstr>SA8</vt:lpstr>
      <vt:lpstr>SA9</vt:lpstr>
      <vt:lpstr>SA10</vt:lpstr>
      <vt:lpstr>SA11</vt:lpstr>
      <vt:lpstr>SA12 &amp;13</vt:lpstr>
      <vt:lpstr>SA14</vt:lpstr>
      <vt:lpstr>SA15</vt:lpstr>
      <vt:lpstr>SA16</vt:lpstr>
      <vt:lpstr>SA17</vt:lpstr>
      <vt:lpstr>SA18</vt:lpstr>
      <vt:lpstr>SA19</vt:lpstr>
      <vt:lpstr>SA20</vt:lpstr>
      <vt:lpstr>SA21</vt:lpstr>
      <vt:lpstr>SA22</vt:lpstr>
      <vt:lpstr>SA23</vt:lpstr>
      <vt:lpstr>SA24</vt:lpstr>
      <vt:lpstr>SA25</vt:lpstr>
      <vt:lpstr>SA26</vt:lpstr>
      <vt:lpstr>SA27</vt:lpstr>
      <vt:lpstr>SA28</vt:lpstr>
      <vt:lpstr>SA29</vt:lpstr>
      <vt:lpstr>SA30</vt:lpstr>
      <vt:lpstr>SA31</vt:lpstr>
      <vt:lpstr>SA32</vt:lpstr>
      <vt:lpstr>SA33</vt:lpstr>
      <vt:lpstr>SA34a</vt:lpstr>
      <vt:lpstr>SA34b</vt:lpstr>
      <vt:lpstr>SA34c</vt:lpstr>
      <vt:lpstr>SA35</vt:lpstr>
      <vt:lpstr>SA36</vt:lpstr>
      <vt:lpstr>SA37</vt:lpstr>
      <vt:lpstr>NERF</vt:lpstr>
      <vt:lpstr>MSCOA</vt:lpstr>
      <vt:lpstr>Compliance assessment</vt:lpstr>
      <vt:lpstr>TB</vt:lpstr>
      <vt:lpstr>_DEP1</vt:lpstr>
      <vt:lpstr>_DEP10</vt:lpstr>
      <vt:lpstr>_DEP11</vt:lpstr>
      <vt:lpstr>_DEP12</vt:lpstr>
      <vt:lpstr>_DEP13</vt:lpstr>
      <vt:lpstr>_DEP14</vt:lpstr>
      <vt:lpstr>_DEP2</vt:lpstr>
      <vt:lpstr>_DEP3</vt:lpstr>
      <vt:lpstr>_DEP4</vt:lpstr>
      <vt:lpstr>_DEP5</vt:lpstr>
      <vt:lpstr>_DEP6</vt:lpstr>
      <vt:lpstr>_DEP7</vt:lpstr>
      <vt:lpstr>_DEP8</vt:lpstr>
      <vt:lpstr>_DEP9</vt:lpstr>
      <vt:lpstr>_Ent1</vt:lpstr>
      <vt:lpstr>_Ent2</vt:lpstr>
      <vt:lpstr>_Ent3</vt:lpstr>
      <vt:lpstr>Approve1</vt:lpstr>
      <vt:lpstr>Approve10</vt:lpstr>
      <vt:lpstr>Approve2</vt:lpstr>
      <vt:lpstr>Approve3</vt:lpstr>
      <vt:lpstr>Approve4</vt:lpstr>
      <vt:lpstr>Approve5</vt:lpstr>
      <vt:lpstr>Approve6</vt:lpstr>
      <vt:lpstr>Approve7</vt:lpstr>
      <vt:lpstr>Approve8</vt:lpstr>
      <vt:lpstr>Approve9</vt:lpstr>
      <vt:lpstr>basedesc</vt:lpstr>
      <vt:lpstr>baseindex</vt:lpstr>
      <vt:lpstr>Cash1</vt:lpstr>
      <vt:lpstr>Cash2</vt:lpstr>
      <vt:lpstr>ChartA1</vt:lpstr>
      <vt:lpstr>ChartA10</vt:lpstr>
      <vt:lpstr>ChartA11</vt:lpstr>
      <vt:lpstr>ChartA12</vt:lpstr>
      <vt:lpstr>ChartA13</vt:lpstr>
      <vt:lpstr>ChartA2</vt:lpstr>
      <vt:lpstr>ChartA3</vt:lpstr>
      <vt:lpstr>ChartA4</vt:lpstr>
      <vt:lpstr>ChartA5</vt:lpstr>
      <vt:lpstr>ChartA6</vt:lpstr>
      <vt:lpstr>ChartA7</vt:lpstr>
      <vt:lpstr>ChartA8</vt:lpstr>
      <vt:lpstr>ChartA9</vt:lpstr>
      <vt:lpstr>choosebase</vt:lpstr>
      <vt:lpstr>Consolques</vt:lpstr>
      <vt:lpstr>desc</vt:lpstr>
      <vt:lpstr>FinYear</vt:lpstr>
      <vt:lpstr>GrantNatCapex</vt:lpstr>
      <vt:lpstr>GrantNatOpex</vt:lpstr>
      <vt:lpstr>GrantProvOpex</vt:lpstr>
      <vt:lpstr>Head1</vt:lpstr>
      <vt:lpstr>Head10</vt:lpstr>
      <vt:lpstr>Head11</vt:lpstr>
      <vt:lpstr>Head12</vt:lpstr>
      <vt:lpstr>Head13</vt:lpstr>
      <vt:lpstr>Head14</vt:lpstr>
      <vt:lpstr>Head15</vt:lpstr>
      <vt:lpstr>Head16</vt:lpstr>
      <vt:lpstr>Head17</vt:lpstr>
      <vt:lpstr>Head18</vt:lpstr>
      <vt:lpstr>Head19</vt:lpstr>
      <vt:lpstr>head1A</vt:lpstr>
      <vt:lpstr>head1b</vt:lpstr>
      <vt:lpstr>Head2</vt:lpstr>
      <vt:lpstr>Head20</vt:lpstr>
      <vt:lpstr>Head21</vt:lpstr>
      <vt:lpstr>Head22</vt:lpstr>
      <vt:lpstr>Head23</vt:lpstr>
      <vt:lpstr>Head24</vt:lpstr>
      <vt:lpstr>Head25</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Head5A</vt:lpstr>
      <vt:lpstr>Head5b</vt:lpstr>
      <vt:lpstr>Head6</vt:lpstr>
      <vt:lpstr>Head7</vt:lpstr>
      <vt:lpstr>Head8</vt:lpstr>
      <vt:lpstr>Head9</vt:lpstr>
      <vt:lpstr>Headings</vt:lpstr>
      <vt:lpstr>List1</vt:lpstr>
      <vt:lpstr>List2</vt:lpstr>
      <vt:lpstr>List3</vt:lpstr>
      <vt:lpstr>List4</vt:lpstr>
      <vt:lpstr>List5</vt:lpstr>
      <vt:lpstr>List6</vt:lpstr>
      <vt:lpstr>List7</vt:lpstr>
      <vt:lpstr>List8</vt:lpstr>
      <vt:lpstr>MTREF</vt:lpstr>
      <vt:lpstr>muni</vt:lpstr>
      <vt:lpstr>MuniEntities</vt:lpstr>
      <vt:lpstr>MuniType</vt:lpstr>
      <vt:lpstr>Orgstructurevotes</vt:lpstr>
      <vt:lpstr>'A10-SerDel'!Print_Area</vt:lpstr>
      <vt:lpstr>'A1-Sum'!Print_Area</vt:lpstr>
      <vt:lpstr>'A2-FinPerf SC'!Print_Area</vt:lpstr>
      <vt:lpstr>A3A!Print_Area</vt:lpstr>
      <vt:lpstr>'A3-FinPerf V'!Print_Area</vt:lpstr>
      <vt:lpstr>'A4-FinPerf RE'!Print_Area</vt:lpstr>
      <vt:lpstr>A5A!Print_Area</vt:lpstr>
      <vt:lpstr>'A5-Capex'!Print_Area</vt:lpstr>
      <vt:lpstr>'A6-FinPos'!Print_Area</vt:lpstr>
      <vt:lpstr>'A7-CFlow'!Print_Area</vt:lpstr>
      <vt:lpstr>'A8-ResRecon'!Print_Area</vt:lpstr>
      <vt:lpstr>'A9-Asset'!Print_Area</vt:lpstr>
      <vt:lpstr>Contacts!Print_Area</vt:lpstr>
      <vt:lpstr>Instructions!Print_Area</vt:lpstr>
      <vt:lpstr>NERF!Print_Area</vt:lpstr>
      <vt:lpstr>'SA1'!Print_Area</vt:lpstr>
      <vt:lpstr>'SA10'!Print_Area</vt:lpstr>
      <vt:lpstr>'SA11'!Print_Area</vt:lpstr>
      <vt:lpstr>'SA12 &amp;13'!Print_Area</vt:lpstr>
      <vt:lpstr>'SA14'!Print_Area</vt:lpstr>
      <vt:lpstr>'SA15'!Print_Area</vt:lpstr>
      <vt:lpstr>'SA16'!Print_Area</vt:lpstr>
      <vt:lpstr>'SA17'!Print_Area</vt:lpstr>
      <vt:lpstr>'SA18'!Print_Area</vt:lpstr>
      <vt:lpstr>'SA19'!Print_Area</vt:lpstr>
      <vt:lpstr>'SA2'!Print_Area</vt:lpstr>
      <vt:lpstr>'SA20'!Print_Area</vt:lpstr>
      <vt:lpstr>'SA21'!Print_Area</vt:lpstr>
      <vt:lpstr>'SA22'!Print_Area</vt:lpstr>
      <vt:lpstr>'SA23'!Print_Area</vt:lpstr>
      <vt:lpstr>'SA24'!Print_Area</vt:lpstr>
      <vt:lpstr>'SA25'!Print_Area</vt:lpstr>
      <vt:lpstr>'SA26'!Print_Area</vt:lpstr>
      <vt:lpstr>'SA27'!Print_Area</vt:lpstr>
      <vt:lpstr>'SA28'!Print_Area</vt:lpstr>
      <vt:lpstr>'SA29'!Print_Area</vt:lpstr>
      <vt:lpstr>'SA3'!Print_Area</vt:lpstr>
      <vt:lpstr>'SA30'!Print_Area</vt:lpstr>
      <vt:lpstr>'SA31'!Print_Area</vt:lpstr>
      <vt:lpstr>'SA32'!Print_Area</vt:lpstr>
      <vt:lpstr>'SA33'!Print_Area</vt:lpstr>
      <vt:lpstr>SA34a!Print_Area</vt:lpstr>
      <vt:lpstr>'SA35'!Print_Area</vt:lpstr>
      <vt:lpstr>'SA36'!Print_Area</vt:lpstr>
      <vt:lpstr>'SA37'!Print_Area</vt:lpstr>
      <vt:lpstr>'SA4'!Print_Area</vt:lpstr>
      <vt:lpstr>'SA5'!Print_Area</vt:lpstr>
      <vt:lpstr>'SA6'!Print_Area</vt:lpstr>
      <vt:lpstr>'SA7'!Print_Area</vt:lpstr>
      <vt:lpstr>'SA8'!Print_Area</vt:lpstr>
      <vt:lpstr>'SA9'!Print_Area</vt:lpstr>
      <vt:lpstr>START!Print_Area</vt:lpstr>
      <vt:lpstr>A3A!Print_Titles</vt:lpstr>
      <vt:lpstr>'A3-FinPerf V'!Print_Titles</vt:lpstr>
      <vt:lpstr>'A5-Capex'!Print_Titles</vt:lpstr>
      <vt:lpstr>RandM</vt:lpstr>
      <vt:lpstr>result</vt:lpstr>
      <vt:lpstr>Scale</vt:lpstr>
      <vt:lpstr>SFPerf1</vt:lpstr>
      <vt:lpstr>SFPerf2</vt:lpstr>
      <vt:lpstr>SFpos1</vt:lpstr>
      <vt:lpstr>SFpos2</vt:lpstr>
      <vt:lpstr>TableA1</vt:lpstr>
      <vt:lpstr>TableA10</vt:lpstr>
      <vt:lpstr>TableA11</vt:lpstr>
      <vt:lpstr>TableA12</vt:lpstr>
      <vt:lpstr>TableA13</vt:lpstr>
      <vt:lpstr>TableA14</vt:lpstr>
      <vt:lpstr>TableA15</vt:lpstr>
      <vt:lpstr>TableA16</vt:lpstr>
      <vt:lpstr>TableA17</vt:lpstr>
      <vt:lpstr>TableA18</vt:lpstr>
      <vt:lpstr>TableA19</vt:lpstr>
      <vt:lpstr>TableA2</vt:lpstr>
      <vt:lpstr>TableA20</vt:lpstr>
      <vt:lpstr>TableA21</vt:lpstr>
      <vt:lpstr>TableA22</vt:lpstr>
      <vt:lpstr>TableA23</vt:lpstr>
      <vt:lpstr>TableA24</vt:lpstr>
      <vt:lpstr>TableA25</vt:lpstr>
      <vt:lpstr>TableA26</vt:lpstr>
      <vt:lpstr>TableA27</vt:lpstr>
      <vt:lpstr>TableA28</vt:lpstr>
      <vt:lpstr>TableA29</vt:lpstr>
      <vt:lpstr>TableA3</vt:lpstr>
      <vt:lpstr>TableA30</vt:lpstr>
      <vt:lpstr>TableA31</vt:lpstr>
      <vt:lpstr>TableA32</vt:lpstr>
      <vt:lpstr>TableA33</vt:lpstr>
      <vt:lpstr>TableA34a</vt:lpstr>
      <vt:lpstr>TableA34b</vt:lpstr>
      <vt:lpstr>TableA34c</vt:lpstr>
      <vt:lpstr>TableA35</vt:lpstr>
      <vt:lpstr>TableA36</vt:lpstr>
      <vt:lpstr>TableA37</vt:lpstr>
      <vt:lpstr>TableA4</vt:lpstr>
      <vt:lpstr>TableA5</vt:lpstr>
      <vt:lpstr>TableA6</vt:lpstr>
      <vt:lpstr>TableA7</vt:lpstr>
      <vt:lpstr>TableA8</vt:lpstr>
      <vt:lpstr>TableA9</vt:lpstr>
      <vt:lpstr>Vdesc</vt:lpstr>
      <vt:lpstr>Vote</vt:lpstr>
      <vt:lpstr>Vote1</vt:lpstr>
      <vt:lpstr>Vote10</vt:lpstr>
      <vt:lpstr>Vote11</vt:lpstr>
      <vt:lpstr>Vote12</vt:lpstr>
      <vt:lpstr>Vote13</vt:lpstr>
      <vt:lpstr>Vote14</vt:lpstr>
      <vt:lpstr>Vote15</vt:lpstr>
      <vt:lpstr>Vote2</vt:lpstr>
      <vt:lpstr>Vote3</vt:lpstr>
      <vt:lpstr>Vote4</vt:lpstr>
      <vt:lpstr>Vote5</vt:lpstr>
      <vt:lpstr>Vote6</vt:lpstr>
      <vt:lpstr>Vote7</vt:lpstr>
      <vt:lpstr>Vote8</vt:lpstr>
      <vt:lpstr>Vote9</vt:lpstr>
    </vt:vector>
  </TitlesOfParts>
  <Company>ctc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format template</dc:title>
  <dc:subject>Standard municipality</dc:subject>
  <dc:creator>Nigel Graves</dc:creator>
  <cp:lastModifiedBy>user4</cp:lastModifiedBy>
  <cp:lastPrinted>2012-08-30T08:24:25Z</cp:lastPrinted>
  <dcterms:created xsi:type="dcterms:W3CDTF">2004-04-07T16:19:08Z</dcterms:created>
  <dcterms:modified xsi:type="dcterms:W3CDTF">2012-08-30T13:40:52Z</dcterms:modified>
</cp:coreProperties>
</file>